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MULACION " sheetId="1" r:id="rId5"/>
    <sheet state="visible" name="RESUMEN DEL DIA " sheetId="2" r:id="rId6"/>
    <sheet state="visible" name="CIERRE DE PROCESO " sheetId="3" r:id="rId7"/>
    <sheet state="visible" name="CIERRE DE PROCESO" sheetId="4" r:id="rId8"/>
    <sheet state="visible" name="BASE DE DATOS CIERRE" sheetId="5" r:id="rId9"/>
    <sheet state="visible" name="CONSOLIDADO DE CIERRE" sheetId="6" r:id="rId10"/>
    <sheet state="visible" name="TOLERANCIA" sheetId="7" r:id="rId11"/>
    <sheet state="visible" name="CIERRE DE PIELES " sheetId="8" r:id="rId12"/>
    <sheet state="visible" name="CONSOLIDADO OEE" sheetId="9" r:id="rId13"/>
    <sheet state="visible" name="LIBERACION DE CANALES" sheetId="10" r:id="rId14"/>
    <sheet state="visible" name="SIBO" sheetId="11" r:id="rId15"/>
    <sheet state="hidden" name="OPL" sheetId="12" r:id="rId16"/>
    <sheet state="hidden" name="PARADAS  " sheetId="13" r:id="rId17"/>
    <sheet state="visible" name="CAMBIOS DE PESOS " sheetId="14" r:id="rId18"/>
    <sheet state="visible" name="incap" sheetId="15" r:id="rId19"/>
    <sheet state="visible" name="Tabla INCAPACIDAD " sheetId="16" r:id="rId20"/>
    <sheet state="hidden" name="ubres" sheetId="17" r:id="rId21"/>
    <sheet state="visible" name="ANTIGUEDAD " sheetId="18" r:id="rId22"/>
    <sheet state="visible" name="Auditoria HALAL" sheetId="19" r:id="rId23"/>
    <sheet state="visible" name="Auditoria CHINA" sheetId="20" r:id="rId24"/>
    <sheet state="visible" name="Auditoria Chile " sheetId="21" r:id="rId25"/>
    <sheet state="visible" name="Auditoria HACCP ISO 22000 " sheetId="22" r:id="rId26"/>
    <sheet state="visible" name="CHAIRAS " sheetId="23" r:id="rId27"/>
    <sheet state="visible" name="Tabla dinámica 1" sheetId="24" r:id="rId28"/>
    <sheet state="visible" name="NOVEDADES" sheetId="25" r:id="rId29"/>
    <sheet state="visible" name="COSTO UNITARIO" sheetId="26" r:id="rId30"/>
  </sheets>
  <definedNames>
    <definedName localSheetId="25" name="INFERIOR">'COSTO UNITARIO'!$G$17:$G$23</definedName>
    <definedName localSheetId="25" name="SUPERIOR">'COSTO UNITARIO'!$I$17:$I$20</definedName>
    <definedName name="INCAPACIDADES">incap!$B$3:$E$1048576</definedName>
    <definedName hidden="1" localSheetId="6" name="_xlnm._FilterDatabase">TOLERANCIA!$A$1:$F$995</definedName>
    <definedName hidden="1" localSheetId="12" name="_xlnm._FilterDatabase">'PARADAS  '!$B$2:$M$23</definedName>
    <definedName hidden="1" localSheetId="17" name="_xlnm._FilterDatabase">'ANTIGUEDAD '!$B$3:$G$3</definedName>
    <definedName hidden="1" localSheetId="25" name="_xlnm._FilterDatabase">'COSTO UNITARIO'!$A$1:$C$23</definedName>
  </definedNames>
  <calcPr/>
  <pivotCaches>
    <pivotCache cacheId="0" r:id="rId31"/>
    <pivotCache cacheId="1" r:id="rId32"/>
  </pivotCaches>
</workbook>
</file>

<file path=xl/sharedStrings.xml><?xml version="1.0" encoding="utf-8"?>
<sst xmlns="http://schemas.openxmlformats.org/spreadsheetml/2006/main" count="19269" uniqueCount="1032">
  <si>
    <t>30min</t>
  </si>
  <si>
    <t xml:space="preserve">En las paradas y al final dejar menos canales </t>
  </si>
  <si>
    <t>29min</t>
  </si>
  <si>
    <t>SIMULACIÓN VELOCIDAD</t>
  </si>
  <si>
    <t>RESUMEN PARCIAL DE SACRIFICIO</t>
  </si>
  <si>
    <t>#</t>
  </si>
  <si>
    <t xml:space="preserve">Animales beneficiados </t>
  </si>
  <si>
    <t># RESES</t>
  </si>
  <si>
    <t>VELOCIDAD BRUTA  (Reses/Hora)</t>
  </si>
  <si>
    <t>PARADA PROGRAMADA (Hr)</t>
  </si>
  <si>
    <t>VACIADO LÍNEA (Hr)</t>
  </si>
  <si>
    <t>DURACIÓN PROCESO DESEADA (Hr)</t>
  </si>
  <si>
    <t>DURACIÓN EFECTIVA DE PROCESO (Hr)</t>
  </si>
  <si>
    <t xml:space="preserve">DURACION EFECTIVA PARA NOQUEAR EL TOTAL </t>
  </si>
  <si>
    <t>VELOCIDAD NETA (Reses/Hora)</t>
  </si>
  <si>
    <t>VELOCIDAD NETA NOQUEO/HORA</t>
  </si>
  <si>
    <t># RESES/MIN</t>
  </si>
  <si>
    <t>MIN/RES</t>
  </si>
  <si>
    <t>NOQUEAR CADA SEG/RES</t>
  </si>
  <si>
    <t xml:space="preserve">INDICADORES </t>
  </si>
  <si>
    <t>META</t>
  </si>
  <si>
    <t>Información Editable</t>
  </si>
  <si>
    <t xml:space="preserve">CIERRE  DEL DIA </t>
  </si>
  <si>
    <t xml:space="preserve">HORA </t>
  </si>
  <si>
    <t xml:space="preserve">ENTRENAMIENTO </t>
  </si>
  <si>
    <t xml:space="preserve">META </t>
  </si>
  <si>
    <t xml:space="preserve">OBSERVACIÓN- LIMITANTE </t>
  </si>
  <si>
    <t xml:space="preserve"> </t>
  </si>
  <si>
    <t>DIFE</t>
  </si>
  <si>
    <t xml:space="preserve">Hora de inicio </t>
  </si>
  <si>
    <t xml:space="preserve">SEGUMIENTO A CLIENTES DEL DIA </t>
  </si>
  <si>
    <t xml:space="preserve">INVENTARIO EN CORRALES </t>
  </si>
  <si>
    <t xml:space="preserve">COLABORADOR </t>
  </si>
  <si>
    <t xml:space="preserve">PUESTO DE TRABAJO </t>
  </si>
  <si>
    <t xml:space="preserve">Hora ultima pesada </t>
  </si>
  <si>
    <t>H.L</t>
  </si>
  <si>
    <t>TOTAL DE BENEFICIO</t>
  </si>
  <si>
    <t>CASTRO CARLOS SAUL</t>
  </si>
  <si>
    <t>DEGUELLO</t>
  </si>
  <si>
    <t xml:space="preserve">Duracion minutos </t>
  </si>
  <si>
    <t xml:space="preserve">CIERRE DE PROCESO LÍNEA DE BENEFICIO </t>
  </si>
  <si>
    <t xml:space="preserve">FALLOS EN MAQUINARIA </t>
  </si>
  <si>
    <t xml:space="preserve">OBSERVACIONES DE PROCESO </t>
  </si>
  <si>
    <t xml:space="preserve">HORA DE INICIO </t>
  </si>
  <si>
    <t>PINTON MARLON</t>
  </si>
  <si>
    <t>RAYADO Y CORTE DE MANOS</t>
  </si>
  <si>
    <t xml:space="preserve">paradas presentadas </t>
  </si>
  <si>
    <t>CLIENTE</t>
  </si>
  <si>
    <t xml:space="preserve">OBSERVACION </t>
  </si>
  <si>
    <t xml:space="preserve">HORA FIN </t>
  </si>
  <si>
    <t>JUAN GABRIEL HERNÁNDEZ</t>
  </si>
  <si>
    <t>AUX. DESUELLO MECANICO</t>
  </si>
  <si>
    <t>Comida o descanso de personal</t>
  </si>
  <si>
    <t>ITEM</t>
  </si>
  <si>
    <t>TIEMPO IMPRODUCTIVO (min)</t>
  </si>
  <si>
    <t>EJECUCIÓN PTTO BENEFICIO - 2026</t>
  </si>
  <si>
    <t>CIFRA/TOTAL</t>
  </si>
  <si>
    <t>Aca siempre debe dar 75</t>
  </si>
  <si>
    <t xml:space="preserve">A esto se debe avanzar por hora </t>
  </si>
  <si>
    <t>AYALA CRISTIAN</t>
  </si>
  <si>
    <t>DESUELLO PRIMERA PIERNA</t>
  </si>
  <si>
    <t>Productividad</t>
  </si>
  <si>
    <t xml:space="preserve">1- No se cuenta con contingencias habilitadas,  desolladora, sierra canal y box de noqueo .
</t>
  </si>
  <si>
    <t>x</t>
  </si>
  <si>
    <t>PARADAS PROGRAMADAS (min)</t>
  </si>
  <si>
    <t xml:space="preserve">ULTIMA PESADA </t>
  </si>
  <si>
    <t>GUERRERO MIGUEL ANGEL</t>
  </si>
  <si>
    <t>CORTE DE ESTERNON</t>
  </si>
  <si>
    <t>Neta</t>
  </si>
  <si>
    <t>COLBEEF S.A.S</t>
  </si>
  <si>
    <t xml:space="preserve">Van sucias </t>
  </si>
  <si>
    <t>TIEMPO LABORADO</t>
  </si>
  <si>
    <t>Hora de inicio</t>
  </si>
  <si>
    <t xml:space="preserve">VELOCIDAD LÍNEA DE BENEFICIO </t>
  </si>
  <si>
    <t>MES</t>
  </si>
  <si>
    <t>PPTO MES</t>
  </si>
  <si>
    <t xml:space="preserve">Bruta </t>
  </si>
  <si>
    <t>RESES BENEFICIADAS</t>
  </si>
  <si>
    <t>% CUMPL.</t>
  </si>
  <si>
    <t>15min</t>
  </si>
  <si>
    <t xml:space="preserve">TOLERANCIA </t>
  </si>
  <si>
    <t xml:space="preserve">HORAS LABORADAS </t>
  </si>
  <si>
    <t>PIELES/ C.G</t>
  </si>
  <si>
    <t>ENERO</t>
  </si>
  <si>
    <t>C.P/SR</t>
  </si>
  <si>
    <t>60 min</t>
  </si>
  <si>
    <t>CRUZ LEONIDAS</t>
  </si>
  <si>
    <t xml:space="preserve">Garantizar lustres y presentacion de canales </t>
  </si>
  <si>
    <t>Total de sacrificio</t>
  </si>
  <si>
    <t xml:space="preserve">TARDANZA DE INICIO </t>
  </si>
  <si>
    <t>PRODUCTIVIDAD</t>
  </si>
  <si>
    <t>FEBRERO</t>
  </si>
  <si>
    <t xml:space="preserve"> VELOCIDAD NETA </t>
  </si>
  <si>
    <t>hora actual</t>
  </si>
  <si>
    <t>GOMEZ QUINTERO JUDITH TORCOROMA</t>
  </si>
  <si>
    <t>Reses sacrificadas</t>
  </si>
  <si>
    <t xml:space="preserve">TIEMPO DE VACIADO DE LINEA </t>
  </si>
  <si>
    <t xml:space="preserve"> VELOCIDAD BRUTA </t>
  </si>
  <si>
    <t>MARZO</t>
  </si>
  <si>
    <t>Parada programada 30 min</t>
  </si>
  <si>
    <t>ULTIMO INSENSIBILIZADO</t>
  </si>
  <si>
    <t>45 min</t>
  </si>
  <si>
    <t>INVERSIONES ZULUAGA RUEDA S.A.S.</t>
  </si>
  <si>
    <t>Limpieza y desgrase profundo y retiro de medula al 100%</t>
  </si>
  <si>
    <t>Reses faltantes</t>
  </si>
  <si>
    <t xml:space="preserve">TOLERANCIA CERO </t>
  </si>
  <si>
    <t>ABRIL</t>
  </si>
  <si>
    <t>40min</t>
  </si>
  <si>
    <t>30 min</t>
  </si>
  <si>
    <t>si en 60 min</t>
  </si>
  <si>
    <t>pasan x</t>
  </si>
  <si>
    <t>JAIMES JAIMES LUIS JOSE (FORTUNATO)</t>
  </si>
  <si>
    <t>Velocidad de línea (Reses/hora)</t>
  </si>
  <si>
    <t>INDICADOR O.E.E (Mes)</t>
  </si>
  <si>
    <t xml:space="preserve">ULTIMA CANAL PESADA </t>
  </si>
  <si>
    <t>TOPE MINIMO</t>
  </si>
  <si>
    <t xml:space="preserve">PIELES </t>
  </si>
  <si>
    <t>MAYO</t>
  </si>
  <si>
    <t>PRODUCTOS OFACOL S.A.S.</t>
  </si>
  <si>
    <t>Hora estimada de finalización</t>
  </si>
  <si>
    <t>INDICADOR O.E.E (Dia)</t>
  </si>
  <si>
    <t>CORTE EN PIERNA</t>
  </si>
  <si>
    <t>JUNIO</t>
  </si>
  <si>
    <t>Falla en maquina de pandos 90 min</t>
  </si>
  <si>
    <t xml:space="preserve">SOBREBARRIGAS ROTAS </t>
  </si>
  <si>
    <t>SUPERTIENDAS Y DROGUERIA OLIMPICA S.A.</t>
  </si>
  <si>
    <t xml:space="preserve">COBERTURA GRASA </t>
  </si>
  <si>
    <t>JULIO</t>
  </si>
  <si>
    <t xml:space="preserve">DIAS SIN ACCIDENTES </t>
  </si>
  <si>
    <t>AGOSTO</t>
  </si>
  <si>
    <t>@Gestor LyD @Coordinación Calidad</t>
  </si>
  <si>
    <t xml:space="preserve">OPERATIVIDAD LINEA DE BENEFICIO </t>
  </si>
  <si>
    <t>SEPTIEMBRE</t>
  </si>
  <si>
    <t>CRITERIO</t>
  </si>
  <si>
    <t xml:space="preserve"># PERSONAL </t>
  </si>
  <si>
    <t>% DE PART.</t>
  </si>
  <si>
    <t>COLABORADOR</t>
  </si>
  <si>
    <t>OCTUBRE</t>
  </si>
  <si>
    <t xml:space="preserve">  </t>
  </si>
  <si>
    <t xml:space="preserve">TOTAL </t>
  </si>
  <si>
    <t>NOVIEMBRE</t>
  </si>
  <si>
    <t xml:space="preserve">PROYECCION </t>
  </si>
  <si>
    <t xml:space="preserve">VELOCIDAD NETA </t>
  </si>
  <si>
    <t xml:space="preserve">DIA </t>
  </si>
  <si>
    <t xml:space="preserve">VELOCIDAD BRUTA </t>
  </si>
  <si>
    <t xml:space="preserve">NOVEDAD </t>
  </si>
  <si>
    <t xml:space="preserve">ULTIMO  INSENSIBILIZADO  </t>
  </si>
  <si>
    <t xml:space="preserve">13 DE JULIO </t>
  </si>
  <si>
    <t>DICIEMBRE</t>
  </si>
  <si>
    <t>Se realiza caractirizacion en la PTAR con velocidad permitida de  44</t>
  </si>
  <si>
    <t xml:space="preserve">ULTIMA CANAL   PESADA   </t>
  </si>
  <si>
    <t xml:space="preserve">15 DE JULIO </t>
  </si>
  <si>
    <t xml:space="preserve">Se presenta ruptura de la tuberia de la bañadera de corrales, lo que nos genera 30 min de tiempos improductivos </t>
  </si>
  <si>
    <t>2311-07182</t>
  </si>
  <si>
    <t xml:space="preserve">18 DE JULIO </t>
  </si>
  <si>
    <t xml:space="preserve">Se presenta falla mecanica en la trasferencia numero 1, y no se logra solucionar lo que nos implico terminar a un ritmo menor con la trasferencia </t>
  </si>
  <si>
    <t xml:space="preserve">Este es el peso final descontando las poleas </t>
  </si>
  <si>
    <t xml:space="preserve">22 DE JULIO </t>
  </si>
  <si>
    <t xml:space="preserve">Se presentan  parada  de 30 min por altas temperaturas en el cuarto de pre refrigeracion oreo </t>
  </si>
  <si>
    <t>TOTAL</t>
  </si>
  <si>
    <t xml:space="preserve">25 DE JULIO </t>
  </si>
  <si>
    <t xml:space="preserve">Se presenta parada de 30min de tiempo improductivo por motivo de que no se contaba con ganchos para colgar viscera roja </t>
  </si>
  <si>
    <t xml:space="preserve">MERMA </t>
  </si>
  <si>
    <t>2kg</t>
  </si>
  <si>
    <t>2 kg</t>
  </si>
  <si>
    <t>Conclusion cada media merma 2kg</t>
  </si>
  <si>
    <t>CIERRE DE OCTUBRE 2025</t>
  </si>
  <si>
    <t xml:space="preserve">CIERRE  DEL MES </t>
  </si>
  <si>
    <t>O.E.E.</t>
  </si>
  <si>
    <t>RUIZ RODRIGUEZ LUIS HERNAN</t>
  </si>
  <si>
    <t>GRUPO MANZANARES S.A.S.</t>
  </si>
  <si>
    <t>Limpias de riñonada y capadura y asegurar choque y PC</t>
  </si>
  <si>
    <t>CARNES SANTACRUZ S.A.S</t>
  </si>
  <si>
    <t xml:space="preserve">No se les despejan riñones </t>
  </si>
  <si>
    <t xml:space="preserve">Ingreso de cuchillas neumaticas </t>
  </si>
  <si>
    <t>PETROCASINOS S.A.</t>
  </si>
  <si>
    <t xml:space="preserve">HEMATOMAS </t>
  </si>
  <si>
    <t>SUPERMERCADOS MAS POR MENOS S.A.S.</t>
  </si>
  <si>
    <t xml:space="preserve">Van sucias y retiro completo de medula </t>
  </si>
  <si>
    <t>SUPERTIENDAS OLIMPICA S.A.S</t>
  </si>
  <si>
    <t>68 DIAS SIN A.T.</t>
  </si>
  <si>
    <t>BUFASAN S.A.S.</t>
  </si>
  <si>
    <t>TIEMPOS IMPRODUCTIVOS (min)</t>
  </si>
  <si>
    <t xml:space="preserve">TOTAL  AUSENTISMO </t>
  </si>
  <si>
    <t>CIERRE DE PROCESO PRODUCTOS CARNICOS COM</t>
  </si>
  <si>
    <t>OPERATIVIDAD DE PRODUCTOS CARNICOS COMESTIBLES</t>
  </si>
  <si>
    <t xml:space="preserve">DISTRIBUCION DE PERSONAL PLANTA DE BENEFICIO </t>
  </si>
  <si>
    <t xml:space="preserve">LINEA DE BENEFICIO </t>
  </si>
  <si>
    <t xml:space="preserve">PCCOM </t>
  </si>
  <si>
    <t>CARGO</t>
  </si>
  <si>
    <t xml:space="preserve">ENMANGADO </t>
  </si>
  <si>
    <t>IMPRESIÓN DE BRAZALETES</t>
  </si>
  <si>
    <t xml:space="preserve">AUX DIGITACION </t>
  </si>
  <si>
    <t>DESCARETADO</t>
  </si>
  <si>
    <t>INSENSIBILIZACION</t>
  </si>
  <si>
    <t>LENGUA</t>
  </si>
  <si>
    <t>AUX.IZADO</t>
  </si>
  <si>
    <t>IDENTIFICACION DE CABEZAS</t>
  </si>
  <si>
    <t>IZADO</t>
  </si>
  <si>
    <t>RAYAR 1</t>
  </si>
  <si>
    <t>SECCION DE GRANDE VASOS</t>
  </si>
  <si>
    <t>RAYAR 2</t>
  </si>
  <si>
    <t>ANUDADO DE ESOFAGO</t>
  </si>
  <si>
    <t>MAQUINA DE CABEZAS</t>
  </si>
  <si>
    <t>ESTIMULADOR Y DESCORNADO</t>
  </si>
  <si>
    <t>PARAR</t>
  </si>
  <si>
    <t>DESPOSTE 1</t>
  </si>
  <si>
    <t xml:space="preserve">FECHA </t>
  </si>
  <si>
    <t>DESPOSTE 2</t>
  </si>
  <si>
    <t>INDICADOE O.E.E</t>
  </si>
  <si>
    <t>PATIN ZONA SUCIA</t>
  </si>
  <si>
    <t>MAQUINA DE PATAS</t>
  </si>
  <si>
    <t>TIEMPO DE PARADAS (min)</t>
  </si>
  <si>
    <t>DESUELLO DE PRIMERA PIERNA 1</t>
  </si>
  <si>
    <t>DESCASCADOR</t>
  </si>
  <si>
    <t>PARADA PROGRAMADA (min)</t>
  </si>
  <si>
    <t>DESUELLO DE PRIMERA PIERNA 2</t>
  </si>
  <si>
    <t>AMARRADO DE PATAS</t>
  </si>
  <si>
    <t>TRANSFERENCIA</t>
  </si>
  <si>
    <t>ESOFAGO</t>
  </si>
  <si>
    <t>HEMATOMAS</t>
  </si>
  <si>
    <t>TOTAL PIELES ROTAS</t>
  </si>
  <si>
    <t>OBSERVACION</t>
  </si>
  <si>
    <t>% tiempo improductivo</t>
  </si>
  <si>
    <t>DESUELLO DE SEGUNDA PIERNA 1</t>
  </si>
  <si>
    <t>APARTAR</t>
  </si>
  <si>
    <t>Capacidad Instalada</t>
  </si>
  <si>
    <t>Liberación canales</t>
  </si>
  <si>
    <t>Disponibilidad</t>
  </si>
  <si>
    <t>Rendimiento</t>
  </si>
  <si>
    <t>Calidad</t>
  </si>
  <si>
    <t>DESUELLO DE SEGUNDA PIERNA 2</t>
  </si>
  <si>
    <t>DESURTIR</t>
  </si>
  <si>
    <t>AÑO</t>
  </si>
  <si>
    <t>TRANSFERENCIA 2</t>
  </si>
  <si>
    <t>LAVAR CANUTA</t>
  </si>
  <si>
    <t>DESUELLO COSTAL PROFUNDO 1</t>
  </si>
  <si>
    <t>VOLTEAR CANUTA</t>
  </si>
  <si>
    <t>DESUELLO COSTAL PROFUNDO 2</t>
  </si>
  <si>
    <t>AUX DE VOLTEO (PATIN)</t>
  </si>
  <si>
    <t>DESUELLO DE MANOS</t>
  </si>
  <si>
    <t>CHUNCHULLA</t>
  </si>
  <si>
    <t>DESPEJE Y EMBOLSADO DE RECTO</t>
  </si>
  <si>
    <t>CALDEO</t>
  </si>
  <si>
    <t>IDENTIFICACION DE CANALES SUPERIOR</t>
  </si>
  <si>
    <t>MARCAR BLANCA</t>
  </si>
  <si>
    <t>IDENTIFICACION DE CANALES INFERIOR</t>
  </si>
  <si>
    <t>APERTURA DE PANDOS</t>
  </si>
  <si>
    <t>DESUELLO MECANICO</t>
  </si>
  <si>
    <t>APERTURA DE LIBROS</t>
  </si>
  <si>
    <t>AUX MQ PANDOS</t>
  </si>
  <si>
    <t>BAJAR CADERA IZQUIERDO</t>
  </si>
  <si>
    <t>MAQUINA DE PANDOS</t>
  </si>
  <si>
    <t>BAJAR CADERA DERECHO</t>
  </si>
  <si>
    <t>MAQUINA DE LIBROS</t>
  </si>
  <si>
    <t>VERIFICACION DE LIBROS</t>
  </si>
  <si>
    <t>EVISC. BLANCA</t>
  </si>
  <si>
    <t>IDENTIFICACION DE PANDOS</t>
  </si>
  <si>
    <t xml:space="preserve">SEGUIMIENTO </t>
  </si>
  <si>
    <t>AMARRADO DE BLANCA</t>
  </si>
  <si>
    <t>RIÑONES</t>
  </si>
  <si>
    <t>SEGUIMIENTO</t>
  </si>
  <si>
    <t>EVISC.ROJA</t>
  </si>
  <si>
    <t>PATIN DE LIMPIEZA</t>
  </si>
  <si>
    <t>CORTE DE CANALES</t>
  </si>
  <si>
    <t>LIMPIEZA Y DES DE VISCERA ROJA</t>
  </si>
  <si>
    <t>LIMPIEZA INFERIOR</t>
  </si>
  <si>
    <t>IDENTIFICACION DE VISCERAS ROJAS</t>
  </si>
  <si>
    <t>LIMPIEZA Y DESGRASE INFERIOR</t>
  </si>
  <si>
    <t>RETIRO DE BOLSAS BILIARES</t>
  </si>
  <si>
    <t>LIMPIEZA Y DESGRASE SUPERIOR</t>
  </si>
  <si>
    <t>SEPARACION DE RECTO</t>
  </si>
  <si>
    <t>LIMPIEZA SUPERIOR</t>
  </si>
  <si>
    <t>LAVADO DE VISCERAS ROJAS</t>
  </si>
  <si>
    <t>LAVADO DE CANALES INFERIOR</t>
  </si>
  <si>
    <t xml:space="preserve">LIDER DE BENEFICIO </t>
  </si>
  <si>
    <t>LAVADO DE CANALES  SUPERIOR</t>
  </si>
  <si>
    <t xml:space="preserve">APOYO A LIDER DE BENEFICIO </t>
  </si>
  <si>
    <t xml:space="preserve">RECOLECCION DE SOLIDOS </t>
  </si>
  <si>
    <t>VACACIONES</t>
  </si>
  <si>
    <t xml:space="preserve">APLICACIÓN DE ACIDO LACTICO </t>
  </si>
  <si>
    <t>INC /CALAD/D.D.L.F/LICENCIAS/REN</t>
  </si>
  <si>
    <t>PESAJE</t>
  </si>
  <si>
    <t>REUBICADO</t>
  </si>
  <si>
    <t xml:space="preserve">RESES DE EMERGENCIA </t>
  </si>
  <si>
    <t xml:space="preserve">AFILADO </t>
  </si>
  <si>
    <t xml:space="preserve">ALMACEN 1-2 Y CAJAS  (REUBICADOS </t>
  </si>
  <si>
    <t xml:space="preserve">VACACIONES </t>
  </si>
  <si>
    <t>INCAPA /CALAD/D.D.L.F/LICENCIAS/RENUNCI</t>
  </si>
  <si>
    <t/>
  </si>
  <si>
    <t xml:space="preserve">ENTREANAMIENTO </t>
  </si>
  <si>
    <t>2026</t>
  </si>
  <si>
    <t>1. Se registra parada debido a cambio de manguera de cuchillos neumáticos (8).
2. Se registra parada por animal atascado en  el box de noqueó (6).
3. Se registra parada por cambio de cuchillas de cuchillos neumáticos (6). 
4. Disnimucion de velocidad debido a alto porcentaje de ausentismo (Se requiroi mover personal reubiado para poder cubrir puestos de trabajo).</t>
  </si>
  <si>
    <t xml:space="preserve">1. Se presenta parada por baja presión en cuchillos neumáticos y box (8).
2. Se registra parada por acumulacion en puesto de trabajo desolladora (4)  (esto es debido a que se tuvo que poner personal en entrenamiento para darle descanso a titulares.
3.Se registra parada debido a sin animales, para continuar el proceso (3). 
</t>
  </si>
  <si>
    <r>
      <rPr>
        <rFont val="Calibri"/>
        <b/>
        <color theme="1"/>
        <sz val="17.0"/>
      </rPr>
      <t xml:space="preserve">1. Se realiza parada porgramada para dar tiempo a animales  por tiempos de ayudo </t>
    </r>
    <r>
      <rPr>
        <rFont val="Calibri"/>
        <color theme="1"/>
        <sz val="14.0"/>
      </rPr>
      <t xml:space="preserve">
</t>
    </r>
  </si>
  <si>
    <r>
      <rPr>
        <rFont val="Calibri"/>
        <b/>
        <color theme="1"/>
        <sz val="17.0"/>
      </rPr>
      <t>1.</t>
    </r>
    <r>
      <rPr>
        <rFont val="Calibri"/>
        <color theme="1"/>
        <sz val="14.0"/>
      </rPr>
      <t xml:space="preserve"> Se registra parada debido acumulación de canales en zona Intermedia debido a la novedad de sirt  (6).
</t>
    </r>
    <r>
      <rPr>
        <rFont val="Calibri"/>
        <b/>
        <color theme="1"/>
        <sz val="17.0"/>
      </rPr>
      <t>2.</t>
    </r>
    <r>
      <rPr>
        <rFont val="Calibri"/>
        <b/>
        <color theme="1"/>
        <sz val="19.0"/>
      </rPr>
      <t xml:space="preserve"> </t>
    </r>
    <r>
      <rPr>
        <rFont val="Calibri"/>
        <color theme="1"/>
        <sz val="14.0"/>
      </rPr>
      <t xml:space="preserve">Se registra parada debido a gualla que se sale de polea en desensor de guilletes 
(3).
</t>
    </r>
    <r>
      <rPr>
        <rFont val="Calibri"/>
        <b/>
        <color theme="1"/>
        <sz val="17.0"/>
      </rPr>
      <t>3.</t>
    </r>
    <r>
      <rPr>
        <rFont val="Calibri"/>
        <color theme="1"/>
        <sz val="14.0"/>
      </rPr>
      <t xml:space="preserve"> Se registra parada debido a gualla que se sale de freno manual de corte de manos (14). 
4. Se registra parada para ajustar cadera de desolladora 
(13).
</t>
    </r>
  </si>
  <si>
    <r>
      <rPr>
        <rFont val="Calibri"/>
        <b/>
        <color theme="1"/>
        <sz val="17.0"/>
      </rPr>
      <t>1.</t>
    </r>
    <r>
      <rPr>
        <rFont val="Calibri"/>
        <color theme="1"/>
        <sz val="14.0"/>
      </rPr>
      <t xml:space="preserve"> Se registra parada debido a novedad con plataforma de eviscerado de blanca  (15).
</t>
    </r>
    <r>
      <rPr>
        <rFont val="Calibri"/>
        <b/>
        <color theme="1"/>
        <sz val="17.0"/>
      </rPr>
      <t>2.</t>
    </r>
    <r>
      <rPr>
        <rFont val="Calibri"/>
        <b/>
        <color theme="1"/>
        <sz val="19.0"/>
      </rPr>
      <t xml:space="preserve"> </t>
    </r>
    <r>
      <rPr>
        <rFont val="Calibri"/>
        <color theme="1"/>
        <sz val="14.0"/>
      </rPr>
      <t xml:space="preserve">Se registra parada debido animal que se desprende el tendón (5).
</t>
    </r>
  </si>
  <si>
    <r>
      <rPr>
        <rFont val="Calibri"/>
        <b/>
        <color theme="1"/>
        <sz val="17.0"/>
      </rPr>
      <t>1.</t>
    </r>
    <r>
      <rPr>
        <rFont val="Calibri"/>
        <color theme="1"/>
        <sz val="14.0"/>
      </rPr>
      <t xml:space="preserve"> Se registra parada por animal atascado en el riel de Izado, no encarra correctamente en el riel debido al péndulo que se genera al subir  (9).
</t>
    </r>
    <r>
      <rPr>
        <rFont val="Calibri"/>
        <b/>
        <color theme="1"/>
        <sz val="17.0"/>
      </rPr>
      <t>2.</t>
    </r>
    <r>
      <rPr>
        <rFont val="Calibri"/>
        <b/>
        <color theme="1"/>
        <sz val="19.0"/>
      </rPr>
      <t xml:space="preserve"> </t>
    </r>
    <r>
      <rPr>
        <rFont val="Calibri"/>
        <color theme="1"/>
        <sz val="14.0"/>
      </rPr>
      <t xml:space="preserve">Se registra parada debido a techo de manga de ingreso a box que se cae (5).
</t>
    </r>
  </si>
  <si>
    <t xml:space="preserve">1. Se registra parada debido a que no se cuenta  con  fluido eléctrico en planta benéficio  (590 min de tiempo improductivo).
</t>
  </si>
  <si>
    <t>1. Se registra parada por válvula del temporizador cerrada (7min)
2. se registra parada por falla en el final de carrera de la plataforma titular de la desolladora (18min)
3. se registra parada por acumulación de canales en el puesto de corte de esternón, debido a falla en las dos sierras ( titular con perdida de fuerza y  contingencia con pulsador directo) (20min)
4. se registra parada por tanque cañón de pieles tapado debido al beneficio de 50 Búfalos de Olímpica (24min)
5.se registra parada por animal atascado de una pata, en la manga de ingreso al box (8min)</t>
  </si>
  <si>
    <t>1. Se presenta parada por novedad en transferencia 1 (9)
2. Se registra parada por animal atascado en el riel de Izado, no encarra correctamente en el riel debido al péndulo que se genera al subir. (9).
3. - Se registra parada debido a guilletes que se queda atascado en freno manual de escornado (12).
4. Se evidencia una desminucion de velocidad debido al alto porcentaje de ausentismo y cansancio de personal.</t>
  </si>
  <si>
    <t xml:space="preserve">1. Se registra parada por falla en el final de carrera de la plataforma titular de la desolladora (21)
2. Se registra parada por cable suelto de pedal subir plataforma titular de desoresdora (20).
3. - Se registra parada debido a cable suelto en control de box. (6).
4. Se registra parada debido animal que no ingresa a box por tener los cachos grandes y se queda atascado en mango de ingreso (9).
5. Se registra parada por animal que no queria ingresar a box y tábano no estaba funcionando (10).
6. Se registra  parada debido a animal caído en manga  ingreso a box (4).
</t>
  </si>
  <si>
    <t>TOTAL DE BENEFICO</t>
  </si>
  <si>
    <t>HORA INICIO CABEZAS</t>
  </si>
  <si>
    <t>HORA ULTIMA VISCERA AMARRADA</t>
  </si>
  <si>
    <t xml:space="preserve">1. Se presenta parada por el descensor de guilletes  que se queda pegado a mitad y se demora en atender, ya que técnico estába atendiendo otra solicitud (5)
2. Se registra parada sin animales en manga ingreso al box (2)
3. Se registra parada debido a básculas con memoria llena, (técnico no tenía conocimiento como hacer el procedimiento de borrado)(16)
4. Se presenta accidente grave al operario Barajas fidel, estando en puesto emmangado se sube en box y compeñero al momento de cerrar puertas de ingreso a box le apriciona el dedo indice de mano izquierda.
</t>
  </si>
  <si>
    <t xml:space="preserve">TOTAL PAROS </t>
  </si>
  <si>
    <t>DURACIÓN PROCESO (Hrs)</t>
  </si>
  <si>
    <t>RENDIMIENTO BRUTO (visceras/hora)</t>
  </si>
  <si>
    <t>RENDIMIENTO NETO (visceras/hora)</t>
  </si>
  <si>
    <t>1. Se registra parada  por fallo en frenos automáticos  de linea ( electro válvula pegada) (6)
2. Se realiza parada programada para dar tiempo a reses que no cumplian tiempos de ayuno, por ser bajo el beneficio no podimos cumplir con velocidad</t>
  </si>
  <si>
    <t>RENDIMIENTO (visceras/hr/hombre)</t>
  </si>
  <si>
    <t>MINUTOS  PAROS PROGRAMADOS</t>
  </si>
  <si>
    <t>MINUTOS PAROS NO PROGRAMADOS</t>
  </si>
  <si>
    <t>NOVEDADES:</t>
  </si>
  <si>
    <t>1. Se registra parada por acumulaciónde de reses en desolladora debido a novedad con personal  (8)
2. Se registra parada por cambio de cuchillas de cuchillo izquierdo (6)</t>
  </si>
  <si>
    <t>1. Se registra parada debido a ajuste de personal  (8)
2. e registra parada debido a novedad por fuga de amoniaco (44).
3.Se registra parada por novedad de impresora de identificación de canales (18)</t>
  </si>
  <si>
    <t>1. Se registra parada sin animales en mangal  (13)
2. Se registra parada por revisión y lubricacion de cuchillos neumáticos (6)
3.Se registra parada  por falta de ganado en manga por novedad en bañadera (4)
4.Se registra parada por animal atascado en riel debido al péndulo que genera al subir (6).     
5. Se evidencia indicador alto en cobertura grasa y piele rotas, novedad relacionada a cuchillos derecho, la cual se tuvo detener proceso para revisar y lubricar /en cuanto a velocidad tambien impacto la intermitencia de ingreso de ganado al box.</t>
  </si>
  <si>
    <t xml:space="preserve">1. Se registra parada sin animales en manga de ingreso a box (17)
2.Se registra parada para despejar acumulación de canales en fin de linea 
 (5).
3. Se registra parada por lamina suelta de compuerta de descarga box (10).
4. Se registra parada por acumulación de canales en sierra canal debido a cambio de cinta (5)
5. Se registra parada por apartado, liberación y lavado de reses adicionales (9)
6. Se presentan desviaciones de proceso relacionada a los puestos anudado de esogafos y corte de esternon, debido a poca rotacion por el alto % de  ausentismo </t>
  </si>
  <si>
    <t>1. Se registra parada debido a novedad  con los dos tábanos que dejaron de funcionar  y los animales no ingresaban a manga ingreso box (25)
2.Se registra parada debido a acumulación de canales por recambio de brazalestes por novedad de impresora  (26).
3.Se registra parada por animal caído en manga ingreso a box (10)
4.Se registra parada por animal atascado en el riel de Izado, no encarra correctamente en el riel debido al péndulo que se genera al subir. (4)
5.Se registra parada por ajuste de personal. (3)
6.Se registra parada por acumulación de canales debido a la verificación de canales de cliente Olímpica con reporte de hallazgos (13)
7.Se registra parada por res caída en manga (10)
8.Se registra parada por res acalambrada en manga de ingreso corrales (8)</t>
  </si>
  <si>
    <t>1. Se registra parada debido a guaya de freno manual de desolladora se sale de polea (6)
2.Se registra parada por el cambio de guaya en mal estaso de freno Manual de desolladora (8).
3. Se registra parada sin animales en la manga debido a corrales no tenía información de reses planilladas adicionales  (10).
4.Se registra parada por 12  animales adicionales que no fueron apartados en corrales (30)</t>
  </si>
  <si>
    <t>SEBO</t>
  </si>
  <si>
    <t>CYC</t>
  </si>
  <si>
    <t>1.  Se registra parada por animal caído en manga  (4)
2.Se registra parada debido animales volteados en manga ingreso corrales (4).
3. Se registra parada debido a revision y cambio de contactos de control de transferencia #1 (15). 
4. Se evidencia impacto en indicador  de corte en piernas  asociado a la poca rotacion del personal por el alto % de ausentismo.</t>
  </si>
  <si>
    <t>1. Se registra parada debido a rompimiento de una de las manguera de tijeras neumática # 2 (27)
2.Se registra parada por acumulación de canales en zona limpia debido a paso de cliente institucional (5).
3. Se registra parada debido animal enredado en cadena de compuerta de manga ingreso corrale  (37).
4.Se registra parada debido a gualla de freno manual de eviscerado de blanca que se sale  de perro. (5)
5.Se registra parada debido a soldadura de compuerta de apretamiento de box (5)
6.Se registra parada debido a cilindro de box que se suelta (5)</t>
  </si>
  <si>
    <t>1.  Se registra parada por animal caído en manga ingreso a box (7)
2.Se registra parada debido a acumulación de canales por recambio de brazalestes por novedad de sirt. (11) 
3. Se evidencia desminucion de velocidad  debido a la limpieza y verificacion de canales institucionales. (colbeef. manzanares,olimpica).
4. Se evidencia el ingreso de mucho ganado sucio desde el inicio impactanto indicador de tolerancia cero.</t>
  </si>
  <si>
    <t xml:space="preserve">1.  Se registra parada por novedad con impresora de identificación de canales  (30)
2.Se registra parada debido animal que se sale vivo de box. (6) 
3. Se evidencia impacto en indicador de sobrebarrigas rotas asociado a cansancio de personal  y poca rotacion  de zapata </t>
  </si>
  <si>
    <t>1.  Se registra parada debido a cambio de sierra pecho y ajuste de cableado  (8)
2. Se presenta accidente de trabajo al operario luis mantilla de linea debido  al momento de cerrar compuerta de manga res le abre la compuerta causandole torciion de muneca</t>
  </si>
  <si>
    <t>1.  e registra parada debido a cambio  guaya de freno Manual de desolladora  (14)
2. se evidencia impacto en pieles rotas asociado a personal  sin rotacion por el ato % de ausentismo</t>
  </si>
  <si>
    <t xml:space="preserve">
1.  Se evidencia  disminucion de celocidad debido a paso de animales de olimpica, colbeef y mas por menos  igualmente se tenia personal en entrenamiento en picado</t>
  </si>
  <si>
    <t xml:space="preserve">
1.  Buenas tarde se registra parada debido a racor que se parte en cilindro nuevo tanque cañón de pieles (8)
</t>
  </si>
  <si>
    <t>1. Se registra parada por animal atascado en el riel de Izado, no encarra correctamente en el riel debido al péndulo que se genera al subir. (8)
2. Se evidencia reduccion de velocidad debido a personal  en entrenamiento y el paso de ganado institucional.</t>
  </si>
  <si>
    <t>1. Se registra  parada para ajuste de personal (5)
2. Se registra parada por animal atascado en el riel de Izado, no encarra correctamente en el riel debido al péndulo que se genera al subir( 5)
3. Se registra tardanza en inicio de parada programada debido a novedad con impresora de marcación de canales(7)
4. Se registra parada debido dos animales que ingresa volteado a manga de ingreso a box (6).
5. Se evidencia impacto en indicadores de tolerancia y pieles a asociado a personal en entrenamiento.</t>
  </si>
  <si>
    <t xml:space="preserve">1. Se registra parada debído a ajuste de personal (9)
2. Se registra parada debido a cambio de cuchillo neumático izquierdo (12)
3. Se registra parada por falta de poleas (23)
</t>
  </si>
  <si>
    <t>1. Se registra parada debido al desplome de plataforma de sierra canal (45)</t>
  </si>
  <si>
    <t>1. Evidencia desminucion de velocidad debido a verificacion de 117 canales de olimpica que pasaron al final.</t>
  </si>
  <si>
    <t>1. Se registra parada por novedad con válvula de tanque cañón de pieles (6)
2.Se registra parada debido a gualla de freno manual de Zapata que se suelta.(8)
3.Se registra parada debido a varias reses volteadas en manga de ingreso a box (7)
4.Se registra parada por ajuste de personal (9) 
5.Se registra parada debido animal caído en manga ingreso a box (9)
6. Se evidencia desminucion de velocidad debido a agotamiento de personal por jornada extensa</t>
  </si>
  <si>
    <t>1. Se registra parada sin animales en manga ingreso a box(6)</t>
  </si>
  <si>
    <t>1. Se presenta tardanza de inicio debido a falla con intenet  al cierre de operacion no se habia restablecido, se trabajo local.
2. Se evidencia desminucion en velocidad debido a personal en entremaniento en los puestos (corte de manos, picado, y deguello)</t>
  </si>
  <si>
    <t>1. Se registra parada por animal atascado en el riel de Izado, no encarra correctamente en el riel debido al péndulo que se genera al subir (5)
2. Se registra parada sin animales para continuar proceso (5)</t>
  </si>
  <si>
    <t>1. Se registra Tardanza de inicio debido a taponamiento linea de drenajes de cava, zona intermedia y patas (125)
2. Se registra parada por novedad en cuchillo derecho y se realiza cambio  (13)
3.Se registra parada por animal atascado en el riel de Izado, no encarra correctamente en el riel debido al péndulo que se genera al subir. (9)
4.Se registra parada debido a novedad   con indicador de báscula pesaje fin de linea (memoria llena) técnico se demora en dar solución a la novedad (28)
5.Se registra parada debido animal caído en manga ingreso a box (18)</t>
  </si>
  <si>
    <t>1. Se registra parada debido animal atascado en box (14)
2. Se evidencia impacto en indicador de tolerancia cero asociado a personal en entrenamiento (picado, anudado de esofago)
3. Se evidencia reduccion de velocidad  debido al paso de clientes institucionales y bufalos  (olimpica, colbeef)</t>
  </si>
  <si>
    <t>1.Se registra parada debido a ajuste de personal  (10)
2.Se registra parada por animal atascado en box  (6)
3. Se registra parada debido a novedad en box (racor partido) (5)
4. Se registra parada debido a novedad con la unidad neumática de cuchillo izquierdo (10)
5. Se evidencia impacto en indicador de tolerancia cero asociado a personal en entrenamiento (anudado de esofago)</t>
  </si>
  <si>
    <t>2024</t>
  </si>
  <si>
    <t>1.Se registra parada debido a ajuste de personal  (7)
2.Se registra parada por acumulación de canales debido a la verificación de canales de cliente inversiones zuluaga con reporte de hallazgos (16)
3.Se registra parada por acumulación de canales en fin  de linea debido a vefirificacion de cliente olímpica (20)
4.Se registra parada debido a la novedad con plataforma de limpieza superior (una de la guayas destempleada) (17)</t>
  </si>
  <si>
    <t xml:space="preserve">1. Se presenta parada por ajuste de personal (6)
</t>
  </si>
  <si>
    <t>1. Se registra parada por animal atascado en el riel de Izado, no encarra correctamente en el riel debido al péndulo que se genera al subir.(20)
2. Se registra parada por un animal faltante para finalizar el proceso (6)</t>
  </si>
  <si>
    <t>1.Se registra parada debido a rutura de tubería de bomba lavado de canales.(126)
2.Se registra parada debido a animal caído en manga ingreso box (7)</t>
  </si>
  <si>
    <t>1. Se evidencia desminucion de velocidad  debido a paso de clientes institucionales  ( cyc, olimpica, colbeef )adicional se tenia personal en entrenamiento (desuello mecanico, corte de manos, eviscerado de blanca)</t>
  </si>
  <si>
    <t>FECHA</t>
  </si>
  <si>
    <t xml:space="preserve">1. Se registra parada sin agua en planta benéficio (8)
2.Se registra parada por animal ( búfalo ) volteado en manga ingreso (8) 
</t>
  </si>
  <si>
    <t>HORA</t>
  </si>
  <si>
    <t>1. Se registra parada por tiempo de ayuno de ultimos animales planillados (38)
2. Se evidencia impacto en indicador de sobrebarrigas rota  asociado a entrenamiento en zapata derecha.</t>
  </si>
  <si>
    <t>CANT</t>
  </si>
  <si>
    <t>CUARTOS</t>
  </si>
  <si>
    <t xml:space="preserve">1. Se registra parada por animal se cae en primera plataforma debido a daño de polea (5)
2.Se registra parada para ajustes de los 2 contrapesos de tijeras neumáticas debido a que estaban dura para bajar y subir (8)
3.Se registra parada debido a cambio de sierra pecho  por novedad con equipo titular (5)
</t>
  </si>
  <si>
    <t>PUESTOS</t>
  </si>
  <si>
    <t>HALLAZGO</t>
  </si>
  <si>
    <t>1. Se registra parada debido a novedad con control de transferencia 1 (19)
2.Se registra parada debido a animal caído en manga de box (7)
3.Se registra parada debido animal que ingresa volteado en la manga ingreso al box (6)
4. Se evidencia impacto en sobrebarriga rotas asociado a personal sin descanso.</t>
  </si>
  <si>
    <t>ANTERIOR</t>
  </si>
  <si>
    <t xml:space="preserve">Rayado de pecho </t>
  </si>
  <si>
    <t>1.Se registra parada debido a compuerta que se cae en box de noqueo (19)
2.Se registra parada por acumulación de canales en fin de línea debido a verificación de canales de clientes olímpica (8)
3.Se registra parada debido cadera de la desolladora que se rompe (46)
4. Se cito personal 13:00 para capacitacion (seguridad vial)</t>
  </si>
  <si>
    <t>1. Se registra parada debido a racores que se parten de sistema  de aire del box (7)
2. Se evidencia de disminucion de velocidad debido a que se tuvo que trabajar desde las 15:00 hasta las 17:00 con pistolas de forminantes, ya que las dos pistolas de perno presentaron novedad, adicional una de las pistolas de forminantes se atasco debido a el recalentamiento por el uso contante a pesar de usarlas alternadas.</t>
  </si>
  <si>
    <t xml:space="preserve">1. Se registra para debido ajuste de personal  (6)
2.Se registra parada por animal caído en manga de ingreso a box (15)
3.Se registra parada debido pin que se sale de cilindro de compuerta de descarga del box (14)
4.Se registra parada debido a novedad con cuchillo neumático izquierdo (unidad se le soltó el reservorio de aceite y manguera de sucion) (5)
5. Se desminuye velocidad al incio de proceso debido al benefico y verificacion de canales de cliente olimpica. </t>
  </si>
  <si>
    <t xml:space="preserve">1.Se registra parada debido a ajuste de personal  (19)
2.Se registra parada debido a que el lander de izado se bloquea (12)
3.Se registra parada debido animal atascado en manga ingreso al box (12)
4.Se registra parada debido a tiempo de ayuno de último animales planillados (46)
</t>
  </si>
  <si>
    <t>1. Se registra parada debido animal atascado en box (11)
2.Se registra parada debido caída de animal que se le revienta el tendón (9)
3. Se registra parada por acumulación de canales en fin de línea debido a verificación  y cliente olímpica  (23)
4.Se registra parada debido a que la chumacera de brazo de desolladora se suelta (24)
5.Se registra parada debido animal caido en manga ingreso a box (9)</t>
  </si>
  <si>
    <t>1.Se registra parada debido a ajuste de personal (9)
2.Se registra parada debido a la compuerta  de box que se parte las soldadura y se cae (44)
3. Se evidencia impacto en indicador asociado a ingreso de ganado sucio y personal en entrenamiento en corte de esternon.</t>
  </si>
  <si>
    <t>1.Buenas noches se registra parada debido 2 animales caídos en manga ingreso al box (27)
2.Se registra parada por acumulación de canales en fin de línea debido cumplimiento  de ficha técnica de clientes carnes y carnes (11)
3. Se evidencia impacto en indicador de tolerancia debido al ingreso de ganado sucio. 
4. El dia de hoy se presenta indicadores de ausentismo altos en las dos areas  debido a incapacidades.</t>
  </si>
  <si>
    <t>1. Se presenta tardanza de incio debido a novedad con indicador de bascula de piso la cual retrazo por mas de 1 hora el acondicionamiento de las 131 visceras de olimpica  afectando el inicio de proceso benefico  se requierio apoyo de persona de linea para no extender retrazo.
2. Se demora en pasar la ultima canal por pesaje debido al paso de canles de cliente cyc y debido al alto ausentismo no se tenia personal para aplicar ficha tecnica de cliente.
3. Se evidencia impacto en indicador de tolerancia debido al ingreso de ganado sucio</t>
  </si>
  <si>
    <t>Eviscerado de Blanca</t>
  </si>
  <si>
    <t>1.Se registra parada por animal que ingresa  volteado a box  (esto debido a que no se contaba con pistola de fulminantes disponible, según Sigma 3 estaba realizando mtto a la hora se requirió traer contingencia de sala de emergencia)  (6)
2.Se registra parada sin animales para continuar proceso (29)
3.Se registra parada por animal atascado en riel de izado (6)
4.Se registra parada por animal caído en manga ingreso corrales (17)
5.Se registra parada por freno Manual de sangria que se sale de polea y se queda atascado (7)
6.Se registra parada por acumulación de canales en desolladora (6)</t>
  </si>
  <si>
    <t>1.Se registra parada debido a que la compuerta de descarga box se parte soldadura y se cae (17)
2. Se registra parada por acumulación de productos en área de patas debido a novedad  con máquina escaladora (39)
3.Se registra parada por novedad con fuido eléctrico en área de vísceras blanca debido a un carro perchero se llevó el apagador del pasillo (56)</t>
  </si>
  <si>
    <t>1. Se registra parada debido a novedad con control de transferencia 2 (7)
2.Se registra paradas por animales que no ingresan a box debido a daños de tabano (28)</t>
  </si>
  <si>
    <t>1.Se registra parada  por transferencia 1 que se queda bloqueada (31)</t>
  </si>
  <si>
    <t>1. Se evidencia impacto en indicador de pieles rotas y sobrebarrigas rota asociados a entrenamiento en Zapata derecha y novedad con cuchillo izquierdo 
2. Se registra parada por acumulación de canales en desolladora debido a cambio de cuchillas neumáticas (6)</t>
  </si>
  <si>
    <t>1. Se registra parada por falta de agua en la línea de beneficio (7)
2. Se registra parada por animal caído en manga ingreso a box (16)</t>
  </si>
  <si>
    <t>1. Se evidencia impacto en indicador de tolerancia cero debido a el ingreso de ganado muy sucio.
2. Se registra tardaza de incio de proceso debido a sin animales en manga para iniciar. (5)
3.Se registra parada por cambio de cuchillas neumáticas debido a que no cortaban (4)
4.Se registra parada debido animal caído en manga ingreso al box (8)
5.Se registra parada sin animales para continuar proceso (9)
6.Se registra parada por freno manual  primera plataforma debido a guaya que se suelta del perro (10)</t>
  </si>
  <si>
    <t xml:space="preserve">1.Se registra parada por búfalo que queda atascado en cajón (5)
2.Se registra parada por acumulación en sierra canal debido a fallo en espernancador (6)
3. Se evidencia impacto en indicador de sobrebarrigas rotas y pieles debido a entrenamiento de zapata derecha
</t>
  </si>
  <si>
    <t>1.Se registra parada por desensor de grilletes (5)
2.Se registra parada por animal que se caen de transferencia 1 (5)
3, Se evidencia no cumpliento de velocidad  debido a la desminucion de velocidad por el paso de cliente olimpica.</t>
  </si>
  <si>
    <t>1.Se registra parada por acumulación de canales en sierra canal debido a novedad con espernancador (5)</t>
  </si>
  <si>
    <t>POSTERIOR</t>
  </si>
  <si>
    <t xml:space="preserve">Choque de canales </t>
  </si>
  <si>
    <t>1.Se registra parada por ajuste de personal (5)
2.Se registra parada por acumulación en Zapata debido a novedad con operario ZD (8)
3, Se evidencia impacto en indicador de pieles rotas debido a entrenamiento en ZD.</t>
  </si>
  <si>
    <t>1. Se registra parada por novedad con control transferencia 1 (cambios de contactos averiados) y novedad con freno manual de desuello primera pierna (soporte de gualla se cae) (15)
2. Se baja velocidad debido a la paso de 72 canales de cliente olimpica la cual impacta indicador de velocidad.</t>
  </si>
  <si>
    <t>1. Se registra parada por cambio de gualla de sierra canal debido a desilache de gualla (34)
2.Se registra parada sin animales para continuar proceso (5)
3. Se evidencia impacto en indicador de tolerancia cero debido al ingreso de gando sucio todo el proceso.
4. Se evidencia impacto en indicador de piele rotas debido a entrenamiento en desuello costal profundo derecho.</t>
  </si>
  <si>
    <t xml:space="preserve">Clipado de esofago </t>
  </si>
  <si>
    <t>1. Se registra parada por acumulación de canales en fin de línea debido a novedad con pistola de ácido láctico (13)
2.Se registra parada por falla en fuido eléctrico (28)
3. Se registra parada por novedad con protección de equipos 
Izado, transferencia 1 y 2, máquina de libros y Pandos (13)
4. Se evidencia impacto en indicar de tolerancia cero debido a personal en entrenamiento en eviscerado de blanca.</t>
  </si>
  <si>
    <t>1. Se eviencia impacto en indicador tolerancia cero  debido mas que todo por el ingreso de ganado muy sucio al proceso y tambien se tenia personal en entrenamiento en rayado de pecho y corte de manos 
2. Se evidencia  incumpliento en velocidad  debido al paso de 91 reses de cliente olimpica</t>
  </si>
  <si>
    <t xml:space="preserve">1. Se registra parada por novedad desensor de grilletes que se queda pegado (5)
2. Se registra parada por animal atascado en box (7)
</t>
  </si>
  <si>
    <t>1. Se registra parada por ajuste de personal (9)
2. Se registra parada por soporte de abrir compuerta de ingreso a box  que se parte (5)
3. Se registra parada por, nuevamente se parte soporte del brazo de puertas de ingreso a box (9)</t>
  </si>
  <si>
    <t xml:space="preserve">1. Se registra parada para reemplazar cuchillos neumatico derecho, que que se ingreso desde el inicio se estaba recalentado mucho haciendo que la manipulación sea complicada (10min)
2. Se registra parada por soldadura que se parte en los gatos de la puerta de ingreso al box, se realiza ajuste provisional con el fin de avanzar e intervenir en la parada programada (6)
3. Se registra parada por animal muy grande caído en la manga, se debe amarrar y tirar hasta el ingreso al box (17)
4. e registra parada por dos animales que se quedaron sin chequear y apartar (13)
5. Se presenta aumento en el indicador de tolerancia, debido al entrenamiento de un colaborador en corte de esternor  </t>
  </si>
  <si>
    <t>1. Se registra parada por cambio de racor en pedal de espernancador de sierra canal (18)
2. Se registra parada por acumulación en desolladora debido a tanque cañón tapado (9)
3. Se presenta aumento en el indicador de tolerancia, debido al entrenamiento de un colaborador en rayado y corte de manos, anudado de esofago e ingreso de ganado sucio</t>
  </si>
  <si>
    <t xml:space="preserve">1. Se registra parada por baja presión de aire en la línea beneficio (5)
2. Se  registra parada por ajuste de personal (7)
3.Se registra parada por animal volteado en manga ingreso a box (6)
4. Se evidenica imapcto en indicador de sobrebarrigas rotas debido al entrenamiento de un colaborador en desuello costal profundo  y corte en pierna debido a cansancio por poca rotacion del personal. 
5. Se baja velocidad debido a caracterizacion  de vertimiento en PTAR.
</t>
  </si>
  <si>
    <t>1. Se registra parada por animal caído en manga de ingreso a box (13)
2. Se registra parada por revisión de cuchillos neumáticos izquierdo debido a que estaban duros (6)
3. El dia de hoy se evidencia mejora en ingreso de ganado limpio a proceso, se requiere mantener  diariamente el proceso en esas condiciones para no impacta T(0)</t>
  </si>
  <si>
    <t xml:space="preserve">1. Se registra parada por cilindro de compuerta de descarga no quería abrir  (22)
2. Se registra parada por freno manual de guilletes que se sale guaya y que queda atascado (5)
3. Se registra parada por acumulación de canales en fin de línea debido a freno manual de tolerancia que se salió de polea (9)
</t>
  </si>
  <si>
    <t>1.  Se registra parada por cambios de cuchillos neumáticos  (9)
2. Se registra parada por novedad con plataforma auxiliar de desolladora (8)</t>
  </si>
  <si>
    <t>1. Se registra parada por animal volteado en manga de ingreso a box (6)
2. Se registra para por ajuste de personal  (6)
3. Se registra parada por seguros de box que no abrían (6)
4. Se evidencia deminucion en velocidad  debido a entrenamiento de puesto IZADO</t>
  </si>
  <si>
    <t>1, debido  a alto ausentismo no se tuvo personal para recoleccion de solidos</t>
  </si>
  <si>
    <t xml:space="preserve">1. Se registra parada por novedad en sierra pecho debido a espada que se suelta (6)
2. Se registra parada por cambio de racor partido de tijera de plataforma 2 (10) 
3. debido a alto ausentismo no se tubo personal para recoleccion de solidos 
4. Se evidencia impacto en corte en pieles debido a colaborador que no es habitual en puesto de zapata derecha debido a incapacidad de titular </t>
  </si>
  <si>
    <t xml:space="preserve">1. Se realiza parada por ajuste de personal (6) 
2. debido a alto ausentismo no se tubo personal para recoleccion de solidos </t>
  </si>
  <si>
    <t xml:space="preserve">Manipulacion </t>
  </si>
  <si>
    <t xml:space="preserve">1. Se realiza parada por ajuste de personal  (11)
2. Se realiza parada por acumulación en fin de línea debido a cumplimiento de ficha técnica de clientes carnes y carnes (18)
3. Se registra parada debido animal atascado en riel de izado (14)
4. debido a alto ausentismo no se tubo personal para recoleccion de solidos </t>
  </si>
  <si>
    <t xml:space="preserve">1. Se realiza parada por ajuste de personal  (5)
2. Se registra parada por acumulación en fin de línea debido a cumplimiento de ficha técnica cyc  (16)
3. Se evidencia imcumplimiento en velocidad debido al beneficio de clientes institucionales  olimpica y cyc
4. debido a alto ausentismo no se tubo personal para recoleccion de solidos </t>
  </si>
  <si>
    <t xml:space="preserve">1. Buenas tardes se registra tardanza de inicio debido a novedad detectada en pre operativo  con tijera 2 (30)
2. Se registra parada por ajuste de pistola de pernos debido a tornillo partido (5)
3.Se registra parada por animal que se le rompe tendon en primera pierna (7)
4. Se registra parada por animal atascado en box  (8)
5. debido a alto ausentismo no se tubo personal para recoleccion de solidos </t>
  </si>
  <si>
    <t>1. Buenas tardes a la hora se registra parada por freno manual de escornado (27)
2. Se registra parada sin animales para continuar proceso (4)
3. Se registra parada debido a lander de izado bloqueado (8)
4. debido a alto ausentismo no se tubo personal para recoleccion de solidos</t>
  </si>
  <si>
    <t>1. Se registra tardanza en inicio de proceso debido a novedad con bomba de agua de áreas de corrales (40)
2. Se registra parada por racor partido de compuerta de ingreso a box (9)
3. Se evidencia imcumplimento de velocidad debido reduccion de velocidad por el paso de reses de cliente olimpica</t>
  </si>
  <si>
    <t xml:space="preserve">1.  Se registra tardanza de inicio debido a falla en fluido eléctrico en área de cabezas y impresión de brazaletes (12) se dio solucion temporal para poder iniciar proceso
 2. Se registra parada por acumulación en desuello costal profundo debido a cuchillo izquierdo presentaba falla y se estaba quedando pegado (17)
3. Se registra parada por novedad con transferencia 2 deja de funcionar (18)
4. debido a alto ausentismo no se tubo personal para recoleccion de solidos </t>
  </si>
  <si>
    <t xml:space="preserve">1. Se registra parada por acumulación de canales en fin de línea debido cumplimiento de ficha técnica de clientes carnes y carnes (15)
2. Se registra parada por acumulación de canales en fin de línea debido a limpieza de múltiples hallazgos  (14)
3.Se registra parada por cambio de racor partido de tijera neumáticas #2 (13)
4. debido a alto ausentismo no se tubo personal para recoleccion de solidos
5.  Se evidencia impacto en indicador de tolerancia cero debido a ingreso de ganado sucio en todo el proceso </t>
  </si>
  <si>
    <t>1. Se registra tardanza de inicio debido a cava de pre-refrigeracion con producto (10)
2. Se registra parada por cambio de guaya de freno manual de desolladora  debido a que se quedaba trancado debido a guaya torcida (22)
3. Se registra parada por desensor de  grilletes que se queda pegado (10)
4. debido a alto ausentismo no se tubo personal para recoleccion de solidos</t>
  </si>
  <si>
    <t>1.  Se registra parada por acumulación de canales en fin de línea debido a Cumplimiento de ficha técnica de clientes CyC (11)
2. Se registra parada por animal atascado en box  (10)
3.  debido a alto ausentismo no se tubo personal para recoleccion de solidos
4. Se  reduce velocidad en proceso debido al paso de 91 animales de cliente olimpica.</t>
  </si>
  <si>
    <t xml:space="preserve">1. Se registra parada por tanque cañón de pieles tapado (37)
2. Se registra parada por cambio de racor de cilindro de compuerta de box (8)
3. Se registra parada por acumulación en desuello costal profundo debido novedad con cuchillo izquierdo que se queda pegado y no se tiene contingencia cuchillos Jarvis se ingreso cuchillos nuevos pero no cortaba tampoco (39)
4.  debido a alto ausentismo no se tubo personal para recoleccion de solidos
5. Se evidencia impacto en tolerancia cero debido a entrenamiento en anudado de esofagos y a ingreso de ganado sucio </t>
  </si>
  <si>
    <t>1. Se registra parada debido a novedad con freno automático de línea que no prendia (12)
2. Se evidencia impacto en indicador de pieles debido  a personal en entrenamiento de desuello costal profundo 
3. debido a alto ausentismo no se tubo personal para recoleccion de solidos</t>
  </si>
  <si>
    <t>1. Se registra parada por novedad con gancho de transferencia #1 que se encontró torcido  (29)
2. Se registra parada por falla de presión de aire en planta beneficio (14)
3. Se registra parada por ajuste de perro de freno Manual de segunda plataforma que se sale de guaya  (7)
4. debido a alto ausentismo no se tubo personal para recoleccion de solidos</t>
  </si>
  <si>
    <t xml:space="preserve">Despeje de recto </t>
  </si>
  <si>
    <t>1. e registra parada por novedad con transferencia #1  gancho que se realizó ajuste queda al revés y no dejar soltar las res en riel (28)
2. Se registra parada por novedad con plataforma de sierra canal (34)
3. Se evidencia impacto en indicadores de corte en pierna y pieles asociado a personal con poca rotacion por el alto ausentimo
4. Debido a alto ausentismo no se tubo personal para recoleccion de solidos</t>
  </si>
  <si>
    <t>1. Se registra parada por novedad con transferencia #1  gancho  se estaba quedando pegado con la poleas más pequeñas (16)
2. Se registra parada por novedad con los 2 tabanos de manga (6)
3. Se registra parada por animal caído en manga ingreso a box  (7)
4. Debido a alto ausentismo no se tubo personal para recoleccion de solidos
5. Se baja velocidad en la primera hora debido a paso de cliente cyc.</t>
  </si>
  <si>
    <t>1.Se registra parada por ajuste de personal  (20)
2. Se registra parada por acumulación de canales en fin de línea Debido a cumplimiento de ficha técnica de clientes CyC y no se tiene personal nada apoya desgrase (24)
3. Se registra parada por novedad con corte de personal de desuello costal profundo izquierdo  (13)
4. Se registra parada por sierra pecho que se queda directa y debio baja protección y hacer cambio de sierra (25)
5. Se registra parada por acumulación en cuchillo neumático izquierdo debido a que este se queda pegado y se queda trabajando con uno solo  mientras se arma e ingresa de contingencia (22)
6. Debido a alto ausentismo no se tubo personal para recoleccion de solidos</t>
  </si>
  <si>
    <t>1. Se registra parada por falta de animal para continuar por tiempo de ayuno (47)
2.  Se registra parada para despejar acumulación de canales en puesto desuello de manos debido a plataforma que se baja y no subía (10)
3. Se registra parada por animal atascado en riel de izado (6)</t>
  </si>
  <si>
    <t>1. Se registra parada por falta de animales para continuar proceso (5)
2. Se registra parada por animal volteado en box  y no se tenía pistola de fulminantes a la mano porque se estaba usando en una res de emergencia y se tiene una sola (6)
3. Se evidencia impacto en tolerancia cero debido a ingreso de ganado sucio o carchado y personal en entrenamiento en eviscerado de blanca.
4. Se evidencia impacto en indicador de sobrebarrigas rotas debido a operario de desuello profundo izquierdo que no es el titular del puesto</t>
  </si>
  <si>
    <t>1. Se registra parada por cambio de manguera de cuchillo izquierdo que se revienta (18)
2.  Se registra parada por animal caído en manga de ingreso a box (8)
3. Se registra parada por novedad con plataforma de desuello de manos que se desploma (13)
4. Se registra parada por animal atascado en riel de izado (5)</t>
  </si>
  <si>
    <t>1. Se evidencia alto deterioro en el descensor de grilletes, lo cual puede generar un accidente de trabajo</t>
  </si>
  <si>
    <t>1. se registra parada por ajuste de personal en puestos de trabajo (4)
2.se registra parada por novedades con la guaya del freno manual de la primera plataforma  (5)
3. se registra parada por animal que llega volteado al box y la unica  pistola se encontraba ocupada en la sala de emergencia (12)</t>
  </si>
  <si>
    <t>1. Se registra parada por ajuste de personal en puestos de Oreo, logístico (5)
2. Se registra parada por falla en la pistola de perno, se ingresó la contingencia y también presentaba falla  (20)</t>
  </si>
  <si>
    <t xml:space="preserve">1. Se registra parada para ajustar cilindro de  la desolladora (7)
2. Se registra parada por novedad con la pistola de perno (9)
3. Se inicia con el entrenamiento de personal en puestos de eviscerado de blanca, despeje de recto y desolladora mecanica </t>
  </si>
  <si>
    <t xml:space="preserve">1.Se registra parada por transferencia  número 1 bloqueada (12)
2. Se presenta aumento del indicador de tolerancia cero debido a personal en entrenamiento en; Despeje de recto y eviscerado de blancas </t>
  </si>
  <si>
    <t>1.Se registra parada por falla en las pistolas de perno de noqueo (129 min)
2. Se registra parada por animal muy grande (971 kg) que no ingresaba por las compuertas del Box (19)</t>
  </si>
  <si>
    <t>1. Se registra parada por falta de fluido eléctrico en la plataforma de despeje de recto y  falla en el final de carrera del brazo de la desolladora (53)
2. Se registra parada por fallas en la transferencia numero 1, se descuelga con el peso (27)</t>
  </si>
  <si>
    <t>1. Se registra parada por baja presión en el cajón Box de noqueo (10)
2. Se registra parada por reemplazo de racor de las tijeras neumáticas 1 (16)
3. Se registra parada por un animal faltante para finalizar el proceso (10)</t>
  </si>
  <si>
    <t xml:space="preserve">1. Se registra parada por cadena de la desolladora que se revienta  (30)
2. Se presenta aumento en indicador de cortes en piernas por personal en entrenamiento  
3. Sobre el final del proceso al momento de resguardar los calculos, accidentalmente se caen al suelo y se recogen sin novedad
4. Se el colaborador Diaz Marlon reporto un atrapamiento superficial en el puesto de trasferencia 1, el cual quedo para seguimiento Mañana </t>
  </si>
  <si>
    <t xml:space="preserve">1. Se registra parada por animales sin tiempos de ayuno (23)
2.Se registra parada por acumulación de canales en pesaje; debido a la demora en la verificación y calibración de la báscula (5)
3. Se presenta AT de trabajo con un colaborador al finalizar proceso, mientras realizaba el lavado de cuchillos, se envia para la clinica y quedamos a la espera de la valoracion  </t>
  </si>
  <si>
    <t xml:space="preserve">Corte de esternon </t>
  </si>
  <si>
    <t xml:space="preserve">1. Se registra parada por acumulación de canales en zona limpia, a causa de desviaciones por personal en entrenamiento  (19)
2. Se presenta aumento en el indicador de Tolerancia Cero por el entrenamiento del colaborador Juan Gabriel en eviscerado de Blancas 
3. Se presenta aumento en el indicador de pieles debido al entrenamiento del colaborador Johany Ruz Y Cristian Ayala en desuellos </t>
  </si>
  <si>
    <t>1. Se registra parada por animal (búfalo)  caído en el box  (6)
2. Se registra parada por acumulación de canales , por personal en entrenamiento en corte de esternón (9)
3. Se registra parada por animal caído el el box y la pistola se encontraba en la sala de emergencia ocupada  (5)</t>
  </si>
  <si>
    <t xml:space="preserve">1. Se registra parada por  acumulación de canales , por personal en entrenamiento en corte de canales (19)
2. Se presentan desviaciones en corte de canales devido al entrenamiento en sierra canal, principalmente dos novedades una del cliente AJR y una de WO de 18 kg de diferencia </t>
  </si>
  <si>
    <t xml:space="preserve">1. Se registra parada por  acumulación de canales , por personal en entrenamiento en corte de canales, rayado y corte de manos y eviscerado de rojas  (18)
2. Se registra parada por cambio de contacto en la trasferencia 2 (13)
3. Se presenta aumento en el indicador de toleracia debido a entrenamiento en el puesto de clipado e ingreso de animales sucios 
4. Se inicia a las 13:00 y se avanza despacio para destinar el dia a que el personal de entrenamiento avance en puestos criticos </t>
  </si>
  <si>
    <t>1. Se registra parada por falla en el descensor de grilletes, se partió la guía (5)
2. Se registra parada por manguera hidráulica, de la tijera neumática 2, se reventó (25)
3. Se registra parada por falta de presión en la bomba de lavado de fin de línea (25)</t>
  </si>
  <si>
    <t xml:space="preserve">1. Se registra parada por falla en el descensor de grilletes, se pasa del tope  (11)
2.Se registra por demora en la liberación de animales por parte del invima (9)
3. Se registra parada por verificación de canales Olímpica (Bufalos)  (26)
4.Se registra parada para reemplazar polea averiada (11)
5. Se registra parada por animal grande que sale del box (9)
6. Se registra parada por acumulación de canales en sierra canal (23)
</t>
  </si>
  <si>
    <t xml:space="preserve">1. Se registra parada por falla en presión de aire en linea beneficio (8)
2.Se registra parada por animal que se sale del box (9)
3. Se registra parada por cambio de racor partido en tijera #2 (5)
4. Se evidencia impacto en indicador de toleracia cero debido a entrenamiento en puestos corte de estenon y anudado de esofagos </t>
  </si>
  <si>
    <t xml:space="preserve">1. Se registra parada por animal que no quería entrar  y no se tenía tábano debido a daño en transformador (18)
2. Se registra parada por animal atascado en riel de izado debido al péndulo que genera (6)
3. Se evidencia impacto en indicador de toleracia cero debido a entrenamiento en puestos corte de manos y anudado de esofagos </t>
  </si>
  <si>
    <t xml:space="preserve">1. Se registra parada por falla en presión de aire en box debido a rotura de conexión de pulmón de aire noqueo (50)
2. Se registra parada por falla en fuido eléctrico (75)
3. Se registra parada por bajá presión de aire en box (6)
</t>
  </si>
  <si>
    <t>1. Se registra parada por ajuste de personal  (6)
2. Se registra parada por animal atascado en box (10)</t>
  </si>
  <si>
    <t>1. Se cierra operación sin paradas 
2. Se genera novedad con auxiliar en puesto de auxiliar de izado, presunto golpe no reportado de manera oportuna</t>
  </si>
  <si>
    <t>1. Se registra parada por animal caído en manga (7)
2. Se registra parada por ingreso a beneficio de animal sin estar planillado (8)
3. Se registra parada por cadena de la desolladora (11)</t>
  </si>
  <si>
    <t>1. Se registra parada por ajuste de personal en puestos de  trabajo (14)
2. Se registra parada por novedad con los seguros del bóx al parecer relacionado con baja presión de aire (25)</t>
  </si>
  <si>
    <t>1. Se registra parada para reemplazar etiquetas mal asignadas (5)
2.Se registra parada por acumulación de de canales en Sierra canal debido a que la cinta se doblo  (7)</t>
  </si>
  <si>
    <t xml:space="preserve">1. Se registra parada por falla en la caja eléctrica de los tábanos   (29 + 42)
</t>
  </si>
  <si>
    <t xml:space="preserve">1. Se registra parada por Búfalo que llega volteado al box  (5)
2. Se registra parada por animal atascado en el riel de izado  (3)
3. Se evidencia impacto en el indicador de tolerancia cero y velocidad, debido a personal en entrenamiento en seccion de grandes vasos  y deguello </t>
  </si>
  <si>
    <t>1. Se registra parada por tanque cañón de pieles tapado (12)</t>
  </si>
  <si>
    <t>1. Se registra parada por ajustes en sierra canal (4)
2. Se registra parada por brazo de compuerta de ingreso al box (10)
3. Se registra parada por brazo de compuerta de ingreso al box (8)
4. Se registra parada por animal que sale del box y la pistola de fulminante se encontraba en sala de emergencias ocupada (16)
5. Se evidencia impacto en el indicador de  velocidad, debido a personal en entrenamiento</t>
  </si>
  <si>
    <t>1. Se registra parada por  falla en el espernancador de la sierra canal (112)
2.Se registra parada por un animal faltante para finalizar el proceso  (12)</t>
  </si>
  <si>
    <t>1. Se registra parada por tanque cañón ruminal tapado (20)</t>
  </si>
  <si>
    <t xml:space="preserve">Corte de patas </t>
  </si>
  <si>
    <t>Reporte de Pieles</t>
  </si>
  <si>
    <t>Zapata IZ</t>
  </si>
  <si>
    <t>Zapata De</t>
  </si>
  <si>
    <t>Pierna 1</t>
  </si>
  <si>
    <t>Pierna 2</t>
  </si>
  <si>
    <t xml:space="preserve">Desolladora </t>
  </si>
  <si>
    <t>Vuelta</t>
  </si>
  <si>
    <t>Picado</t>
  </si>
  <si>
    <t>OEE</t>
  </si>
  <si>
    <t>Cadera</t>
  </si>
  <si>
    <t>Total Rotas</t>
  </si>
  <si>
    <t xml:space="preserve">Total beneficio </t>
  </si>
  <si>
    <t>%</t>
  </si>
  <si>
    <t xml:space="preserve">Desolladora (cogote </t>
  </si>
  <si>
    <t>Mes</t>
  </si>
  <si>
    <t>Paradas Otros Motivos (Min)</t>
  </si>
  <si>
    <t>Duración de proceso (Min)</t>
  </si>
  <si>
    <t>Total tiempos improductivos (Min)</t>
  </si>
  <si>
    <t>Disponibilidad (Formula)</t>
  </si>
  <si>
    <t>Total Animales Sacrificados</t>
  </si>
  <si>
    <t>Velocidad Bruta de Línea (Reses/Hora)</t>
  </si>
  <si>
    <t>promedio capacidad instalada</t>
  </si>
  <si>
    <t>Ind Calidad</t>
  </si>
  <si>
    <t>Fecha</t>
  </si>
  <si>
    <t xml:space="preserve">Se funde motor de maquina de pandos </t>
  </si>
  <si>
    <t xml:space="preserve">Desuello de manos </t>
  </si>
  <si>
    <t xml:space="preserve"> Se realiza simulacro para habilitacion  china</t>
  </si>
  <si>
    <t>SE EVIDENCIA FALTA DE COCICON EN PRODUCTOS (CHUNCHULA Y CANUTAS) DEL PROCESO DEL DIA 13/05/2024 , SE TIENE EVIDENCIA PARA SOCIALIZAR CON EL PERSONAL LA NOVEDAD.</t>
  </si>
  <si>
    <t>Parada por oreo lleno</t>
  </si>
  <si>
    <t>Taponamiento de caja externa de visceras por falta de cumplimiento de cromograma de vactor</t>
  </si>
  <si>
    <t xml:space="preserve">daño en bomba de sangre y desolladora </t>
  </si>
  <si>
    <t>Se presenta novedad con maquina de libros pequena (cosidos) la cual pierde fuerza y se le ciente un ruido en los rodamientos al parecer.</t>
  </si>
  <si>
    <t xml:space="preserve"> FORMATO DE  MODIFICACIÓN   HORA DE INGRESO</t>
  </si>
  <si>
    <t xml:space="preserve">Nombre del colaborador </t>
  </si>
  <si>
    <t>Observacion</t>
  </si>
  <si>
    <t>Entrada:</t>
  </si>
  <si>
    <t>Salida:</t>
  </si>
  <si>
    <t xml:space="preserve">NO MARCO INGRESO </t>
  </si>
  <si>
    <t xml:space="preserve">NO MARCO INGRESO NI SALIDA </t>
  </si>
  <si>
    <t xml:space="preserve">NO MARCO SALIDA </t>
  </si>
  <si>
    <t>ENTREGA CONFORMIDAD A OLT</t>
  </si>
  <si>
    <t>F21-0001</t>
  </si>
  <si>
    <t>REPORTE NOVEDADES LÍNEA DE BENEFICIO</t>
  </si>
  <si>
    <t xml:space="preserve">COORDINACION LÍNEA </t>
  </si>
  <si>
    <t xml:space="preserve">Sergio Romero </t>
  </si>
  <si>
    <t>SUPERVISOR OPL</t>
  </si>
  <si>
    <t xml:space="preserve">CODIGO </t>
  </si>
  <si>
    <t xml:space="preserve">PRODUCTO </t>
  </si>
  <si>
    <t>NOVEDAD</t>
  </si>
  <si>
    <t>2601-07885</t>
  </si>
  <si>
    <t xml:space="preserve">HIGADO </t>
  </si>
  <si>
    <t xml:space="preserve">SE ENVÍA VISCERA ROJA CON DESTINO A </t>
  </si>
  <si>
    <r>
      <rPr>
        <rFont val="Calibri"/>
        <b/>
        <color rgb="FF000000"/>
        <sz val="11.0"/>
      </rPr>
      <t xml:space="preserve">V27 </t>
    </r>
    <r>
      <rPr>
        <rFont val="Calibri"/>
        <color rgb="FF000000"/>
        <sz val="11.0"/>
      </rPr>
      <t>CON EL HIGADO  DESPRENDIDO</t>
    </r>
  </si>
  <si>
    <t xml:space="preserve"> A CAUSA DEL </t>
  </si>
  <si>
    <t>PROCEDIMIENTO  OPERATIVO</t>
  </si>
  <si>
    <t>SIN EMBARGO EL HIGADO</t>
  </si>
  <si>
    <t xml:space="preserve">VA COMPLETO </t>
  </si>
  <si>
    <t>,</t>
  </si>
  <si>
    <t xml:space="preserve">MUCHAS GRACIAS </t>
  </si>
  <si>
    <t xml:space="preserve">ENREGA </t>
  </si>
  <si>
    <t>RECIBE</t>
  </si>
  <si>
    <t xml:space="preserve">ORIGEN DE LA PARADA </t>
  </si>
  <si>
    <t xml:space="preserve">MINUTOS </t>
  </si>
  <si>
    <t xml:space="preserve">Impresora de Canales y pc Pesaje </t>
  </si>
  <si>
    <t xml:space="preserve">Cambio de guayas </t>
  </si>
  <si>
    <t xml:space="preserve">Sierra pecho </t>
  </si>
  <si>
    <t xml:space="preserve">Sin  Animales para continuar el proceso </t>
  </si>
  <si>
    <t xml:space="preserve">Animal caido o volteado  en la manga </t>
  </si>
  <si>
    <t xml:space="preserve">Plataforma aux desolladora </t>
  </si>
  <si>
    <t xml:space="preserve">Lander de izado </t>
  </si>
  <si>
    <t>tiempos de ayuno</t>
  </si>
  <si>
    <t xml:space="preserve">sierra canal </t>
  </si>
  <si>
    <t xml:space="preserve">Desolladora sin fuerza </t>
  </si>
  <si>
    <t xml:space="preserve">Cadena reventada desolladora </t>
  </si>
  <si>
    <t>Transferencia 1</t>
  </si>
  <si>
    <t xml:space="preserve">Configuracion de bascula </t>
  </si>
  <si>
    <t xml:space="preserve">Descensor de cabezas </t>
  </si>
  <si>
    <t>Freno automatico plc</t>
  </si>
  <si>
    <t xml:space="preserve">Cuchillos neumaticos </t>
  </si>
  <si>
    <t xml:space="preserve">Acumulacion Por desgrase de Canales </t>
  </si>
  <si>
    <t xml:space="preserve">Tijeras neumaticas </t>
  </si>
  <si>
    <t xml:space="preserve">Maquina de pandos </t>
  </si>
  <si>
    <t xml:space="preserve">Animal atascado en riel de izado </t>
  </si>
  <si>
    <t xml:space="preserve">Tanque Cañon </t>
  </si>
  <si>
    <t xml:space="preserve"># DE CAMBIOS </t>
  </si>
  <si>
    <t xml:space="preserve">MOTIVO </t>
  </si>
  <si>
    <t xml:space="preserve">OCTUBRE </t>
  </si>
  <si>
    <t>10/102024</t>
  </si>
  <si>
    <t xml:space="preserve">La bascula no guarda peso </t>
  </si>
  <si>
    <t xml:space="preserve">La bascula no guarda peso superior a 210 kg </t>
  </si>
  <si>
    <t>Codigo dudoso</t>
  </si>
  <si>
    <t xml:space="preserve">Codigo remarcado en corrales </t>
  </si>
  <si>
    <t xml:space="preserve">Canal mal digitada </t>
  </si>
  <si>
    <t>Aniamal oscuro con marca negra</t>
  </si>
  <si>
    <t xml:space="preserve">Canal que se pasa de la sierra canal </t>
  </si>
  <si>
    <t xml:space="preserve">Por acumulacion de canales en la sierra </t>
  </si>
  <si>
    <t xml:space="preserve">Limpieza de canal </t>
  </si>
  <si>
    <t xml:space="preserve">Por solicitud de cliente se limpia despues de pesada y se realiza el cambio de pesos </t>
  </si>
  <si>
    <t>Canal caida en sangria</t>
  </si>
  <si>
    <t>Al caer se altera el orden en que se realiza el izado</t>
  </si>
  <si>
    <t xml:space="preserve">NOVIEMBRE </t>
  </si>
  <si>
    <t xml:space="preserve">Canal con peso en el sistema </t>
  </si>
  <si>
    <t xml:space="preserve">Esta Media canal al llegar a fin de linea, ya aparecia con un peso en el sistema </t>
  </si>
  <si>
    <t xml:space="preserve">Canal mal Digitada </t>
  </si>
  <si>
    <t xml:space="preserve">Codigo dudoso debido a mal marcaje en corrales </t>
  </si>
  <si>
    <t xml:space="preserve">Canales que se pasan de la sierra </t>
  </si>
  <si>
    <t xml:space="preserve">Por acumulacion debido a una falla en la desolladora </t>
  </si>
  <si>
    <t xml:space="preserve">DICIEMBRE </t>
  </si>
  <si>
    <t xml:space="preserve">Por acumulacion debido a personal aprendiendo </t>
  </si>
  <si>
    <t xml:space="preserve">Por acumulacion debido a falla en el pedal de la plataforma de la sierra Canal </t>
  </si>
  <si>
    <t>No guarda peso mayor a 210 kg</t>
  </si>
  <si>
    <t>La bascula no estaba configurada correctamente</t>
  </si>
  <si>
    <t>Canal mal guardada en pesaje</t>
  </si>
  <si>
    <t xml:space="preserve">Personal en etapa de entrenamiento </t>
  </si>
  <si>
    <t xml:space="preserve">ENERO </t>
  </si>
  <si>
    <t>Canal con doble polea</t>
  </si>
  <si>
    <t xml:space="preserve">Se realiza cambio por polea averiada </t>
  </si>
  <si>
    <t>Codigo mal digitado</t>
  </si>
  <si>
    <t xml:space="preserve">Se coloca persona persona lecionada a digitar, para su recuperacion , pero finalmente se debe cambiar de puesto </t>
  </si>
  <si>
    <t>Se presenta novedad con maquina de patas, la cual se habilito la contiguencia pero presento falla la cual retrazo la operacion de escaldado de patas, ya que se tuvo que porcesar de 50 por bache</t>
  </si>
  <si>
    <t xml:space="preserve">AUSENTISMOS </t>
  </si>
  <si>
    <t>AUSENTISMOS 2024</t>
  </si>
  <si>
    <t xml:space="preserve">CANT. DE DIAS </t>
  </si>
  <si>
    <t>DELGADO GABRIEL</t>
  </si>
  <si>
    <t>ENE</t>
  </si>
  <si>
    <t>LOPEZ ANDRES</t>
  </si>
  <si>
    <t>NIÑO ANDRES</t>
  </si>
  <si>
    <t>TOLOZA CLEIVER</t>
  </si>
  <si>
    <t>BOLAÑO HERNAN</t>
  </si>
  <si>
    <t>FEB</t>
  </si>
  <si>
    <t>CASADIEGO ADEMIR</t>
  </si>
  <si>
    <t>RINCON JOGUY</t>
  </si>
  <si>
    <t>CANCINO WILMAR</t>
  </si>
  <si>
    <t>IBARRA JEAN CARLOS</t>
  </si>
  <si>
    <t>LOPEZ FABIAN</t>
  </si>
  <si>
    <t>PACHECO ANDRES</t>
  </si>
  <si>
    <t xml:space="preserve">ROJAS JUAN </t>
  </si>
  <si>
    <t>BARAJAS FIDEL</t>
  </si>
  <si>
    <t>MAR</t>
  </si>
  <si>
    <t>SANCHEZ JHONNY</t>
  </si>
  <si>
    <t>YEBERSON SANABRIA</t>
  </si>
  <si>
    <t>ABR</t>
  </si>
  <si>
    <t>HERNANDEZ JEFFERSON</t>
  </si>
  <si>
    <t>LARIOS DIDIER</t>
  </si>
  <si>
    <t>PARADA FABIO</t>
  </si>
  <si>
    <t>GUARIN ALEXANDER</t>
  </si>
  <si>
    <t>MOGOLLON JHON</t>
  </si>
  <si>
    <t>MAY</t>
  </si>
  <si>
    <t>JUN</t>
  </si>
  <si>
    <t>ROBLES RONALDO</t>
  </si>
  <si>
    <t>JUL</t>
  </si>
  <si>
    <t>QUINTERO GERSON</t>
  </si>
  <si>
    <t>CAMACHO DIEGO</t>
  </si>
  <si>
    <t>CARDENAS JHON</t>
  </si>
  <si>
    <t>CONTRERAS JUAN</t>
  </si>
  <si>
    <t>Novedad con el ruminal  debido a animales sin ayuno</t>
  </si>
  <si>
    <t>CARDENAS URIEL</t>
  </si>
  <si>
    <t>AGO</t>
  </si>
  <si>
    <t>FUENTES FREDDY</t>
  </si>
  <si>
    <t>NIEVES HINDERMAN</t>
  </si>
  <si>
    <t>CARDENAS FABIO</t>
  </si>
  <si>
    <t>REATIGA ANDRES</t>
  </si>
  <si>
    <t>AGUILAR LUIS DAVID</t>
  </si>
  <si>
    <t>SEP</t>
  </si>
  <si>
    <t>PINZON HECTOR</t>
  </si>
  <si>
    <t>OCT</t>
  </si>
  <si>
    <t>ALVAREZ ABRAHAM</t>
  </si>
  <si>
    <t>BLANCO JUAN JOSE</t>
  </si>
  <si>
    <t>NOV</t>
  </si>
  <si>
    <t>MANTILLA LUIS</t>
  </si>
  <si>
    <t>DIC</t>
  </si>
  <si>
    <t>CRISTIAN PIÑANGO</t>
  </si>
  <si>
    <t>BECERRA DIEGO</t>
  </si>
  <si>
    <t>FLOREZ JHON HENRY</t>
  </si>
  <si>
    <t>JAIMES FEDERICO</t>
  </si>
  <si>
    <t>RAMIREZ OLINTO</t>
  </si>
  <si>
    <t>GARCIA GOMEZ HUGO</t>
  </si>
  <si>
    <t>REATIGA  ANDRES</t>
  </si>
  <si>
    <t>HOYOS NIÑO ANDRES FELIPE</t>
  </si>
  <si>
    <t xml:space="preserve">ORTIZ ABRAHAM </t>
  </si>
  <si>
    <t>SUAREZ ALBERTO</t>
  </si>
  <si>
    <t>GARCIA DIAZ CAMILO ANDRES</t>
  </si>
  <si>
    <t>AVILA LUIS ALFONSO</t>
  </si>
  <si>
    <t xml:space="preserve">RONCALLO JOSE LUIS </t>
  </si>
  <si>
    <t>SOSA JOSE</t>
  </si>
  <si>
    <t>VIDES YOSNEIDER</t>
  </si>
  <si>
    <t>MAICOL ESTIBEN MARTINEZ RAMIREZ</t>
  </si>
  <si>
    <t>ROJAS JUAN</t>
  </si>
  <si>
    <t>RONCALLO JOSE LUIS</t>
  </si>
  <si>
    <t xml:space="preserve">MARTINEZ  MAICOL ESTIBEN </t>
  </si>
  <si>
    <t xml:space="preserve">Suma de CANT. DE DIAS </t>
  </si>
  <si>
    <t>Etiquetas de columna</t>
  </si>
  <si>
    <t>Total 2023</t>
  </si>
  <si>
    <t>Total 2024</t>
  </si>
  <si>
    <t>(en blanco)</t>
  </si>
  <si>
    <t>Total (en blanco)</t>
  </si>
  <si>
    <t>Etiquetas de fila</t>
  </si>
  <si>
    <t>Total general</t>
  </si>
  <si>
    <t xml:space="preserve">ENTREGA CONFORMIDAD </t>
  </si>
  <si>
    <t xml:space="preserve">NOMBRE </t>
  </si>
  <si>
    <t xml:space="preserve">FECHA DE INGRESO </t>
  </si>
  <si>
    <t xml:space="preserve">tiempo </t>
  </si>
  <si>
    <t>AÑOS</t>
  </si>
  <si>
    <t xml:space="preserve">MES </t>
  </si>
  <si>
    <t>INSPECTOR</t>
  </si>
  <si>
    <t xml:space="preserve">FECHA DE PRE AVISO </t>
  </si>
  <si>
    <t xml:space="preserve">Brayan Herrera </t>
  </si>
  <si>
    <t>CABALLERO ELIAS</t>
  </si>
  <si>
    <t>2407-05940</t>
  </si>
  <si>
    <t>CANAL M1
CANAL M2</t>
  </si>
  <si>
    <t>SE REALIZA LIMPIEZA  DE RIÑONADA A</t>
  </si>
  <si>
    <t xml:space="preserve">CANALES CON PESO CALIENTE YA </t>
  </si>
  <si>
    <t xml:space="preserve">ASIGNADO, POR SOLICITUD DEL CLIENTE Y  </t>
  </si>
  <si>
    <t xml:space="preserve"> DE ASURCARNES, LA LIMPIEZA SE LLEVA A </t>
  </si>
  <si>
    <t xml:space="preserve">CABO EN PRESENCIA DEL INSPECTOR Y </t>
  </si>
  <si>
    <t>SE RETIRA UN TOTAL DE 5 KG DE SEBO</t>
  </si>
  <si>
    <t>BARAJAS EULISES</t>
  </si>
  <si>
    <t>ROMERO SERGIO</t>
  </si>
  <si>
    <t>GALVIS JONH</t>
  </si>
  <si>
    <t xml:space="preserve">ABRIL </t>
  </si>
  <si>
    <t>AFANADOR NELSON</t>
  </si>
  <si>
    <t>CORTES YENSO</t>
  </si>
  <si>
    <t>SUAREZ LUIS</t>
  </si>
  <si>
    <t xml:space="preserve">AGOSTO </t>
  </si>
  <si>
    <t xml:space="preserve">SEPTIEMBRE </t>
  </si>
  <si>
    <t>CHECK LIST VISITA DE SEGUIMIENTO A CERTIFICACION HALAL 2024</t>
  </si>
  <si>
    <t>N°</t>
  </si>
  <si>
    <t>ACTIVIDAD</t>
  </si>
  <si>
    <t>RESPONSABLE</t>
  </si>
  <si>
    <t>Patines atentos con haraganes de color rojo en cada zona asignada</t>
  </si>
  <si>
    <t xml:space="preserve">Juan Blanco/Fabian Lopez/Ronaldo Robles </t>
  </si>
  <si>
    <t xml:space="preserve"> No uso excesivo de tábano, en lo posible no utilizar</t>
  </si>
  <si>
    <t xml:space="preserve">Alberto Suares </t>
  </si>
  <si>
    <t xml:space="preserve"> Mantener las puertas de acceso a cada área cerradas</t>
  </si>
  <si>
    <t>Juan Blanco/Fabian Lopez/Ronaldo Robles/ Hector Pinzon</t>
  </si>
  <si>
    <t>Ubicación de canastillas solamente color gris con su respectiva base canasta</t>
  </si>
  <si>
    <t>Juan Blanco/ Hector Pinzon</t>
  </si>
  <si>
    <t xml:space="preserve"> Asegurar el correcto retiro de medula y depositar en canecas rojas</t>
  </si>
  <si>
    <t xml:space="preserve">Olinto Ramirez / Eulices Barajas </t>
  </si>
  <si>
    <t xml:space="preserve"> Asegurar Puntos de control, clipado de esófago, embolsado de recto y eviscerado de blancas</t>
  </si>
  <si>
    <t xml:space="preserve">Diego Camacho/ Wilder Calderon/ Hernan Bolaños </t>
  </si>
  <si>
    <t>Asegurar tolerancia cero y evitar choque de canales</t>
  </si>
  <si>
    <t>Cristian Piñango/ Daniel Quiñones</t>
  </si>
  <si>
    <t xml:space="preserve"> Aplicaciones de buenas BPM (uso correcto de tapabocas, no depositar guantes en los lavamanos, no dejar chairas en los lavamanos, esterilización de herramientas etc.</t>
  </si>
  <si>
    <t>Todos</t>
  </si>
  <si>
    <t xml:space="preserve"> Esterilización de equipos, sierra pecho, sierra canal (con su desagüe)</t>
  </si>
  <si>
    <t xml:space="preserve">Todos </t>
  </si>
  <si>
    <t xml:space="preserve"> Recipientes marcados con su contenido, no ingresan tarros de gaseosa etc.</t>
  </si>
  <si>
    <t xml:space="preserve">Ludgwin Acevedo / Yeberson Sanabria </t>
  </si>
  <si>
    <t xml:space="preserve"> No almacenar comida ni bebidas en lockers</t>
  </si>
  <si>
    <t>En lo posible no usar la barra de noqueo, dejar en enmangado</t>
  </si>
  <si>
    <t>Federico Jaimes</t>
  </si>
  <si>
    <t xml:space="preserve"> Sello claro y legible</t>
  </si>
  <si>
    <t>Nelson Afanador/ Fabio Parada</t>
  </si>
  <si>
    <t>Tiempos de sangría de 4 minutos, los animales deben durar 4 minutos desde que se realiza en degüello en noqueo hasta que se realiza el clipado de esófago</t>
  </si>
  <si>
    <t>Federico Jaimes/Camacho Diego</t>
  </si>
  <si>
    <t>No generar acumulación de personal en la zona de noqueo mientras se realiza el sacrificio</t>
  </si>
  <si>
    <t>Ubicación de doble etiqueta HALAL</t>
  </si>
  <si>
    <t xml:space="preserve">Rincon Joguy </t>
  </si>
  <si>
    <t>Asegurar limpieza de canales que pasen y/o esten en almacenamiento de cava</t>
  </si>
  <si>
    <t xml:space="preserve">Cleiver Toloza y Jhon Mogollon </t>
  </si>
  <si>
    <t>CHECK LIST VISITA DE SEGUIMIENTO Y SIMULACROS PARA  LA CERTIFICACION CHINA</t>
  </si>
  <si>
    <t>NELSON AFANADOR</t>
  </si>
  <si>
    <t>Ubicar el tapón el orificio que deja la pistola de perno en la cabeza del bovino con el fin de prevenir la contaminación por masa encefálica, e indicar numero de dientes al digitador (tipificación)</t>
  </si>
  <si>
    <t xml:space="preserve">FABIO PARADA </t>
  </si>
  <si>
    <t>Registrar en el drive de tipificación el numero de dientes que le indica el noqueador  con su respectivo código</t>
  </si>
  <si>
    <t xml:space="preserve">JAIMES FEDERICO </t>
  </si>
  <si>
    <t>Realizar corte a nivel de nuca sin desprender totalmente la cabeza el personal designado debe mantener 1 cuchillo de mango rojo para uso exclusivo de
corte de medula en la nuca, por ningún motivo debe realizar otro procedimiento
con este cuchillo y se debe esterilizar por cada animal sumergiéndolo 
completamente en el esterilizador (&gt;82.5°C).</t>
  </si>
  <si>
    <t xml:space="preserve">FIDEL BARAJAS </t>
  </si>
  <si>
    <t xml:space="preserve">Ubicar canastillas verdes con su respectivas base canastas verdes y poyar la unión de los juegos de patas para su posterior inspección </t>
  </si>
  <si>
    <t>IBARRA JEAN CARLOS /HERNAN CACERES/JUAN BLANCO</t>
  </si>
  <si>
    <t xml:space="preserve">Generar las impresiones de cada código para ser asignadas a cada canastilla con sus juego de patas </t>
  </si>
  <si>
    <t>HECTOR PINZON</t>
  </si>
  <si>
    <r>
      <rPr>
        <rFont val="Arial"/>
        <color rgb="FF000000"/>
        <sz val="12.0"/>
      </rPr>
      <t xml:space="preserve">Asegurar en flujo de proceso sincronizado Marcando la pausa y avance la persona que esta adelante distribuido de la siguiente manera 
</t>
    </r>
    <r>
      <rPr>
        <rFont val="Arial"/>
        <b/>
        <color rgb="FF000000"/>
        <sz val="12.0"/>
      </rPr>
      <t xml:space="preserve">Desuello de </t>
    </r>
    <r>
      <rPr>
        <rFont val="Arial"/>
        <color rgb="FF000000"/>
        <sz val="12.0"/>
      </rPr>
      <t>p</t>
    </r>
    <r>
      <rPr>
        <rFont val="Arial"/>
        <b/>
        <color rgb="FF000000"/>
        <sz val="12.0"/>
      </rPr>
      <t>rimera pierna</t>
    </r>
    <r>
      <rPr>
        <rFont val="Arial"/>
        <color rgb="FF000000"/>
        <sz val="12.0"/>
      </rPr>
      <t xml:space="preserve"> 2 Canales </t>
    </r>
    <r>
      <rPr>
        <rFont val="Arial"/>
        <b/>
        <color rgb="FF000000"/>
        <sz val="12.0"/>
      </rPr>
      <t xml:space="preserve">
Desuello de segunda pierna : </t>
    </r>
    <r>
      <rPr>
        <rFont val="Arial"/>
        <color rgb="FF000000"/>
        <sz val="12.0"/>
      </rPr>
      <t xml:space="preserve">2 Canales
</t>
    </r>
    <r>
      <rPr>
        <rFont val="Arial"/>
        <b/>
        <color rgb="FF000000"/>
        <sz val="12.0"/>
      </rPr>
      <t>Desuello de costal profundo</t>
    </r>
    <r>
      <rPr>
        <rFont val="Arial"/>
        <color rgb="FF000000"/>
        <sz val="12.0"/>
      </rPr>
      <t xml:space="preserve">:2 Canales 
</t>
    </r>
    <r>
      <rPr>
        <rFont val="Arial"/>
        <b/>
        <color rgb="FF000000"/>
        <sz val="12.0"/>
      </rPr>
      <t>Marcación de canales:</t>
    </r>
    <r>
      <rPr>
        <rFont val="Arial"/>
        <color rgb="FF000000"/>
        <sz val="12.0"/>
      </rPr>
      <t xml:space="preserve"> 2 Canales 
</t>
    </r>
    <r>
      <rPr>
        <rFont val="Arial"/>
        <b/>
        <color rgb="FF000000"/>
        <sz val="12.0"/>
      </rPr>
      <t>Despeje de cadera:</t>
    </r>
    <r>
      <rPr>
        <rFont val="Arial"/>
        <color rgb="FF000000"/>
        <sz val="12.0"/>
      </rPr>
      <t xml:space="preserve"> 1 Canal
</t>
    </r>
    <r>
      <rPr>
        <rFont val="Arial"/>
        <b/>
        <color rgb="FF000000"/>
        <sz val="12.0"/>
      </rPr>
      <t xml:space="preserve">Desuello mecánico: </t>
    </r>
    <r>
      <rPr>
        <rFont val="Arial"/>
        <color rgb="FF000000"/>
        <sz val="12.0"/>
      </rPr>
      <t xml:space="preserve">1 Canal
</t>
    </r>
    <r>
      <rPr>
        <rFont val="Arial"/>
        <b/>
        <color rgb="FF000000"/>
        <sz val="12.0"/>
      </rPr>
      <t xml:space="preserve">Corte de esternón: </t>
    </r>
    <r>
      <rPr>
        <rFont val="Arial"/>
        <color rgb="FF000000"/>
        <sz val="12.0"/>
      </rPr>
      <t xml:space="preserve">  1 Canal
</t>
    </r>
    <r>
      <rPr>
        <rFont val="Arial"/>
        <b/>
        <color rgb="FF000000"/>
        <sz val="12.0"/>
      </rPr>
      <t>Eviscerado de Blancas:</t>
    </r>
    <r>
      <rPr>
        <rFont val="Arial"/>
        <color rgb="FF000000"/>
        <sz val="12.0"/>
      </rPr>
      <t xml:space="preserve"> 2 Canales
</t>
    </r>
    <r>
      <rPr>
        <rFont val="Arial"/>
        <b/>
        <color rgb="FF000000"/>
        <sz val="12.0"/>
      </rPr>
      <t>Eviscerado de Rojas:</t>
    </r>
    <r>
      <rPr>
        <rFont val="Arial"/>
        <color rgb="FF000000"/>
        <sz val="12.0"/>
      </rPr>
      <t xml:space="preserve"> 0 Canales
</t>
    </r>
    <r>
      <rPr>
        <rFont val="Arial"/>
        <b/>
        <color rgb="FF000000"/>
        <sz val="12.0"/>
      </rPr>
      <t>Sierra Canal</t>
    </r>
    <r>
      <rPr>
        <rFont val="Arial"/>
        <color rgb="FF000000"/>
        <sz val="12.0"/>
      </rPr>
      <t xml:space="preserve">: 0 Canales
</t>
    </r>
    <r>
      <rPr>
        <rFont val="Arial"/>
        <b/>
        <color rgb="FF000000"/>
        <sz val="12.0"/>
      </rPr>
      <t>Limpieza y desgrase inferior:</t>
    </r>
    <r>
      <rPr>
        <rFont val="Arial"/>
        <color rgb="FF000000"/>
        <sz val="12.0"/>
      </rPr>
      <t xml:space="preserve"> 1 Canal</t>
    </r>
  </si>
  <si>
    <t xml:space="preserve">TODOS </t>
  </si>
  <si>
    <t xml:space="preserve">Asegurar la correcta división de canales por todo el centro que nos permita extraer la medula en su totalidad </t>
  </si>
  <si>
    <t>JEFERSON HERNANDEZ</t>
  </si>
  <si>
    <t xml:space="preserve">Despejar los ganglios para ser inspeccionados por inspector de Invima y apoyar en lo que requiera el inspector </t>
  </si>
  <si>
    <t xml:space="preserve">ALBERTO SUAREZ </t>
  </si>
  <si>
    <r>
      <rPr>
        <rFont val="Arial"/>
        <color rgb="FF000000"/>
        <sz val="12.0"/>
      </rPr>
      <t xml:space="preserve">Realizar eficientemente la remoción de medula espinal y duramadre de la canal  y depositar en los carros identificados </t>
    </r>
    <r>
      <rPr>
        <rFont val="Arial"/>
        <b/>
        <color rgb="FF000000"/>
        <sz val="12.0"/>
      </rPr>
      <t>(MER, solo esta persona esta autorizada a manipular la medula )</t>
    </r>
  </si>
  <si>
    <t>BALLESTEROS DERSO</t>
  </si>
  <si>
    <t xml:space="preserve"> Ubicación del sello  superior e inferior que sea claro y legible</t>
  </si>
  <si>
    <t>JAVIER CALDERON</t>
  </si>
  <si>
    <t xml:space="preserve">Limpieza y desgrase inferior, se ubicara en la plataforma baja entre tolerancia cero y limpieza inferior </t>
  </si>
  <si>
    <t>CHECK LIST AUDITORIA DE CERTIFICACION</t>
  </si>
  <si>
    <t xml:space="preserve">HERNAN BOLAÑOS </t>
  </si>
  <si>
    <r>
      <rPr>
        <rFont val="Arial"/>
        <color rgb="FF000000"/>
        <sz val="12.0"/>
      </rPr>
      <t>Ubicación de canastillas solamente</t>
    </r>
    <r>
      <rPr>
        <rFont val="Arial"/>
        <b/>
        <color rgb="FF000000"/>
        <sz val="12.0"/>
        <u/>
      </rPr>
      <t xml:space="preserve"> </t>
    </r>
    <r>
      <rPr>
        <rFont val="Arial"/>
        <b/>
        <color rgb="FF7F7F7F"/>
        <sz val="12.0"/>
        <u/>
      </rPr>
      <t xml:space="preserve">color gris </t>
    </r>
    <r>
      <rPr>
        <rFont val="Arial"/>
        <color rgb="FF000000"/>
        <sz val="12.0"/>
      </rPr>
      <t>con su respectiva base canasta para productos no comestibles</t>
    </r>
    <r>
      <rPr>
        <rFont val="Arial"/>
        <b/>
        <color rgb="FF000000"/>
        <sz val="12.0"/>
        <u/>
      </rPr>
      <t>(borlas,ubres,residuos solidos</t>
    </r>
    <r>
      <rPr>
        <rFont val="Arial"/>
        <color rgb="FF000000"/>
        <sz val="12.0"/>
      </rPr>
      <t>)</t>
    </r>
  </si>
  <si>
    <t>ADEMIR CASA DIEGO</t>
  </si>
  <si>
    <r>
      <rPr>
        <rFont val="Arial"/>
        <color rgb="FF000000"/>
        <sz val="12.0"/>
      </rPr>
      <t xml:space="preserve">Ubicación de canastillas </t>
    </r>
    <r>
      <rPr>
        <rFont val="Arial"/>
        <b/>
        <color rgb="FF00B050"/>
        <sz val="12.0"/>
        <u/>
      </rPr>
      <t xml:space="preserve"> color verde</t>
    </r>
    <r>
      <rPr>
        <rFont val="Arial"/>
        <b/>
        <color rgb="FF000000"/>
        <sz val="12.0"/>
        <u/>
      </rPr>
      <t xml:space="preserve"> </t>
    </r>
    <r>
      <rPr>
        <rFont val="Arial"/>
        <color rgb="FF000000"/>
        <sz val="12.0"/>
      </rPr>
      <t xml:space="preserve">con su respectiva base canasta para productos  comestibles </t>
    </r>
    <r>
      <rPr>
        <rFont val="Arial"/>
        <b/>
        <color rgb="FF000000"/>
        <sz val="12.0"/>
        <u/>
      </rPr>
      <t>(inspeccion de juegos de patas)</t>
    </r>
  </si>
  <si>
    <t>CALDERON WILDER/ADEMIR DIEGO/OLINTO RAMIREZ</t>
  </si>
  <si>
    <t xml:space="preserve"> No uso excesivo de tábano, en lo posible no utilizar (dejar ubicado en la parte del fondo)</t>
  </si>
  <si>
    <t>CALDERON  WILDER</t>
  </si>
  <si>
    <t xml:space="preserve">JOSE SOSA/ LUIS MANTILLA </t>
  </si>
  <si>
    <t xml:space="preserve">Ubicar canastillas verdes con su respectivas base canastas verdes y apoyar la unión de los juegos de patas para su posterior inspección </t>
  </si>
  <si>
    <t xml:space="preserve">JUAN BLANCO/RONALDO ROBLES/YEBERSON SANABRIA </t>
  </si>
  <si>
    <t xml:space="preserve"> Esterilización de equipos, sierra pecho, sierra canal (con su desagüe) No salpicar las canales de al lado</t>
  </si>
  <si>
    <t xml:space="preserve">JEFERSON HERNANDEZ/ANDRES HOLLOS </t>
  </si>
  <si>
    <t xml:space="preserve">Marcar etiquetas de cada código para ser asignadas a cada canastilla con sus juego de patas </t>
  </si>
  <si>
    <t xml:space="preserve">NELSON AFANADOR </t>
  </si>
  <si>
    <t xml:space="preserve">RONALDO ROBLES/CRISTIAN PIÑANGO/CAMILO GARCIA </t>
  </si>
  <si>
    <r>
      <rPr>
        <rFont val="Arial"/>
        <color rgb="FF000000"/>
        <sz val="12.0"/>
      </rPr>
      <t xml:space="preserve">Asegurar en flujo de proceso sincronizado Marcando la pausa y avance la persona que esta adelante distribuido de la siguiente manera 
</t>
    </r>
    <r>
      <rPr>
        <rFont val="Arial"/>
        <b/>
        <color rgb="FF000000"/>
        <sz val="12.0"/>
      </rPr>
      <t xml:space="preserve">Desuello de </t>
    </r>
    <r>
      <rPr>
        <rFont val="Arial"/>
        <color rgb="FF000000"/>
        <sz val="12.0"/>
      </rPr>
      <t>p</t>
    </r>
    <r>
      <rPr>
        <rFont val="Arial"/>
        <b/>
        <color rgb="FF000000"/>
        <sz val="12.0"/>
      </rPr>
      <t>rimera pierna</t>
    </r>
    <r>
      <rPr>
        <rFont val="Arial"/>
        <color rgb="FF000000"/>
        <sz val="12.0"/>
      </rPr>
      <t xml:space="preserve"> 2 Canales </t>
    </r>
    <r>
      <rPr>
        <rFont val="Arial"/>
        <b/>
        <color rgb="FF000000"/>
        <sz val="12.0"/>
      </rPr>
      <t xml:space="preserve">
Desuello de segunda pierna : </t>
    </r>
    <r>
      <rPr>
        <rFont val="Arial"/>
        <color rgb="FF000000"/>
        <sz val="12.0"/>
      </rPr>
      <t xml:space="preserve">2 Canales
</t>
    </r>
    <r>
      <rPr>
        <rFont val="Arial"/>
        <b/>
        <color rgb="FF000000"/>
        <sz val="12.0"/>
      </rPr>
      <t>Desuello de costal profundo</t>
    </r>
    <r>
      <rPr>
        <rFont val="Arial"/>
        <color rgb="FF000000"/>
        <sz val="12.0"/>
      </rPr>
      <t xml:space="preserve">:2 Canales 
</t>
    </r>
    <r>
      <rPr>
        <rFont val="Arial"/>
        <b/>
        <color rgb="FF000000"/>
        <sz val="12.0"/>
      </rPr>
      <t>Marcación de canales:</t>
    </r>
    <r>
      <rPr>
        <rFont val="Arial"/>
        <color rgb="FF000000"/>
        <sz val="12.0"/>
      </rPr>
      <t xml:space="preserve"> 2 Canales 
</t>
    </r>
    <r>
      <rPr>
        <rFont val="Arial"/>
        <b/>
        <color rgb="FF000000"/>
        <sz val="12.0"/>
      </rPr>
      <t>Despeje de cadera:</t>
    </r>
    <r>
      <rPr>
        <rFont val="Arial"/>
        <color rgb="FF000000"/>
        <sz val="12.0"/>
      </rPr>
      <t xml:space="preserve"> 1 Canal
</t>
    </r>
    <r>
      <rPr>
        <rFont val="Arial"/>
        <b/>
        <color rgb="FF000000"/>
        <sz val="12.0"/>
      </rPr>
      <t xml:space="preserve">Desuello mecánico: </t>
    </r>
    <r>
      <rPr>
        <rFont val="Arial"/>
        <color rgb="FF000000"/>
        <sz val="12.0"/>
      </rPr>
      <t xml:space="preserve">1 Canal
</t>
    </r>
    <r>
      <rPr>
        <rFont val="Arial"/>
        <b/>
        <color rgb="FF000000"/>
        <sz val="12.0"/>
      </rPr>
      <t xml:space="preserve">Corte de esternón: </t>
    </r>
    <r>
      <rPr>
        <rFont val="Arial"/>
        <color rgb="FF000000"/>
        <sz val="12.0"/>
      </rPr>
      <t xml:space="preserve">  1 Canal
</t>
    </r>
    <r>
      <rPr>
        <rFont val="Arial"/>
        <b/>
        <color rgb="FF000000"/>
        <sz val="12.0"/>
      </rPr>
      <t>Eviscerado de Blancas:</t>
    </r>
    <r>
      <rPr>
        <rFont val="Arial"/>
        <color rgb="FF000000"/>
        <sz val="12.0"/>
      </rPr>
      <t xml:space="preserve"> 1 Canales
</t>
    </r>
    <r>
      <rPr>
        <rFont val="Arial"/>
        <b/>
        <color rgb="FF000000"/>
        <sz val="12.0"/>
      </rPr>
      <t>Eviscerado de Rojas:</t>
    </r>
    <r>
      <rPr>
        <rFont val="Arial"/>
        <color rgb="FF000000"/>
        <sz val="12.0"/>
      </rPr>
      <t xml:space="preserve"> 1 Canales
</t>
    </r>
    <r>
      <rPr>
        <rFont val="Arial"/>
        <b/>
        <color rgb="FF000000"/>
        <sz val="12.0"/>
      </rPr>
      <t>Sierra Canal</t>
    </r>
    <r>
      <rPr>
        <rFont val="Arial"/>
        <color rgb="FF000000"/>
        <sz val="12.0"/>
      </rPr>
      <t xml:space="preserve">: 1 Canales
</t>
    </r>
    <r>
      <rPr>
        <rFont val="Arial"/>
        <b/>
        <color rgb="FF000000"/>
        <sz val="12.0"/>
      </rPr>
      <t>Limpieza y desgrase inferior:</t>
    </r>
    <r>
      <rPr>
        <rFont val="Arial"/>
        <color rgb="FF000000"/>
        <sz val="12.0"/>
      </rPr>
      <t xml:space="preserve"> 1 Canal</t>
    </r>
  </si>
  <si>
    <t xml:space="preserve">Realizar correcto lavado de canales superior e inferior sin salpicar las canales que estén a los lados </t>
  </si>
  <si>
    <t>CARDENAS FABIO/ LUIS CHAPARRO</t>
  </si>
  <si>
    <t>Desinfección de canales de media en media canal sin generar acumulación</t>
  </si>
  <si>
    <t xml:space="preserve">JOSE NIEVES </t>
  </si>
  <si>
    <t xml:space="preserve">Pesar sincrónicamente con el proceso sin dejar acumulas mas de 1 canal en pesaje </t>
  </si>
  <si>
    <t>ALBERTO SUAREZ</t>
  </si>
  <si>
    <t xml:space="preserve">ANDRES PACHECO </t>
  </si>
  <si>
    <t xml:space="preserve">No dejar chairas en los lavamanos, no tener medias de color que salgan de las botas, no utilizar cabulla ni ligas en los frenos manuales </t>
  </si>
  <si>
    <t xml:space="preserve">Esterilizacion de herrmientas (cuchillos) entre cada procedimiento realizado </t>
  </si>
  <si>
    <t xml:space="preserve">Retiro completo de medula y depositar en el lugar asignado </t>
  </si>
  <si>
    <t xml:space="preserve">BARAJAS EULICES / DELGADO GABRIEL </t>
  </si>
  <si>
    <t>GABRIEL DELGADO / CHAPARRO LUIS</t>
  </si>
  <si>
    <t>JUAN ROJAS / DAVINSON RAMIREZ</t>
  </si>
  <si>
    <t xml:space="preserve">HECTOR PINZON </t>
  </si>
  <si>
    <t>Ubicación de canastillas solamente color gris con su respectiva base canasta para productos no comestibles(borlas,ubres,residuos solidos)</t>
  </si>
  <si>
    <t xml:space="preserve">JHONNY SANCHES/ CASADIEGO ADEMIR/ HERNAN BOLAÑOS </t>
  </si>
  <si>
    <t>FABIO PARADA/ ANDRES NIÑO</t>
  </si>
  <si>
    <t>JHON GALVIS/ JEFERSON HERNANDEZ</t>
  </si>
  <si>
    <t xml:space="preserve">FABIO CARDENAS/ FIDEL BARAJAS </t>
  </si>
  <si>
    <t xml:space="preserve"> No almacenar comida ni bebidas en lockers ni dejar herramientas a la vista </t>
  </si>
  <si>
    <t>FEDERICO JAIMES</t>
  </si>
  <si>
    <t>CLEIVER TOLOZA / JHON MOGOLLON</t>
  </si>
  <si>
    <t xml:space="preserve">Realizar correcto lavado de canales superior e inferior sin salpicar las canales que esten a los lados </t>
  </si>
  <si>
    <t>RINCON JOGUY / WILMAR CANCINO</t>
  </si>
  <si>
    <t>Desinfeccion de canales de media en media canal sin generar acumulacion</t>
  </si>
  <si>
    <t>OLINTO RAMIREZ</t>
  </si>
  <si>
    <t xml:space="preserve">Pesar sincronicamente con el proceso sin dejar acumulas mas de 1 canal en pesaje </t>
  </si>
  <si>
    <t>JHON FLOREZ</t>
  </si>
  <si>
    <t xml:space="preserve">No utilizar ligas,cabulas los puestos de trabajo ni utilizar las mangas de las camisas recogidas </t>
  </si>
  <si>
    <t>Asegurar que los tiempos desde el noqueo hasta que se realice el puesto de seccion de grandes vasos no supere un minuto</t>
  </si>
  <si>
    <t>FEDERICO JAIMES/ FABIO CARDENAS /HINDERMAN NIEVES</t>
  </si>
  <si>
    <t xml:space="preserve">Identificar las cabezas de una en una en linea y bajar  una vez se descarete y lave </t>
  </si>
  <si>
    <t xml:space="preserve">Relizar cambio de cuchillos y esterilazar entre cada procedimiento </t>
  </si>
  <si>
    <t>HINDERMAN NIEVES/  JOSE NIEVES</t>
  </si>
  <si>
    <t xml:space="preserve">Realizar lavado de manos entre cada procedimiento del puesto de trabajo asignado </t>
  </si>
  <si>
    <t xml:space="preserve">El personal que ingrese y salga por algun motivo debe realizar lavado en el filtro sanitario, no ubicar gauntes en las botas ni en las cofias </t>
  </si>
  <si>
    <t>CHECK LIST AUDITORIA DE CERTIFICACION HACCP</t>
  </si>
  <si>
    <t>No almacenar comida ni bebidas en lockers</t>
  </si>
  <si>
    <t xml:space="preserve">No hacer uso de ligas, elasticos o cabulla dentro del proceso </t>
  </si>
  <si>
    <t xml:space="preserve">Una vez ingrese todo el personal a las 14:05 Organizar el salon multiple </t>
  </si>
  <si>
    <t xml:space="preserve">DERSO BALLESTEROS </t>
  </si>
  <si>
    <t>No uso excesivo de tábano, en lo posible no utilizar</t>
  </si>
  <si>
    <t>JHON JAIMES</t>
  </si>
  <si>
    <t xml:space="preserve">No usar la barra de noqueo,asegurar correcto insensibilizado y mantener sincronia con izado </t>
  </si>
  <si>
    <t xml:space="preserve">Solo realizar lavado al recto y subir vericando un correcto enganche o amarrado del animal </t>
  </si>
  <si>
    <t>EFRAIN ORTIZ - DIEGO CAMACHO</t>
  </si>
  <si>
    <t>Mantener los 3 animales antes del freno de descornado</t>
  </si>
  <si>
    <t>JOSE NIEVES</t>
  </si>
  <si>
    <t>Esterilizacion de herrmientas en recipiente con acido lactico en rayado y corte de manos</t>
  </si>
  <si>
    <t>FIDEL BARAJAS - GERSON ORTIZ</t>
  </si>
  <si>
    <r>
      <rPr>
        <rFont val="Arial"/>
        <color rgb="FF000000"/>
        <sz val="12.0"/>
      </rPr>
      <t xml:space="preserve">Asegurar en flujo de proceso sincronizado Marcando la pausa y avance la persona que esta adelante distribuido de la siguiente manera 
</t>
    </r>
    <r>
      <rPr>
        <rFont val="Arial"/>
        <b/>
        <color rgb="FF000000"/>
        <sz val="12.0"/>
      </rPr>
      <t xml:space="preserve">Desuello de </t>
    </r>
    <r>
      <rPr>
        <rFont val="Arial"/>
        <color rgb="FF000000"/>
        <sz val="12.0"/>
      </rPr>
      <t>p</t>
    </r>
    <r>
      <rPr>
        <rFont val="Arial"/>
        <b/>
        <color rgb="FF000000"/>
        <sz val="12.0"/>
      </rPr>
      <t>rimera pierna</t>
    </r>
    <r>
      <rPr>
        <rFont val="Arial"/>
        <color rgb="FF000000"/>
        <sz val="12.0"/>
      </rPr>
      <t xml:space="preserve"> 2 Canales </t>
    </r>
    <r>
      <rPr>
        <rFont val="Arial"/>
        <b/>
        <color rgb="FF000000"/>
        <sz val="12.0"/>
      </rPr>
      <t xml:space="preserve">
Desuello de segunda pierna : </t>
    </r>
    <r>
      <rPr>
        <rFont val="Arial"/>
        <color rgb="FF000000"/>
        <sz val="12.0"/>
      </rPr>
      <t xml:space="preserve">2 Canales
</t>
    </r>
    <r>
      <rPr>
        <rFont val="Arial"/>
        <b/>
        <color rgb="FF000000"/>
        <sz val="12.0"/>
      </rPr>
      <t>Desuello de costal profundo</t>
    </r>
    <r>
      <rPr>
        <rFont val="Arial"/>
        <color rgb="FF000000"/>
        <sz val="12.0"/>
      </rPr>
      <t xml:space="preserve">:3 Canales 
</t>
    </r>
    <r>
      <rPr>
        <rFont val="Arial"/>
        <b/>
        <color rgb="FF000000"/>
        <sz val="12.0"/>
      </rPr>
      <t>Marcación de canales:</t>
    </r>
    <r>
      <rPr>
        <rFont val="Arial"/>
        <color rgb="FF000000"/>
        <sz val="12.0"/>
      </rPr>
      <t xml:space="preserve"> 2 Canales 
</t>
    </r>
    <r>
      <rPr>
        <rFont val="Arial"/>
        <b/>
        <color rgb="FF000000"/>
        <sz val="12.0"/>
      </rPr>
      <t>Despeje de cadera:</t>
    </r>
    <r>
      <rPr>
        <rFont val="Arial"/>
        <color rgb="FF000000"/>
        <sz val="12.0"/>
      </rPr>
      <t xml:space="preserve"> 1 Canal
</t>
    </r>
    <r>
      <rPr>
        <rFont val="Arial"/>
        <b/>
        <color rgb="FF000000"/>
        <sz val="12.0"/>
      </rPr>
      <t xml:space="preserve">Desuello mecánico: </t>
    </r>
    <r>
      <rPr>
        <rFont val="Arial"/>
        <color rgb="FF000000"/>
        <sz val="12.0"/>
      </rPr>
      <t xml:space="preserve">1 Canal
</t>
    </r>
    <r>
      <rPr>
        <rFont val="Arial"/>
        <b/>
        <color rgb="FF000000"/>
        <sz val="12.0"/>
      </rPr>
      <t xml:space="preserve">Corte de esternón: </t>
    </r>
    <r>
      <rPr>
        <rFont val="Arial"/>
        <color rgb="FF000000"/>
        <sz val="12.0"/>
      </rPr>
      <t xml:space="preserve">  1 Canal
</t>
    </r>
    <r>
      <rPr>
        <rFont val="Arial"/>
        <b/>
        <color rgb="FF000000"/>
        <sz val="12.0"/>
      </rPr>
      <t>Eviscerado de Blancas:</t>
    </r>
    <r>
      <rPr>
        <rFont val="Arial"/>
        <color rgb="FF000000"/>
        <sz val="12.0"/>
      </rPr>
      <t xml:space="preserve"> 2 Canales
</t>
    </r>
    <r>
      <rPr>
        <rFont val="Arial"/>
        <b/>
        <color rgb="FF000000"/>
        <sz val="12.0"/>
      </rPr>
      <t>Eviscerado de Rojas:</t>
    </r>
    <r>
      <rPr>
        <rFont val="Arial"/>
        <color rgb="FF000000"/>
        <sz val="12.0"/>
      </rPr>
      <t xml:space="preserve"> 2 Canales
</t>
    </r>
    <r>
      <rPr>
        <rFont val="Arial"/>
        <b/>
        <color rgb="FF000000"/>
        <sz val="12.0"/>
      </rPr>
      <t>Sierra Canal</t>
    </r>
    <r>
      <rPr>
        <rFont val="Arial"/>
        <color rgb="FF000000"/>
        <sz val="12.0"/>
      </rPr>
      <t xml:space="preserve">: 2 Canales
</t>
    </r>
    <r>
      <rPr>
        <rFont val="Arial"/>
        <b/>
        <color rgb="FF000000"/>
        <sz val="12.0"/>
      </rPr>
      <t>Limpieza y desgrase inferior:</t>
    </r>
    <r>
      <rPr>
        <rFont val="Arial"/>
        <color rgb="FF000000"/>
        <sz val="12.0"/>
      </rPr>
      <t xml:space="preserve"> 1 Canal</t>
    </r>
  </si>
  <si>
    <t>Ubicación del sello  superior e inferior que sea claro y legible</t>
  </si>
  <si>
    <t>RONALDO ROBLES - ANDRES LOPEZ</t>
  </si>
  <si>
    <t>Patines atentos con haraganes de color rojo en cada zona asignada, verificar las tapas de los sifones puestas correctamente</t>
  </si>
  <si>
    <t>ELIBER ALVAREZ-JHON FOLREZ-JOSE LUS RONCALLO-FABIAN LOPEZ</t>
  </si>
  <si>
    <r>
      <rPr>
        <rFont val="Arial"/>
        <color rgb="FF000000"/>
        <sz val="12.0"/>
      </rPr>
      <t>Ubicación de canastillas solamente color</t>
    </r>
    <r>
      <rPr>
        <rFont val="Arial"/>
        <b/>
        <color rgb="FF000000"/>
        <sz val="12.0"/>
        <u/>
      </rPr>
      <t xml:space="preserve"> gris</t>
    </r>
    <r>
      <rPr>
        <rFont val="Arial"/>
        <b/>
        <color rgb="FF000000"/>
        <sz val="12.0"/>
      </rPr>
      <t xml:space="preserve"> </t>
    </r>
    <r>
      <rPr>
        <rFont val="Arial"/>
        <color rgb="FF000000"/>
        <sz val="12.0"/>
      </rPr>
      <t>con su respectiva base canasta para productos no comestibles(borlas,ubres,residuos solidos)</t>
    </r>
  </si>
  <si>
    <t>FABIAN LOPEZ- JOSE LUIS RONCALLO</t>
  </si>
  <si>
    <t>BRAYAN BASTO-HERNANBOLAÑOS-ANDRES HERNANDEZ</t>
  </si>
  <si>
    <t xml:space="preserve">Retiro completo de medula al 100% de las medias canales </t>
  </si>
  <si>
    <t>MAICOL TOVAR- OLINTO RAMIREZ</t>
  </si>
  <si>
    <t>WILDER CALDERON- JEAN IBARRA</t>
  </si>
  <si>
    <t>JOHAN CAMACHO- ABRAHAM ORTIZ</t>
  </si>
  <si>
    <t>JUAN BLANCO- SANTIAGO SANCHEZ</t>
  </si>
  <si>
    <t>JOSE ANDRADES</t>
  </si>
  <si>
    <t>MILER PADILLA</t>
  </si>
  <si>
    <t>AFANADOR PINEDA NELSON</t>
  </si>
  <si>
    <t>ROJAS MEJIA JOSE DOMINGO</t>
  </si>
  <si>
    <t>ALVAREZ MARCHAN ELIBER</t>
  </si>
  <si>
    <t>ROMERO URIBE ARNOL BRAN</t>
  </si>
  <si>
    <t>ANDRADES JOSE FRANCISCO</t>
  </si>
  <si>
    <t>RONCALLO RADA JOSE LUIS</t>
  </si>
  <si>
    <t xml:space="preserve">AYALA PEÑARANDA CRISTIAN </t>
  </si>
  <si>
    <t xml:space="preserve">SANABRIA TORRES YEBERSON </t>
  </si>
  <si>
    <t>BADILLO LIZARAZO JOHAN</t>
  </si>
  <si>
    <t>SUAREZ ELKIN ANDREY</t>
  </si>
  <si>
    <t>BALLESTEROS NUÑEZ DERSO</t>
  </si>
  <si>
    <t>SUAREZ JAIMES ALBERTO</t>
  </si>
  <si>
    <t>BARAJAS APARICIO FIDEL</t>
  </si>
  <si>
    <t>TOVAR MICHAEL SNEYDER</t>
  </si>
  <si>
    <t>BARAJAS GUEVARA EULISIS</t>
  </si>
  <si>
    <t>VASQUEZ MILTON ANDRES</t>
  </si>
  <si>
    <t>BASTO MORENO BRAYAN STEVEN</t>
  </si>
  <si>
    <t>BECERRA JAIMES DIEGO ARMANDO</t>
  </si>
  <si>
    <t>BENITEZ VIDES YOSNEIDER</t>
  </si>
  <si>
    <t>BOLAÑO ALVAREZ HERNAN JOSE</t>
  </si>
  <si>
    <t>BRAVO MARTINEZ DUBAN DAVID</t>
  </si>
  <si>
    <t>CARDENAS BLANCO OSCAR JAVIER</t>
  </si>
  <si>
    <t>CARDENAS MELENDES JHON FREDY</t>
  </si>
  <si>
    <t>CELIS ARDILA JHON FREDY</t>
  </si>
  <si>
    <t>CONTRERAS ROSALES JUAN CARLOS</t>
  </si>
  <si>
    <t>CORTES NINO YENSON ERNESTO</t>
  </si>
  <si>
    <t>DELGADO FLOREZ GABRIEL</t>
  </si>
  <si>
    <t>FLOREZ CAMACHO JHON HENRY</t>
  </si>
  <si>
    <t>GALVIS LARA JONH FRAN</t>
  </si>
  <si>
    <t>GARCIA GOMEZ HUGO ARMANDO</t>
  </si>
  <si>
    <t>HERNANDEZ CUELLO ANDRES FELIPE</t>
  </si>
  <si>
    <t>IBARRA MOLINA JEAN CARLOS</t>
  </si>
  <si>
    <t>JAIMES JAIMES FEDERICO</t>
  </si>
  <si>
    <t>JAIMES JAIMES JHON ALBEIRO</t>
  </si>
  <si>
    <t>LOPEZ HURTADO ANDRES FABIAN</t>
  </si>
  <si>
    <t>LOPEZ REATIGA FABIAN DAVID</t>
  </si>
  <si>
    <t>MANTILLA DELGADO LUIS ERNESTO</t>
  </si>
  <si>
    <t>MENDEZ ORTIZ GLEIGER ABRAHAM</t>
  </si>
  <si>
    <t>MOGOLLON HERRENO JHON FREDY</t>
  </si>
  <si>
    <t>PABON SERRANO ANDERSON</t>
  </si>
  <si>
    <t>PACHECO MANRIQUE ANDRES FELIPE</t>
  </si>
  <si>
    <t>PADILLA BRIEVA MILEXANDE</t>
  </si>
  <si>
    <t>PARADA SIERRA FABIO ENRIQUE</t>
  </si>
  <si>
    <t>PINZON ARIZA HECTOR ALEXANDER</t>
  </si>
  <si>
    <t>PINZÓN MEDINA BRAYAN</t>
  </si>
  <si>
    <t xml:space="preserve">QUINTERO GUTIERREZ DUBAN </t>
  </si>
  <si>
    <t>QUINTERO RADA GERSON MANUEL</t>
  </si>
  <si>
    <t>RAMIREZ VARGAS OLINTO</t>
  </si>
  <si>
    <t>RIVERO CAMACHO JHOAN</t>
  </si>
  <si>
    <t>SUM de TOTAL DE BENEFICO</t>
  </si>
  <si>
    <t>SUM de CANT</t>
  </si>
  <si>
    <t>Contenido Rummial</t>
  </si>
  <si>
    <t>Materia Fecal</t>
  </si>
  <si>
    <t>Suma total</t>
  </si>
  <si>
    <t xml:space="preserve">ANALISIS DE SUBPRODUCTOS </t>
  </si>
  <si>
    <t>Subproductos</t>
  </si>
  <si>
    <t>Novedades:</t>
  </si>
  <si>
    <t>Observaciones/ mejora</t>
  </si>
  <si>
    <t>Aumento de meta</t>
  </si>
  <si>
    <t>Despojo</t>
  </si>
  <si>
    <t xml:space="preserve">depende de los fetos y decimiso de calidad lo cual es muy variable </t>
  </si>
  <si>
    <t xml:space="preserve">Se aumenta meta por 0,6 por res </t>
  </si>
  <si>
    <t>Sebo</t>
  </si>
  <si>
    <t xml:space="preserve">hubo un aumento en metas del 0,3 por res lo que impacta negativamente el cumplimiento diario  </t>
  </si>
  <si>
    <t xml:space="preserve">se debe realizar verificacion el limpieza de rojas y apartado de blanca  diariamente  en busca de desviaciones, se ha tenido novedad con los inspectores cuando la visceras llegan con bastante sebo desde linea  lo que se correjido pro inpacta negativamente el aprovechamiento </t>
  </si>
  <si>
    <t xml:space="preserve">Hueso </t>
  </si>
  <si>
    <t xml:space="preserve">Se debe analizar los % de res pequenas  y hembras  se tubo un aumento de meta de 0,23 por res </t>
  </si>
  <si>
    <t xml:space="preserve">Traqueas </t>
  </si>
  <si>
    <t>Se realiza seguimiento a la ficha tecnica de este subproducto debido a novedad presentada con cliente donde no se esta limpiando o retirando el sebo y demas partes</t>
  </si>
  <si>
    <t>Se debe verificar  se realiza correctamnete el retiro de las visceras roja y manzana.</t>
  </si>
  <si>
    <t>Orejas</t>
  </si>
  <si>
    <t xml:space="preserve">Se ajusta meta  debido a el cambio de ficha tecnica  por cliente nuevo donde se retira oido y chapetas que antes iba incluidos en peso de subproductos  </t>
  </si>
  <si>
    <t>Se debe verifcar o identificar que puesto esta realizando corte en orejas,  ya que se esta realizando la separacion de oreja que no cumple con FT y esta no se tiene ne cuenta para la produccion.</t>
  </si>
  <si>
    <t>Viriles</t>
  </si>
  <si>
    <t xml:space="preserve">Se debe analizar los % de reses pequeñas y aminales castrados, adicional se debe reportar si llegan cortado al proceso de limpieza  y reporta las cantidad de bufalos ya que estos treen el mienbro mas pequeño </t>
  </si>
  <si>
    <t xml:space="preserve">Esogafos </t>
  </si>
  <si>
    <t xml:space="preserve">se presenta novedad por personal en entrenamiento lo que hace que rompa y no se aproveche </t>
  </si>
  <si>
    <t xml:space="preserve">Se debe revisar si se esta quedando pegada en la roja para que relicen el retiro y aprovechar, igualmente reportar al area de linea se evidencia daño en el subproducto </t>
  </si>
  <si>
    <t>Sangre</t>
  </si>
  <si>
    <t>se aumento meta de  0,2 po r res, la cual no de debia hacer ya que los despachos se realizan deacuerdo a metas establecidas</t>
  </si>
  <si>
    <t>Bilis</t>
  </si>
  <si>
    <t xml:space="preserve">se aumento meta de 0,12 por res  la medicion de este subproducto se realiza por una regla </t>
  </si>
  <si>
    <t>Caretas</t>
  </si>
  <si>
    <t xml:space="preserve">se aumenta meta a 0,21 por res </t>
  </si>
  <si>
    <t>Carne industrial</t>
  </si>
  <si>
    <t xml:space="preserve">Se ajusta calculo con cantidad de machos ya que se esta realizando con el total de reses y las hechas no traen  carne para retirar </t>
  </si>
  <si>
    <t xml:space="preserve">Hacer seguimiento a la operacion donde se debe garantizar el retiro el 100% de rectos de machos </t>
  </si>
  <si>
    <t>Calculos</t>
  </si>
  <si>
    <t xml:space="preserve">Se realiza seguimiento en proceso, donde no se evidencia ninguna desviacion, hay dia donde no se ha roto ninguna bolsas pero la produccion ha sido baja </t>
  </si>
  <si>
    <t xml:space="preserve">Se debe estar atento cuando se descarga o rompe, ya que queda en la canal una cavidad donde se aloja en contenido biliar </t>
  </si>
  <si>
    <t>LISTADO DE INSUMOS</t>
  </si>
  <si>
    <t>VALOR (UND)</t>
  </si>
  <si>
    <t>KG</t>
  </si>
  <si>
    <t>subrproductos</t>
  </si>
  <si>
    <t>valor por kg</t>
  </si>
  <si>
    <t>META 2025</t>
  </si>
  <si>
    <t>UND</t>
  </si>
  <si>
    <t>META 2026</t>
  </si>
  <si>
    <t>Diferencias</t>
  </si>
  <si>
    <t>BRAZALETES</t>
  </si>
  <si>
    <t>BILIS</t>
  </si>
  <si>
    <t>Litro</t>
  </si>
  <si>
    <t>CABUYA</t>
  </si>
  <si>
    <t>C.I</t>
  </si>
  <si>
    <t>Kilo</t>
  </si>
  <si>
    <t>RAFIA</t>
  </si>
  <si>
    <t>CALCULO PRIMERA</t>
  </si>
  <si>
    <t>Gramo</t>
  </si>
  <si>
    <t>TAPABOCA</t>
  </si>
  <si>
    <t>CARETAS</t>
  </si>
  <si>
    <t>GUANTES NITRILO</t>
  </si>
  <si>
    <t>DESPOJOS CARNICOS</t>
  </si>
  <si>
    <t>GUANTES VERDE</t>
  </si>
  <si>
    <t>ESOFAGOS</t>
  </si>
  <si>
    <t>GUANTES NEGRO</t>
  </si>
  <si>
    <t>HUESO</t>
  </si>
  <si>
    <t>GUANTE EXTRALARGO</t>
  </si>
  <si>
    <t>OREJAS</t>
  </si>
  <si>
    <t>COFIAS</t>
  </si>
  <si>
    <t>SANGRE</t>
  </si>
  <si>
    <t>ACIDO CITRICO</t>
  </si>
  <si>
    <t>OXIPURE</t>
  </si>
  <si>
    <t>TRAQUEAS</t>
  </si>
  <si>
    <t>OXIPURE CLEAR</t>
  </si>
  <si>
    <t>VIRILES</t>
  </si>
  <si>
    <t>OXIFOOD</t>
  </si>
  <si>
    <t xml:space="preserve">ETIQUETA </t>
  </si>
  <si>
    <t>hallasgo</t>
  </si>
  <si>
    <t>BOLSA TINA</t>
  </si>
  <si>
    <t>Leche Visible</t>
  </si>
  <si>
    <t>Hallasgos</t>
  </si>
  <si>
    <t>Cuartos</t>
  </si>
  <si>
    <t>Puestos</t>
  </si>
  <si>
    <t>CUCHILLO 6</t>
  </si>
  <si>
    <t>Leche visible</t>
  </si>
  <si>
    <t>CUCHILLO 8</t>
  </si>
  <si>
    <t>COMIDA</t>
  </si>
  <si>
    <t>OPERARIO</t>
  </si>
  <si>
    <t>COORDINADOR</t>
  </si>
  <si>
    <t xml:space="preserve">Leche visible </t>
  </si>
  <si>
    <t>SACO DE FIBRA</t>
  </si>
  <si>
    <t>BOLSA SEPARADORA DE CANALES</t>
  </si>
  <si>
    <t xml:space="preserve">Se presento taponamiento de tanque cañon debido a ganado con rumen seco </t>
  </si>
  <si>
    <t>2025</t>
  </si>
  <si>
    <t xml:space="preserve">Se presenta demora al culminar debido a daños en compuertas del box, requeiro utilizar puerta de descarga de emergencia de manga debido a que faltaban poco animales por beneficiar </t>
  </si>
  <si>
    <t xml:space="preserve">Se presetan novedad en apertura de pandos por reses sin ayuno </t>
  </si>
  <si>
    <t xml:space="preserve">Se presento novedad con el vapor al inicio de proceso con afectacion en el proceso de patas </t>
  </si>
  <si>
    <t>SE PRESENTA TARDANZA DE INICIO DEBIDO A ROTURA DE TUBO DE AGUA EN VISCERAS BLANCA</t>
  </si>
  <si>
    <t xml:space="preserve">parada larga por falta de poleas para continuar </t>
  </si>
  <si>
    <t>Se presenta parada de 4 horas  de proceso de cabezas debido a bastago partido internamente</t>
  </si>
  <si>
    <t xml:space="preserve">NO SE  TUVO PERSONAL PARA SEPARACION DE CARNES AUNSENTISMO ALTO EL DIA DE HOY </t>
  </si>
  <si>
    <t>se presenta accidente de trabajo al operario jeferson jimenez, estandi en puesto caldeo se le caen las canastas y ocaciones que se golpie contra el carro de traslado de pandos</t>
  </si>
  <si>
    <t>Se presenta accidente grave a operario leonarod lopez, corte en muñeca</t>
  </si>
  <si>
    <t xml:space="preserve">Se presenta daño en motor de maquina de pandos debido a eje partido </t>
  </si>
  <si>
    <t>:</t>
  </si>
  <si>
    <t>Se presenta novedad con caldera, cual segun reporte de mtto, se esta disparando un taco, se esta trabajando con caldera pequena ya que la titular presento falla al inicio de proceso.</t>
  </si>
  <si>
    <t>Se presenta novedad tanque cañon de visceras debido a ganado con limite de tiempo de ayuno, la cual genero traumatismo debido a lo seco y las llenas que venian las panzas</t>
  </si>
  <si>
    <t xml:space="preserve">Se presenta incidente con operario agon jairo la cual en momento de realizar desposte de visceras olimpica un compañero corre el caro el cual caen desague y se voltea callendole encima generando una contucion  rn refgion lumbosacro </t>
  </si>
  <si>
    <t>Se tenia a juan cuadro  en prestamo desposte</t>
  </si>
  <si>
    <t>se reincorpora el operario lopez leonardo de incapacidad larga</t>
  </si>
  <si>
    <t>Se presenta incidente con el operario yampier marquez cuando se encontraba empujando un carro perchero con viisceras olimpica se resbala y golpea a otro compañero  la cual  cae encima  golpeando la parte baja de la cintura.</t>
  </si>
  <si>
    <t>-</t>
  </si>
  <si>
    <t>Se presenta accidente de trabajo a operario jorge hernandez al momento de dirigirse al area de visceras blanca  el opl transcarnes estaba manipulando un carro perchero con patas el cual da bote  y le caer sobre operario causando lecciones en mano y espalda se envia para clinica a valoracion medica.</t>
  </si>
  <si>
    <t xml:space="preserve">no se para a la comida debido a lo tarde de la llegada se entrego al finalizar </t>
  </si>
  <si>
    <t xml:space="preserve">parada por tiempos de ayuno </t>
  </si>
  <si>
    <t xml:space="preserve">alto volumen se genera horas extras </t>
  </si>
  <si>
    <t>ingresamos temprano por acondicionamiento de 121 visceras de olimpica</t>
  </si>
  <si>
    <t>ingresamos temprano por acondicionamiento de 75 visceras de olimpica</t>
  </si>
  <si>
    <t>ingresamos temprano por acondicionamiento de 90 visceras de olimpica</t>
  </si>
  <si>
    <t>alto volumen se genera horas extras , Se presenta novedad con el retorno de carro de sangre debido a demora de descarga en harinagro , se solicito retorno de carro  con la carga  por mitad ya que se requeria para poder hacer el despacjo total de la sangre y no generar horas extras adicionales.</t>
  </si>
  <si>
    <t>Se presenta parada debido a novedad en bomba de aceite de maquina cabezas, se estiendo horas de  operarios de cabezas y subproductos</t>
  </si>
  <si>
    <t xml:space="preserve">Personal citado a las 13:55 y se inicio hasta las 15 debido actividad politica </t>
  </si>
  <si>
    <t xml:space="preserve">hubo despacho de subproductos 13:15 </t>
  </si>
  <si>
    <t xml:space="preserve">Se cito el personal de subproductos para despacho a las 13:30 pero carro tuvo novedad mecanico y no llego </t>
  </si>
  <si>
    <t>Se cito a las 12:30 para capacitacion programada y para relizar acondicionamiento 23 visceras de olimpica y se cruza con beneficio alto</t>
  </si>
  <si>
    <t xml:space="preserve">Se tubo acondiconamiento a las 13:15 alguno operario llegaron temprano debido a cambio de horario sobre la horas lo que se  les infdico realizar cajss para adelantar y no tener los improductivos, posibleme se genere horas extrass </t>
  </si>
  <si>
    <t xml:space="preserve">Novedad en pesaje de canales </t>
  </si>
  <si>
    <t xml:space="preserve">se cito el personal a las 13:30 para socializacion de bienestar  </t>
  </si>
  <si>
    <t xml:space="preserve">Se tiene novedad con escaldado de patas dbido a que no se tiene termometro para ver temperatura del agua y estar monitoriando el escaldo en la operacion los que ocaciona que se cocine en momento de escaldo y no pele mas el producto /Se tubo acondicionamiento de 45 visceras de olimpica se cito el personal a las 13:20, </t>
  </si>
  <si>
    <t xml:space="preserve">Se cito el personal a las 13:00 para realizar el acondicionamiento de 202 visceras de olimpica </t>
  </si>
  <si>
    <t>se cito el personal para acondicionamiento 88 visceras olimpica , se tuvo novedad por tardanza en inicio por novedad de cilindro de ddesolladora</t>
  </si>
  <si>
    <t xml:space="preserve">se cito el personal para acondicionamiento 87 visceras olimpica </t>
  </si>
  <si>
    <t xml:space="preserve"> el señor Leal Jesús de pccom manifiesta que, en medio de sus funciones, mientras realizaba el puesto de descascar, al momento de verificar si las patas ya estaban listas para sacar, levanta la tapa bruscamente y esta rebota contra el panel o pared del área de patas y se regresa golpeándolo en la parte superior de la cabeza.</t>
  </si>
  <si>
    <t xml:space="preserve">se cito personal 13:00 para acondicionamiento 45 visceras de olimpica </t>
  </si>
  <si>
    <t xml:space="preserve">se cito personal 13:00 para acondicionamiento 39 visceras de olimpica </t>
  </si>
  <si>
    <t xml:space="preserve">se cito personal 14:30 para acondicionamiento 30 visceras de olimpica </t>
  </si>
  <si>
    <t>se cito personal 13:00 para acondicionamiento 32 visceras de olimpica y socializacion de leccion aprendida, se presento novedad con maquina de libros  la cual se detuvo el proceso de escaldado de lbros por 4 horas</t>
  </si>
  <si>
    <t xml:space="preserve">se cito personal 14:00 para acondicionamiento 50 visceras de olimpica </t>
  </si>
  <si>
    <t>se cito personal 13:40 por entrega de detalle del dia del hombre por GH</t>
  </si>
  <si>
    <t xml:space="preserve">se cito personal 12:30 para acondicionamiento 105 visceras de olimpica </t>
  </si>
  <si>
    <t>Renuncia el operario Carlos Sierra  por motivos personales</t>
  </si>
  <si>
    <t xml:space="preserve">se cito personal 14:00 para acondicionamiento 80 visceras de olimpica </t>
  </si>
  <si>
    <t>Se cito personal 14:00 para reunion con SST</t>
  </si>
  <si>
    <t>se cito personal 13:00 para reunion  y acondicionamiento 48 visceras de olimpica</t>
  </si>
  <si>
    <t>1. La caldera numero 1 presento fallas durante el proceso</t>
  </si>
  <si>
    <t>se cito personal 13:00 para acondicionamiento 50 visceras de olimpica</t>
  </si>
  <si>
    <t>se cito personal 14:00 para reunion y acondicionamiento 42 visceras de olimpica</t>
  </si>
  <si>
    <t>se cito personal 14:20 acondicionamiento 23 visceras de olimpica</t>
  </si>
  <si>
    <t>se cito personal 13:00 acondicionamiento 43 visceras de olimpica</t>
  </si>
  <si>
    <t>se cito personal 14:00 acondicionamiento 32 visceras de olimpica</t>
  </si>
  <si>
    <t>se cito personal 13:15 acondicionamiento 42 visceras de olimpica</t>
  </si>
  <si>
    <t>se cito personal 12:30 acondicionamiento 62 visceras de olimpica</t>
  </si>
  <si>
    <t xml:space="preserve">Se presenta accidente de trabajo al trabajador Cristian Diaz  cuando se encontrab realizado puesto de lavod de rojas al momento de retornar las ganchos a linea, al regresar  entrando a el area de rojas se resbala pegandose en cabeza </t>
  </si>
  <si>
    <t>se cito personal 13:30 acondicionamiento 19 visceras de olimpica</t>
  </si>
  <si>
    <t>se cito personal 14:00 acondicionamiento 43 visceras de olimpica</t>
  </si>
  <si>
    <t>se cito personal 13:00 acondicionamiento 28 visceras de olimpica</t>
  </si>
  <si>
    <t>se cito personal 13:00 para capacitacion seguridad vial</t>
  </si>
  <si>
    <t>se cito personal 15:00 acondicionamiento  131  visceras de olimpica y se tuvo novedad con indicador de las bascula generando retrazo en el proceso</t>
  </si>
  <si>
    <t xml:space="preserve">se cito personal 11:45  acondicionamiento  131  visceras de olimpica </t>
  </si>
  <si>
    <t>se cito personal 13:30  acondicionamiento  29  visceras de olimpica y reunion de sst</t>
  </si>
  <si>
    <t xml:space="preserve">Se presenta novedad con maquina de patas al finalizar proceso  acacionando retrazo  en la operacion y salida tarde de perosnal  genrando horas extras  </t>
  </si>
  <si>
    <t xml:space="preserve">personal de patas sale tarde debido a renuncia de colaborador  a raiz de acumulacion por novedad con descascadora y maquina de patas </t>
  </si>
  <si>
    <t xml:space="preserve">Se tuvo auditoria de seguimiento HACCP </t>
  </si>
  <si>
    <t xml:space="preserve">Se presento AT al sr AGUDELO DANIEL de PCCOM  estabdo en puesto de limpieza inferior al operairo de limpieza y desgrace superior se le enrreda cuchilo con la canal y se le caie pegando en casco y luego pasando por la muneca causandoles herina abierta </t>
  </si>
</sst>
</file>

<file path=xl/styles.xml><?xml version="1.0" encoding="utf-8"?>
<styleSheet xmlns="http://schemas.openxmlformats.org/spreadsheetml/2006/main" xmlns:x14ac="http://schemas.microsoft.com/office/spreadsheetml/2009/9/ac" xmlns:mc="http://schemas.openxmlformats.org/markup-compatibility/2006">
  <numFmts count="16">
    <numFmt numFmtId="164" formatCode="dd&quot;/&quot;mm&quot;/&quot;yyyy"/>
    <numFmt numFmtId="165" formatCode="d/M/yyyy"/>
    <numFmt numFmtId="166" formatCode="d/m/yyyy"/>
    <numFmt numFmtId="167" formatCode="0.0"/>
    <numFmt numFmtId="168" formatCode="d/MM/yyyy H:mm:ss"/>
    <numFmt numFmtId="169" formatCode="dd/mm/yyyy"/>
    <numFmt numFmtId="170" formatCode="#,##0.00\ [$€-1]"/>
    <numFmt numFmtId="171" formatCode="hh:mm"/>
    <numFmt numFmtId="172" formatCode="[$-F400]h:mm:ss\ AM/PM"/>
    <numFmt numFmtId="173" formatCode="0.0%"/>
    <numFmt numFmtId="174" formatCode="0.000000000"/>
    <numFmt numFmtId="175" formatCode="#,##0.00000"/>
    <numFmt numFmtId="176" formatCode="&quot;$&quot;\ #,##0"/>
    <numFmt numFmtId="177" formatCode="#,##0.0"/>
    <numFmt numFmtId="178" formatCode="&quot;$&quot;#,##0"/>
    <numFmt numFmtId="179" formatCode="0.000"/>
  </numFmts>
  <fonts count="76">
    <font>
      <sz val="11.0"/>
      <color rgb="FF000000"/>
      <name val="Calibri"/>
      <scheme val="minor"/>
    </font>
    <font>
      <sz val="11.0"/>
      <color rgb="FF000000"/>
      <name val="Calibri"/>
    </font>
    <font>
      <sz val="11.0"/>
      <color theme="1"/>
      <name val="Calibri"/>
    </font>
    <font>
      <b/>
      <sz val="14.0"/>
      <color theme="1"/>
      <name val="Calibri"/>
    </font>
    <font>
      <b/>
      <sz val="11.0"/>
      <color rgb="FF000000"/>
      <name val="Calibri"/>
    </font>
    <font/>
    <font>
      <b/>
      <sz val="14.0"/>
      <color rgb="FFFFFFFF"/>
      <name val="Calibri"/>
    </font>
    <font>
      <color theme="1"/>
      <name val="Calibri"/>
      <scheme val="minor"/>
    </font>
    <font>
      <b/>
      <sz val="11.0"/>
      <color theme="1"/>
      <name val="Calibri"/>
    </font>
    <font>
      <b/>
      <color theme="1"/>
      <name val="Calibri"/>
      <scheme val="minor"/>
    </font>
    <font>
      <b/>
      <sz val="11.0"/>
      <color rgb="FFFFFFFF"/>
      <name val="Calibri"/>
    </font>
    <font>
      <b/>
      <sz val="12.0"/>
      <color rgb="FFFFFFFF"/>
      <name val="Calibri"/>
    </font>
    <font>
      <color theme="1"/>
      <name val="Arial"/>
    </font>
    <font>
      <b/>
      <color rgb="FFFFFFFF"/>
      <name val="Calibri"/>
      <scheme val="minor"/>
    </font>
    <font>
      <b/>
      <sz val="14.0"/>
      <color rgb="FFFFFFFF"/>
      <name val="Montserrat"/>
    </font>
    <font>
      <b/>
      <sz val="17.0"/>
      <color rgb="FFFFFFFF"/>
      <name val="Calibri"/>
    </font>
    <font>
      <b/>
      <sz val="17.0"/>
      <color rgb="FF000000"/>
      <name val="Calibri"/>
    </font>
    <font>
      <color theme="1"/>
      <name val="Calibri"/>
    </font>
    <font>
      <b/>
      <sz val="11.0"/>
      <color theme="1"/>
      <name val="Montserrat"/>
    </font>
    <font>
      <sz val="11.0"/>
      <color theme="1"/>
      <name val="Montserrat"/>
    </font>
    <font>
      <b/>
      <sz val="12.0"/>
      <color theme="1"/>
      <name val="Calibri"/>
    </font>
    <font>
      <b/>
      <sz val="14.0"/>
      <color rgb="FFFF0000"/>
      <name val="Calibri"/>
      <scheme val="minor"/>
    </font>
    <font>
      <sz val="14.0"/>
      <color rgb="FFFF0000"/>
      <name val="Calibri"/>
      <scheme val="minor"/>
    </font>
    <font>
      <b/>
      <sz val="8.0"/>
      <color rgb="FFFF0000"/>
      <name val="Calibri"/>
    </font>
    <font>
      <b/>
      <sz val="11.0"/>
      <color rgb="FFFFFFFF"/>
      <name val="Montserrat"/>
    </font>
    <font>
      <b/>
      <sz val="12.0"/>
      <color rgb="FF000000"/>
      <name val="Calibri"/>
    </font>
    <font>
      <b/>
      <sz val="12.0"/>
      <color rgb="FFFF0000"/>
      <name val="Calibri"/>
    </font>
    <font>
      <b/>
      <sz val="11.0"/>
      <color rgb="FFFF0000"/>
      <name val="Calibri"/>
    </font>
    <font>
      <b/>
      <sz val="13.0"/>
      <color theme="1"/>
      <name val="Calibri"/>
    </font>
    <font>
      <sz val="12.0"/>
      <color theme="1"/>
      <name val="Calibri"/>
      <scheme val="minor"/>
    </font>
    <font>
      <b/>
      <sz val="12.0"/>
      <color theme="1"/>
      <name val="Calibri"/>
      <scheme val="minor"/>
    </font>
    <font>
      <b/>
      <sz val="12.0"/>
      <color rgb="FF000000"/>
      <name val="Calibri"/>
      <scheme val="minor"/>
    </font>
    <font>
      <b/>
      <sz val="11.0"/>
      <color rgb="FF000000"/>
      <name val="Calibri"/>
      <scheme val="minor"/>
    </font>
    <font>
      <b/>
      <sz val="13.0"/>
      <color rgb="FFFF0000"/>
      <name val="Calibri"/>
    </font>
    <font>
      <b/>
      <sz val="7.0"/>
      <color theme="1"/>
      <name val="Calibri"/>
      <scheme val="minor"/>
    </font>
    <font>
      <sz val="11.0"/>
      <color theme="1"/>
      <name val="Calibri"/>
      <scheme val="minor"/>
    </font>
    <font>
      <sz val="12.0"/>
      <color theme="1"/>
      <name val="Calibri"/>
    </font>
    <font>
      <sz val="12.0"/>
      <color rgb="FFFFFFFF"/>
      <name val="Cambria"/>
    </font>
    <font>
      <sz val="14.0"/>
      <color theme="1"/>
      <name val="Cambria"/>
    </font>
    <font>
      <sz val="14.0"/>
      <color theme="1"/>
      <name val="Calibri"/>
      <scheme val="minor"/>
    </font>
    <font>
      <sz val="14.0"/>
      <color rgb="FF000000"/>
      <name val="Calibri"/>
      <scheme val="minor"/>
    </font>
    <font>
      <sz val="10.0"/>
      <color rgb="FFFFFFFF"/>
      <name val="Cambria"/>
    </font>
    <font>
      <sz val="10.0"/>
      <color theme="1"/>
      <name val="Cambria"/>
    </font>
    <font>
      <sz val="12.0"/>
      <color theme="1"/>
      <name val="Cambria"/>
    </font>
    <font>
      <b/>
      <sz val="16.0"/>
      <color theme="1"/>
      <name val="Arial"/>
    </font>
    <font>
      <b/>
      <sz val="15.0"/>
      <color rgb="FF000000"/>
      <name val="Calibri"/>
    </font>
    <font>
      <b/>
      <sz val="14.0"/>
      <color theme="1"/>
      <name val="Arial"/>
    </font>
    <font>
      <sz val="14.0"/>
      <color rgb="FF000000"/>
      <name val="Calibri"/>
    </font>
    <font>
      <b/>
      <sz val="14.0"/>
      <color rgb="FF000000"/>
      <name val="Calibri"/>
    </font>
    <font>
      <b/>
      <u/>
      <sz val="12.0"/>
      <color theme="1"/>
      <name val="Arial"/>
    </font>
    <font>
      <b/>
      <sz val="12.0"/>
      <color theme="1"/>
      <name val="Arial"/>
    </font>
    <font>
      <sz val="11.0"/>
      <color rgb="FF434343"/>
      <name val="Roboto"/>
    </font>
    <font>
      <sz val="9.0"/>
      <color rgb="FF000000"/>
      <name val="&quot;Google Sans Mono&quot;"/>
    </font>
    <font>
      <sz val="11.0"/>
      <color rgb="FF717171"/>
      <name val="Verdana"/>
    </font>
    <font>
      <sz val="11.0"/>
      <color rgb="FFFF0000"/>
      <name val="Calibri"/>
    </font>
    <font>
      <sz val="8.0"/>
      <color rgb="FF000000"/>
      <name val="Tahoma"/>
    </font>
    <font>
      <b/>
      <sz val="14.0"/>
      <color rgb="FF000000"/>
      <name val="Arial"/>
    </font>
    <font>
      <sz val="14.0"/>
      <color rgb="FF000000"/>
      <name val="Arial"/>
    </font>
    <font>
      <sz val="12.0"/>
      <color rgb="FF000000"/>
      <name val="Arial"/>
    </font>
    <font>
      <sz val="10.0"/>
      <color rgb="FF000000"/>
      <name val="Calibri"/>
    </font>
    <font>
      <b/>
      <sz val="10.0"/>
      <color rgb="FF000000"/>
      <name val="Arial"/>
    </font>
    <font>
      <b/>
      <sz val="11.0"/>
      <color rgb="FF000000"/>
      <name val="Arial"/>
    </font>
    <font>
      <sz val="11.0"/>
      <color rgb="FF000000"/>
      <name val="Arial"/>
    </font>
    <font>
      <sz val="10.0"/>
      <color rgb="FF000000"/>
      <name val="Arial"/>
    </font>
    <font>
      <sz val="12.0"/>
      <color rgb="FF000000"/>
      <name val="Calibri"/>
    </font>
    <font>
      <b/>
      <sz val="13.0"/>
      <color rgb="FF000000"/>
      <name val="&quot;Google Sans&quot;"/>
    </font>
    <font>
      <b/>
      <sz val="11.0"/>
      <color rgb="FF000000"/>
      <name val="&quot;Google Sans&quot;"/>
    </font>
    <font>
      <b/>
      <sz val="12.0"/>
      <color rgb="FF000000"/>
      <name val="&quot;Google Sans&quot;"/>
    </font>
    <font>
      <color rgb="FFFF0000"/>
      <name val="Calibri"/>
      <scheme val="minor"/>
    </font>
    <font>
      <color rgb="FF535FC1"/>
      <name val="Calibri"/>
      <scheme val="minor"/>
    </font>
    <font>
      <sz val="8.0"/>
      <color rgb="FF000000"/>
      <name val="Arial"/>
    </font>
    <font>
      <b/>
      <sz val="11.0"/>
      <color rgb="FFFFFFFF"/>
      <name val="Arial"/>
    </font>
    <font>
      <b/>
      <sz val="11.0"/>
      <color rgb="FFFFFFFF"/>
      <name val="Calibri"/>
      <scheme val="minor"/>
    </font>
    <font>
      <sz val="9.0"/>
      <color rgb="FF000000"/>
      <name val="Arial"/>
    </font>
    <font>
      <sz val="9.0"/>
      <color theme="1"/>
      <name val="Calibri"/>
      <scheme val="minor"/>
    </font>
    <font>
      <i/>
      <color theme="1"/>
      <name val="Calibri"/>
      <scheme val="minor"/>
    </font>
  </fonts>
  <fills count="32">
    <fill>
      <patternFill patternType="none"/>
    </fill>
    <fill>
      <patternFill patternType="lightGray"/>
    </fill>
    <fill>
      <patternFill patternType="solid">
        <fgColor rgb="FFFFFF00"/>
        <bgColor rgb="FFFFFF00"/>
      </patternFill>
    </fill>
    <fill>
      <patternFill patternType="solid">
        <fgColor theme="6"/>
        <bgColor theme="6"/>
      </patternFill>
    </fill>
    <fill>
      <patternFill patternType="solid">
        <fgColor rgb="FFF9DFF8"/>
        <bgColor rgb="FFF9DFF8"/>
      </patternFill>
    </fill>
    <fill>
      <patternFill patternType="solid">
        <fgColor rgb="FF00B050"/>
        <bgColor rgb="FF00B050"/>
      </patternFill>
    </fill>
    <fill>
      <patternFill patternType="solid">
        <fgColor rgb="FFFFFFFF"/>
        <bgColor rgb="FFFFFFFF"/>
      </patternFill>
    </fill>
    <fill>
      <patternFill patternType="solid">
        <fgColor theme="7"/>
        <bgColor theme="7"/>
      </patternFill>
    </fill>
    <fill>
      <patternFill patternType="solid">
        <fgColor rgb="FFE2EFD9"/>
        <bgColor rgb="FFE2EFD9"/>
      </patternFill>
    </fill>
    <fill>
      <patternFill patternType="solid">
        <fgColor theme="0"/>
        <bgColor theme="0"/>
      </patternFill>
    </fill>
    <fill>
      <patternFill patternType="solid">
        <fgColor rgb="FFBFDAB6"/>
        <bgColor rgb="FFBFDAB6"/>
      </patternFill>
    </fill>
    <fill>
      <patternFill patternType="solid">
        <fgColor rgb="FF1A9753"/>
        <bgColor rgb="FF1A9753"/>
      </patternFill>
    </fill>
    <fill>
      <patternFill patternType="solid">
        <fgColor rgb="FF92D050"/>
        <bgColor rgb="FF92D050"/>
      </patternFill>
    </fill>
    <fill>
      <patternFill patternType="solid">
        <fgColor rgb="FF38761D"/>
        <bgColor rgb="FF38761D"/>
      </patternFill>
    </fill>
    <fill>
      <patternFill patternType="solid">
        <fgColor rgb="FFF5DBDC"/>
        <bgColor rgb="FFF5DBDC"/>
      </patternFill>
    </fill>
    <fill>
      <patternFill patternType="solid">
        <fgColor rgb="FF008000"/>
        <bgColor rgb="FF008000"/>
      </patternFill>
    </fill>
    <fill>
      <patternFill patternType="solid">
        <fgColor rgb="FFFFE599"/>
        <bgColor rgb="FFFFE599"/>
      </patternFill>
    </fill>
    <fill>
      <patternFill patternType="solid">
        <fgColor rgb="FF8AB833"/>
        <bgColor rgb="FF8AB833"/>
      </patternFill>
    </fill>
    <fill>
      <patternFill patternType="solid">
        <fgColor rgb="FFA3D960"/>
        <bgColor rgb="FFA3D960"/>
      </patternFill>
    </fill>
    <fill>
      <patternFill patternType="solid">
        <fgColor rgb="FFCAF5DE"/>
        <bgColor rgb="FFCAF5DE"/>
      </patternFill>
    </fill>
    <fill>
      <patternFill patternType="solid">
        <fgColor rgb="FFFF6574"/>
        <bgColor rgb="FFFF6574"/>
      </patternFill>
    </fill>
    <fill>
      <patternFill patternType="solid">
        <fgColor rgb="FFF9CB9C"/>
        <bgColor rgb="FFF9CB9C"/>
      </patternFill>
    </fill>
    <fill>
      <patternFill patternType="solid">
        <fgColor rgb="FFEE3F3F"/>
        <bgColor rgb="FFEE3F3F"/>
      </patternFill>
    </fill>
    <fill>
      <patternFill patternType="solid">
        <fgColor rgb="FFFFF2CC"/>
        <bgColor rgb="FFFFF2CC"/>
      </patternFill>
    </fill>
    <fill>
      <patternFill patternType="solid">
        <fgColor rgb="FFB6D7A8"/>
        <bgColor rgb="FFB6D7A8"/>
      </patternFill>
    </fill>
    <fill>
      <patternFill patternType="solid">
        <fgColor rgb="FFFF5050"/>
        <bgColor rgb="FFFF5050"/>
      </patternFill>
    </fill>
    <fill>
      <patternFill patternType="solid">
        <fgColor rgb="FFF8F9FA"/>
        <bgColor rgb="FFF8F9FA"/>
      </patternFill>
    </fill>
    <fill>
      <patternFill patternType="solid">
        <fgColor rgb="FFEA9999"/>
        <bgColor rgb="FFEA9999"/>
      </patternFill>
    </fill>
    <fill>
      <patternFill patternType="solid">
        <fgColor rgb="FF7CE8AD"/>
        <bgColor rgb="FF7CE8AD"/>
      </patternFill>
    </fill>
    <fill>
      <patternFill patternType="solid">
        <fgColor rgb="FFF65656"/>
        <bgColor rgb="FFF65656"/>
      </patternFill>
    </fill>
    <fill>
      <patternFill patternType="solid">
        <fgColor rgb="FFF6F8F9"/>
        <bgColor rgb="FFF6F8F9"/>
      </patternFill>
    </fill>
    <fill>
      <patternFill patternType="solid">
        <fgColor rgb="FFF1B7EF"/>
        <bgColor rgb="FFF1B7EF"/>
      </patternFill>
    </fill>
  </fills>
  <borders count="81">
    <border/>
    <border>
      <left/>
      <right/>
      <top/>
      <bottom/>
    </border>
    <border>
      <left style="medium">
        <color rgb="FF000000"/>
      </left>
      <top style="medium">
        <color rgb="FF000000"/>
      </top>
      <bottom style="medium">
        <color rgb="FF000000"/>
      </bottom>
    </border>
    <border>
      <left style="thin">
        <color rgb="FF000000"/>
      </left>
      <top style="thin">
        <color rgb="FF000000"/>
      </top>
      <bottom style="thin">
        <color rgb="FF000000"/>
      </bottom>
    </border>
    <border>
      <top style="medium">
        <color rgb="FF000000"/>
      </top>
      <bottom style="medium">
        <color rgb="FF000000"/>
      </bottom>
    </border>
    <border>
      <top style="thin">
        <color rgb="FF000000"/>
      </top>
      <bottom style="thin">
        <color rgb="FF000000"/>
      </bottom>
    </border>
    <border>
      <right style="thin">
        <color rgb="FF000000"/>
      </right>
      <top style="thin">
        <color rgb="FF000000"/>
      </top>
      <bottom style="thin">
        <color rgb="FF000000"/>
      </bottom>
    </border>
    <border>
      <right style="medium">
        <color rgb="FF000000"/>
      </right>
      <top style="medium">
        <color rgb="FF000000"/>
      </top>
      <bottom style="medium">
        <color rgb="FF000000"/>
      </bottom>
    </border>
    <border>
      <left style="thin">
        <color rgb="FF000000"/>
      </left>
      <right style="thin">
        <color rgb="FF000000"/>
      </right>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ttom/>
    </border>
    <border>
      <left style="medium">
        <color rgb="FF000000"/>
      </left>
      <right/>
      <top style="medium">
        <color rgb="FF000000"/>
      </top>
      <bottom/>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bottom style="thin">
        <color rgb="FF000000"/>
      </bottom>
    </border>
    <border>
      <left/>
      <right style="medium">
        <color rgb="FF000000"/>
      </right>
      <top style="medium">
        <color rgb="FF000000"/>
      </top>
      <bottom style="medium">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right/>
      <top style="thin">
        <color rgb="FF000000"/>
      </top>
      <bottom style="thin">
        <color rgb="FF000000"/>
      </bottom>
    </border>
    <border>
      <left style="medium">
        <color rgb="FF000000"/>
      </left>
      <bottom style="thin">
        <color rgb="FF000000"/>
      </bottom>
    </border>
    <border>
      <left style="medium">
        <color rgb="FF000000"/>
      </left>
      <right style="medium">
        <color rgb="FF000000"/>
      </right>
      <bottom style="thin">
        <color rgb="FF000000"/>
      </bottom>
    </border>
    <border>
      <left style="medium">
        <color rgb="FF000000"/>
      </left>
      <right style="thin">
        <color rgb="FF000000"/>
      </right>
      <top style="medium">
        <color rgb="FF000000"/>
      </top>
      <bottom style="medium">
        <color rgb="FF000000"/>
      </bottom>
    </border>
    <border>
      <right style="medium">
        <color rgb="FF000000"/>
      </right>
      <bottom style="thin">
        <color rgb="FF000000"/>
      </bottom>
    </border>
    <border>
      <left style="medium">
        <color rgb="FF000000"/>
      </left>
      <right style="thin">
        <color rgb="FF000000"/>
      </right>
      <top style="thin">
        <color rgb="FF000000"/>
      </top>
      <bottom style="medium">
        <color rgb="FF000000"/>
      </bottom>
    </border>
    <border>
      <left style="thin">
        <color rgb="FF000000"/>
      </left>
    </border>
    <border>
      <right style="thin">
        <color rgb="FF000000"/>
      </right>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style="thin">
        <color rgb="FF000000"/>
      </left>
      <right/>
      <top/>
      <bottom style="thin">
        <color rgb="FF000000"/>
      </bottom>
    </border>
    <border>
      <left/>
      <right style="thin">
        <color rgb="FF000000"/>
      </right>
      <top/>
      <bottom style="thin">
        <color rgb="FF000000"/>
      </bottom>
    </border>
    <border>
      <left style="medium">
        <color rgb="FF000000"/>
      </left>
      <top style="thin">
        <color rgb="FF000000"/>
      </top>
      <bottom style="thin">
        <color rgb="FF000000"/>
      </bottom>
    </border>
    <border>
      <left style="medium">
        <color rgb="FF000000"/>
      </left>
      <right style="medium">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medium">
        <color rgb="FF000000"/>
      </bottom>
    </border>
    <border>
      <left style="medium">
        <color rgb="FF000000"/>
      </left>
      <right style="medium">
        <color rgb="FF000000"/>
      </right>
      <top style="thin">
        <color rgb="FF000000"/>
      </top>
      <bottom style="medium">
        <color rgb="FF000000"/>
      </bottom>
    </border>
    <border>
      <right style="medium">
        <color rgb="FF000000"/>
      </right>
      <top style="thin">
        <color rgb="FF000000"/>
      </top>
      <bottom style="medium">
        <color rgb="FF000000"/>
      </bottom>
    </border>
    <border>
      <left style="thin">
        <color rgb="FF000000"/>
      </left>
      <bottom style="thin">
        <color rgb="FF000000"/>
      </bottom>
    </border>
    <border>
      <right style="thin">
        <color rgb="FF000000"/>
      </right>
      <bottom style="thin">
        <color rgb="FF000000"/>
      </bottom>
    </border>
    <border>
      <bottom style="thin">
        <color rgb="FF000000"/>
      </bottom>
    </border>
    <border>
      <left style="medium">
        <color rgb="FF000000"/>
      </left>
    </border>
    <border>
      <right/>
      <top style="medium">
        <color rgb="FF000000"/>
      </top>
      <bottom style="medium">
        <color rgb="FF000000"/>
      </bottom>
    </border>
    <border>
      <right/>
      <top/>
      <bottom/>
    </border>
    <border>
      <left/>
      <top/>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medium">
        <color rgb="FF000000"/>
      </left>
      <top style="medium">
        <color rgb="FF000000"/>
      </top>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thin">
        <color rgb="FFABABAB"/>
      </left>
    </border>
    <border>
      <left style="medium">
        <color rgb="FF000000"/>
      </left>
      <top/>
      <bottom/>
    </border>
    <border>
      <left style="thin">
        <color rgb="FFABABAB"/>
      </left>
      <right style="thin">
        <color rgb="FFABABAB"/>
      </right>
    </border>
    <border>
      <right style="medium">
        <color rgb="FF000000"/>
      </right>
    </border>
    <border>
      <left style="medium">
        <color rgb="FF000000"/>
      </left>
      <bottom style="medium">
        <color rgb="FF000000"/>
      </bottom>
    </border>
    <border>
      <right style="medium">
        <color rgb="FF000000"/>
      </right>
      <bottom style="medium">
        <color rgb="FF000000"/>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C1C1C1"/>
      </left>
      <right style="thin">
        <color rgb="FFC1C1C1"/>
      </right>
      <top style="thin">
        <color rgb="FFC1C1C1"/>
      </top>
      <bottom style="thin">
        <color rgb="FFC1C1C1"/>
      </bottom>
    </border>
    <border>
      <left style="thin">
        <color rgb="FF000000"/>
      </left>
      <right style="thin">
        <color rgb="FF000000"/>
      </right>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right style="thin">
        <color rgb="FF000000"/>
      </right>
      <top style="medium">
        <color rgb="FF000000"/>
      </top>
      <bottom style="thin">
        <color rgb="FF000000"/>
      </bottom>
    </border>
    <border>
      <left style="medium">
        <color rgb="FF000000"/>
      </left>
      <right style="thin">
        <color rgb="FF000000"/>
      </right>
      <top/>
      <bottom style="thin">
        <color rgb="FF000000"/>
      </bottom>
    </border>
    <border>
      <left style="thin">
        <color rgb="FF000000"/>
      </left>
      <right style="medium">
        <color rgb="FF000000"/>
      </right>
      <top/>
      <bottom style="thin">
        <color rgb="FF000000"/>
      </bottom>
    </border>
    <border>
      <left style="medium">
        <color rgb="FF000000"/>
      </left>
      <right style="medium">
        <color rgb="FF000000"/>
      </right>
      <top/>
      <bottom style="medium">
        <color rgb="FF000000"/>
      </bottom>
    </border>
    <border>
      <right style="thin">
        <color rgb="FFFFFFFF"/>
      </right>
      <top style="thin">
        <color rgb="FFFFFFFF"/>
      </top>
      <bottom style="thin">
        <color rgb="FFFFFFFF"/>
      </bottom>
    </border>
    <border>
      <left style="thin">
        <color rgb="FFFFFFFF"/>
      </left>
      <top style="thin">
        <color rgb="FFFFFFFF"/>
      </top>
    </border>
    <border>
      <right style="thin">
        <color rgb="FFFFFFFF"/>
      </right>
      <top style="thin">
        <color rgb="FFFFFFFF"/>
      </top>
    </border>
    <border>
      <left style="thin">
        <color rgb="FFFFFFFF"/>
      </left>
      <top style="thin">
        <color rgb="FFFFFFFF"/>
      </top>
      <bottom style="thin">
        <color rgb="FFFFFFFF"/>
      </bottom>
    </border>
  </borders>
  <cellStyleXfs count="1">
    <xf borderId="0" fillId="0" fontId="0" numFmtId="0" applyAlignment="1" applyFont="1"/>
  </cellStyleXfs>
  <cellXfs count="679">
    <xf borderId="0" fillId="0" fontId="0" numFmtId="0" xfId="0" applyAlignment="1" applyFont="1">
      <alignment readingOrder="0" shrinkToFit="0" vertical="bottom" wrapText="0"/>
    </xf>
    <xf borderId="0" fillId="0" fontId="1" numFmtId="0" xfId="0" applyAlignment="1" applyFont="1">
      <alignment horizontal="center"/>
    </xf>
    <xf borderId="1" fillId="2" fontId="1" numFmtId="0" xfId="0" applyBorder="1" applyFill="1" applyFont="1"/>
    <xf borderId="0" fillId="0" fontId="2" numFmtId="0" xfId="0" applyFont="1"/>
    <xf borderId="0" fillId="0" fontId="1" numFmtId="0" xfId="0" applyFont="1"/>
    <xf borderId="2" fillId="3" fontId="3" numFmtId="0" xfId="0" applyAlignment="1" applyBorder="1" applyFill="1" applyFont="1">
      <alignment horizontal="center"/>
    </xf>
    <xf borderId="3" fillId="4" fontId="4" numFmtId="166" xfId="0" applyAlignment="1" applyBorder="1" applyFill="1" applyFont="1" applyNumberFormat="1">
      <alignment horizontal="center"/>
    </xf>
    <xf borderId="4" fillId="0" fontId="5" numFmtId="0" xfId="0" applyBorder="1" applyFont="1"/>
    <xf borderId="5" fillId="0" fontId="5" numFmtId="0" xfId="0" applyBorder="1" applyFont="1"/>
    <xf borderId="6" fillId="0" fontId="5" numFmtId="0" xfId="0" applyBorder="1" applyFont="1"/>
    <xf borderId="7" fillId="0" fontId="5" numFmtId="0" xfId="0" applyBorder="1" applyFont="1"/>
    <xf borderId="2" fillId="5" fontId="6" numFmtId="0" xfId="0" applyAlignment="1" applyBorder="1" applyFill="1" applyFont="1">
      <alignment horizontal="center"/>
    </xf>
    <xf borderId="0" fillId="6" fontId="7" numFmtId="0" xfId="0" applyFill="1" applyFont="1"/>
    <xf borderId="0" fillId="0" fontId="8" numFmtId="0" xfId="0" applyAlignment="1" applyFont="1">
      <alignment horizontal="center" shrinkToFit="0" vertical="center" wrapText="1"/>
    </xf>
    <xf borderId="8" fillId="7" fontId="8" numFmtId="0" xfId="0" applyAlignment="1" applyBorder="1" applyFill="1" applyFont="1">
      <alignment horizontal="center" shrinkToFit="0" vertical="center" wrapText="1"/>
    </xf>
    <xf borderId="9" fillId="4" fontId="1" numFmtId="0" xfId="0" applyBorder="1" applyFill="1" applyFont="1"/>
    <xf borderId="10" fillId="8" fontId="1" numFmtId="0" xfId="0" applyAlignment="1" applyBorder="1" applyFill="1" applyFont="1">
      <alignment horizontal="center"/>
    </xf>
    <xf borderId="11" fillId="9" fontId="8" numFmtId="0" xfId="0" applyAlignment="1" applyBorder="1" applyFill="1" applyFont="1">
      <alignment horizontal="center"/>
    </xf>
    <xf borderId="11" fillId="10" fontId="1" numFmtId="0" xfId="0" applyAlignment="1" applyBorder="1" applyFill="1" applyFont="1">
      <alignment horizontal="center"/>
    </xf>
    <xf borderId="11" fillId="9" fontId="9" numFmtId="0" xfId="0" applyAlignment="1" applyBorder="1" applyFill="1" applyFont="1">
      <alignment horizontal="center" readingOrder="0"/>
    </xf>
    <xf borderId="0" fillId="6" fontId="8" numFmtId="0" xfId="0" applyAlignment="1" applyFill="1" applyFont="1">
      <alignment horizontal="center"/>
    </xf>
    <xf borderId="12" fillId="11" fontId="10" numFmtId="0" xfId="0" applyAlignment="1" applyBorder="1" applyFill="1" applyFont="1">
      <alignment horizontal="center" shrinkToFit="0" vertical="center" wrapText="1"/>
    </xf>
    <xf borderId="11" fillId="5" fontId="11" numFmtId="0" xfId="0" applyAlignment="1" applyBorder="1" applyFill="1" applyFont="1">
      <alignment horizontal="center"/>
    </xf>
    <xf borderId="11" fillId="0" fontId="1" numFmtId="0" xfId="0" applyAlignment="1" applyBorder="1" applyFont="1">
      <alignment horizontal="center" vertical="center"/>
    </xf>
    <xf borderId="11" fillId="10" fontId="1" numFmtId="0" xfId="0" applyAlignment="1" applyBorder="1" applyFill="1" applyFont="1">
      <alignment horizontal="center" readingOrder="0"/>
    </xf>
    <xf borderId="13" fillId="11" fontId="10" numFmtId="0" xfId="0" applyAlignment="1" applyBorder="1" applyFill="1" applyFont="1">
      <alignment horizontal="center" shrinkToFit="0" vertical="center" wrapText="1"/>
    </xf>
    <xf borderId="11" fillId="5" fontId="11" numFmtId="166" xfId="0" applyAlignment="1" applyBorder="1" applyFill="1" applyFont="1" applyNumberFormat="1">
      <alignment horizontal="center" vertical="center"/>
    </xf>
    <xf borderId="14" fillId="11" fontId="10" numFmtId="0" xfId="0" applyAlignment="1" applyBorder="1" applyFill="1" applyFont="1">
      <alignment horizontal="center" shrinkToFit="0" vertical="center" wrapText="1"/>
    </xf>
    <xf borderId="0" fillId="6" fontId="11" numFmtId="0" xfId="0" applyAlignment="1" applyFill="1" applyFont="1">
      <alignment horizontal="center" readingOrder="0" vertical="center"/>
    </xf>
    <xf borderId="15" fillId="4" fontId="1" numFmtId="0" xfId="0" applyBorder="1" applyFill="1" applyFont="1"/>
    <xf borderId="0" fillId="6" fontId="11" numFmtId="0" xfId="0" applyAlignment="1" applyFill="1" applyFont="1">
      <alignment horizontal="center" vertical="center"/>
    </xf>
    <xf borderId="11" fillId="0" fontId="1" numFmtId="167" xfId="0" applyAlignment="1" applyBorder="1" applyFont="1" applyNumberFormat="1">
      <alignment horizontal="center"/>
    </xf>
    <xf borderId="2" fillId="11" fontId="10" numFmtId="166" xfId="0" applyAlignment="1" applyBorder="1" applyFill="1" applyFont="1" applyNumberFormat="1">
      <alignment horizontal="center" vertical="center"/>
    </xf>
    <xf borderId="16" fillId="2" fontId="1" numFmtId="20" xfId="0" applyAlignment="1" applyBorder="1" applyFill="1" applyFont="1" applyNumberFormat="1">
      <alignment horizontal="center" readingOrder="0"/>
    </xf>
    <xf borderId="14" fillId="11" fontId="10" numFmtId="0" xfId="0" applyAlignment="1" applyBorder="1" applyFill="1" applyFont="1">
      <alignment horizontal="center" vertical="center"/>
    </xf>
    <xf borderId="11" fillId="0" fontId="4" numFmtId="0" xfId="0" applyAlignment="1" applyBorder="1" applyFont="1">
      <alignment horizontal="center" shrinkToFit="0" wrapText="1"/>
    </xf>
    <xf borderId="11" fillId="0" fontId="7" numFmtId="0" xfId="0" applyBorder="1" applyFont="1"/>
    <xf borderId="0" fillId="0" fontId="1" numFmtId="0" xfId="0" applyAlignment="1" applyFont="1">
      <alignment horizontal="center" shrinkToFit="0" wrapText="1"/>
    </xf>
    <xf borderId="11" fillId="0" fontId="4" numFmtId="1" xfId="0" applyAlignment="1" applyBorder="1" applyFont="1" applyNumberFormat="1">
      <alignment horizontal="center" readingOrder="0"/>
    </xf>
    <xf borderId="0" fillId="6" fontId="2" numFmtId="1" xfId="0" applyAlignment="1" applyFill="1" applyFont="1" applyNumberFormat="1">
      <alignment horizontal="center" vertical="top"/>
    </xf>
    <xf borderId="11" fillId="12" fontId="4" numFmtId="0" xfId="0" applyAlignment="1" applyBorder="1" applyFill="1" applyFont="1">
      <alignment horizontal="center"/>
    </xf>
    <xf borderId="14" fillId="9" fontId="1" numFmtId="0" xfId="0" applyAlignment="1" applyBorder="1" applyFill="1" applyFont="1">
      <alignment horizontal="center"/>
    </xf>
    <xf borderId="0" fillId="6" fontId="12" numFmtId="0" xfId="0" applyAlignment="1" applyFill="1" applyFont="1">
      <alignment vertical="center"/>
    </xf>
    <xf borderId="11" fillId="9" fontId="1" numFmtId="1" xfId="0" applyAlignment="1" applyBorder="1" applyFill="1" applyFont="1" applyNumberFormat="1">
      <alignment horizontal="center"/>
    </xf>
    <xf borderId="2" fillId="12" fontId="8" numFmtId="168" xfId="0" applyAlignment="1" applyBorder="1" applyFill="1" applyFont="1" applyNumberFormat="1">
      <alignment horizontal="center"/>
    </xf>
    <xf borderId="0" fillId="6" fontId="11" numFmtId="0" xfId="0" applyAlignment="1" applyFill="1" applyFont="1">
      <alignment horizontal="center" shrinkToFit="0" vertical="center" wrapText="1"/>
    </xf>
    <xf borderId="11" fillId="0" fontId="4" numFmtId="0" xfId="0" applyAlignment="1" applyBorder="1" applyFont="1">
      <alignment horizontal="center"/>
    </xf>
    <xf borderId="0" fillId="6" fontId="8" numFmtId="1" xfId="0" applyAlignment="1" applyFill="1" applyFont="1" applyNumberFormat="1">
      <alignment horizontal="center" vertical="top"/>
    </xf>
    <xf borderId="2" fillId="0" fontId="4" numFmtId="20" xfId="0" applyAlignment="1" applyBorder="1" applyFont="1" applyNumberFormat="1">
      <alignment horizontal="center" readingOrder="0" vertical="center"/>
    </xf>
    <xf borderId="11" fillId="0" fontId="1" numFmtId="0" xfId="0" applyAlignment="1" applyBorder="1" applyFont="1">
      <alignment horizontal="center" readingOrder="0" shrinkToFit="0" wrapText="1"/>
    </xf>
    <xf borderId="11" fillId="2" fontId="1" numFmtId="1" xfId="0" applyAlignment="1" applyBorder="1" applyFill="1" applyFont="1" applyNumberFormat="1">
      <alignment horizontal="center"/>
    </xf>
    <xf borderId="14" fillId="9" fontId="8" numFmtId="0" xfId="0" applyAlignment="1" applyBorder="1" applyFill="1" applyFont="1">
      <alignment horizontal="center"/>
    </xf>
    <xf borderId="0" fillId="6" fontId="7" numFmtId="0" xfId="0" applyAlignment="1" applyFill="1" applyFont="1">
      <alignment vertical="center"/>
    </xf>
    <xf borderId="16" fillId="0" fontId="1" numFmtId="1" xfId="0" applyAlignment="1" applyBorder="1" applyFont="1" applyNumberFormat="1">
      <alignment horizontal="center" readingOrder="0"/>
    </xf>
    <xf borderId="11" fillId="0" fontId="1" numFmtId="2" xfId="0" applyAlignment="1" applyBorder="1" applyFont="1" applyNumberFormat="1">
      <alignment horizontal="center"/>
    </xf>
    <xf borderId="14" fillId="9" fontId="1" numFmtId="167" xfId="0" applyAlignment="1" applyBorder="1" applyFill="1" applyFont="1" applyNumberFormat="1">
      <alignment horizontal="center"/>
    </xf>
    <xf borderId="14" fillId="9" fontId="8" numFmtId="0" xfId="0" applyAlignment="1" applyBorder="1" applyFill="1" applyFont="1">
      <alignment horizontal="center" readingOrder="0"/>
    </xf>
    <xf borderId="3" fillId="13" fontId="11" numFmtId="0" xfId="0" applyAlignment="1" applyBorder="1" applyFill="1" applyFont="1">
      <alignment horizontal="center" vertical="center"/>
    </xf>
    <xf borderId="14" fillId="14" fontId="8" numFmtId="0" xfId="0" applyAlignment="1" applyBorder="1" applyFill="1" applyFont="1">
      <alignment horizontal="center"/>
    </xf>
    <xf borderId="3" fillId="13" fontId="11" numFmtId="0" xfId="0" applyAlignment="1" applyBorder="1" applyFill="1" applyFont="1">
      <alignment horizontal="center" shrinkToFit="0" vertical="center" wrapText="1"/>
    </xf>
    <xf borderId="11" fillId="0" fontId="1" numFmtId="45" xfId="0" applyAlignment="1" applyBorder="1" applyFont="1" applyNumberFormat="1">
      <alignment horizontal="center"/>
    </xf>
    <xf borderId="0" fillId="0" fontId="7" numFmtId="0" xfId="0" applyAlignment="1" applyFont="1">
      <alignment vertical="center"/>
    </xf>
    <xf borderId="11" fillId="0" fontId="1" numFmtId="0" xfId="0" applyAlignment="1" applyBorder="1" applyFont="1">
      <alignment horizontal="center"/>
    </xf>
    <xf borderId="0" fillId="0" fontId="1" numFmtId="167" xfId="0" applyAlignment="1" applyFont="1" applyNumberFormat="1">
      <alignment horizontal="center"/>
    </xf>
    <xf borderId="11" fillId="0" fontId="4" numFmtId="20" xfId="0" applyAlignment="1" applyBorder="1" applyFont="1" applyNumberFormat="1">
      <alignment horizontal="center"/>
    </xf>
    <xf borderId="11" fillId="13" fontId="11" numFmtId="37" xfId="0" applyAlignment="1" applyBorder="1" applyFill="1" applyFont="1" applyNumberFormat="1">
      <alignment horizontal="center" readingOrder="0" vertical="center"/>
    </xf>
    <xf borderId="14" fillId="12" fontId="4" numFmtId="0" xfId="0" applyAlignment="1" applyBorder="1" applyFill="1" applyFont="1">
      <alignment horizontal="center"/>
    </xf>
    <xf borderId="16" fillId="8" fontId="1" numFmtId="0" xfId="0" applyAlignment="1" applyBorder="1" applyFill="1" applyFont="1">
      <alignment horizontal="center"/>
    </xf>
    <xf borderId="0" fillId="0" fontId="1" numFmtId="0" xfId="0" applyAlignment="1" applyFont="1">
      <alignment horizontal="center" vertical="center"/>
    </xf>
    <xf borderId="11" fillId="13" fontId="13" numFmtId="0" xfId="0" applyAlignment="1" applyBorder="1" applyFill="1" applyFont="1">
      <alignment horizontal="center" vertical="center"/>
    </xf>
    <xf borderId="0" fillId="0" fontId="1" numFmtId="0" xfId="0" applyAlignment="1" applyFont="1">
      <alignment horizontal="center" readingOrder="0"/>
    </xf>
    <xf borderId="17" fillId="0" fontId="1" numFmtId="0" xfId="0" applyAlignment="1" applyBorder="1" applyFont="1">
      <alignment horizontal="center" readingOrder="0" vertical="center"/>
    </xf>
    <xf borderId="18" fillId="12" fontId="4" numFmtId="0" xfId="0" applyAlignment="1" applyBorder="1" applyFill="1" applyFont="1">
      <alignment horizontal="center"/>
    </xf>
    <xf borderId="0" fillId="0" fontId="1" numFmtId="1" xfId="0" applyAlignment="1" applyFont="1" applyNumberFormat="1">
      <alignment horizontal="center"/>
    </xf>
    <xf borderId="11" fillId="13" fontId="13" numFmtId="14" xfId="0" applyAlignment="1" applyBorder="1" applyFill="1" applyFont="1" applyNumberFormat="1">
      <alignment horizontal="center" vertical="center"/>
    </xf>
    <xf borderId="0" fillId="0" fontId="1" numFmtId="2" xfId="0" applyAlignment="1" applyFont="1" applyNumberFormat="1">
      <alignment horizontal="center"/>
    </xf>
    <xf borderId="16" fillId="8" fontId="1" numFmtId="0" xfId="0" applyAlignment="1" applyBorder="1" applyFill="1" applyFont="1">
      <alignment horizontal="center" readingOrder="0"/>
    </xf>
    <xf borderId="0" fillId="0" fontId="1" numFmtId="45" xfId="0" applyAlignment="1" applyFont="1" applyNumberFormat="1">
      <alignment horizontal="center"/>
    </xf>
    <xf borderId="19" fillId="15" fontId="14" numFmtId="0" xfId="0" applyAlignment="1" applyBorder="1" applyFill="1" applyFont="1">
      <alignment horizontal="center"/>
    </xf>
    <xf borderId="0" fillId="0" fontId="8" numFmtId="0" xfId="0" applyAlignment="1" applyFont="1">
      <alignment horizontal="center" shrinkToFit="0" wrapText="1"/>
    </xf>
    <xf borderId="20" fillId="0" fontId="5" numFmtId="0" xfId="0" applyBorder="1" applyFont="1"/>
    <xf borderId="11" fillId="0" fontId="4" numFmtId="1" xfId="0" applyAlignment="1" applyBorder="1" applyFont="1" applyNumberFormat="1">
      <alignment horizontal="center"/>
    </xf>
    <xf borderId="21" fillId="0" fontId="5" numFmtId="0" xfId="0" applyBorder="1" applyFont="1"/>
    <xf borderId="0" fillId="6" fontId="15" numFmtId="169" xfId="0" applyAlignment="1" applyFill="1" applyFont="1" applyNumberFormat="1">
      <alignment horizontal="center" vertical="center"/>
    </xf>
    <xf borderId="16" fillId="0" fontId="1" numFmtId="1" xfId="0" applyAlignment="1" applyBorder="1" applyFont="1" applyNumberFormat="1">
      <alignment horizontal="center"/>
    </xf>
    <xf borderId="22" fillId="9" fontId="1" numFmtId="0" xfId="0" applyAlignment="1" applyBorder="1" applyFill="1" applyFont="1">
      <alignment horizontal="center" readingOrder="0"/>
    </xf>
    <xf borderId="11" fillId="0" fontId="1" numFmtId="20" xfId="0" applyAlignment="1" applyBorder="1" applyFont="1" applyNumberFormat="1">
      <alignment horizontal="center" readingOrder="0"/>
    </xf>
    <xf borderId="3" fillId="16" fontId="16" numFmtId="169" xfId="0" applyAlignment="1" applyBorder="1" applyFill="1" applyFont="1" applyNumberFormat="1">
      <alignment horizontal="center" readingOrder="0" vertical="center"/>
    </xf>
    <xf borderId="23" fillId="0" fontId="1" numFmtId="0" xfId="0" applyAlignment="1" applyBorder="1" applyFont="1">
      <alignment horizontal="center" readingOrder="0" vertical="center"/>
    </xf>
    <xf borderId="24" fillId="6" fontId="3" numFmtId="170" xfId="0" applyAlignment="1" applyBorder="1" applyFill="1" applyFont="1" applyNumberFormat="1">
      <alignment horizontal="center" readingOrder="0" shrinkToFit="0" vertical="center" wrapText="1"/>
    </xf>
    <xf borderId="0" fillId="0" fontId="1" numFmtId="171" xfId="0" applyFont="1" applyNumberFormat="1"/>
    <xf borderId="25" fillId="0" fontId="5" numFmtId="0" xfId="0" applyBorder="1" applyFont="1"/>
    <xf borderId="11" fillId="0" fontId="1" numFmtId="0" xfId="0" applyAlignment="1" applyBorder="1" applyFont="1">
      <alignment horizontal="center" readingOrder="0" vertical="bottom"/>
    </xf>
    <xf borderId="11" fillId="0" fontId="1" numFmtId="172" xfId="0" applyAlignment="1" applyBorder="1" applyFont="1" applyNumberFormat="1">
      <alignment horizontal="center"/>
    </xf>
    <xf borderId="24" fillId="0" fontId="8" numFmtId="1" xfId="0" applyAlignment="1" applyBorder="1" applyFont="1" applyNumberFormat="1">
      <alignment horizontal="center" shrinkToFit="0" vertical="center" wrapText="1"/>
    </xf>
    <xf borderId="26" fillId="0" fontId="5" numFmtId="0" xfId="0" applyBorder="1" applyFont="1"/>
    <xf borderId="14" fillId="0" fontId="4" numFmtId="0" xfId="0" applyAlignment="1" applyBorder="1" applyFont="1">
      <alignment horizontal="center"/>
    </xf>
    <xf borderId="11" fillId="0" fontId="12" numFmtId="37" xfId="0" applyAlignment="1" applyBorder="1" applyFont="1" applyNumberFormat="1">
      <alignment vertical="center"/>
    </xf>
    <xf borderId="14" fillId="2" fontId="1" numFmtId="0" xfId="0" applyBorder="1" applyFill="1" applyFont="1"/>
    <xf borderId="14" fillId="0" fontId="8" numFmtId="0" xfId="0" applyAlignment="1" applyBorder="1" applyFont="1">
      <alignment horizontal="center" readingOrder="0"/>
    </xf>
    <xf borderId="11" fillId="0" fontId="12" numFmtId="37" xfId="0" applyAlignment="1" applyBorder="1" applyFont="1" applyNumberFormat="1">
      <alignment horizontal="center" vertical="center"/>
    </xf>
    <xf borderId="14" fillId="0" fontId="8" numFmtId="0" xfId="0" applyAlignment="1" applyBorder="1" applyFont="1">
      <alignment horizontal="center"/>
    </xf>
    <xf borderId="16" fillId="0" fontId="1" numFmtId="1" xfId="0" applyAlignment="1" applyBorder="1" applyFont="1" applyNumberFormat="1">
      <alignment horizontal="center" vertical="center"/>
    </xf>
    <xf borderId="11" fillId="0" fontId="1" numFmtId="0" xfId="0" applyBorder="1" applyFont="1"/>
    <xf borderId="11" fillId="0" fontId="7" numFmtId="173" xfId="0" applyAlignment="1" applyBorder="1" applyFont="1" applyNumberFormat="1">
      <alignment horizontal="center" vertical="center"/>
    </xf>
    <xf borderId="27" fillId="9" fontId="1" numFmtId="0" xfId="0" applyAlignment="1" applyBorder="1" applyFill="1" applyFont="1">
      <alignment horizontal="center" readingOrder="0" vertical="center"/>
    </xf>
    <xf borderId="28" fillId="0" fontId="1" numFmtId="0" xfId="0" applyAlignment="1" applyBorder="1" applyFont="1">
      <alignment horizontal="center"/>
    </xf>
    <xf borderId="11" fillId="0" fontId="17" numFmtId="37" xfId="0" applyAlignment="1" applyBorder="1" applyFont="1" applyNumberFormat="1">
      <alignment horizontal="center" vertical="center"/>
    </xf>
    <xf borderId="11" fillId="0" fontId="1" numFmtId="0" xfId="0" applyAlignment="1" applyBorder="1" applyFont="1">
      <alignment horizontal="center" readingOrder="0" vertical="center"/>
    </xf>
    <xf borderId="29" fillId="0" fontId="1" numFmtId="0" xfId="0" applyBorder="1" applyFont="1"/>
    <xf borderId="11" fillId="0" fontId="7" numFmtId="10" xfId="0" applyAlignment="1" applyBorder="1" applyFont="1" applyNumberFormat="1">
      <alignment horizontal="center" vertical="center"/>
    </xf>
    <xf borderId="11" fillId="0" fontId="1" numFmtId="21" xfId="0" applyAlignment="1" applyBorder="1" applyFont="1" applyNumberFormat="1">
      <alignment horizontal="center"/>
    </xf>
    <xf borderId="0" fillId="0" fontId="7" numFmtId="0" xfId="0" applyAlignment="1" applyFont="1">
      <alignment readingOrder="0"/>
    </xf>
    <xf borderId="15" fillId="17" fontId="18" numFmtId="0" xfId="0" applyAlignment="1" applyBorder="1" applyFill="1" applyFont="1">
      <alignment horizontal="center" shrinkToFit="0" wrapText="1"/>
    </xf>
    <xf borderId="11" fillId="17" fontId="18" numFmtId="0" xfId="0" applyAlignment="1" applyBorder="1" applyFill="1" applyFont="1">
      <alignment horizontal="center" shrinkToFit="0" wrapText="1"/>
    </xf>
    <xf borderId="30" fillId="6" fontId="8" numFmtId="0" xfId="0" applyAlignment="1" applyBorder="1" applyFill="1" applyFont="1">
      <alignment horizontal="center" shrinkToFit="0" vertical="center" wrapText="1"/>
    </xf>
    <xf borderId="31" fillId="0" fontId="1" numFmtId="171" xfId="0" applyAlignment="1" applyBorder="1" applyFont="1" applyNumberFormat="1">
      <alignment horizontal="center"/>
    </xf>
    <xf borderId="32" fillId="4" fontId="1" numFmtId="0" xfId="0" applyBorder="1" applyFill="1" applyFont="1"/>
    <xf borderId="16" fillId="17" fontId="18" numFmtId="0" xfId="0" applyAlignment="1" applyBorder="1" applyFill="1" applyFont="1">
      <alignment horizontal="center" shrinkToFit="0" wrapText="1"/>
    </xf>
    <xf borderId="7" fillId="0" fontId="4" numFmtId="0" xfId="0" applyAlignment="1" applyBorder="1" applyFont="1">
      <alignment horizontal="center"/>
    </xf>
    <xf borderId="0" fillId="0" fontId="1" numFmtId="21" xfId="0" applyFont="1" applyNumberFormat="1"/>
    <xf borderId="33" fillId="0" fontId="5" numFmtId="0" xfId="0" applyBorder="1" applyFont="1"/>
    <xf borderId="34" fillId="0" fontId="5" numFmtId="0" xfId="0" applyBorder="1" applyFont="1"/>
    <xf borderId="35" fillId="0" fontId="1" numFmtId="1" xfId="0" applyAlignment="1" applyBorder="1" applyFont="1" applyNumberFormat="1">
      <alignment horizontal="center" vertical="center"/>
    </xf>
    <xf borderId="11" fillId="18" fontId="12" numFmtId="37" xfId="0" applyAlignment="1" applyBorder="1" applyFill="1" applyFont="1" applyNumberFormat="1">
      <alignment vertical="center"/>
    </xf>
    <xf borderId="22" fillId="9" fontId="1" numFmtId="0" xfId="0" applyAlignment="1" applyBorder="1" applyFill="1" applyFont="1">
      <alignment horizontal="center" readingOrder="0" vertical="center"/>
    </xf>
    <xf borderId="0" fillId="0" fontId="1" numFmtId="21" xfId="0" applyAlignment="1" applyFont="1" applyNumberFormat="1">
      <alignment horizontal="center"/>
    </xf>
    <xf borderId="0" fillId="0" fontId="1" numFmtId="1" xfId="0" applyFont="1" applyNumberFormat="1"/>
    <xf borderId="1" fillId="6" fontId="8" numFmtId="0" xfId="0" applyAlignment="1" applyBorder="1" applyFill="1" applyFont="1">
      <alignment horizontal="center" shrinkToFit="0" vertical="center" wrapText="1"/>
    </xf>
    <xf borderId="0" fillId="0" fontId="4" numFmtId="0" xfId="0" applyAlignment="1" applyFont="1">
      <alignment horizontal="center"/>
    </xf>
    <xf borderId="8" fillId="9" fontId="1" numFmtId="0" xfId="0" applyAlignment="1" applyBorder="1" applyFill="1" applyFont="1">
      <alignment horizontal="center"/>
    </xf>
    <xf borderId="15" fillId="0" fontId="19" numFmtId="0" xfId="0" applyAlignment="1" applyBorder="1" applyFont="1">
      <alignment horizontal="center" vertical="center"/>
    </xf>
    <xf borderId="36" fillId="9" fontId="8" numFmtId="0" xfId="0" applyAlignment="1" applyBorder="1" applyFill="1" applyFont="1">
      <alignment horizontal="center" shrinkToFit="0" vertical="center" wrapText="1"/>
    </xf>
    <xf borderId="18" fillId="9" fontId="8" numFmtId="22" xfId="0" applyAlignment="1" applyBorder="1" applyFill="1" applyFont="1" applyNumberFormat="1">
      <alignment horizontal="center" shrinkToFit="0" vertical="center" wrapText="1"/>
    </xf>
    <xf borderId="11" fillId="0" fontId="19" numFmtId="0" xfId="0" applyAlignment="1" applyBorder="1" applyFont="1">
      <alignment horizontal="center" vertical="center"/>
    </xf>
    <xf borderId="11" fillId="0" fontId="19" numFmtId="3" xfId="0" applyAlignment="1" applyBorder="1" applyFont="1" applyNumberFormat="1">
      <alignment horizontal="center" readingOrder="0" vertical="center"/>
    </xf>
    <xf borderId="37" fillId="4" fontId="8" numFmtId="167" xfId="0" applyAlignment="1" applyBorder="1" applyFill="1" applyFont="1" applyNumberFormat="1">
      <alignment horizontal="center" shrinkToFit="0" vertical="center" wrapText="1"/>
    </xf>
    <xf borderId="0" fillId="0" fontId="1" numFmtId="174" xfId="0" applyFont="1" applyNumberFormat="1"/>
    <xf borderId="16" fillId="0" fontId="19" numFmtId="173" xfId="0" applyAlignment="1" applyBorder="1" applyFont="1" applyNumberFormat="1">
      <alignment horizontal="center" vertical="center"/>
    </xf>
    <xf borderId="0" fillId="6" fontId="20" numFmtId="0" xfId="0" applyAlignment="1" applyFill="1" applyFont="1">
      <alignment horizontal="center" shrinkToFit="0" vertical="center" wrapText="1"/>
    </xf>
    <xf borderId="11" fillId="12" fontId="20" numFmtId="0" xfId="0" applyAlignment="1" applyBorder="1" applyFill="1" applyFont="1">
      <alignment horizontal="left" shrinkToFit="0" vertical="center" wrapText="1"/>
    </xf>
    <xf borderId="11" fillId="0" fontId="4" numFmtId="167" xfId="0" applyAlignment="1" applyBorder="1" applyFont="1" applyNumberFormat="1">
      <alignment horizontal="center" vertical="center"/>
    </xf>
    <xf borderId="38" fillId="4" fontId="8" numFmtId="167" xfId="0" applyAlignment="1" applyBorder="1" applyFill="1" applyFont="1" applyNumberFormat="1">
      <alignment horizontal="center" shrinkToFit="0" vertical="center" wrapText="1"/>
    </xf>
    <xf borderId="0" fillId="6" fontId="2" numFmtId="173" xfId="0" applyAlignment="1" applyFill="1" applyFont="1" applyNumberFormat="1">
      <alignment horizontal="center" vertical="top"/>
    </xf>
    <xf borderId="39" fillId="0" fontId="1" numFmtId="0" xfId="0" applyAlignment="1" applyBorder="1" applyFont="1">
      <alignment horizontal="center"/>
    </xf>
    <xf borderId="1" fillId="6" fontId="1" numFmtId="0" xfId="0" applyBorder="1" applyFill="1" applyFont="1"/>
    <xf borderId="40" fillId="0" fontId="1" numFmtId="0" xfId="0" applyBorder="1" applyFont="1"/>
    <xf borderId="11" fillId="0" fontId="20" numFmtId="1" xfId="0" applyAlignment="1" applyBorder="1" applyFont="1" applyNumberFormat="1">
      <alignment horizontal="center" vertical="center"/>
    </xf>
    <xf borderId="0" fillId="0" fontId="1" numFmtId="1" xfId="0" applyAlignment="1" applyFont="1" applyNumberFormat="1">
      <alignment horizontal="center" vertical="center"/>
    </xf>
    <xf borderId="41" fillId="0" fontId="1" numFmtId="0" xfId="0" applyAlignment="1" applyBorder="1" applyFont="1">
      <alignment horizontal="center" readingOrder="0"/>
    </xf>
    <xf borderId="11" fillId="6" fontId="8" numFmtId="1" xfId="0" applyAlignment="1" applyBorder="1" applyFill="1" applyFont="1" applyNumberFormat="1">
      <alignment horizontal="center" vertical="top"/>
    </xf>
    <xf borderId="11" fillId="0" fontId="4" numFmtId="1" xfId="0" applyAlignment="1" applyBorder="1" applyFont="1" applyNumberFormat="1">
      <alignment horizontal="center" readingOrder="0" shrinkToFit="0" vertical="center" wrapText="1"/>
    </xf>
    <xf borderId="11" fillId="6" fontId="8" numFmtId="1" xfId="0" applyAlignment="1" applyBorder="1" applyFill="1" applyFont="1" applyNumberFormat="1">
      <alignment horizontal="center" shrinkToFit="0" vertical="center" wrapText="1"/>
    </xf>
    <xf borderId="11" fillId="0" fontId="20" numFmtId="20" xfId="0" applyAlignment="1" applyBorder="1" applyFont="1" applyNumberFormat="1">
      <alignment horizontal="center" vertical="center"/>
    </xf>
    <xf borderId="9" fillId="4" fontId="1" numFmtId="0" xfId="0" applyAlignment="1" applyBorder="1" applyFill="1" applyFont="1">
      <alignment horizontal="center"/>
    </xf>
    <xf borderId="10" fillId="0" fontId="1" numFmtId="20" xfId="0" applyAlignment="1" applyBorder="1" applyFont="1" applyNumberFormat="1">
      <alignment horizontal="center"/>
    </xf>
    <xf borderId="0" fillId="6" fontId="1" numFmtId="0" xfId="0" applyAlignment="1" applyFill="1" applyFont="1">
      <alignment horizontal="center"/>
    </xf>
    <xf borderId="14" fillId="19" fontId="4" numFmtId="0" xfId="0" applyAlignment="1" applyBorder="1" applyFill="1" applyFont="1">
      <alignment horizontal="center"/>
    </xf>
    <xf borderId="1" fillId="6" fontId="8" numFmtId="1" xfId="0" applyAlignment="1" applyBorder="1" applyFill="1" applyFont="1" applyNumberFormat="1">
      <alignment horizontal="center" shrinkToFit="0" vertical="center" wrapText="1"/>
    </xf>
    <xf borderId="15" fillId="4" fontId="1" numFmtId="0" xfId="0" applyAlignment="1" applyBorder="1" applyFill="1" applyFont="1">
      <alignment horizontal="center"/>
    </xf>
    <xf borderId="14" fillId="19" fontId="8" numFmtId="0" xfId="0" applyAlignment="1" applyBorder="1" applyFill="1" applyFont="1">
      <alignment horizontal="center"/>
    </xf>
    <xf borderId="16" fillId="9" fontId="1" numFmtId="20" xfId="0" applyAlignment="1" applyBorder="1" applyFill="1" applyFont="1" applyNumberFormat="1">
      <alignment horizontal="center"/>
    </xf>
    <xf borderId="11" fillId="0" fontId="1" numFmtId="1" xfId="0" applyBorder="1" applyFont="1" applyNumberFormat="1"/>
    <xf borderId="11" fillId="0" fontId="4" numFmtId="173" xfId="0" applyAlignment="1" applyBorder="1" applyFont="1" applyNumberFormat="1">
      <alignment horizontal="center" shrinkToFit="0" wrapText="1"/>
    </xf>
    <xf borderId="41" fillId="0" fontId="1" numFmtId="0" xfId="0" applyAlignment="1" applyBorder="1" applyFont="1">
      <alignment horizontal="center"/>
    </xf>
    <xf borderId="11" fillId="6" fontId="8" numFmtId="173" xfId="0" applyAlignment="1" applyBorder="1" applyFill="1" applyFont="1" applyNumberFormat="1">
      <alignment horizontal="center" readingOrder="0" vertical="top"/>
    </xf>
    <xf borderId="0" fillId="6" fontId="1" numFmtId="0" xfId="0" applyFill="1" applyFont="1"/>
    <xf borderId="11" fillId="12" fontId="20" numFmtId="0" xfId="0" applyAlignment="1" applyBorder="1" applyFill="1" applyFont="1">
      <alignment horizontal="left" readingOrder="0" shrinkToFit="0" vertical="center" wrapText="1"/>
    </xf>
    <xf borderId="32" fillId="4" fontId="1" numFmtId="0" xfId="0" applyAlignment="1" applyBorder="1" applyFill="1" applyFont="1">
      <alignment horizontal="center"/>
    </xf>
    <xf borderId="11" fillId="0" fontId="1" numFmtId="0" xfId="0" applyAlignment="1" applyBorder="1" applyFont="1">
      <alignment horizontal="center" readingOrder="0"/>
    </xf>
    <xf borderId="35" fillId="0" fontId="1" numFmtId="20" xfId="0" applyAlignment="1" applyBorder="1" applyFont="1" applyNumberFormat="1">
      <alignment horizontal="center"/>
    </xf>
    <xf borderId="11" fillId="2" fontId="1" numFmtId="0" xfId="0" applyAlignment="1" applyBorder="1" applyFill="1" applyFont="1">
      <alignment horizontal="center"/>
    </xf>
    <xf borderId="41" fillId="0" fontId="1" numFmtId="1" xfId="0" applyAlignment="1" applyBorder="1" applyFont="1" applyNumberFormat="1">
      <alignment horizontal="center"/>
    </xf>
    <xf borderId="11" fillId="0" fontId="4" numFmtId="9" xfId="0" applyAlignment="1" applyBorder="1" applyFont="1" applyNumberFormat="1">
      <alignment horizontal="center" readingOrder="0" shrinkToFit="0" wrapText="1"/>
    </xf>
    <xf borderId="11" fillId="9" fontId="20" numFmtId="9" xfId="0" applyAlignment="1" applyBorder="1" applyFill="1" applyFont="1" applyNumberFormat="1">
      <alignment horizontal="center" vertical="center"/>
    </xf>
    <xf borderId="11" fillId="0" fontId="1" numFmtId="1" xfId="0" applyAlignment="1" applyBorder="1" applyFont="1" applyNumberFormat="1">
      <alignment horizontal="center"/>
    </xf>
    <xf borderId="11" fillId="6" fontId="8" numFmtId="173" xfId="0" applyAlignment="1" applyBorder="1" applyFill="1" applyFont="1" applyNumberFormat="1">
      <alignment horizontal="center" vertical="top"/>
    </xf>
    <xf borderId="0" fillId="0" fontId="1" numFmtId="167" xfId="0" applyFont="1" applyNumberFormat="1"/>
    <xf borderId="0" fillId="0" fontId="7" numFmtId="20" xfId="0" applyAlignment="1" applyFont="1" applyNumberFormat="1">
      <alignment readingOrder="0"/>
    </xf>
    <xf borderId="0" fillId="0" fontId="1" numFmtId="167" xfId="0" applyAlignment="1" applyFont="1" applyNumberFormat="1">
      <alignment horizontal="left"/>
    </xf>
    <xf borderId="42" fillId="0" fontId="1" numFmtId="0" xfId="0" applyAlignment="1" applyBorder="1" applyFont="1">
      <alignment horizontal="center"/>
    </xf>
    <xf borderId="16" fillId="0" fontId="2" numFmtId="173" xfId="0" applyAlignment="1" applyBorder="1" applyFont="1" applyNumberFormat="1">
      <alignment horizontal="center" vertical="center"/>
    </xf>
    <xf borderId="0" fillId="0" fontId="7" numFmtId="20" xfId="0" applyFont="1" applyNumberFormat="1"/>
    <xf borderId="43" fillId="0" fontId="1" numFmtId="0" xfId="0" applyBorder="1" applyFont="1"/>
    <xf borderId="0" fillId="0" fontId="1" numFmtId="20" xfId="0" applyFont="1" applyNumberFormat="1"/>
    <xf borderId="44" fillId="0" fontId="1" numFmtId="171" xfId="0" applyAlignment="1" applyBorder="1" applyFont="1" applyNumberFormat="1">
      <alignment horizontal="center"/>
    </xf>
    <xf borderId="11" fillId="9" fontId="8" numFmtId="173" xfId="0" applyAlignment="1" applyBorder="1" applyFill="1" applyFont="1" applyNumberFormat="1">
      <alignment horizontal="center" vertical="top"/>
    </xf>
    <xf borderId="11" fillId="12" fontId="20" numFmtId="0" xfId="0" applyAlignment="1" applyBorder="1" applyFill="1" applyFont="1">
      <alignment horizontal="left" shrinkToFit="0" vertical="center" wrapText="0"/>
    </xf>
    <xf borderId="0" fillId="0" fontId="1" numFmtId="171" xfId="0" applyAlignment="1" applyFont="1" applyNumberFormat="1">
      <alignment horizontal="center"/>
    </xf>
    <xf borderId="11" fillId="9" fontId="20" numFmtId="1" xfId="0" applyAlignment="1" applyBorder="1" applyFill="1" applyFont="1" applyNumberFormat="1">
      <alignment horizontal="center" vertical="center"/>
    </xf>
    <xf borderId="0" fillId="0" fontId="7" numFmtId="175" xfId="0" applyAlignment="1" applyFont="1" applyNumberFormat="1">
      <alignment readingOrder="0"/>
    </xf>
    <xf borderId="11" fillId="0" fontId="7" numFmtId="0" xfId="0" applyAlignment="1" applyBorder="1" applyFont="1">
      <alignment horizontal="center" vertical="center"/>
    </xf>
    <xf borderId="0" fillId="6" fontId="11" numFmtId="166" xfId="0" applyAlignment="1" applyFill="1" applyFont="1" applyNumberFormat="1">
      <alignment horizontal="center" vertical="center"/>
    </xf>
    <xf borderId="11" fillId="0" fontId="20" numFmtId="167" xfId="0" applyAlignment="1" applyBorder="1" applyFont="1" applyNumberFormat="1">
      <alignment horizontal="center" vertical="center"/>
    </xf>
    <xf borderId="2" fillId="0" fontId="4" numFmtId="1" xfId="0" applyAlignment="1" applyBorder="1" applyFont="1" applyNumberFormat="1">
      <alignment horizontal="center" vertical="center"/>
    </xf>
    <xf borderId="45" fillId="0" fontId="5" numFmtId="0" xfId="0" applyBorder="1" applyFont="1"/>
    <xf borderId="46" fillId="0" fontId="5" numFmtId="0" xfId="0" applyBorder="1" applyFont="1"/>
    <xf borderId="0" fillId="0" fontId="7" numFmtId="1" xfId="0" applyAlignment="1" applyFont="1" applyNumberFormat="1">
      <alignment readingOrder="0"/>
    </xf>
    <xf borderId="47" fillId="0" fontId="5" numFmtId="0" xfId="0" applyBorder="1" applyFont="1"/>
    <xf borderId="11" fillId="0" fontId="9" numFmtId="0" xfId="0" applyAlignment="1" applyBorder="1" applyFont="1">
      <alignment vertical="center"/>
    </xf>
    <xf borderId="0" fillId="6" fontId="4" numFmtId="0" xfId="0" applyAlignment="1" applyFill="1" applyFont="1">
      <alignment horizontal="center"/>
    </xf>
    <xf borderId="11" fillId="0" fontId="21" numFmtId="37" xfId="0" applyAlignment="1" applyBorder="1" applyFont="1" applyNumberFormat="1">
      <alignment horizontal="center" vertical="center"/>
    </xf>
    <xf borderId="11" fillId="0" fontId="21" numFmtId="0" xfId="0" applyAlignment="1" applyBorder="1" applyFont="1">
      <alignment horizontal="center" vertical="center"/>
    </xf>
    <xf borderId="0" fillId="0" fontId="7" numFmtId="0" xfId="0" applyFont="1"/>
    <xf borderId="0" fillId="0" fontId="1" numFmtId="1" xfId="0" applyAlignment="1" applyFont="1" applyNumberFormat="1">
      <alignment readingOrder="0"/>
    </xf>
    <xf borderId="11" fillId="0" fontId="22" numFmtId="0" xfId="0" applyAlignment="1" applyBorder="1" applyFont="1">
      <alignment horizontal="center" vertical="center"/>
    </xf>
    <xf borderId="0" fillId="6" fontId="1" numFmtId="0" xfId="0" applyAlignment="1" applyFill="1" applyFont="1">
      <alignment horizontal="center" shrinkToFit="0" wrapText="1"/>
    </xf>
    <xf borderId="0" fillId="0" fontId="7" numFmtId="20" xfId="0" applyFont="1" applyNumberFormat="1"/>
    <xf borderId="0" fillId="0" fontId="1" numFmtId="20" xfId="0" applyAlignment="1" applyFont="1" applyNumberFormat="1">
      <alignment readingOrder="0"/>
    </xf>
    <xf borderId="0" fillId="0" fontId="1" numFmtId="20" xfId="0" applyFont="1" applyNumberFormat="1"/>
    <xf borderId="0" fillId="0" fontId="7" numFmtId="46" xfId="0" applyAlignment="1" applyFont="1" applyNumberFormat="1">
      <alignment readingOrder="0"/>
    </xf>
    <xf borderId="0" fillId="0" fontId="7" numFmtId="1" xfId="0" applyFont="1" applyNumberFormat="1"/>
    <xf borderId="48" fillId="13" fontId="11" numFmtId="0" xfId="0" applyAlignment="1" applyBorder="1" applyFill="1" applyFont="1">
      <alignment horizontal="center" vertical="center"/>
    </xf>
    <xf borderId="0" fillId="13" fontId="12" numFmtId="0" xfId="0" applyAlignment="1" applyFill="1" applyFont="1">
      <alignment vertical="center"/>
    </xf>
    <xf borderId="0" fillId="0" fontId="7" numFmtId="167" xfId="0" applyFont="1" applyNumberFormat="1"/>
    <xf borderId="0" fillId="0" fontId="7" numFmtId="173" xfId="0" applyAlignment="1" applyFont="1" applyNumberFormat="1">
      <alignment readingOrder="0"/>
    </xf>
    <xf borderId="11" fillId="12" fontId="8" numFmtId="0" xfId="0" applyAlignment="1" applyBorder="1" applyFill="1" applyFont="1">
      <alignment horizontal="center" vertical="center"/>
    </xf>
    <xf borderId="0" fillId="0" fontId="7" numFmtId="173" xfId="0" applyFont="1" applyNumberFormat="1"/>
    <xf borderId="11" fillId="12" fontId="8" numFmtId="0" xfId="0" applyAlignment="1" applyBorder="1" applyFill="1" applyFont="1">
      <alignment horizontal="center" shrinkToFit="0" vertical="center" wrapText="1"/>
    </xf>
    <xf borderId="24" fillId="12" fontId="8" numFmtId="0" xfId="0" applyAlignment="1" applyBorder="1" applyFill="1" applyFont="1">
      <alignment horizontal="center" vertical="center"/>
    </xf>
    <xf borderId="25" fillId="12" fontId="20" numFmtId="0" xfId="0" applyAlignment="1" applyBorder="1" applyFill="1" applyFont="1">
      <alignment horizontal="center" vertical="center"/>
    </xf>
    <xf borderId="0" fillId="6" fontId="1" numFmtId="176" xfId="0" applyFill="1" applyFont="1" applyNumberFormat="1"/>
    <xf borderId="0" fillId="0" fontId="1" numFmtId="176" xfId="0" applyFont="1" applyNumberFormat="1"/>
    <xf borderId="11" fillId="0" fontId="20" numFmtId="0" xfId="0" applyAlignment="1" applyBorder="1" applyFont="1">
      <alignment horizontal="center" readingOrder="0" vertical="center"/>
    </xf>
    <xf borderId="11" fillId="0" fontId="20" numFmtId="49" xfId="0" applyAlignment="1" applyBorder="1" applyFont="1" applyNumberFormat="1">
      <alignment horizontal="left" readingOrder="0" vertical="center"/>
    </xf>
    <xf borderId="14" fillId="11" fontId="10" numFmtId="0" xfId="0" applyAlignment="1" applyBorder="1" applyFill="1" applyFont="1">
      <alignment horizontal="center"/>
    </xf>
    <xf borderId="3" fillId="0" fontId="20" numFmtId="37" xfId="0" applyAlignment="1" applyBorder="1" applyFont="1" applyNumberFormat="1">
      <alignment horizontal="center" readingOrder="0" vertical="center"/>
    </xf>
    <xf borderId="3" fillId="0" fontId="20" numFmtId="173" xfId="0" applyAlignment="1" applyBorder="1" applyFont="1" applyNumberFormat="1">
      <alignment horizontal="center" vertical="center"/>
    </xf>
    <xf borderId="0" fillId="0" fontId="23" numFmtId="0" xfId="0" applyFont="1"/>
    <xf borderId="3" fillId="0" fontId="20" numFmtId="0" xfId="0" applyAlignment="1" applyBorder="1" applyFont="1">
      <alignment horizontal="center" readingOrder="0" vertical="center"/>
    </xf>
    <xf borderId="0" fillId="0" fontId="7" numFmtId="0" xfId="0" applyAlignment="1" applyFont="1">
      <alignment readingOrder="0" vertical="center"/>
    </xf>
    <xf borderId="1" fillId="6" fontId="2" numFmtId="0" xfId="0" applyBorder="1" applyFill="1" applyFont="1"/>
    <xf borderId="2" fillId="11" fontId="10" numFmtId="0" xfId="0" applyAlignment="1" applyBorder="1" applyFill="1" applyFont="1">
      <alignment horizontal="center"/>
    </xf>
    <xf borderId="49" fillId="0" fontId="5" numFmtId="0" xfId="0" applyBorder="1" applyFont="1"/>
    <xf borderId="0" fillId="6" fontId="2" numFmtId="0" xfId="0" applyFill="1" applyFont="1"/>
    <xf borderId="50" fillId="6" fontId="2" numFmtId="0" xfId="0" applyBorder="1" applyFill="1" applyFont="1"/>
    <xf borderId="11" fillId="0" fontId="20" numFmtId="0" xfId="0" applyAlignment="1" applyBorder="1" applyFont="1">
      <alignment horizontal="center" vertical="center"/>
    </xf>
    <xf borderId="50" fillId="6" fontId="1" numFmtId="0" xfId="0" applyBorder="1" applyFill="1" applyFont="1"/>
    <xf borderId="0" fillId="0" fontId="1" numFmtId="2" xfId="0" applyFont="1" applyNumberFormat="1"/>
    <xf borderId="11" fillId="0" fontId="20" numFmtId="37" xfId="0" applyAlignment="1" applyBorder="1" applyFont="1" applyNumberFormat="1">
      <alignment horizontal="center" readingOrder="0" vertical="center"/>
    </xf>
    <xf borderId="11" fillId="6" fontId="4" numFmtId="0" xfId="0" applyAlignment="1" applyBorder="1" applyFill="1" applyFont="1">
      <alignment horizontal="center"/>
    </xf>
    <xf borderId="3" fillId="0" fontId="8" numFmtId="0" xfId="0" applyAlignment="1" applyBorder="1" applyFont="1">
      <alignment horizontal="center" readingOrder="0" vertical="center"/>
    </xf>
    <xf borderId="11" fillId="6" fontId="1" numFmtId="0" xfId="0" applyAlignment="1" applyBorder="1" applyFill="1" applyFont="1">
      <alignment horizontal="center"/>
    </xf>
    <xf borderId="2" fillId="12" fontId="4" numFmtId="0" xfId="0" applyAlignment="1" applyBorder="1" applyFill="1" applyFont="1">
      <alignment horizontal="center" shrinkToFit="0" vertical="center" wrapText="1"/>
    </xf>
    <xf borderId="14" fillId="12" fontId="4" numFmtId="0" xfId="0" applyAlignment="1" applyBorder="1" applyFill="1" applyFont="1">
      <alignment horizontal="center" shrinkToFit="0" vertical="center" wrapText="1"/>
    </xf>
    <xf borderId="11" fillId="4" fontId="1" numFmtId="0" xfId="0" applyAlignment="1" applyBorder="1" applyFill="1" applyFont="1">
      <alignment horizontal="center"/>
    </xf>
    <xf borderId="11" fillId="6" fontId="20" numFmtId="1" xfId="0" applyAlignment="1" applyBorder="1" applyFill="1" applyFont="1" applyNumberFormat="1">
      <alignment horizontal="center" vertical="center"/>
    </xf>
    <xf borderId="11" fillId="4" fontId="4" numFmtId="0" xfId="0" applyAlignment="1" applyBorder="1" applyFill="1" applyFont="1">
      <alignment horizontal="center"/>
    </xf>
    <xf borderId="11" fillId="6" fontId="20" numFmtId="37" xfId="0" applyAlignment="1" applyBorder="1" applyFill="1" applyFont="1" applyNumberFormat="1">
      <alignment horizontal="center" readingOrder="0" vertical="center"/>
    </xf>
    <xf borderId="3" fillId="0" fontId="4" numFmtId="37" xfId="0" applyAlignment="1" applyBorder="1" applyFont="1" applyNumberFormat="1">
      <alignment horizontal="center" readingOrder="0" vertical="center"/>
    </xf>
    <xf borderId="1" fillId="6" fontId="1" numFmtId="0" xfId="0" applyAlignment="1" applyBorder="1" applyFill="1" applyFont="1">
      <alignment horizontal="center"/>
    </xf>
    <xf borderId="0" fillId="0" fontId="7" numFmtId="0" xfId="0" applyAlignment="1" applyFont="1">
      <alignment vertical="center"/>
    </xf>
    <xf borderId="0" fillId="0" fontId="7" numFmtId="173" xfId="0" applyAlignment="1" applyFont="1" applyNumberFormat="1">
      <alignment vertical="center"/>
    </xf>
    <xf borderId="51" fillId="6" fontId="2" numFmtId="0" xfId="0" applyBorder="1" applyFill="1" applyFont="1"/>
    <xf borderId="42" fillId="15" fontId="24" numFmtId="0" xfId="0" applyAlignment="1" applyBorder="1" applyFill="1" applyFont="1">
      <alignment horizontal="center" vertical="center"/>
    </xf>
    <xf borderId="52" fillId="0" fontId="5" numFmtId="0" xfId="0" applyBorder="1" applyFont="1"/>
    <xf borderId="2" fillId="0" fontId="4" numFmtId="20" xfId="0" applyAlignment="1" applyBorder="1" applyFont="1" applyNumberFormat="1">
      <alignment horizontal="center" vertical="center"/>
    </xf>
    <xf borderId="4" fillId="0" fontId="4" numFmtId="20" xfId="0" applyAlignment="1" applyBorder="1" applyFont="1" applyNumberFormat="1">
      <alignment horizontal="center" vertical="center"/>
    </xf>
    <xf borderId="53" fillId="15" fontId="24" numFmtId="3" xfId="0" applyAlignment="1" applyBorder="1" applyFill="1" applyFont="1" applyNumberFormat="1">
      <alignment horizontal="center" vertical="center"/>
    </xf>
    <xf borderId="51" fillId="6" fontId="1" numFmtId="0" xfId="0" applyBorder="1" applyFill="1" applyFont="1"/>
    <xf borderId="14" fillId="0" fontId="4" numFmtId="20" xfId="0" applyAlignment="1" applyBorder="1" applyFont="1" applyNumberFormat="1">
      <alignment horizontal="center"/>
    </xf>
    <xf borderId="35" fillId="15" fontId="24" numFmtId="173" xfId="0" applyAlignment="1" applyBorder="1" applyFill="1" applyFont="1" applyNumberFormat="1">
      <alignment horizontal="center" vertical="center"/>
    </xf>
    <xf borderId="11" fillId="0" fontId="1" numFmtId="0" xfId="0" applyAlignment="1" applyBorder="1" applyFont="1">
      <alignment horizontal="center" shrinkToFit="0" wrapText="1"/>
    </xf>
    <xf borderId="0" fillId="6" fontId="4" numFmtId="166" xfId="0" applyAlignment="1" applyFill="1" applyFont="1" applyNumberFormat="1">
      <alignment horizontal="center"/>
    </xf>
    <xf borderId="11" fillId="6" fontId="20" numFmtId="173" xfId="0" applyAlignment="1" applyBorder="1" applyFill="1" applyFont="1" applyNumberFormat="1">
      <alignment horizontal="center" vertical="center"/>
    </xf>
    <xf borderId="2" fillId="6" fontId="4" numFmtId="166" xfId="0" applyAlignment="1" applyBorder="1" applyFill="1" applyFont="1" applyNumberFormat="1">
      <alignment horizontal="center"/>
    </xf>
    <xf borderId="12" fillId="7" fontId="8" numFmtId="0" xfId="0" applyAlignment="1" applyBorder="1" applyFill="1" applyFont="1">
      <alignment horizontal="center"/>
    </xf>
    <xf borderId="11" fillId="0" fontId="20" numFmtId="173" xfId="0" applyAlignment="1" applyBorder="1" applyFont="1" applyNumberFormat="1">
      <alignment horizontal="center" vertical="center"/>
    </xf>
    <xf borderId="54" fillId="7" fontId="8" numFmtId="0" xfId="0" applyAlignment="1" applyBorder="1" applyFill="1" applyFont="1">
      <alignment horizontal="center"/>
    </xf>
    <xf borderId="2" fillId="11" fontId="10" numFmtId="1" xfId="0" applyAlignment="1" applyBorder="1" applyFill="1" applyFont="1" applyNumberFormat="1">
      <alignment horizontal="center"/>
    </xf>
    <xf borderId="19" fillId="0" fontId="4" numFmtId="0" xfId="0" applyAlignment="1" applyBorder="1" applyFont="1">
      <alignment horizontal="center" shrinkToFit="0" wrapText="1"/>
    </xf>
    <xf borderId="55" fillId="0" fontId="4" numFmtId="9" xfId="0" applyAlignment="1" applyBorder="1" applyFont="1" applyNumberFormat="1">
      <alignment horizontal="center" shrinkToFit="0" wrapText="1"/>
    </xf>
    <xf borderId="39" fillId="20" fontId="2" numFmtId="173" xfId="0" applyAlignment="1" applyBorder="1" applyFill="1" applyFont="1" applyNumberFormat="1">
      <alignment horizontal="center" vertical="top"/>
    </xf>
    <xf borderId="3" fillId="0" fontId="8" numFmtId="37" xfId="0" applyAlignment="1" applyBorder="1" applyFont="1" applyNumberFormat="1">
      <alignment horizontal="center" readingOrder="0" vertical="center"/>
    </xf>
    <xf borderId="56" fillId="0" fontId="4" numFmtId="0" xfId="0" applyAlignment="1" applyBorder="1" applyFont="1">
      <alignment horizontal="center" shrinkToFit="0" wrapText="1"/>
    </xf>
    <xf borderId="54" fillId="9" fontId="2" numFmtId="1" xfId="0" applyAlignment="1" applyBorder="1" applyFill="1" applyFont="1" applyNumberFormat="1">
      <alignment horizontal="center" vertical="top"/>
    </xf>
    <xf borderId="2" fillId="0" fontId="4" numFmtId="0" xfId="0" applyAlignment="1" applyBorder="1" applyFont="1">
      <alignment horizontal="center" shrinkToFit="0" wrapText="1"/>
    </xf>
    <xf borderId="14" fillId="0" fontId="4" numFmtId="0" xfId="0" applyAlignment="1" applyBorder="1" applyFont="1">
      <alignment horizontal="center" shrinkToFit="0" wrapText="1"/>
    </xf>
    <xf borderId="11" fillId="6" fontId="25" numFmtId="173" xfId="0" applyAlignment="1" applyBorder="1" applyFill="1" applyFont="1" applyNumberFormat="1">
      <alignment horizontal="center" vertical="center"/>
    </xf>
    <xf borderId="2" fillId="9" fontId="2" numFmtId="1" xfId="0" applyAlignment="1" applyBorder="1" applyFill="1" applyFont="1" applyNumberFormat="1">
      <alignment horizontal="center" vertical="top"/>
    </xf>
    <xf borderId="11" fillId="0" fontId="20" numFmtId="0" xfId="0" applyAlignment="1" applyBorder="1" applyFont="1">
      <alignment horizontal="left" readingOrder="0" vertical="center"/>
    </xf>
    <xf borderId="48" fillId="0" fontId="4" numFmtId="0" xfId="0" applyAlignment="1" applyBorder="1" applyFont="1">
      <alignment horizontal="center" shrinkToFit="0" wrapText="1"/>
    </xf>
    <xf borderId="57" fillId="0" fontId="4" numFmtId="0" xfId="0" applyAlignment="1" applyBorder="1" applyFont="1">
      <alignment horizontal="center" shrinkToFit="0" wrapText="1"/>
    </xf>
    <xf borderId="58" fillId="0" fontId="1" numFmtId="0" xfId="0" applyBorder="1" applyFont="1"/>
    <xf borderId="59" fillId="9" fontId="2" numFmtId="1" xfId="0" applyAlignment="1" applyBorder="1" applyFill="1" applyFont="1" applyNumberFormat="1">
      <alignment horizontal="center" vertical="top"/>
    </xf>
    <xf borderId="60" fillId="0" fontId="1" numFmtId="0" xfId="0" applyBorder="1" applyFont="1"/>
    <xf borderId="14" fillId="0" fontId="4" numFmtId="173" xfId="0" applyAlignment="1" applyBorder="1" applyFont="1" applyNumberFormat="1">
      <alignment horizontal="center" shrinkToFit="0" wrapText="1"/>
    </xf>
    <xf borderId="2" fillId="9" fontId="2" numFmtId="173" xfId="0" applyAlignment="1" applyBorder="1" applyFill="1" applyFont="1" applyNumberFormat="1">
      <alignment horizontal="center" vertical="top"/>
    </xf>
    <xf borderId="11" fillId="0" fontId="8" numFmtId="0" xfId="0" applyAlignment="1" applyBorder="1" applyFont="1">
      <alignment horizontal="left"/>
    </xf>
    <xf borderId="14" fillId="0" fontId="4" numFmtId="9" xfId="0" applyAlignment="1" applyBorder="1" applyFont="1" applyNumberFormat="1">
      <alignment horizontal="center" shrinkToFit="0" wrapText="1"/>
    </xf>
    <xf borderId="11" fillId="0" fontId="4" numFmtId="0" xfId="0" applyAlignment="1" applyBorder="1" applyFont="1">
      <alignment horizontal="left"/>
    </xf>
    <xf borderId="11" fillId="0" fontId="1" numFmtId="166" xfId="0" applyAlignment="1" applyBorder="1" applyFont="1" applyNumberFormat="1">
      <alignment horizontal="center"/>
    </xf>
    <xf borderId="42" fillId="0" fontId="4" numFmtId="0" xfId="0" applyAlignment="1" applyBorder="1" applyFont="1">
      <alignment horizontal="center" shrinkToFit="0" wrapText="1"/>
    </xf>
    <xf borderId="43" fillId="0" fontId="4" numFmtId="173" xfId="0" applyAlignment="1" applyBorder="1" applyFont="1" applyNumberFormat="1">
      <alignment horizontal="center" shrinkToFit="0" wrapText="1"/>
    </xf>
    <xf borderId="42" fillId="9" fontId="2" numFmtId="173" xfId="0" applyAlignment="1" applyBorder="1" applyFill="1" applyFont="1" applyNumberFormat="1">
      <alignment horizontal="center" vertical="top"/>
    </xf>
    <xf borderId="11" fillId="0" fontId="1" numFmtId="166" xfId="0" applyAlignment="1" applyBorder="1" applyFont="1" applyNumberFormat="1">
      <alignment horizontal="center" readingOrder="0"/>
    </xf>
    <xf borderId="43" fillId="0" fontId="4" numFmtId="1" xfId="0" applyAlignment="1" applyBorder="1" applyFont="1" applyNumberFormat="1">
      <alignment horizontal="center" shrinkToFit="0" wrapText="1"/>
    </xf>
    <xf borderId="11" fillId="0" fontId="26" numFmtId="0" xfId="0" applyAlignment="1" applyBorder="1" applyFont="1">
      <alignment horizontal="left" vertical="center"/>
    </xf>
    <xf borderId="11" fillId="0" fontId="26" numFmtId="0" xfId="0" applyAlignment="1" applyBorder="1" applyFont="1">
      <alignment horizontal="center" readingOrder="0" vertical="center"/>
    </xf>
    <xf borderId="3" fillId="0" fontId="26" numFmtId="173" xfId="0" applyAlignment="1" applyBorder="1" applyFont="1" applyNumberFormat="1">
      <alignment horizontal="center" vertical="center"/>
    </xf>
    <xf borderId="3" fillId="0" fontId="27" numFmtId="0" xfId="0" applyAlignment="1" applyBorder="1" applyFont="1">
      <alignment horizontal="center" readingOrder="0" vertical="center"/>
    </xf>
    <xf borderId="11" fillId="21" fontId="28" numFmtId="1" xfId="0" applyAlignment="1" applyBorder="1" applyFill="1" applyFont="1" applyNumberFormat="1">
      <alignment horizontal="center" vertical="center"/>
    </xf>
    <xf borderId="3" fillId="12" fontId="25" numFmtId="0" xfId="0" applyAlignment="1" applyBorder="1" applyFill="1" applyFont="1">
      <alignment horizontal="center" shrinkToFit="0" vertical="center" wrapText="1"/>
    </xf>
    <xf borderId="11" fillId="12" fontId="25" numFmtId="37" xfId="0" applyAlignment="1" applyBorder="1" applyFill="1" applyFont="1" applyNumberFormat="1">
      <alignment horizontal="center" vertical="center"/>
    </xf>
    <xf borderId="11" fillId="12" fontId="25" numFmtId="9" xfId="0" applyAlignment="1" applyBorder="1" applyFill="1" applyFont="1" applyNumberFormat="1">
      <alignment horizontal="center" vertical="center"/>
    </xf>
    <xf borderId="17" fillId="12" fontId="25" numFmtId="0" xfId="0" applyAlignment="1" applyBorder="1" applyFill="1" applyFont="1">
      <alignment horizontal="center" vertical="center"/>
    </xf>
    <xf borderId="17" fillId="2" fontId="20" numFmtId="9" xfId="0" applyAlignment="1" applyBorder="1" applyFill="1" applyFont="1" applyNumberFormat="1">
      <alignment horizontal="center" vertical="center"/>
    </xf>
    <xf borderId="3" fillId="13" fontId="11" numFmtId="0" xfId="0" applyAlignment="1" applyBorder="1" applyFill="1" applyFont="1">
      <alignment horizontal="center" readingOrder="0" shrinkToFit="0" vertical="center" wrapText="1"/>
    </xf>
    <xf borderId="0" fillId="6" fontId="29" numFmtId="0" xfId="0" applyAlignment="1" applyFill="1" applyFont="1">
      <alignment vertical="center"/>
    </xf>
    <xf borderId="3" fillId="13" fontId="11" numFmtId="164" xfId="0" applyAlignment="1" applyBorder="1" applyFill="1" applyFont="1" applyNumberFormat="1">
      <alignment horizontal="center" vertical="center"/>
    </xf>
    <xf borderId="3" fillId="13" fontId="11" numFmtId="14" xfId="0" applyAlignment="1" applyBorder="1" applyFill="1" applyFont="1" applyNumberFormat="1">
      <alignment horizontal="center" vertical="center"/>
    </xf>
    <xf borderId="11" fillId="13" fontId="11" numFmtId="164" xfId="0" applyAlignment="1" applyBorder="1" applyFill="1" applyFont="1" applyNumberFormat="1">
      <alignment horizontal="center" vertical="center"/>
    </xf>
    <xf borderId="11" fillId="12" fontId="20" numFmtId="164" xfId="0" applyAlignment="1" applyBorder="1" applyFill="1" applyFont="1" applyNumberFormat="1">
      <alignment horizontal="center" vertical="center"/>
    </xf>
    <xf borderId="11" fillId="12" fontId="20" numFmtId="169" xfId="0" applyAlignment="1" applyBorder="1" applyFill="1" applyFont="1" applyNumberFormat="1">
      <alignment horizontal="center" vertical="center"/>
    </xf>
    <xf borderId="11" fillId="12" fontId="20" numFmtId="0" xfId="0" applyAlignment="1" applyBorder="1" applyFill="1" applyFont="1">
      <alignment horizontal="center" vertical="center"/>
    </xf>
    <xf borderId="24" fillId="12" fontId="20" numFmtId="0" xfId="0" applyAlignment="1" applyBorder="1" applyFill="1" applyFont="1">
      <alignment horizontal="center" vertical="center"/>
    </xf>
    <xf borderId="11" fillId="0" fontId="17" numFmtId="10" xfId="0" applyAlignment="1" applyBorder="1" applyFont="1" applyNumberFormat="1">
      <alignment horizontal="center" vertical="center"/>
    </xf>
    <xf borderId="11" fillId="6" fontId="17" numFmtId="10" xfId="0" applyAlignment="1" applyBorder="1" applyFill="1" applyFont="1" applyNumberFormat="1">
      <alignment horizontal="center" readingOrder="0" vertical="center"/>
    </xf>
    <xf borderId="11" fillId="0" fontId="30" numFmtId="0" xfId="0" applyAlignment="1" applyBorder="1" applyFont="1">
      <alignment horizontal="center" vertical="center"/>
    </xf>
    <xf borderId="11" fillId="6" fontId="30" numFmtId="37" xfId="0" applyAlignment="1" applyBorder="1" applyFill="1" applyFont="1" applyNumberFormat="1">
      <alignment readingOrder="0" vertical="center"/>
    </xf>
    <xf borderId="11" fillId="6" fontId="30" numFmtId="37" xfId="0" applyAlignment="1" applyBorder="1" applyFill="1" applyFont="1" applyNumberFormat="1">
      <alignment horizontal="center" vertical="center"/>
    </xf>
    <xf borderId="11" fillId="6" fontId="30" numFmtId="9" xfId="0" applyAlignment="1" applyBorder="1" applyFill="1" applyFont="1" applyNumberFormat="1">
      <alignment horizontal="center" readingOrder="0" vertical="center"/>
    </xf>
    <xf borderId="3" fillId="6" fontId="30" numFmtId="0" xfId="0" applyAlignment="1" applyBorder="1" applyFill="1" applyFont="1">
      <alignment horizontal="center" vertical="center"/>
    </xf>
    <xf borderId="11" fillId="0" fontId="30" numFmtId="20" xfId="0" applyAlignment="1" applyBorder="1" applyFont="1" applyNumberFormat="1">
      <alignment horizontal="center" vertical="center"/>
    </xf>
    <xf borderId="3" fillId="6" fontId="30" numFmtId="37" xfId="0" applyAlignment="1" applyBorder="1" applyFill="1" applyFont="1" applyNumberFormat="1">
      <alignment horizontal="center" vertical="center"/>
    </xf>
    <xf borderId="11" fillId="6" fontId="31" numFmtId="37" xfId="0" applyAlignment="1" applyBorder="1" applyFill="1" applyFont="1" applyNumberFormat="1">
      <alignment readingOrder="0" vertical="center"/>
    </xf>
    <xf borderId="11" fillId="6" fontId="30" numFmtId="9" xfId="0" applyAlignment="1" applyBorder="1" applyFill="1" applyFont="1" applyNumberFormat="1">
      <alignment horizontal="center" vertical="center"/>
    </xf>
    <xf borderId="3" fillId="6" fontId="32" numFmtId="37" xfId="0" applyAlignment="1" applyBorder="1" applyFill="1" applyFont="1" applyNumberFormat="1">
      <alignment horizontal="center" readingOrder="0" shrinkToFit="0" vertical="center" wrapText="1"/>
    </xf>
    <xf borderId="11" fillId="6" fontId="17" numFmtId="10" xfId="0" applyAlignment="1" applyBorder="1" applyFill="1" applyFont="1" applyNumberFormat="1">
      <alignment horizontal="center" vertical="center"/>
    </xf>
    <xf borderId="11" fillId="0" fontId="30" numFmtId="2" xfId="0" applyAlignment="1" applyBorder="1" applyFont="1" applyNumberFormat="1">
      <alignment horizontal="center" vertical="center"/>
    </xf>
    <xf borderId="11" fillId="6" fontId="30" numFmtId="37" xfId="0" applyAlignment="1" applyBorder="1" applyFill="1" applyFont="1" applyNumberFormat="1">
      <alignment vertical="center"/>
    </xf>
    <xf borderId="11" fillId="0" fontId="30" numFmtId="4" xfId="0" applyAlignment="1" applyBorder="1" applyFont="1" applyNumberFormat="1">
      <alignment horizontal="center" vertical="center"/>
    </xf>
    <xf borderId="11" fillId="6" fontId="30" numFmtId="0" xfId="0" applyAlignment="1" applyBorder="1" applyFill="1" applyFont="1">
      <alignment horizontal="center" vertical="center"/>
    </xf>
    <xf borderId="11" fillId="12" fontId="20" numFmtId="1" xfId="0" applyAlignment="1" applyBorder="1" applyFill="1" applyFont="1" applyNumberFormat="1">
      <alignment horizontal="left" shrinkToFit="0" vertical="center" wrapText="1"/>
    </xf>
    <xf borderId="11" fillId="0" fontId="30" numFmtId="1" xfId="0" applyAlignment="1" applyBorder="1" applyFont="1" applyNumberFormat="1">
      <alignment horizontal="center" vertical="center"/>
    </xf>
    <xf borderId="11" fillId="0" fontId="17" numFmtId="10" xfId="0" applyAlignment="1" applyBorder="1" applyFont="1" applyNumberFormat="1">
      <alignment vertical="center"/>
    </xf>
    <xf borderId="11" fillId="0" fontId="17" numFmtId="0" xfId="0" applyAlignment="1" applyBorder="1" applyFont="1">
      <alignment vertical="center"/>
    </xf>
    <xf borderId="11" fillId="0" fontId="17" numFmtId="0" xfId="0" applyAlignment="1" applyBorder="1" applyFont="1">
      <alignment vertical="bottom"/>
    </xf>
    <xf borderId="11" fillId="0" fontId="33" numFmtId="37" xfId="0" applyAlignment="1" applyBorder="1" applyFont="1" applyNumberFormat="1">
      <alignment horizontal="center" vertical="bottom"/>
    </xf>
    <xf borderId="3" fillId="6" fontId="30" numFmtId="0" xfId="0" applyAlignment="1" applyBorder="1" applyFill="1" applyFont="1">
      <alignment horizontal="center" readingOrder="0" shrinkToFit="0" vertical="center" wrapText="1"/>
    </xf>
    <xf borderId="11" fillId="0" fontId="34" numFmtId="0" xfId="0" applyAlignment="1" applyBorder="1" applyFont="1">
      <alignment horizontal="center" shrinkToFit="0" vertical="center" wrapText="1"/>
    </xf>
    <xf borderId="0" fillId="0" fontId="29" numFmtId="0" xfId="0" applyAlignment="1" applyFont="1">
      <alignment vertical="center"/>
    </xf>
    <xf borderId="24" fillId="5" fontId="9" numFmtId="0" xfId="0" applyAlignment="1" applyBorder="1" applyFill="1" applyFont="1">
      <alignment horizontal="center" readingOrder="0" vertical="center"/>
    </xf>
    <xf borderId="3" fillId="0" fontId="9" numFmtId="0" xfId="0" applyAlignment="1" applyBorder="1" applyFont="1">
      <alignment horizontal="center" readingOrder="0" vertical="center"/>
    </xf>
    <xf borderId="0" fillId="0" fontId="7" numFmtId="169" xfId="0" applyAlignment="1" applyFont="1" applyNumberFormat="1">
      <alignment horizontal="left" vertical="center"/>
    </xf>
    <xf borderId="11" fillId="2" fontId="20" numFmtId="0" xfId="0" applyAlignment="1" applyBorder="1" applyFill="1" applyFont="1">
      <alignment horizontal="center" vertical="bottom"/>
    </xf>
    <xf borderId="11" fillId="2" fontId="12" numFmtId="0" xfId="0" applyAlignment="1" applyBorder="1" applyFill="1" applyFont="1">
      <alignment vertical="bottom"/>
    </xf>
    <xf borderId="3" fillId="2" fontId="20" numFmtId="0" xfId="0" applyAlignment="1" applyBorder="1" applyFill="1" applyFont="1">
      <alignment horizontal="center" vertical="bottom"/>
    </xf>
    <xf borderId="0" fillId="0" fontId="35" numFmtId="0" xfId="0" applyAlignment="1" applyFont="1">
      <alignment horizontal="left" readingOrder="0" vertical="center"/>
    </xf>
    <xf borderId="11" fillId="5" fontId="2" numFmtId="0" xfId="0" applyAlignment="1" applyBorder="1" applyFill="1" applyFont="1">
      <alignment horizontal="center" vertical="bottom"/>
    </xf>
    <xf borderId="11" fillId="0" fontId="36" numFmtId="0" xfId="0" applyAlignment="1" applyBorder="1" applyFont="1">
      <alignment horizontal="center" shrinkToFit="0" vertical="bottom" wrapText="1"/>
    </xf>
    <xf borderId="3" fillId="11" fontId="36" numFmtId="0" xfId="0" applyAlignment="1" applyBorder="1" applyFill="1" applyFont="1">
      <alignment horizontal="center" readingOrder="0" shrinkToFit="0" vertical="bottom" wrapText="1"/>
    </xf>
    <xf borderId="11" fillId="6" fontId="36" numFmtId="0" xfId="0" applyAlignment="1" applyBorder="1" applyFill="1" applyFont="1">
      <alignment horizontal="center" readingOrder="0" shrinkToFit="0" vertical="bottom" wrapText="1"/>
    </xf>
    <xf borderId="11" fillId="22" fontId="2" numFmtId="0" xfId="0" applyAlignment="1" applyBorder="1" applyFill="1" applyFont="1">
      <alignment horizontal="center" vertical="bottom"/>
    </xf>
    <xf borderId="11" fillId="5" fontId="37" numFmtId="164" xfId="0" applyAlignment="1" applyBorder="1" applyFill="1" applyFont="1" applyNumberFormat="1">
      <alignment horizontal="center" shrinkToFit="0" vertical="center" wrapText="1"/>
    </xf>
    <xf borderId="11" fillId="5" fontId="11" numFmtId="173" xfId="0" applyAlignment="1" applyBorder="1" applyFill="1" applyFont="1" applyNumberFormat="1">
      <alignment horizontal="center" readingOrder="0" shrinkToFit="0" vertical="center" wrapText="1"/>
    </xf>
    <xf borderId="11" fillId="2" fontId="2" numFmtId="0" xfId="0" applyAlignment="1" applyBorder="1" applyFill="1" applyFont="1">
      <alignment horizontal="center" vertical="bottom"/>
    </xf>
    <xf borderId="11" fillId="5" fontId="11" numFmtId="0" xfId="0" applyAlignment="1" applyBorder="1" applyFill="1" applyFont="1">
      <alignment horizontal="center" shrinkToFit="0" vertical="center" wrapText="1"/>
    </xf>
    <xf borderId="11" fillId="5" fontId="11" numFmtId="0" xfId="0" applyAlignment="1" applyBorder="1" applyFill="1" applyFont="1">
      <alignment horizontal="left" shrinkToFit="0" vertical="center" wrapText="1"/>
    </xf>
    <xf borderId="11" fillId="5" fontId="11" numFmtId="0" xfId="0" applyAlignment="1" applyBorder="1" applyFill="1" applyFont="1">
      <alignment horizontal="center" shrinkToFit="0" vertical="center" wrapText="1"/>
    </xf>
    <xf borderId="11" fillId="5" fontId="11" numFmtId="0" xfId="0" applyAlignment="1" applyBorder="1" applyFill="1" applyFont="1">
      <alignment horizontal="center" readingOrder="0" shrinkToFit="0" vertical="center" wrapText="1"/>
    </xf>
    <xf borderId="11" fillId="11" fontId="11" numFmtId="0" xfId="0" applyAlignment="1" applyBorder="1" applyFill="1" applyFont="1">
      <alignment horizontal="center" readingOrder="0" shrinkToFit="0" vertical="center" wrapText="1"/>
    </xf>
    <xf borderId="11" fillId="5" fontId="11" numFmtId="167" xfId="0" applyAlignment="1" applyBorder="1" applyFill="1" applyFont="1" applyNumberFormat="1">
      <alignment horizontal="center" shrinkToFit="0" vertical="center" wrapText="1"/>
    </xf>
    <xf borderId="11" fillId="11" fontId="11" numFmtId="1" xfId="0" applyAlignment="1" applyBorder="1" applyFill="1" applyFont="1" applyNumberFormat="1">
      <alignment horizontal="center" shrinkToFit="0" vertical="center" wrapText="1"/>
    </xf>
    <xf borderId="11" fillId="11" fontId="11" numFmtId="173" xfId="0" applyAlignment="1" applyBorder="1" applyFill="1" applyFont="1" applyNumberFormat="1">
      <alignment horizontal="center" shrinkToFit="0" vertical="center" wrapText="1"/>
    </xf>
    <xf borderId="11" fillId="11" fontId="11" numFmtId="0" xfId="0" applyAlignment="1" applyBorder="1" applyFill="1" applyFont="1">
      <alignment horizontal="center" shrinkToFit="0" vertical="center" wrapText="1"/>
    </xf>
    <xf borderId="11" fillId="11" fontId="11" numFmtId="0" xfId="0" applyAlignment="1" applyBorder="1" applyFill="1" applyFont="1">
      <alignment horizontal="center" readingOrder="0" shrinkToFit="0" vertical="center" wrapText="0"/>
    </xf>
    <xf borderId="11" fillId="11" fontId="11" numFmtId="10" xfId="0" applyAlignment="1" applyBorder="1" applyFill="1" applyFont="1" applyNumberFormat="1">
      <alignment horizontal="center" readingOrder="0" shrinkToFit="0" vertical="center" wrapText="1"/>
    </xf>
    <xf borderId="11" fillId="11" fontId="11" numFmtId="1" xfId="0" applyAlignment="1" applyBorder="1" applyFill="1" applyFont="1" applyNumberFormat="1">
      <alignment horizontal="center" readingOrder="0" shrinkToFit="0" vertical="center" wrapText="1"/>
    </xf>
    <xf borderId="11" fillId="11" fontId="11" numFmtId="9" xfId="0" applyAlignment="1" applyBorder="1" applyFill="1" applyFont="1" applyNumberFormat="1">
      <alignment horizontal="center" readingOrder="0" shrinkToFit="0" vertical="center" wrapText="1"/>
    </xf>
    <xf borderId="0" fillId="11" fontId="11" numFmtId="9" xfId="0" applyAlignment="1" applyFill="1" applyFont="1" applyNumberFormat="1">
      <alignment horizontal="center" readingOrder="0" shrinkToFit="0" vertical="center" wrapText="1"/>
    </xf>
    <xf borderId="0" fillId="11" fontId="11" numFmtId="0" xfId="0" applyAlignment="1" applyFill="1" applyFont="1">
      <alignment horizontal="center" readingOrder="0" shrinkToFit="0" vertical="center" wrapText="1"/>
    </xf>
    <xf borderId="0" fillId="0" fontId="29" numFmtId="0" xfId="0" applyAlignment="1" applyFont="1">
      <alignment horizontal="center" shrinkToFit="0" vertical="center" wrapText="1"/>
    </xf>
    <xf borderId="0" fillId="6" fontId="38" numFmtId="164" xfId="0" applyAlignment="1" applyFill="1" applyFont="1" applyNumberFormat="1">
      <alignment horizontal="center" shrinkToFit="0" vertical="center" wrapText="1"/>
    </xf>
    <xf borderId="0" fillId="6" fontId="39" numFmtId="173" xfId="0" applyAlignment="1" applyFill="1" applyFont="1" applyNumberFormat="1">
      <alignment horizontal="center" readingOrder="0" shrinkToFit="0" vertical="center" wrapText="1"/>
    </xf>
    <xf borderId="0" fillId="23" fontId="21" numFmtId="0" xfId="0" applyAlignment="1" applyFill="1" applyFont="1">
      <alignment horizontal="center" readingOrder="0" shrinkToFit="0" vertical="center" wrapText="1"/>
    </xf>
    <xf borderId="0" fillId="23" fontId="21" numFmtId="20" xfId="0" applyAlignment="1" applyFill="1" applyFont="1" applyNumberFormat="1">
      <alignment horizontal="center" readingOrder="0" shrinkToFit="0" vertical="center" wrapText="1"/>
    </xf>
    <xf borderId="0" fillId="0" fontId="39" numFmtId="3" xfId="0" applyAlignment="1" applyFont="1" applyNumberFormat="1">
      <alignment horizontal="center" readingOrder="0" shrinkToFit="0" vertical="center" wrapText="1"/>
    </xf>
    <xf borderId="0" fillId="0" fontId="39" numFmtId="1" xfId="0" applyAlignment="1" applyFont="1" applyNumberFormat="1">
      <alignment horizontal="center" shrinkToFit="0" vertical="center" wrapText="1"/>
    </xf>
    <xf borderId="0" fillId="0" fontId="39" numFmtId="167" xfId="0" applyAlignment="1" applyFont="1" applyNumberFormat="1">
      <alignment horizontal="center" shrinkToFit="0" vertical="center" wrapText="1"/>
    </xf>
    <xf borderId="0" fillId="23" fontId="39" numFmtId="0" xfId="0" applyAlignment="1" applyFill="1" applyFont="1">
      <alignment horizontal="center" readingOrder="0" shrinkToFit="0" vertical="center" wrapText="1"/>
    </xf>
    <xf borderId="11" fillId="5" fontId="2" numFmtId="0" xfId="0" applyAlignment="1" applyBorder="1" applyFill="1" applyFont="1">
      <alignment horizontal="center" readingOrder="0" vertical="bottom"/>
    </xf>
    <xf borderId="0" fillId="23" fontId="39" numFmtId="173" xfId="0" applyAlignment="1" applyFill="1" applyFont="1" applyNumberFormat="1">
      <alignment horizontal="center" readingOrder="0" vertical="center"/>
    </xf>
    <xf borderId="0" fillId="0" fontId="39" numFmtId="173" xfId="0" applyAlignment="1" applyFont="1" applyNumberFormat="1">
      <alignment horizontal="center" shrinkToFit="0" vertical="center" wrapText="1"/>
    </xf>
    <xf borderId="11" fillId="6" fontId="36" numFmtId="0" xfId="0" applyAlignment="1" applyBorder="1" applyFill="1" applyFont="1">
      <alignment horizontal="center" readingOrder="0" shrinkToFit="0" vertical="bottom" wrapText="1"/>
    </xf>
    <xf borderId="0" fillId="6" fontId="40" numFmtId="173" xfId="0" applyAlignment="1" applyFill="1" applyFont="1" applyNumberFormat="1">
      <alignment horizontal="center" readingOrder="0" shrinkToFit="0" vertical="center" wrapText="1"/>
    </xf>
    <xf borderId="0" fillId="23" fontId="39" numFmtId="0" xfId="0" applyAlignment="1" applyFill="1" applyFont="1">
      <alignment horizontal="center" shrinkToFit="0" vertical="center" wrapText="0"/>
    </xf>
    <xf borderId="0" fillId="0" fontId="39" numFmtId="10" xfId="0" applyAlignment="1" applyFont="1" applyNumberFormat="1">
      <alignment horizontal="center" shrinkToFit="0" vertical="center" wrapText="1"/>
    </xf>
    <xf borderId="11" fillId="24" fontId="2" numFmtId="0" xfId="0" applyAlignment="1" applyBorder="1" applyFill="1" applyFont="1">
      <alignment horizontal="center" vertical="bottom"/>
    </xf>
    <xf borderId="11" fillId="0" fontId="36" numFmtId="0" xfId="0" applyAlignment="1" applyBorder="1" applyFont="1">
      <alignment horizontal="center" readingOrder="0" shrinkToFit="0" vertical="bottom" wrapText="1"/>
    </xf>
    <xf borderId="3" fillId="25" fontId="36" numFmtId="0" xfId="0" applyAlignment="1" applyBorder="1" applyFill="1" applyFont="1">
      <alignment horizontal="center" readingOrder="0" shrinkToFit="0" vertical="bottom" wrapText="1"/>
    </xf>
    <xf borderId="0" fillId="0" fontId="39" numFmtId="9" xfId="0" applyAlignment="1" applyFont="1" applyNumberFormat="1">
      <alignment horizontal="center" shrinkToFit="0" vertical="center" wrapText="1"/>
    </xf>
    <xf borderId="3" fillId="6" fontId="36" numFmtId="0" xfId="0" applyAlignment="1" applyBorder="1" applyFill="1" applyFont="1">
      <alignment horizontal="center" readingOrder="0" shrinkToFit="0" vertical="bottom" wrapText="1"/>
    </xf>
    <xf borderId="11" fillId="5" fontId="36" numFmtId="0" xfId="0" applyAlignment="1" applyBorder="1" applyFill="1" applyFont="1">
      <alignment horizontal="center" shrinkToFit="0" vertical="bottom" wrapText="1"/>
    </xf>
    <xf borderId="11" fillId="5" fontId="36" numFmtId="0" xfId="0" applyAlignment="1" applyBorder="1" applyFill="1" applyFont="1">
      <alignment horizontal="center" readingOrder="0" shrinkToFit="0" vertical="bottom" wrapText="1"/>
    </xf>
    <xf borderId="0" fillId="0" fontId="39" numFmtId="0" xfId="0" applyAlignment="1" applyFont="1">
      <alignment horizontal="center" shrinkToFit="0" vertical="center" wrapText="1"/>
    </xf>
    <xf borderId="11" fillId="26" fontId="36" numFmtId="0" xfId="0" applyAlignment="1" applyBorder="1" applyFill="1" applyFont="1">
      <alignment horizontal="center" readingOrder="0" shrinkToFit="0" vertical="bottom" wrapText="1"/>
    </xf>
    <xf borderId="0" fillId="6" fontId="39" numFmtId="173" xfId="0" applyAlignment="1" applyFill="1" applyFont="1" applyNumberFormat="1">
      <alignment horizontal="center" readingOrder="0"/>
    </xf>
    <xf borderId="0" fillId="23" fontId="21" numFmtId="0" xfId="0" applyAlignment="1" applyFill="1" applyFont="1">
      <alignment horizontal="center"/>
    </xf>
    <xf borderId="0" fillId="23" fontId="21" numFmtId="20" xfId="0" applyAlignment="1" applyFill="1" applyFont="1" applyNumberFormat="1">
      <alignment horizontal="center"/>
    </xf>
    <xf borderId="0" fillId="23" fontId="21" numFmtId="1" xfId="0" applyAlignment="1" applyFill="1" applyFont="1" applyNumberFormat="1">
      <alignment horizontal="center"/>
    </xf>
    <xf borderId="11" fillId="22" fontId="2" numFmtId="0" xfId="0" applyAlignment="1" applyBorder="1" applyFill="1" applyFont="1">
      <alignment horizontal="center" readingOrder="0" vertical="bottom"/>
    </xf>
    <xf borderId="0" fillId="23" fontId="39" numFmtId="1" xfId="0" applyAlignment="1" applyFill="1" applyFont="1" applyNumberFormat="1">
      <alignment horizontal="center"/>
    </xf>
    <xf borderId="0" fillId="23" fontId="21" numFmtId="173" xfId="0" applyAlignment="1" applyFill="1" applyFont="1" applyNumberFormat="1">
      <alignment horizontal="center" readingOrder="0"/>
    </xf>
    <xf borderId="0" fillId="0" fontId="39" numFmtId="173" xfId="0" applyAlignment="1" applyFont="1" applyNumberFormat="1">
      <alignment horizontal="center"/>
    </xf>
    <xf borderId="11" fillId="27" fontId="2" numFmtId="0" xfId="0" applyAlignment="1" applyBorder="1" applyFill="1" applyFont="1">
      <alignment horizontal="center" vertical="bottom"/>
    </xf>
    <xf borderId="0" fillId="23" fontId="21" numFmtId="0" xfId="0" applyAlignment="1" applyFill="1" applyFont="1">
      <alignment horizontal="center" shrinkToFit="0" vertical="center" wrapText="1"/>
    </xf>
    <xf borderId="0" fillId="23" fontId="39" numFmtId="0" xfId="0" applyAlignment="1" applyFill="1" applyFont="1">
      <alignment horizontal="center" shrinkToFit="0" vertical="center" wrapText="1"/>
    </xf>
    <xf borderId="11" fillId="28" fontId="7" numFmtId="0" xfId="0" applyAlignment="1" applyBorder="1" applyFill="1" applyFont="1">
      <alignment horizontal="center" readingOrder="0" vertical="center"/>
    </xf>
    <xf borderId="0" fillId="23" fontId="21" numFmtId="173" xfId="0" applyAlignment="1" applyFill="1" applyFont="1" applyNumberFormat="1">
      <alignment horizontal="center" shrinkToFit="0" vertical="center" wrapText="1"/>
    </xf>
    <xf borderId="0" fillId="6" fontId="40" numFmtId="173" xfId="0" applyAlignment="1" applyFill="1" applyFont="1" applyNumberFormat="1">
      <alignment horizontal="center" shrinkToFit="0" vertical="center" wrapText="1"/>
    </xf>
    <xf borderId="11" fillId="28" fontId="7" numFmtId="0" xfId="0" applyAlignment="1" applyBorder="1" applyFill="1" applyFont="1">
      <alignment horizontal="center" vertical="center"/>
    </xf>
    <xf borderId="47" fillId="6" fontId="7" numFmtId="0" xfId="0" applyAlignment="1" applyBorder="1" applyFill="1" applyFont="1">
      <alignment vertical="center"/>
    </xf>
    <xf borderId="47" fillId="0" fontId="7" numFmtId="0" xfId="0" applyAlignment="1" applyBorder="1" applyFont="1">
      <alignment vertical="center"/>
    </xf>
    <xf borderId="3" fillId="28" fontId="7" numFmtId="0" xfId="0" applyAlignment="1" applyBorder="1" applyFill="1" applyFont="1">
      <alignment horizontal="center" readingOrder="0" vertical="center"/>
    </xf>
    <xf borderId="0" fillId="0" fontId="39" numFmtId="173" xfId="0" applyAlignment="1" applyFont="1" applyNumberFormat="1">
      <alignment horizontal="center" readingOrder="0" shrinkToFit="0" vertical="center" wrapText="1"/>
    </xf>
    <xf borderId="0" fillId="6" fontId="7" numFmtId="0" xfId="0" applyAlignment="1" applyFill="1" applyFont="1">
      <alignment readingOrder="0" vertical="center"/>
    </xf>
    <xf borderId="0" fillId="23" fontId="21" numFmtId="173" xfId="0" applyAlignment="1" applyFill="1" applyFont="1" applyNumberFormat="1">
      <alignment horizontal="center" readingOrder="0" shrinkToFit="0" vertical="center" wrapText="1"/>
    </xf>
    <xf borderId="0" fillId="0" fontId="39" numFmtId="1" xfId="0" applyAlignment="1" applyFont="1" applyNumberFormat="1">
      <alignment horizontal="center" readingOrder="0" shrinkToFit="0" vertical="center" wrapText="1"/>
    </xf>
    <xf borderId="0" fillId="6" fontId="39" numFmtId="0" xfId="0" applyAlignment="1" applyFill="1" applyFont="1">
      <alignment horizontal="center" shrinkToFit="0" vertical="center" wrapText="1"/>
    </xf>
    <xf borderId="0" fillId="23" fontId="21" numFmtId="1" xfId="0" applyAlignment="1" applyFill="1" applyFont="1" applyNumberFormat="1">
      <alignment horizontal="center" readingOrder="0" shrinkToFit="0" vertical="center" wrapText="1"/>
    </xf>
    <xf borderId="0" fillId="6" fontId="39" numFmtId="173" xfId="0" applyAlignment="1" applyFill="1" applyFont="1" applyNumberFormat="1">
      <alignment horizontal="center" shrinkToFit="0" vertical="center" wrapText="1"/>
    </xf>
    <xf borderId="0" fillId="23" fontId="39" numFmtId="0" xfId="0" applyAlignment="1" applyFill="1" applyFont="1">
      <alignment horizontal="center" readingOrder="0" shrinkToFit="0" vertical="center" wrapText="0"/>
    </xf>
    <xf borderId="0" fillId="23" fontId="39" numFmtId="0" xfId="0" applyAlignment="1" applyFill="1" applyFont="1">
      <alignment horizontal="center" readingOrder="0" shrinkToFit="0" vertical="center" wrapText="0"/>
    </xf>
    <xf borderId="0" fillId="23" fontId="7" numFmtId="0" xfId="0" applyFill="1" applyFont="1"/>
    <xf borderId="0" fillId="23" fontId="39" numFmtId="0" xfId="0" applyAlignment="1" applyFill="1" applyFont="1">
      <alignment horizontal="center" readingOrder="0" shrinkToFit="0" vertical="center" wrapText="0"/>
    </xf>
    <xf borderId="11" fillId="15" fontId="41" numFmtId="164" xfId="0" applyAlignment="1" applyBorder="1" applyFill="1" applyFont="1" applyNumberFormat="1">
      <alignment horizontal="center" shrinkToFit="0" vertical="center" wrapText="1"/>
    </xf>
    <xf borderId="11" fillId="15" fontId="41" numFmtId="0" xfId="0" applyAlignment="1" applyBorder="1" applyFill="1" applyFont="1">
      <alignment horizontal="center" shrinkToFit="0" vertical="center" wrapText="1"/>
    </xf>
    <xf borderId="11" fillId="15" fontId="41" numFmtId="1" xfId="0" applyAlignment="1" applyBorder="1" applyFill="1" applyFont="1" applyNumberFormat="1">
      <alignment horizontal="center" shrinkToFit="0" vertical="center" wrapText="1"/>
    </xf>
    <xf borderId="11" fillId="15" fontId="41" numFmtId="0" xfId="0" applyAlignment="1" applyBorder="1" applyFill="1" applyFont="1">
      <alignment horizontal="center" readingOrder="0" shrinkToFit="0" vertical="center" wrapText="1"/>
    </xf>
    <xf borderId="11" fillId="15" fontId="41" numFmtId="37" xfId="0" applyAlignment="1" applyBorder="1" applyFill="1" applyFont="1" applyNumberFormat="1">
      <alignment horizontal="center" readingOrder="0" shrinkToFit="0" vertical="center" wrapText="1"/>
    </xf>
    <xf borderId="0" fillId="15" fontId="41" numFmtId="0" xfId="0" applyAlignment="1" applyFill="1" applyFont="1">
      <alignment horizontal="center" readingOrder="0" shrinkToFit="0" vertical="center" wrapText="1"/>
    </xf>
    <xf borderId="0" fillId="7" fontId="42" numFmtId="0" xfId="0" applyAlignment="1" applyFill="1" applyFont="1">
      <alignment horizontal="center" readingOrder="0" shrinkToFit="0" vertical="center" wrapText="1"/>
    </xf>
    <xf borderId="0" fillId="6" fontId="43" numFmtId="164" xfId="0" applyAlignment="1" applyFill="1" applyFont="1" applyNumberFormat="1">
      <alignment horizontal="center" readingOrder="0" vertical="center"/>
    </xf>
    <xf borderId="0" fillId="6" fontId="43" numFmtId="0" xfId="0" applyAlignment="1" applyFill="1" applyFont="1">
      <alignment horizontal="center" readingOrder="0" vertical="center"/>
    </xf>
    <xf borderId="0" fillId="6" fontId="43" numFmtId="20" xfId="0" applyAlignment="1" applyFill="1" applyFont="1" applyNumberFormat="1">
      <alignment horizontal="center" readingOrder="0" vertical="center"/>
    </xf>
    <xf borderId="0" fillId="6" fontId="43" numFmtId="2" xfId="0" applyAlignment="1" applyFill="1" applyFont="1" applyNumberFormat="1">
      <alignment horizontal="center" vertical="center"/>
    </xf>
    <xf borderId="0" fillId="6" fontId="43" numFmtId="4" xfId="0" applyAlignment="1" applyFill="1" applyFont="1" applyNumberFormat="1">
      <alignment horizontal="center" vertical="center"/>
    </xf>
    <xf borderId="0" fillId="6" fontId="43" numFmtId="1" xfId="0" applyAlignment="1" applyFill="1" applyFont="1" applyNumberFormat="1">
      <alignment horizontal="center" vertical="center"/>
    </xf>
    <xf borderId="0" fillId="0" fontId="29" numFmtId="1" xfId="0" applyAlignment="1" applyFont="1" applyNumberFormat="1">
      <alignment horizontal="center" readingOrder="0" shrinkToFit="0" wrapText="0"/>
    </xf>
    <xf borderId="0" fillId="0" fontId="29" numFmtId="0" xfId="0" applyAlignment="1" applyFont="1">
      <alignment horizontal="center" shrinkToFit="0" wrapText="0"/>
    </xf>
    <xf borderId="0" fillId="0" fontId="29" numFmtId="0" xfId="0" applyAlignment="1" applyFont="1">
      <alignment horizontal="center"/>
    </xf>
    <xf borderId="0" fillId="6" fontId="42" numFmtId="37" xfId="0" applyAlignment="1" applyFill="1" applyFont="1" applyNumberFormat="1">
      <alignment horizontal="center" readingOrder="0" shrinkToFit="0" vertical="center" wrapText="0"/>
    </xf>
    <xf borderId="0" fillId="0" fontId="7" numFmtId="0" xfId="0" applyAlignment="1" applyFont="1">
      <alignment horizontal="center"/>
    </xf>
    <xf borderId="0" fillId="6" fontId="42" numFmtId="0" xfId="0" applyAlignment="1" applyFill="1" applyFont="1">
      <alignment horizontal="center" readingOrder="0" shrinkToFit="0" vertical="center" wrapText="0"/>
    </xf>
    <xf borderId="0" fillId="6" fontId="43" numFmtId="164" xfId="0" applyAlignment="1" applyFill="1" applyFont="1" applyNumberFormat="1">
      <alignment horizontal="center" vertical="center"/>
    </xf>
    <xf borderId="0" fillId="0" fontId="29" numFmtId="0" xfId="0" applyAlignment="1" applyFont="1">
      <alignment horizontal="center" readingOrder="0" shrinkToFit="0" wrapText="0"/>
    </xf>
    <xf borderId="0" fillId="0" fontId="7" numFmtId="37" xfId="0" applyAlignment="1" applyFont="1" applyNumberFormat="1">
      <alignment horizontal="center"/>
    </xf>
    <xf borderId="0" fillId="0" fontId="39" numFmtId="10" xfId="0" applyAlignment="1" applyFont="1" applyNumberFormat="1">
      <alignment horizontal="center" readingOrder="0" shrinkToFit="0" vertical="center" wrapText="1"/>
    </xf>
    <xf borderId="0" fillId="0" fontId="7" numFmtId="0" xfId="0" applyAlignment="1" applyFont="1">
      <alignment horizontal="center" readingOrder="0"/>
    </xf>
    <xf borderId="0" fillId="0" fontId="7" numFmtId="165" xfId="0" applyAlignment="1" applyFont="1" applyNumberFormat="1">
      <alignment horizontal="left" readingOrder="0" shrinkToFit="0" vertical="center" wrapText="0"/>
    </xf>
    <xf borderId="0" fillId="0" fontId="7" numFmtId="0" xfId="0" applyAlignment="1" applyFont="1">
      <alignment horizontal="center" readingOrder="0" shrinkToFit="0" vertical="center" wrapText="0"/>
    </xf>
    <xf borderId="0" fillId="0" fontId="35" numFmtId="0" xfId="0" applyAlignment="1" applyFont="1">
      <alignment horizontal="center" readingOrder="0" shrinkToFit="0" vertical="center" wrapText="0"/>
    </xf>
    <xf borderId="0" fillId="0" fontId="7" numFmtId="0" xfId="0" applyAlignment="1" applyFont="1">
      <alignment horizontal="left" readingOrder="0" shrinkToFit="0" vertical="center" wrapText="0"/>
    </xf>
    <xf borderId="0" fillId="0" fontId="7" numFmtId="165" xfId="0" applyAlignment="1" applyFont="1" applyNumberFormat="1">
      <alignment readingOrder="0" shrinkToFit="0" vertical="center" wrapText="0"/>
    </xf>
    <xf borderId="0" fillId="0" fontId="7" numFmtId="20" xfId="0" applyAlignment="1" applyFont="1" applyNumberFormat="1">
      <alignment horizontal="center" readingOrder="0" shrinkToFit="0" vertical="center" wrapText="0"/>
    </xf>
    <xf borderId="0" fillId="0" fontId="35" numFmtId="0" xfId="0" applyAlignment="1" applyFont="1">
      <alignment horizontal="center" readingOrder="0" shrinkToFit="0" vertical="center" wrapText="0"/>
    </xf>
    <xf borderId="0" fillId="0" fontId="7" numFmtId="0" xfId="0" applyAlignment="1" applyFont="1">
      <alignment horizontal="center" readingOrder="0" shrinkToFit="0" vertical="center" wrapText="0"/>
    </xf>
    <xf borderId="0" fillId="0" fontId="7" numFmtId="0" xfId="0" applyAlignment="1" applyFont="1">
      <alignment readingOrder="0" shrinkToFit="0" vertical="center" wrapText="0"/>
    </xf>
    <xf borderId="0" fillId="0" fontId="7" numFmtId="1" xfId="0" applyAlignment="1" applyFont="1" applyNumberFormat="1">
      <alignment horizontal="center" readingOrder="0" shrinkToFit="0" wrapText="0"/>
    </xf>
    <xf borderId="0" fillId="0" fontId="7" numFmtId="0" xfId="0" applyAlignment="1" applyFont="1">
      <alignment horizontal="center" readingOrder="0" shrinkToFit="0" wrapText="0"/>
    </xf>
    <xf borderId="0" fillId="0" fontId="7" numFmtId="0" xfId="0" applyAlignment="1" applyFont="1">
      <alignment readingOrder="0" shrinkToFit="0" vertical="center" wrapText="0"/>
    </xf>
    <xf borderId="0" fillId="0" fontId="7" numFmtId="20" xfId="0" applyAlignment="1" applyFont="1" applyNumberFormat="1">
      <alignment horizontal="center" readingOrder="0"/>
    </xf>
    <xf borderId="0" fillId="23" fontId="39" numFmtId="0" xfId="0" applyAlignment="1" applyFill="1" applyFont="1">
      <alignment horizontal="center" readingOrder="0" shrinkToFit="0" vertical="center" wrapText="0"/>
    </xf>
    <xf borderId="0" fillId="0" fontId="7" numFmtId="0" xfId="0" applyAlignment="1" applyFont="1">
      <alignment horizontal="center" shrinkToFit="0" wrapText="0"/>
    </xf>
    <xf borderId="0" fillId="0" fontId="7" numFmtId="20" xfId="0" applyAlignment="1" applyFont="1" applyNumberFormat="1">
      <alignment horizontal="center" readingOrder="0" shrinkToFit="0" vertical="center" wrapText="0"/>
    </xf>
    <xf borderId="0" fillId="0" fontId="35" numFmtId="0" xfId="0" applyAlignment="1" applyFont="1">
      <alignment horizontal="center" readingOrder="0" shrinkToFit="0" vertical="center" wrapText="0"/>
    </xf>
    <xf borderId="0" fillId="0" fontId="7" numFmtId="0" xfId="0" applyAlignment="1" applyFont="1">
      <alignment horizontal="center" readingOrder="0" shrinkToFit="0" vertical="center" wrapText="0"/>
    </xf>
    <xf borderId="0" fillId="0" fontId="7" numFmtId="0" xfId="0" applyAlignment="1" applyFont="1">
      <alignment readingOrder="0" shrinkToFit="0" vertical="center" wrapText="0"/>
    </xf>
    <xf borderId="0" fillId="2" fontId="7" numFmtId="37" xfId="0" applyAlignment="1" applyFill="1" applyFont="1" applyNumberFormat="1">
      <alignment horizontal="center"/>
    </xf>
    <xf borderId="0" fillId="0" fontId="7" numFmtId="15" xfId="0" applyAlignment="1" applyFont="1" applyNumberFormat="1">
      <alignment horizontal="center" readingOrder="0" shrinkToFit="0" wrapText="0"/>
    </xf>
    <xf borderId="0" fillId="0" fontId="7" numFmtId="15" xfId="0" applyAlignment="1" applyFont="1" applyNumberFormat="1">
      <alignment horizontal="center"/>
    </xf>
    <xf borderId="0" fillId="0" fontId="7" numFmtId="15" xfId="0" applyAlignment="1" applyFont="1" applyNumberFormat="1">
      <alignment horizontal="center" shrinkToFit="0" wrapText="0"/>
    </xf>
    <xf borderId="0" fillId="0" fontId="29" numFmtId="1" xfId="0" applyAlignment="1" applyFont="1" applyNumberFormat="1">
      <alignment horizontal="center" shrinkToFit="0" wrapText="0"/>
    </xf>
    <xf borderId="0" fillId="0" fontId="7" numFmtId="1" xfId="0" applyAlignment="1" applyFont="1" applyNumberFormat="1">
      <alignment horizontal="center" readingOrder="0"/>
    </xf>
    <xf borderId="0" fillId="0" fontId="7" numFmtId="20" xfId="0" applyAlignment="1" applyFont="1" applyNumberFormat="1">
      <alignment horizontal="center" shrinkToFit="0" vertical="center" wrapText="0"/>
    </xf>
    <xf borderId="0" fillId="0" fontId="7" numFmtId="1" xfId="0" applyAlignment="1" applyFont="1" applyNumberFormat="1">
      <alignment horizontal="center"/>
    </xf>
    <xf borderId="0" fillId="0" fontId="7" numFmtId="15" xfId="0" applyAlignment="1" applyFont="1" applyNumberFormat="1">
      <alignment horizontal="center" readingOrder="0"/>
    </xf>
    <xf borderId="2" fillId="0" fontId="1" numFmtId="0" xfId="0" applyAlignment="1" applyBorder="1" applyFont="1">
      <alignment horizontal="center"/>
    </xf>
    <xf borderId="0" fillId="0" fontId="9" numFmtId="0" xfId="0" applyFont="1"/>
    <xf borderId="48" fillId="0" fontId="44" numFmtId="0" xfId="0" applyAlignment="1" applyBorder="1" applyFont="1">
      <alignment horizontal="center" shrinkToFit="0" vertical="center" wrapText="1"/>
    </xf>
    <xf borderId="61" fillId="0" fontId="5" numFmtId="0" xfId="0" applyBorder="1" applyFont="1"/>
    <xf borderId="3" fillId="4" fontId="45" numFmtId="169" xfId="0" applyAlignment="1" applyBorder="1" applyFill="1" applyFont="1" applyNumberFormat="1">
      <alignment horizontal="center" vertical="center"/>
    </xf>
    <xf borderId="62" fillId="0" fontId="46" numFmtId="169" xfId="0" applyAlignment="1" applyBorder="1" applyFont="1" applyNumberFormat="1">
      <alignment horizontal="center" shrinkToFit="0" vertical="center" wrapText="1"/>
    </xf>
    <xf borderId="63" fillId="0" fontId="5" numFmtId="0" xfId="0" applyBorder="1" applyFont="1"/>
    <xf borderId="11" fillId="7" fontId="3" numFmtId="0" xfId="0" applyAlignment="1" applyBorder="1" applyFill="1" applyFont="1">
      <alignment horizontal="center" vertical="center"/>
    </xf>
    <xf borderId="14" fillId="0" fontId="47" numFmtId="0" xfId="0" applyAlignment="1" applyBorder="1" applyFont="1">
      <alignment horizontal="center"/>
    </xf>
    <xf borderId="14" fillId="0" fontId="48" numFmtId="0" xfId="0" applyAlignment="1" applyBorder="1" applyFont="1">
      <alignment horizontal="center" readingOrder="0"/>
    </xf>
    <xf borderId="0" fillId="0" fontId="48" numFmtId="0" xfId="0" applyAlignment="1" applyFont="1">
      <alignment horizontal="center" readingOrder="0"/>
    </xf>
    <xf borderId="11" fillId="0" fontId="48" numFmtId="0" xfId="0" applyAlignment="1" applyBorder="1" applyFont="1">
      <alignment horizontal="center" shrinkToFit="0" vertical="center" wrapText="1"/>
    </xf>
    <xf borderId="11" fillId="0" fontId="48" numFmtId="1" xfId="0" applyAlignment="1" applyBorder="1" applyFont="1" applyNumberFormat="1">
      <alignment horizontal="center" readingOrder="0" shrinkToFit="0" vertical="center" wrapText="1"/>
    </xf>
    <xf borderId="11" fillId="6" fontId="3" numFmtId="1" xfId="0" applyAlignment="1" applyBorder="1" applyFill="1" applyFont="1" applyNumberFormat="1">
      <alignment horizontal="center" vertical="center"/>
    </xf>
    <xf borderId="48" fillId="0" fontId="47" numFmtId="0" xfId="0" applyAlignment="1" applyBorder="1" applyFont="1">
      <alignment horizontal="center"/>
    </xf>
    <xf borderId="11" fillId="0" fontId="48" numFmtId="173" xfId="0" applyAlignment="1" applyBorder="1" applyFont="1" applyNumberFormat="1">
      <alignment horizontal="center" readingOrder="0" shrinkToFit="0" vertical="center" wrapText="1"/>
    </xf>
    <xf borderId="11" fillId="6" fontId="3" numFmtId="173" xfId="0" applyAlignment="1" applyBorder="1" applyFill="1" applyFont="1" applyNumberFormat="1">
      <alignment horizontal="center" readingOrder="0" vertical="center"/>
    </xf>
    <xf borderId="11" fillId="0" fontId="48" numFmtId="9" xfId="0" applyAlignment="1" applyBorder="1" applyFont="1" applyNumberFormat="1">
      <alignment horizontal="center" readingOrder="0" shrinkToFit="0" vertical="center" wrapText="1"/>
    </xf>
    <xf borderId="11" fillId="29" fontId="3" numFmtId="177" xfId="0" applyAlignment="1" applyBorder="1" applyFill="1" applyFont="1" applyNumberFormat="1">
      <alignment horizontal="center" vertical="center"/>
    </xf>
    <xf borderId="11" fillId="0" fontId="48" numFmtId="173" xfId="0" applyAlignment="1" applyBorder="1" applyFont="1" applyNumberFormat="1">
      <alignment horizontal="center" shrinkToFit="0" vertical="center" wrapText="1"/>
    </xf>
    <xf borderId="11" fillId="9" fontId="3" numFmtId="173" xfId="0" applyAlignment="1" applyBorder="1" applyFill="1" applyFont="1" applyNumberFormat="1">
      <alignment horizontal="center" vertical="center"/>
    </xf>
    <xf borderId="0" fillId="0" fontId="48" numFmtId="0" xfId="0" applyAlignment="1" applyFont="1">
      <alignment horizontal="center"/>
    </xf>
    <xf borderId="11" fillId="6" fontId="3" numFmtId="9" xfId="0" applyAlignment="1" applyBorder="1" applyFill="1" applyFont="1" applyNumberFormat="1">
      <alignment horizontal="center" readingOrder="0" vertical="center"/>
    </xf>
    <xf borderId="48" fillId="0" fontId="49" numFmtId="0" xfId="0" applyAlignment="1" applyBorder="1" applyFont="1">
      <alignment horizontal="center" vertical="center"/>
    </xf>
    <xf borderId="14" fillId="0" fontId="48" numFmtId="0" xfId="0" applyAlignment="1" applyBorder="1" applyFont="1">
      <alignment horizontal="center"/>
    </xf>
    <xf borderId="0" fillId="0" fontId="46" numFmtId="0" xfId="0" applyAlignment="1" applyFont="1">
      <alignment horizontal="center" vertical="center"/>
    </xf>
    <xf borderId="14" fillId="0" fontId="50" numFmtId="0" xfId="0" applyAlignment="1" applyBorder="1" applyFont="1">
      <alignment horizontal="center" vertical="center"/>
    </xf>
    <xf borderId="14" fillId="0" fontId="46" numFmtId="0" xfId="0" applyAlignment="1" applyBorder="1" applyFont="1">
      <alignment horizontal="center" vertical="center"/>
    </xf>
    <xf borderId="62" fillId="0" fontId="50" numFmtId="1" xfId="0" applyAlignment="1" applyBorder="1" applyFont="1" applyNumberFormat="1">
      <alignment horizontal="center" vertical="center"/>
    </xf>
    <xf borderId="14" fillId="6" fontId="46" numFmtId="167" xfId="0" applyAlignment="1" applyBorder="1" applyFill="1" applyFont="1" applyNumberFormat="1">
      <alignment horizontal="center" vertical="center"/>
    </xf>
    <xf borderId="0" fillId="0" fontId="46" numFmtId="167" xfId="0" applyAlignment="1" applyFont="1" applyNumberFormat="1">
      <alignment horizontal="center" vertical="center"/>
    </xf>
    <xf borderId="0" fillId="0" fontId="7" numFmtId="20" xfId="0" applyAlignment="1" applyFont="1" applyNumberFormat="1">
      <alignment horizontal="center"/>
    </xf>
    <xf borderId="0" fillId="0" fontId="7" numFmtId="0" xfId="0" applyAlignment="1" applyFont="1">
      <alignment horizontal="center" shrinkToFit="0" vertical="center" wrapText="1"/>
    </xf>
    <xf borderId="0" fillId="0" fontId="7" numFmtId="0" xfId="0" applyAlignment="1" applyFont="1">
      <alignment horizontal="center" readingOrder="0" shrinkToFit="0" vertical="center" wrapText="1"/>
    </xf>
    <xf borderId="0" fillId="0" fontId="7" numFmtId="10" xfId="0" applyAlignment="1" applyFont="1" applyNumberFormat="1">
      <alignment horizontal="center" shrinkToFit="0" vertical="center" wrapText="1"/>
    </xf>
    <xf borderId="0" fillId="0" fontId="7" numFmtId="10" xfId="0" applyAlignment="1" applyFont="1" applyNumberFormat="1">
      <alignment horizontal="center" readingOrder="0" shrinkToFit="0" vertical="center" wrapText="1"/>
    </xf>
    <xf borderId="0" fillId="0" fontId="7" numFmtId="2" xfId="0" applyAlignment="1" applyFont="1" applyNumberFormat="1">
      <alignment horizontal="center" shrinkToFit="0" vertical="center" wrapText="1"/>
    </xf>
    <xf borderId="0" fillId="0" fontId="7" numFmtId="1" xfId="0" applyAlignment="1" applyFont="1" applyNumberFormat="1">
      <alignment horizontal="center" readingOrder="0" shrinkToFit="0" vertical="center" wrapText="1"/>
    </xf>
    <xf borderId="0" fillId="0" fontId="7" numFmtId="173" xfId="0" applyAlignment="1" applyFont="1" applyNumberFormat="1">
      <alignment horizontal="center" shrinkToFit="0" vertical="center" wrapText="1"/>
    </xf>
    <xf borderId="64" fillId="6" fontId="51" numFmtId="165" xfId="0" applyAlignment="1" applyBorder="1" applyFill="1" applyFont="1" applyNumberFormat="1">
      <alignment horizontal="right" shrinkToFit="0" vertical="center" wrapText="0"/>
    </xf>
    <xf borderId="65" fillId="6" fontId="51" numFmtId="20" xfId="0" applyAlignment="1" applyBorder="1" applyFill="1" applyFont="1" applyNumberFormat="1">
      <alignment horizontal="center" shrinkToFit="0" vertical="center" wrapText="0"/>
    </xf>
    <xf borderId="65" fillId="6" fontId="51" numFmtId="0" xfId="0" applyAlignment="1" applyBorder="1" applyFill="1" applyFont="1">
      <alignment horizontal="center" shrinkToFit="0" vertical="center" wrapText="0"/>
    </xf>
    <xf borderId="65" fillId="6" fontId="51" numFmtId="0" xfId="0" applyAlignment="1" applyBorder="1" applyFill="1" applyFont="1">
      <alignment shrinkToFit="0" vertical="center" wrapText="0"/>
    </xf>
    <xf borderId="66" fillId="30" fontId="51" numFmtId="165" xfId="0" applyAlignment="1" applyBorder="1" applyFill="1" applyFont="1" applyNumberFormat="1">
      <alignment horizontal="right" shrinkToFit="0" vertical="center" wrapText="0"/>
    </xf>
    <xf borderId="67" fillId="30" fontId="51" numFmtId="20" xfId="0" applyAlignment="1" applyBorder="1" applyFill="1" applyFont="1" applyNumberFormat="1">
      <alignment horizontal="center" shrinkToFit="0" vertical="center" wrapText="0"/>
    </xf>
    <xf borderId="67" fillId="30" fontId="51" numFmtId="0" xfId="0" applyAlignment="1" applyBorder="1" applyFill="1" applyFont="1">
      <alignment horizontal="center" shrinkToFit="0" vertical="center" wrapText="0"/>
    </xf>
    <xf borderId="67" fillId="30" fontId="51" numFmtId="0" xfId="0" applyAlignment="1" applyBorder="1" applyFill="1" applyFont="1">
      <alignment shrinkToFit="0" vertical="center" wrapText="0"/>
    </xf>
    <xf borderId="0" fillId="2" fontId="52" numFmtId="37" xfId="0" applyAlignment="1" applyFill="1" applyFont="1" applyNumberFormat="1">
      <alignment horizontal="center"/>
    </xf>
    <xf borderId="0" fillId="0" fontId="35" numFmtId="0" xfId="0" applyAlignment="1" applyFont="1">
      <alignment horizontal="center" shrinkToFit="0" vertical="center" wrapText="0"/>
    </xf>
    <xf borderId="0" fillId="0" fontId="7" numFmtId="20" xfId="0" applyAlignment="1" applyFont="1" applyNumberFormat="1">
      <alignment horizontal="center" readingOrder="0" vertical="center"/>
    </xf>
    <xf borderId="0" fillId="0" fontId="7" numFmtId="0" xfId="0" applyAlignment="1" applyFont="1">
      <alignment horizontal="center" readingOrder="0" shrinkToFit="0" wrapText="1"/>
    </xf>
    <xf borderId="0" fillId="0" fontId="7" numFmtId="165" xfId="0" applyAlignment="1" applyFont="1" applyNumberFormat="1">
      <alignment shrinkToFit="0" vertical="center" wrapText="0"/>
    </xf>
    <xf borderId="0" fillId="0" fontId="7" numFmtId="0" xfId="0" applyAlignment="1" applyFont="1">
      <alignment shrinkToFit="0" vertical="center" wrapText="0"/>
    </xf>
    <xf borderId="0" fillId="0" fontId="7" numFmtId="0" xfId="0" applyAlignment="1" applyFont="1">
      <alignment horizontal="center" readingOrder="0" shrinkToFit="0" vertical="center" wrapText="0"/>
    </xf>
    <xf borderId="0" fillId="0" fontId="7" numFmtId="0" xfId="0" applyAlignment="1" applyFont="1">
      <alignment horizontal="center" shrinkToFit="0" vertical="center" wrapText="0"/>
    </xf>
    <xf borderId="0" fillId="0" fontId="7" numFmtId="37" xfId="0" applyAlignment="1" applyFont="1" applyNumberFormat="1">
      <alignment horizontal="center" vertical="center"/>
    </xf>
    <xf borderId="0" fillId="0" fontId="7" numFmtId="0" xfId="0" applyAlignment="1" applyFont="1">
      <alignment horizontal="center" vertical="center"/>
    </xf>
    <xf borderId="0" fillId="0" fontId="7" numFmtId="0" xfId="0" applyAlignment="1" applyFont="1">
      <alignment horizontal="center" readingOrder="0" vertical="center"/>
    </xf>
    <xf borderId="0" fillId="2" fontId="52" numFmtId="37" xfId="0" applyFill="1" applyFont="1" applyNumberFormat="1"/>
    <xf borderId="0" fillId="0" fontId="2" numFmtId="0" xfId="0" applyAlignment="1" applyFont="1">
      <alignment readingOrder="0"/>
    </xf>
    <xf borderId="0" fillId="0" fontId="2" numFmtId="4" xfId="0" applyFont="1" applyNumberFormat="1"/>
    <xf borderId="0" fillId="0" fontId="2" numFmtId="169" xfId="0" applyFont="1" applyNumberFormat="1"/>
    <xf borderId="24" fillId="3" fontId="3" numFmtId="0" xfId="0" applyAlignment="1" applyBorder="1" applyFill="1" applyFont="1">
      <alignment horizontal="center" vertical="center"/>
    </xf>
    <xf borderId="0" fillId="0" fontId="2" numFmtId="166" xfId="0" applyFont="1" applyNumberFormat="1"/>
    <xf borderId="23" fillId="7" fontId="8" numFmtId="0" xfId="0" applyAlignment="1" applyBorder="1" applyFill="1" applyFont="1">
      <alignment horizontal="center" vertical="center"/>
    </xf>
    <xf borderId="3" fillId="2" fontId="8" numFmtId="166" xfId="0" applyAlignment="1" applyBorder="1" applyFill="1" applyFont="1" applyNumberFormat="1">
      <alignment horizontal="center" vertical="center"/>
    </xf>
    <xf borderId="17" fillId="0" fontId="5" numFmtId="0" xfId="0" applyBorder="1" applyFont="1"/>
    <xf borderId="11" fillId="7" fontId="8" numFmtId="0" xfId="0" applyAlignment="1" applyBorder="1" applyFill="1" applyFont="1">
      <alignment horizontal="center" vertical="center"/>
    </xf>
    <xf borderId="11" fillId="6" fontId="1" numFmtId="20" xfId="0" applyAlignment="1" applyBorder="1" applyFill="1" applyFont="1" applyNumberFormat="1">
      <alignment horizontal="center" readingOrder="0"/>
    </xf>
    <xf borderId="17" fillId="6" fontId="1" numFmtId="20" xfId="0" applyAlignment="1" applyBorder="1" applyFill="1" applyFont="1" applyNumberFormat="1">
      <alignment horizontal="center" readingOrder="0" shrinkToFit="0" wrapText="1"/>
    </xf>
    <xf borderId="17" fillId="6" fontId="1" numFmtId="20" xfId="0" applyAlignment="1" applyBorder="1" applyFill="1" applyFont="1" applyNumberFormat="1">
      <alignment horizontal="center" shrinkToFit="0" wrapText="1"/>
    </xf>
    <xf borderId="11" fillId="6" fontId="1" numFmtId="20" xfId="0" applyAlignment="1" applyBorder="1" applyFill="1" applyFont="1" applyNumberFormat="1">
      <alignment horizontal="center"/>
    </xf>
    <xf borderId="68" fillId="6" fontId="53" numFmtId="0" xfId="0" applyAlignment="1" applyBorder="1" applyFill="1" applyFont="1">
      <alignment horizontal="center" readingOrder="0"/>
    </xf>
    <xf borderId="11" fillId="0" fontId="1" numFmtId="20" xfId="0" applyAlignment="1" applyBorder="1" applyFont="1" applyNumberFormat="1">
      <alignment horizontal="center"/>
    </xf>
    <xf borderId="17" fillId="0" fontId="1" numFmtId="20" xfId="0" applyAlignment="1" applyBorder="1" applyFont="1" applyNumberFormat="1">
      <alignment horizontal="center" shrinkToFit="0" wrapText="1"/>
    </xf>
    <xf borderId="11" fillId="0" fontId="1" numFmtId="20" xfId="0" applyAlignment="1" applyBorder="1" applyFont="1" applyNumberFormat="1">
      <alignment horizontal="center"/>
    </xf>
    <xf borderId="17" fillId="0" fontId="1" numFmtId="20" xfId="0" applyAlignment="1" applyBorder="1" applyFont="1" applyNumberFormat="1">
      <alignment horizontal="center" shrinkToFit="0" wrapText="1"/>
    </xf>
    <xf borderId="0" fillId="0" fontId="2" numFmtId="10" xfId="0" applyFont="1" applyNumberFormat="1"/>
    <xf borderId="24" fillId="0" fontId="1" numFmtId="0" xfId="0" applyAlignment="1" applyBorder="1" applyFont="1">
      <alignment horizontal="center"/>
    </xf>
    <xf borderId="3" fillId="0" fontId="4" numFmtId="0" xfId="0" applyAlignment="1" applyBorder="1" applyFont="1">
      <alignment horizontal="center"/>
    </xf>
    <xf borderId="23" fillId="0" fontId="54" numFmtId="0" xfId="0" applyAlignment="1" applyBorder="1" applyFont="1">
      <alignment horizontal="center" shrinkToFit="0" vertical="center" wrapText="1"/>
    </xf>
    <xf borderId="69" fillId="0" fontId="5" numFmtId="0" xfId="0" applyBorder="1" applyFont="1"/>
    <xf borderId="3" fillId="0" fontId="4" numFmtId="166" xfId="0" applyAlignment="1" applyBorder="1" applyFont="1" applyNumberFormat="1">
      <alignment horizontal="center"/>
    </xf>
    <xf borderId="3" fillId="0" fontId="1" numFmtId="0" xfId="0" applyAlignment="1" applyBorder="1" applyFont="1">
      <alignment horizontal="center"/>
    </xf>
    <xf borderId="3" fillId="0" fontId="47" numFmtId="0" xfId="0" applyAlignment="1" applyBorder="1" applyFont="1">
      <alignment horizontal="center"/>
    </xf>
    <xf borderId="3" fillId="0" fontId="1" numFmtId="0" xfId="0" applyAlignment="1" applyBorder="1" applyFont="1">
      <alignment horizontal="center" vertical="center"/>
    </xf>
    <xf borderId="26" fillId="0" fontId="1" numFmtId="0" xfId="0" applyAlignment="1" applyBorder="1" applyFont="1">
      <alignment horizontal="center"/>
    </xf>
    <xf borderId="11" fillId="5" fontId="10" numFmtId="0" xfId="0" applyAlignment="1" applyBorder="1" applyFill="1" applyFont="1">
      <alignment horizontal="center"/>
    </xf>
    <xf borderId="3" fillId="12" fontId="4" numFmtId="0" xfId="0" applyAlignment="1" applyBorder="1" applyFill="1" applyFont="1">
      <alignment horizontal="center"/>
    </xf>
    <xf borderId="0" fillId="0" fontId="7" numFmtId="37" xfId="0" applyFont="1" applyNumberFormat="1"/>
    <xf borderId="70" fillId="9" fontId="1" numFmtId="0" xfId="0" applyAlignment="1" applyBorder="1" applyFill="1" applyFont="1">
      <alignment horizontal="center"/>
    </xf>
    <xf borderId="71" fillId="0" fontId="5" numFmtId="0" xfId="0" applyBorder="1" applyFont="1"/>
    <xf borderId="72" fillId="0" fontId="5" numFmtId="0" xfId="0" applyBorder="1" applyFont="1"/>
    <xf borderId="3" fillId="9" fontId="1" numFmtId="0" xfId="0" applyAlignment="1" applyBorder="1" applyFill="1" applyFont="1">
      <alignment horizontal="center"/>
    </xf>
    <xf borderId="11" fillId="7" fontId="1" numFmtId="0" xfId="0" applyAlignment="1" applyBorder="1" applyFill="1" applyFont="1">
      <alignment horizontal="center"/>
    </xf>
    <xf borderId="0" fillId="0" fontId="1" numFmtId="0" xfId="0" applyAlignment="1" applyFont="1">
      <alignment horizontal="left"/>
    </xf>
    <xf borderId="9" fillId="7" fontId="1" numFmtId="0" xfId="0" applyAlignment="1" applyBorder="1" applyFill="1" applyFont="1">
      <alignment horizontal="center" vertical="center"/>
    </xf>
    <xf borderId="73" fillId="7" fontId="1" numFmtId="0" xfId="0" applyAlignment="1" applyBorder="1" applyFill="1" applyFont="1">
      <alignment horizontal="center" vertical="center"/>
    </xf>
    <xf borderId="10" fillId="7" fontId="1" numFmtId="0" xfId="0" applyAlignment="1" applyBorder="1" applyFill="1" applyFont="1">
      <alignment horizontal="center" vertical="center"/>
    </xf>
    <xf borderId="15" fillId="0" fontId="55" numFmtId="0" xfId="0" applyAlignment="1" applyBorder="1" applyFont="1">
      <alignment horizontal="center" shrinkToFit="0" vertical="center" wrapText="1"/>
    </xf>
    <xf borderId="11" fillId="0" fontId="1" numFmtId="0" xfId="0" applyAlignment="1" applyBorder="1" applyFont="1">
      <alignment horizontal="center" shrinkToFit="0" vertical="center" wrapText="1"/>
    </xf>
    <xf borderId="11" fillId="0" fontId="1" numFmtId="166" xfId="0" applyAlignment="1" applyBorder="1" applyFont="1" applyNumberFormat="1">
      <alignment horizontal="center" vertical="center"/>
    </xf>
    <xf borderId="24" fillId="0" fontId="47" numFmtId="0" xfId="0" applyAlignment="1" applyBorder="1" applyFont="1">
      <alignment horizontal="center" shrinkToFit="0" vertical="center" wrapText="1"/>
    </xf>
    <xf borderId="11" fillId="0" fontId="1" numFmtId="167" xfId="0" applyAlignment="1" applyBorder="1" applyFont="1" applyNumberFormat="1">
      <alignment horizontal="center" vertical="center"/>
    </xf>
    <xf borderId="33" fillId="0" fontId="47" numFmtId="0" xfId="0" applyAlignment="1" applyBorder="1" applyFont="1">
      <alignment vertical="center"/>
    </xf>
    <xf borderId="0" fillId="0" fontId="47" numFmtId="0" xfId="0" applyAlignment="1" applyFont="1">
      <alignment vertical="center"/>
    </xf>
    <xf borderId="16" fillId="0" fontId="1" numFmtId="166" xfId="0" applyAlignment="1" applyBorder="1" applyFont="1" applyNumberFormat="1">
      <alignment horizontal="center" vertical="center"/>
    </xf>
    <xf borderId="34" fillId="0" fontId="47" numFmtId="0" xfId="0" applyAlignment="1" applyBorder="1" applyFont="1">
      <alignment vertical="center"/>
    </xf>
    <xf borderId="0" fillId="0" fontId="1" numFmtId="166" xfId="0" applyFont="1" applyNumberFormat="1"/>
    <xf borderId="11" fillId="6" fontId="1" numFmtId="0" xfId="0" applyAlignment="1" applyBorder="1" applyFill="1" applyFont="1">
      <alignment horizontal="center" shrinkToFit="0" vertical="center" wrapText="1"/>
    </xf>
    <xf borderId="16" fillId="0" fontId="1" numFmtId="0" xfId="0" applyAlignment="1" applyBorder="1" applyFont="1">
      <alignment horizontal="center" vertical="center"/>
    </xf>
    <xf borderId="45" fillId="0" fontId="47" numFmtId="0" xfId="0" applyAlignment="1" applyBorder="1" applyFont="1">
      <alignment vertical="center"/>
    </xf>
    <xf borderId="47" fillId="0" fontId="47" numFmtId="0" xfId="0" applyAlignment="1" applyBorder="1" applyFont="1">
      <alignment vertical="center"/>
    </xf>
    <xf borderId="46" fillId="0" fontId="47" numFmtId="0" xfId="0" applyAlignment="1" applyBorder="1" applyFont="1">
      <alignment vertical="center"/>
    </xf>
    <xf borderId="11" fillId="31" fontId="1" numFmtId="167" xfId="0" applyAlignment="1" applyBorder="1" applyFill="1" applyFont="1" applyNumberFormat="1">
      <alignment horizontal="center" vertical="center"/>
    </xf>
    <xf borderId="11" fillId="2" fontId="1" numFmtId="0" xfId="0" applyAlignment="1" applyBorder="1" applyFill="1" applyFont="1">
      <alignment horizontal="center" shrinkToFit="0" vertical="center" wrapText="1"/>
    </xf>
    <xf borderId="0" fillId="0" fontId="1" numFmtId="0" xfId="0" applyAlignment="1" applyFont="1">
      <alignment vertical="top"/>
    </xf>
    <xf borderId="2" fillId="28" fontId="56" numFmtId="0" xfId="0" applyAlignment="1" applyBorder="1" applyFill="1" applyFont="1">
      <alignment horizontal="center" vertical="center"/>
    </xf>
    <xf borderId="74" fillId="4" fontId="57" numFmtId="0" xfId="0" applyAlignment="1" applyBorder="1" applyFill="1" applyFont="1">
      <alignment horizontal="center" vertical="center"/>
    </xf>
    <xf borderId="8" fillId="4" fontId="56" numFmtId="0" xfId="0" applyAlignment="1" applyBorder="1" applyFill="1" applyFont="1">
      <alignment horizontal="center" vertical="center"/>
    </xf>
    <xf borderId="75" fillId="4" fontId="56" numFmtId="0" xfId="0" applyAlignment="1" applyBorder="1" applyFill="1" applyFont="1">
      <alignment horizontal="center" shrinkToFit="0" vertical="center" wrapText="1"/>
    </xf>
    <xf borderId="15" fillId="0" fontId="58" numFmtId="0" xfId="0" applyAlignment="1" applyBorder="1" applyFont="1">
      <alignment horizontal="center" vertical="center"/>
    </xf>
    <xf borderId="11" fillId="0" fontId="58" numFmtId="0" xfId="0" applyAlignment="1" applyBorder="1" applyFont="1">
      <alignment horizontal="left" shrinkToFit="0" vertical="center" wrapText="1"/>
    </xf>
    <xf borderId="16" fillId="0" fontId="58" numFmtId="0" xfId="0" applyAlignment="1" applyBorder="1" applyFont="1">
      <alignment horizontal="center" shrinkToFit="0" vertical="center" wrapText="1"/>
    </xf>
    <xf borderId="0" fillId="0" fontId="1" numFmtId="0" xfId="0" applyAlignment="1" applyFont="1">
      <alignment vertical="center"/>
    </xf>
    <xf borderId="11" fillId="0" fontId="58" numFmtId="0" xfId="0" applyAlignment="1" applyBorder="1" applyFont="1">
      <alignment vertical="center"/>
    </xf>
    <xf borderId="11" fillId="0" fontId="58" numFmtId="0" xfId="0" applyAlignment="1" applyBorder="1" applyFont="1">
      <alignment shrinkToFit="0" vertical="center" wrapText="1"/>
    </xf>
    <xf borderId="32" fillId="0" fontId="58" numFmtId="0" xfId="0" applyAlignment="1" applyBorder="1" applyFont="1">
      <alignment horizontal="center" vertical="center"/>
    </xf>
    <xf borderId="53" fillId="0" fontId="58" numFmtId="0" xfId="0" applyAlignment="1" applyBorder="1" applyFont="1">
      <alignment shrinkToFit="0" vertical="center" wrapText="1"/>
    </xf>
    <xf borderId="35" fillId="0" fontId="58" numFmtId="0" xfId="0" applyAlignment="1" applyBorder="1" applyFont="1">
      <alignment horizontal="center" shrinkToFit="0" vertical="center" wrapText="1"/>
    </xf>
    <xf borderId="0" fillId="0" fontId="59" numFmtId="0" xfId="0" applyAlignment="1" applyFont="1">
      <alignment horizontal="center" shrinkToFit="0" wrapText="1"/>
    </xf>
    <xf borderId="3" fillId="28" fontId="56" numFmtId="0" xfId="0" applyAlignment="1" applyBorder="1" applyFill="1" applyFont="1">
      <alignment horizontal="center" vertical="center"/>
    </xf>
    <xf borderId="11" fillId="4" fontId="57" numFmtId="0" xfId="0" applyAlignment="1" applyBorder="1" applyFill="1" applyFont="1">
      <alignment horizontal="center" vertical="center"/>
    </xf>
    <xf borderId="11" fillId="4" fontId="56" numFmtId="0" xfId="0" applyAlignment="1" applyBorder="1" applyFill="1" applyFont="1">
      <alignment horizontal="center" vertical="center"/>
    </xf>
    <xf borderId="11" fillId="4" fontId="56" numFmtId="0" xfId="0" applyAlignment="1" applyBorder="1" applyFill="1" applyFont="1">
      <alignment horizontal="center" shrinkToFit="0" vertical="center" wrapText="1"/>
    </xf>
    <xf borderId="11" fillId="0" fontId="57" numFmtId="0" xfId="0" applyAlignment="1" applyBorder="1" applyFont="1">
      <alignment horizontal="center" vertical="center"/>
    </xf>
    <xf borderId="11" fillId="0" fontId="60" numFmtId="0" xfId="0" applyAlignment="1" applyBorder="1" applyFont="1">
      <alignment horizontal="center" shrinkToFit="0" vertical="center" wrapText="1"/>
    </xf>
    <xf borderId="11" fillId="4" fontId="61" numFmtId="0" xfId="0" applyAlignment="1" applyBorder="1" applyFill="1" applyFont="1">
      <alignment horizontal="center" shrinkToFit="0" vertical="center" wrapText="1"/>
    </xf>
    <xf borderId="11" fillId="0" fontId="61" numFmtId="0" xfId="0" applyAlignment="1" applyBorder="1" applyFont="1">
      <alignment horizontal="center" shrinkToFit="0" vertical="center" wrapText="1"/>
    </xf>
    <xf borderId="0" fillId="0" fontId="59" numFmtId="0" xfId="0" applyFont="1"/>
    <xf borderId="11" fillId="20" fontId="61" numFmtId="0" xfId="0" applyAlignment="1" applyBorder="1" applyFill="1" applyFont="1">
      <alignment horizontal="center" shrinkToFit="0" vertical="center" wrapText="1"/>
    </xf>
    <xf borderId="11" fillId="0" fontId="62" numFmtId="0" xfId="0" applyAlignment="1" applyBorder="1" applyFont="1">
      <alignment horizontal="center" shrinkToFit="0" vertical="center" wrapText="1"/>
    </xf>
    <xf borderId="0" fillId="0" fontId="58" numFmtId="0" xfId="0" applyAlignment="1" applyFont="1">
      <alignment horizontal="left" shrinkToFit="0" vertical="center" wrapText="1"/>
    </xf>
    <xf borderId="69" fillId="0" fontId="58" numFmtId="0" xfId="0" applyAlignment="1" applyBorder="1" applyFont="1">
      <alignment horizontal="left" shrinkToFit="0" vertical="center" wrapText="1"/>
    </xf>
    <xf borderId="11" fillId="0" fontId="63" numFmtId="0" xfId="0" applyAlignment="1" applyBorder="1" applyFont="1">
      <alignment horizontal="center" shrinkToFit="0" vertical="center" wrapText="1"/>
    </xf>
    <xf borderId="0" fillId="0" fontId="64" numFmtId="0" xfId="0" applyFont="1"/>
    <xf borderId="14" fillId="6" fontId="64" numFmtId="0" xfId="0" applyAlignment="1" applyBorder="1" applyFill="1" applyFont="1">
      <alignment horizontal="center" shrinkToFit="0" wrapText="1"/>
    </xf>
    <xf borderId="36" fillId="6" fontId="64" numFmtId="0" xfId="0" applyAlignment="1" applyBorder="1" applyFill="1" applyFont="1">
      <alignment horizontal="center" shrinkToFit="0" wrapText="1"/>
    </xf>
    <xf borderId="76" fillId="6" fontId="64" numFmtId="0" xfId="0" applyAlignment="1" applyBorder="1" applyFill="1" applyFont="1">
      <alignment horizontal="center" shrinkToFit="0" wrapText="1"/>
    </xf>
    <xf borderId="0" fillId="0" fontId="7" numFmtId="0" xfId="0" applyFont="1"/>
    <xf borderId="0" fillId="0" fontId="7" numFmtId="21" xfId="0" applyAlignment="1" applyFont="1" applyNumberFormat="1">
      <alignment horizontal="center" readingOrder="0"/>
    </xf>
    <xf borderId="0" fillId="0" fontId="7" numFmtId="0" xfId="0" applyAlignment="1" applyFont="1">
      <alignment horizontal="left"/>
    </xf>
    <xf borderId="0" fillId="9" fontId="30" numFmtId="0" xfId="0" applyAlignment="1" applyFill="1" applyFont="1">
      <alignment horizontal="center" readingOrder="0" vertical="center"/>
    </xf>
    <xf borderId="0" fillId="0" fontId="29" numFmtId="0" xfId="0" applyFont="1"/>
    <xf borderId="11" fillId="9" fontId="30" numFmtId="0" xfId="0" applyAlignment="1" applyBorder="1" applyFill="1" applyFont="1">
      <alignment horizontal="center" readingOrder="0" vertical="center"/>
    </xf>
    <xf borderId="11" fillId="3" fontId="30" numFmtId="0" xfId="0" applyAlignment="1" applyBorder="1" applyFill="1" applyFont="1">
      <alignment horizontal="center" readingOrder="0" vertical="center"/>
    </xf>
    <xf borderId="0" fillId="0" fontId="29" numFmtId="0" xfId="0" applyAlignment="1" applyFont="1">
      <alignment horizontal="center" readingOrder="0"/>
    </xf>
    <xf borderId="11" fillId="0" fontId="29" numFmtId="0" xfId="0" applyAlignment="1" applyBorder="1" applyFont="1">
      <alignment horizontal="center" readingOrder="0" vertical="center"/>
    </xf>
    <xf borderId="11" fillId="6" fontId="65" numFmtId="0" xfId="0" applyAlignment="1" applyBorder="1" applyFill="1" applyFont="1">
      <alignment readingOrder="0" shrinkToFit="0" vertical="center" wrapText="1"/>
    </xf>
    <xf borderId="11" fillId="6" fontId="66" numFmtId="0" xfId="0" applyAlignment="1" applyBorder="1" applyFill="1" applyFont="1">
      <alignment readingOrder="0" shrinkToFit="0" vertical="center" wrapText="1"/>
    </xf>
    <xf borderId="11" fillId="0" fontId="30" numFmtId="0" xfId="0" applyAlignment="1" applyBorder="1" applyFont="1">
      <alignment readingOrder="0" shrinkToFit="0" vertical="center" wrapText="1"/>
    </xf>
    <xf borderId="11" fillId="0" fontId="30" numFmtId="0" xfId="0" applyAlignment="1" applyBorder="1" applyFont="1">
      <alignment horizontal="center" readingOrder="0" shrinkToFit="0" vertical="center" wrapText="1"/>
    </xf>
    <xf borderId="11" fillId="6" fontId="67" numFmtId="0" xfId="0" applyAlignment="1" applyBorder="1" applyFill="1" applyFont="1">
      <alignment readingOrder="0" shrinkToFit="0" vertical="center" wrapText="1"/>
    </xf>
    <xf borderId="0" fillId="0" fontId="29" numFmtId="0" xfId="0" applyAlignment="1" applyFont="1">
      <alignment shrinkToFit="0" wrapText="1"/>
    </xf>
    <xf borderId="0" fillId="0" fontId="7" numFmtId="0" xfId="0" applyAlignment="1" applyFont="1">
      <alignment horizontal="left" readingOrder="0" shrinkToFit="0" vertical="center" wrapText="0"/>
    </xf>
    <xf borderId="0" fillId="0" fontId="7" numFmtId="0" xfId="0" applyAlignment="1" applyFont="1">
      <alignment horizontal="left" readingOrder="0" shrinkToFit="0" vertical="center" wrapText="0"/>
    </xf>
    <xf borderId="0" fillId="0" fontId="7" numFmtId="0" xfId="0" applyAlignment="1" applyFont="1">
      <alignment readingOrder="0" shrinkToFit="0" vertical="center" wrapText="0"/>
    </xf>
    <xf borderId="0" fillId="0" fontId="7" numFmtId="178" xfId="0" applyAlignment="1" applyFont="1" applyNumberFormat="1">
      <alignment horizontal="center" readingOrder="0" shrinkToFit="0" vertical="center" wrapText="0"/>
    </xf>
    <xf borderId="0" fillId="0" fontId="7" numFmtId="178" xfId="0" applyAlignment="1" applyFont="1" applyNumberFormat="1">
      <alignment shrinkToFit="0" vertical="center" wrapText="0"/>
    </xf>
    <xf borderId="0" fillId="0" fontId="8" numFmtId="0" xfId="0" applyAlignment="1" applyFont="1">
      <alignment readingOrder="0" shrinkToFit="0" vertical="center" wrapText="0"/>
    </xf>
    <xf borderId="0" fillId="0" fontId="12" numFmtId="178" xfId="0" applyAlignment="1" applyFont="1" applyNumberFormat="1">
      <alignment horizontal="center" readingOrder="0" shrinkToFit="0" vertical="center" wrapText="0"/>
    </xf>
    <xf borderId="0" fillId="0" fontId="12" numFmtId="0" xfId="0" applyAlignment="1" applyFont="1">
      <alignment horizontal="center" readingOrder="0" shrinkToFit="0" vertical="center" wrapText="0"/>
    </xf>
    <xf borderId="0" fillId="0" fontId="7" numFmtId="0" xfId="0" applyAlignment="1" applyFont="1">
      <alignment readingOrder="0" shrinkToFit="0" vertical="center" wrapText="0"/>
    </xf>
    <xf borderId="0" fillId="0" fontId="68" numFmtId="179" xfId="0" applyAlignment="1" applyFont="1" applyNumberFormat="1">
      <alignment readingOrder="0" shrinkToFit="0" vertical="center" wrapText="0"/>
    </xf>
    <xf borderId="0" fillId="0" fontId="7" numFmtId="178" xfId="0" applyAlignment="1" applyFont="1" applyNumberFormat="1">
      <alignment readingOrder="0" shrinkToFit="0" vertical="center" wrapText="0"/>
    </xf>
    <xf borderId="0" fillId="0" fontId="7" numFmtId="179" xfId="0" applyAlignment="1" applyFont="1" applyNumberFormat="1">
      <alignment readingOrder="0" shrinkToFit="0" vertical="center" wrapText="0"/>
    </xf>
    <xf borderId="0" fillId="0" fontId="7" numFmtId="178" xfId="0" applyAlignment="1" applyFont="1" applyNumberFormat="1">
      <alignment readingOrder="0"/>
    </xf>
    <xf borderId="0" fillId="0" fontId="8" numFmtId="0" xfId="0" applyAlignment="1" applyFont="1">
      <alignment readingOrder="0" shrinkToFit="0" vertical="center" wrapText="0"/>
    </xf>
    <xf borderId="0" fillId="0" fontId="7" numFmtId="4" xfId="0" applyAlignment="1" applyFont="1" applyNumberFormat="1">
      <alignment readingOrder="0"/>
    </xf>
    <xf borderId="0" fillId="0" fontId="12" numFmtId="178" xfId="0" applyAlignment="1" applyFont="1" applyNumberFormat="1">
      <alignment horizontal="center" readingOrder="0" shrinkToFit="0" vertical="center" wrapText="0"/>
    </xf>
    <xf borderId="0" fillId="0" fontId="69" numFmtId="179" xfId="0" applyAlignment="1" applyFont="1" applyNumberFormat="1">
      <alignment readingOrder="0" shrinkToFit="0" vertical="center" wrapText="0"/>
    </xf>
    <xf borderId="0" fillId="0" fontId="7" numFmtId="178" xfId="0" applyAlignment="1" applyFont="1" applyNumberFormat="1">
      <alignment horizontal="center" shrinkToFit="0" vertical="center" wrapText="0"/>
    </xf>
    <xf borderId="65" fillId="0" fontId="70" numFmtId="0" xfId="0" applyAlignment="1" applyBorder="1" applyFont="1">
      <alignment horizontal="center" readingOrder="0"/>
    </xf>
    <xf borderId="77" fillId="0" fontId="70" numFmtId="0" xfId="0" applyAlignment="1" applyBorder="1" applyFont="1">
      <alignment horizontal="center" readingOrder="0"/>
    </xf>
    <xf borderId="78" fillId="15" fontId="71" numFmtId="0" xfId="0" applyAlignment="1" applyBorder="1" applyFill="1" applyFont="1">
      <alignment horizontal="center" readingOrder="0" vertical="center"/>
    </xf>
    <xf borderId="79" fillId="15" fontId="71" numFmtId="0" xfId="0" applyAlignment="1" applyBorder="1" applyFill="1" applyFont="1">
      <alignment horizontal="center" readingOrder="0" vertical="center"/>
    </xf>
    <xf borderId="0" fillId="15" fontId="72" numFmtId="0" xfId="0" applyAlignment="1" applyFill="1" applyFont="1">
      <alignment horizontal="center" readingOrder="0" vertical="center"/>
    </xf>
    <xf borderId="77" fillId="0" fontId="70" numFmtId="0" xfId="0" applyAlignment="1" applyBorder="1" applyFont="1">
      <alignment horizontal="center" readingOrder="0" vertical="center"/>
    </xf>
    <xf borderId="11" fillId="0" fontId="73" numFmtId="0" xfId="0" applyAlignment="1" applyBorder="1" applyFont="1">
      <alignment horizontal="center" readingOrder="0" vertical="center"/>
    </xf>
    <xf borderId="11" fillId="0" fontId="74" numFmtId="0" xfId="0" applyAlignment="1" applyBorder="1" applyFont="1">
      <alignment readingOrder="0" vertical="center"/>
    </xf>
    <xf borderId="80" fillId="0" fontId="70" numFmtId="0" xfId="0" applyAlignment="1" applyBorder="1" applyFont="1">
      <alignment horizontal="center" readingOrder="0"/>
    </xf>
    <xf borderId="0" fillId="0" fontId="7" numFmtId="178" xfId="0" applyAlignment="1" applyFont="1" applyNumberFormat="1">
      <alignment horizontal="center" readingOrder="0" shrinkToFit="0" vertical="center" wrapText="0"/>
    </xf>
    <xf borderId="0" fillId="0" fontId="7" numFmtId="178" xfId="0" applyAlignment="1" applyFont="1" applyNumberFormat="1">
      <alignment shrinkToFit="0" vertical="center" wrapText="0"/>
    </xf>
    <xf borderId="11" fillId="0" fontId="74" numFmtId="0" xfId="0" applyAlignment="1" applyBorder="1" applyFont="1">
      <alignment horizontal="center" readingOrder="0" vertical="center"/>
    </xf>
    <xf borderId="0" fillId="0" fontId="7" numFmtId="46" xfId="0" applyAlignment="1" applyFont="1" applyNumberFormat="1">
      <alignment horizontal="center" readingOrder="0"/>
    </xf>
    <xf borderId="0" fillId="0" fontId="75" numFmtId="0" xfId="0" applyAlignment="1" applyFont="1">
      <alignment horizontal="center" shrinkToFit="0" wrapText="0"/>
    </xf>
    <xf borderId="0" fillId="6" fontId="43" numFmtId="2" xfId="0" applyAlignment="1" applyFill="1" applyFont="1" applyNumberFormat="1">
      <alignment horizontal="center" readingOrder="0" vertical="center"/>
    </xf>
    <xf borderId="0" fillId="0" fontId="2"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center" vertical="bottom"/>
    </xf>
    <xf borderId="0" fillId="0" fontId="2" numFmtId="0" xfId="0" applyAlignment="1" applyFont="1">
      <alignment vertical="bottom"/>
    </xf>
  </cellXfs>
  <cellStyles count="1">
    <cellStyle xfId="0" name="Normal" builtinId="0"/>
  </cellStyles>
  <dxfs count="25">
    <dxf>
      <font/>
      <fill>
        <patternFill patternType="none"/>
      </fill>
      <border/>
    </dxf>
    <dxf>
      <font/>
      <fill>
        <patternFill patternType="solid">
          <fgColor rgb="FFF8F9FA"/>
          <bgColor rgb="FFF8F9FA"/>
        </patternFill>
      </fill>
      <border/>
    </dxf>
    <dxf>
      <font/>
      <fill>
        <patternFill patternType="solid">
          <fgColor rgb="FFFFFFFF"/>
          <bgColor rgb="FFFFFFFF"/>
        </patternFill>
      </fill>
      <border/>
    </dxf>
    <dxf>
      <font/>
      <fill>
        <patternFill patternType="solid">
          <fgColor rgb="FF7CE8AD"/>
          <bgColor rgb="FF7CE8AD"/>
        </patternFill>
      </fill>
      <border/>
    </dxf>
    <dxf>
      <font/>
      <fill>
        <patternFill patternType="solid">
          <fgColor rgb="FFFF5050"/>
          <bgColor rgb="FFFF5050"/>
        </patternFill>
      </fill>
      <border/>
    </dxf>
    <dxf>
      <font>
        <color rgb="FF000000"/>
      </font>
      <fill>
        <patternFill patternType="solid">
          <fgColor rgb="FFFF5050"/>
          <bgColor rgb="FFFF5050"/>
        </patternFill>
      </fill>
      <border/>
    </dxf>
    <dxf>
      <font>
        <color rgb="FF000000"/>
      </font>
      <fill>
        <patternFill patternType="solid">
          <fgColor rgb="FF7CE8AD"/>
          <bgColor rgb="FF7CE8AD"/>
        </patternFill>
      </fill>
      <border/>
    </dxf>
    <dxf>
      <font/>
      <fill>
        <patternFill patternType="solid">
          <fgColor theme="0"/>
          <bgColor theme="0"/>
        </patternFill>
      </fill>
      <border/>
    </dxf>
    <dxf>
      <font>
        <color rgb="FF000000"/>
      </font>
      <fill>
        <patternFill patternType="solid">
          <fgColor theme="0"/>
          <bgColor theme="0"/>
        </patternFill>
      </fill>
      <border/>
    </dxf>
    <dxf>
      <font/>
      <fill>
        <patternFill patternType="solid">
          <fgColor rgb="FF356854"/>
          <bgColor rgb="FF356854"/>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color rgb="FF000000"/>
      </font>
      <fill>
        <patternFill patternType="solid">
          <fgColor rgb="FFF65656"/>
          <bgColor rgb="FFF65656"/>
        </patternFill>
      </fill>
      <border/>
    </dxf>
    <dxf>
      <font/>
      <fill>
        <patternFill patternType="solid">
          <fgColor rgb="FFFFFF00"/>
          <bgColor rgb="FFFFFF00"/>
        </patternFill>
      </fill>
      <border/>
    </dxf>
    <dxf>
      <font/>
      <fill>
        <patternFill patternType="solid">
          <fgColor rgb="FFF65656"/>
          <bgColor rgb="FFF65656"/>
        </patternFill>
      </fill>
      <border/>
    </dxf>
    <dxf>
      <font/>
      <fill>
        <patternFill patternType="solid">
          <fgColor rgb="FFFF6574"/>
          <bgColor rgb="FFFF6574"/>
        </patternFill>
      </fill>
      <border/>
    </dxf>
    <dxf>
      <font>
        <b/>
        <color rgb="FF000000"/>
      </font>
      <fill>
        <patternFill patternType="solid">
          <fgColor rgb="FF7CE8AD"/>
          <bgColor rgb="FF7CE8AD"/>
        </patternFill>
      </fill>
      <border/>
    </dxf>
    <dxf>
      <font>
        <b/>
        <color rgb="FF000000"/>
      </font>
      <fill>
        <patternFill patternType="solid">
          <fgColor rgb="FFFF5050"/>
          <bgColor rgb="FFFF5050"/>
        </patternFill>
      </fill>
      <border/>
    </dxf>
    <dxf>
      <font>
        <b/>
        <color rgb="FF000000"/>
      </font>
      <fill>
        <patternFill patternType="solid">
          <fgColor rgb="FFF65656"/>
          <bgColor rgb="FFF65656"/>
        </patternFill>
      </fill>
      <border/>
    </dxf>
    <dxf>
      <font/>
      <fill>
        <patternFill patternType="solid">
          <fgColor theme="6"/>
          <bgColor theme="6"/>
        </patternFill>
      </fill>
      <border/>
    </dxf>
    <dxf>
      <font/>
      <fill>
        <patternFill patternType="solid">
          <fgColor rgb="FFFF0000"/>
          <bgColor rgb="FFFF0000"/>
        </patternFill>
      </fill>
      <border/>
    </dxf>
    <dxf>
      <font>
        <color rgb="FFFF0000"/>
      </font>
      <fill>
        <patternFill patternType="solid">
          <fgColor rgb="FFFFFFFF"/>
          <bgColor rgb="FFFFFFFF"/>
        </patternFill>
      </fill>
      <border/>
    </dxf>
    <dxf>
      <font/>
      <fill>
        <patternFill patternType="solid">
          <fgColor rgb="FFBDBDBD"/>
          <bgColor rgb="FFBDBDBD"/>
        </patternFill>
      </fill>
      <border/>
    </dxf>
    <dxf>
      <font/>
      <fill>
        <patternFill patternType="solid">
          <fgColor rgb="FFF3F3F3"/>
          <bgColor rgb="FFF3F3F3"/>
        </patternFill>
      </fill>
      <border/>
    </dxf>
    <dxf>
      <font/>
      <fill>
        <patternFill patternType="solid">
          <fgColor rgb="FF535FC1"/>
          <bgColor rgb="FF535FC1"/>
        </patternFill>
      </fill>
      <border/>
    </dxf>
  </dxfs>
  <tableStyles count="11">
    <tableStyle count="2" pivot="0" name="CIERRE DE PROCESO-style">
      <tableStyleElement dxfId="1" type="firstRowStripe"/>
      <tableStyleElement dxfId="2" type="secondRowStripe"/>
    </tableStyle>
    <tableStyle count="2" pivot="0" name="CIERRE DE PROCESO-style 2">
      <tableStyleElement dxfId="1" type="firstRowStripe"/>
      <tableStyleElement dxfId="2" type="secondRowStripe"/>
    </tableStyle>
    <tableStyle count="2" pivot="0" name="CIERRE DE PROCESO-style 3">
      <tableStyleElement dxfId="1" type="firstRowStripe"/>
      <tableStyleElement dxfId="2" type="secondRowStripe"/>
    </tableStyle>
    <tableStyle count="2" pivot="0" name="CIERRE DE PROCESO-style 4">
      <tableStyleElement dxfId="1" type="firstRowStripe"/>
      <tableStyleElement dxfId="2" type="secondRowStripe"/>
    </tableStyle>
    <tableStyle count="2" pivot="0" name="CIERRE DE PROCESO-style 5">
      <tableStyleElement dxfId="1" type="firstRowStripe"/>
      <tableStyleElement dxfId="2" type="secondRowStripe"/>
    </tableStyle>
    <tableStyle count="2" pivot="0" name="CIERRE DE PROCESO-style 6">
      <tableStyleElement dxfId="1" type="firstRowStripe"/>
      <tableStyleElement dxfId="2" type="secondRowStripe"/>
    </tableStyle>
    <tableStyle count="2" pivot="0" name="CIERRE DE PROCESO-style 7">
      <tableStyleElement dxfId="1" type="firstRowStripe"/>
      <tableStyleElement dxfId="2" type="secondRowStripe"/>
    </tableStyle>
    <tableStyle count="4" pivot="0" name="TOLERANCIA-style">
      <tableStyleElement dxfId="9" type="headerRow"/>
      <tableStyleElement dxfId="2" type="firstRowStripe"/>
      <tableStyleElement dxfId="10" type="secondRowStripe"/>
      <tableStyleElement dxfId="11" size="0" type="wholeTable"/>
    </tableStyle>
    <tableStyle count="3" pivot="0" name="SIBO-style">
      <tableStyleElement dxfId="22" type="headerRow"/>
      <tableStyleElement dxfId="2" type="firstRowStripe"/>
      <tableStyleElement dxfId="23" type="secondRowStripe"/>
    </tableStyle>
    <tableStyle count="4" pivot="0" name="COSTO UNITARIO-style">
      <tableStyleElement dxfId="24" type="headerRow"/>
      <tableStyleElement dxfId="2" type="firstRowStripe"/>
      <tableStyleElement dxfId="1" type="secondRowStripe"/>
      <tableStyleElement dxfId="11" size="0" type="wholeTable"/>
    </tableStyle>
    <tableStyle count="4" pivot="0" name="COSTO UNITARIO-style 2">
      <tableStyleElement dxfId="9" type="headerRow"/>
      <tableStyleElement dxfId="2" type="firstRowStripe"/>
      <tableStyleElement dxfId="10" type="secondRowStripe"/>
      <tableStyleElement dxfId="11"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pivotCacheDefinition" Target="pivotCache/pivotCacheDefinition1.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32" Type="http://schemas.openxmlformats.org/officeDocument/2006/relationships/pivotCacheDefinition" Target="pivotCache/pivotCacheDefinition2.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4.png"/></Relationships>
</file>

<file path=xl/drawings/_rels/drawing17.xml.rels><?xml version="1.0" encoding="UTF-8" standalone="yes"?><Relationships xmlns="http://schemas.openxmlformats.org/package/2006/relationships"><Relationship Id="rId1" Type="http://schemas.openxmlformats.org/officeDocument/2006/relationships/image" Target="../media/image4.png"/></Relationships>
</file>

<file path=xl/drawings/_rels/drawing18.xml.rels><?xml version="1.0" encoding="UTF-8" standalone="yes"?><Relationships xmlns="http://schemas.openxmlformats.org/package/2006/relationships"><Relationship Id="rId1" Type="http://schemas.openxmlformats.org/officeDocument/2006/relationships/image" Target="../media/image6.png"/></Relationships>
</file>

<file path=xl/drawings/_rels/drawing25.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26</xdr:col>
      <xdr:colOff>0</xdr:colOff>
      <xdr:row>92</xdr:row>
      <xdr:rowOff>0</xdr:rowOff>
    </xdr:from>
    <xdr:ext cx="552450" cy="552450"/>
    <xdr:sp>
      <xdr:nvSpPr>
        <xdr:cNvPr id="3" name="Shape 3"/>
        <xdr:cNvSpPr/>
      </xdr:nvSpPr>
      <xdr:spPr>
        <a:xfrm>
          <a:off x="5074538" y="3508538"/>
          <a:ext cx="542925" cy="542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26</xdr:col>
      <xdr:colOff>0</xdr:colOff>
      <xdr:row>126</xdr:row>
      <xdr:rowOff>0</xdr:rowOff>
    </xdr:from>
    <xdr:ext cx="552450" cy="552450"/>
    <xdr:sp>
      <xdr:nvSpPr>
        <xdr:cNvPr id="3" name="Shape 3"/>
        <xdr:cNvSpPr/>
      </xdr:nvSpPr>
      <xdr:spPr>
        <a:xfrm>
          <a:off x="5074538" y="3508538"/>
          <a:ext cx="542925" cy="542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41</xdr:col>
      <xdr:colOff>0</xdr:colOff>
      <xdr:row>107</xdr:row>
      <xdr:rowOff>0</xdr:rowOff>
    </xdr:from>
    <xdr:ext cx="552450" cy="552450"/>
    <xdr:sp>
      <xdr:nvSpPr>
        <xdr:cNvPr id="3" name="Shape 3"/>
        <xdr:cNvSpPr/>
      </xdr:nvSpPr>
      <xdr:spPr>
        <a:xfrm>
          <a:off x="5074538" y="3508538"/>
          <a:ext cx="542925" cy="542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352425</xdr:colOff>
      <xdr:row>2</xdr:row>
      <xdr:rowOff>9525</xdr:rowOff>
    </xdr:from>
    <xdr:ext cx="2028825" cy="6667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609600</xdr:colOff>
      <xdr:row>2</xdr:row>
      <xdr:rowOff>381000</xdr:rowOff>
    </xdr:from>
    <xdr:ext cx="5057775" cy="1409700"/>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1</xdr:row>
      <xdr:rowOff>19050</xdr:rowOff>
    </xdr:from>
    <xdr:ext cx="1228725" cy="48577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1</xdr:row>
      <xdr:rowOff>19050</xdr:rowOff>
    </xdr:from>
    <xdr:ext cx="1228725" cy="48577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0</xdr:colOff>
      <xdr:row>24</xdr:row>
      <xdr:rowOff>0</xdr:rowOff>
    </xdr:from>
    <xdr:ext cx="14525625" cy="600075"/>
    <xdr:pic>
      <xdr:nvPicPr>
        <xdr:cNvPr id="0" name="image6.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876300</xdr:colOff>
      <xdr:row>1</xdr:row>
      <xdr:rowOff>85725</xdr:rowOff>
    </xdr:from>
    <xdr:ext cx="2466975" cy="3057525"/>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952500</xdr:colOff>
      <xdr:row>0</xdr:row>
      <xdr:rowOff>161925</xdr:rowOff>
    </xdr:from>
    <xdr:ext cx="5981700" cy="3695700"/>
    <xdr:pic>
      <xdr:nvPicPr>
        <xdr:cNvPr id="0" name="image3.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H1366" sheet="CONSOLIDADO DE CIERRE"/>
  </cacheSource>
  <cacheFields>
    <cacheField name="FECHA ">
      <sharedItems containsDate="1" containsMixedTypes="1">
        <d v="2024-01-01T00:00:00Z"/>
        <d v="2024-01-02T00:00:00Z"/>
        <d v="2024-01-03T00:00:00Z"/>
        <d v="2024-01-04T00:00:00Z"/>
        <d v="2024-01-05T00:00:00Z"/>
        <d v="2024-01-06T00:00:00Z"/>
        <d v="2024-01-07T00:00:00Z"/>
        <d v="2024-01-08T00:00:00Z"/>
        <d v="2024-01-09T00:00:00Z"/>
        <d v="2024-01-10T00:00:00Z"/>
        <d v="2024-01-11T00:00:00Z"/>
        <d v="2024-01-12T00:00:00Z"/>
        <d v="2024-01-13T00:00:00Z"/>
        <d v="2024-01-14T00:00:00Z"/>
        <d v="2024-01-15T00:00:00Z"/>
        <d v="2024-01-16T00:00:00Z"/>
        <d v="2024-01-17T00:00:00Z"/>
        <d v="2024-01-18T00:00:00Z"/>
        <d v="2024-01-19T00:00:00Z"/>
        <d v="2024-01-20T00:00:00Z"/>
        <d v="2024-01-21T00:00:00Z"/>
        <d v="2024-01-22T00:00:00Z"/>
        <d v="2024-01-23T00:00:00Z"/>
        <d v="2024-01-24T00:00:00Z"/>
        <d v="2024-01-25T00:00:00Z"/>
        <d v="2024-01-26T00:00:00Z"/>
        <d v="2024-01-27T00:00:00Z"/>
        <d v="2024-01-28T00:00:00Z"/>
        <d v="2024-01-29T00:00:00Z"/>
        <d v="2024-01-30T00:00:00Z"/>
        <d v="2024-01-31T00:00:00Z"/>
        <d v="2024-02-01T00:00:00Z"/>
        <d v="2024-02-02T00:00:00Z"/>
        <d v="2024-02-03T00:00:00Z"/>
        <d v="2024-02-04T00:00:00Z"/>
        <d v="2024-02-05T00:00:00Z"/>
        <d v="2024-02-06T00:00:00Z"/>
        <d v="2024-02-07T00:00:00Z"/>
        <d v="2024-02-08T00:00:00Z"/>
        <d v="2024-02-09T00:00:00Z"/>
        <d v="2024-02-10T00:00:00Z"/>
        <d v="2024-02-11T00:00:00Z"/>
        <d v="2024-02-12T00:00:00Z"/>
        <d v="2024-02-13T00:00:00Z"/>
        <d v="2024-02-14T00:00:00Z"/>
        <d v="2024-02-15T00:00:00Z"/>
        <d v="2024-02-16T00:00:00Z"/>
        <d v="2024-02-17T00:00:00Z"/>
        <d v="2024-02-18T00:00:00Z"/>
        <d v="2024-02-19T00:00:00Z"/>
        <d v="2024-02-20T00:00:00Z"/>
        <d v="2024-02-21T00:00:00Z"/>
        <d v="2024-02-22T00:00:00Z"/>
        <d v="2024-02-23T00:00:00Z"/>
        <d v="2024-02-24T00:00:00Z"/>
        <d v="2024-02-25T00:00:00Z"/>
        <d v="2024-02-26T00:00:00Z"/>
        <d v="2024-02-27T00:00:00Z"/>
        <d v="2024-02-28T00:00:00Z"/>
        <d v="2024-02-29T00:00:00Z"/>
        <d v="2024-03-01T00:00:00Z"/>
        <d v="2024-03-02T00:00:00Z"/>
        <d v="2024-03-03T00:00:00Z"/>
        <d v="2024-03-04T00:00:00Z"/>
        <d v="2024-03-05T00:00:00Z"/>
        <d v="2024-03-06T00:00:00Z"/>
        <d v="2024-03-07T00:00:00Z"/>
        <d v="2024-03-08T00:00:00Z"/>
        <d v="2024-03-09T00:00:00Z"/>
        <d v="2024-03-10T00:00:00Z"/>
        <d v="2024-03-11T00:00:00Z"/>
        <d v="2024-03-12T00:00:00Z"/>
        <d v="2024-03-13T00:00:00Z"/>
        <d v="2024-03-14T00:00:00Z"/>
        <d v="2024-03-15T00:00:00Z"/>
        <d v="2024-03-16T00:00:00Z"/>
        <d v="2024-03-17T00:00:00Z"/>
        <d v="2024-03-18T00:00:00Z"/>
        <d v="2024-03-19T00:00:00Z"/>
        <d v="2024-03-20T00:00:00Z"/>
        <d v="2024-03-21T00:00:00Z"/>
        <d v="2024-03-22T00:00:00Z"/>
        <d v="2024-03-23T00:00:00Z"/>
        <d v="2024-03-24T00:00:00Z"/>
        <d v="2024-03-25T00:00:00Z"/>
        <d v="2024-03-26T00:00:00Z"/>
        <d v="2024-03-27T00:00:00Z"/>
        <d v="2024-03-28T00:00:00Z"/>
        <d v="2024-03-29T00:00:00Z"/>
        <d v="2024-03-30T00:00:00Z"/>
        <d v="2024-03-31T00:00:00Z"/>
        <d v="2024-04-01T00:00:00Z"/>
        <d v="2024-04-02T00:00:00Z"/>
        <d v="2024-04-03T00:00:00Z"/>
        <d v="2024-04-04T00:00:00Z"/>
        <d v="2024-04-05T00:00:00Z"/>
        <d v="2024-04-06T00:00:00Z"/>
        <d v="2024-04-07T00:00:00Z"/>
        <d v="2024-04-08T00:00:00Z"/>
        <d v="2024-04-09T00:00:00Z"/>
        <d v="2024-04-10T00:00:00Z"/>
        <d v="2024-04-11T00:00:00Z"/>
        <d v="2024-04-12T00:00:00Z"/>
        <d v="2024-04-13T00:00:00Z"/>
        <d v="2024-04-14T00:00:00Z"/>
        <d v="2024-04-15T00:00:00Z"/>
        <d v="2024-04-16T00:00:00Z"/>
        <d v="2024-04-17T00:00:00Z"/>
        <d v="2024-04-18T00:00:00Z"/>
        <d v="2024-04-19T00:00:00Z"/>
        <d v="2024-04-20T00:00:00Z"/>
        <d v="2024-04-21T00:00:00Z"/>
        <d v="2024-04-22T00:00:00Z"/>
        <d v="2024-04-23T00:00:00Z"/>
        <d v="2024-04-24T00:00:00Z"/>
        <d v="2024-04-25T00:00:00Z"/>
        <d v="2024-04-26T00:00:00Z"/>
        <d v="2024-04-27T00:00:00Z"/>
        <d v="2024-04-28T00:00:00Z"/>
        <d v="2024-04-29T00:00:00Z"/>
        <d v="2024-04-30T00:00:00Z"/>
        <d v="2024-05-01T00:00:00Z"/>
        <d v="2024-05-02T00:00:00Z"/>
        <d v="2024-05-03T00:00:00Z"/>
        <d v="2024-05-04T00:00:00Z"/>
        <d v="2024-05-05T00:00:00Z"/>
        <d v="2024-05-06T00:00:00Z"/>
        <d v="2024-05-07T00:00:00Z"/>
        <d v="2024-05-08T00:00:00Z"/>
        <d v="2024-05-09T00:00:00Z"/>
        <d v="2024-05-10T00:00:00Z"/>
        <d v="2024-05-11T00:00:00Z"/>
        <d v="2024-05-12T00:00:00Z"/>
        <d v="2024-05-13T00:00:00Z"/>
        <d v="2024-05-14T00:00:00Z"/>
        <d v="2024-05-15T00:00:00Z"/>
        <d v="2024-05-16T00:00:00Z"/>
        <d v="2024-05-17T00:00:00Z"/>
        <d v="2024-05-18T00:00:00Z"/>
        <d v="2024-05-19T00:00:00Z"/>
        <d v="2024-05-20T00:00:00Z"/>
        <d v="2024-05-21T00:00:00Z"/>
        <d v="2024-05-22T00:00:00Z"/>
        <d v="2024-05-23T00:00:00Z"/>
        <d v="2024-05-24T00:00:00Z"/>
        <d v="2024-05-25T00:00:00Z"/>
        <d v="2024-05-26T00:00:00Z"/>
        <d v="2024-05-27T00:00:00Z"/>
        <d v="2024-05-28T00:00:00Z"/>
        <d v="2024-05-29T00:00:00Z"/>
        <d v="2024-05-30T00:00:00Z"/>
        <d v="2024-05-31T00:00:00Z"/>
        <d v="2024-06-01T00:00:00Z"/>
        <d v="2024-06-02T00:00:00Z"/>
        <d v="2024-06-03T00:00:00Z"/>
        <d v="2024-06-04T00:00:00Z"/>
        <d v="2024-06-05T00:00:00Z"/>
        <d v="2024-06-06T00:00:00Z"/>
        <d v="2024-06-07T00:00:00Z"/>
        <d v="2024-06-08T00:00:00Z"/>
        <d v="2024-06-09T00:00:00Z"/>
        <d v="2024-06-10T00:00:00Z"/>
        <d v="2024-06-11T00:00:00Z"/>
        <d v="2024-06-12T00:00:00Z"/>
        <d v="2024-06-13T00:00:00Z"/>
        <d v="2024-06-14T00:00:00Z"/>
        <d v="2024-06-15T00:00:00Z"/>
        <d v="2024-06-16T00:00:00Z"/>
        <d v="2024-06-17T00:00:00Z"/>
        <d v="2024-06-18T00:00:00Z"/>
        <d v="2024-06-19T00:00:00Z"/>
        <d v="2024-06-20T00:00:00Z"/>
        <d v="2024-06-21T00:00:00Z"/>
        <d v="2024-06-22T00:00:00Z"/>
        <d v="2024-06-23T00:00:00Z"/>
        <d v="2024-06-24T00:00:00Z"/>
        <d v="2024-06-25T00:00:00Z"/>
        <d v="2024-06-26T00:00:00Z"/>
        <d v="2024-06-27T00:00:00Z"/>
        <d v="2024-06-28T00:00:00Z"/>
        <d v="2024-06-29T00:00:00Z"/>
        <d v="2024-06-30T00:00:00Z"/>
        <d v="2024-07-01T00:00:00Z"/>
        <d v="2024-07-02T00:00:00Z"/>
        <d v="2024-07-03T00:00:00Z"/>
        <d v="2024-07-04T00:00:00Z"/>
        <d v="2024-07-05T00:00:00Z"/>
        <d v="2024-07-06T00:00:00Z"/>
        <d v="2024-07-07T00:00:00Z"/>
        <d v="2024-07-08T00:00:00Z"/>
        <d v="2024-07-09T00:00:00Z"/>
        <d v="2024-07-10T00:00:00Z"/>
        <d v="2024-07-11T00:00:00Z"/>
        <d v="2024-07-12T00:00:00Z"/>
        <d v="2024-07-13T00:00:00Z"/>
        <d v="2024-07-14T00:00:00Z"/>
        <d v="2024-07-15T00:00:00Z"/>
        <d v="2024-07-16T00:00:00Z"/>
        <d v="2024-07-17T00:00:00Z"/>
        <d v="2024-07-18T00:00:00Z"/>
        <d v="2024-07-19T00:00:00Z"/>
        <d v="2024-07-20T00:00:00Z"/>
        <d v="2024-07-21T00:00:00Z"/>
        <d v="2024-07-22T00:00:00Z"/>
        <d v="2024-07-23T00:00:00Z"/>
        <d v="2024-07-24T00:00:00Z"/>
        <d v="2024-07-25T00:00:00Z"/>
        <d v="2024-07-26T00:00:00Z"/>
        <d v="2024-07-27T00:00:00Z"/>
        <d v="2024-07-28T00:00:00Z"/>
        <d v="2024-07-29T00:00:00Z"/>
        <d v="2024-07-30T00:00:00Z"/>
        <d v="2024-07-31T00:00:00Z"/>
        <d v="2024-08-01T00:00:00Z"/>
        <d v="2024-08-02T00:00:00Z"/>
        <d v="2024-08-03T00:00:00Z"/>
        <d v="2024-08-04T00:00:00Z"/>
        <d v="2024-08-05T00:00:00Z"/>
        <d v="2024-08-06T00:00:00Z"/>
        <d v="2024-08-07T00:00:00Z"/>
        <d v="2024-08-08T00:00:00Z"/>
        <d v="2024-08-09T00:00:00Z"/>
        <d v="2024-08-10T00:00:00Z"/>
        <d v="2024-08-11T00:00:00Z"/>
        <d v="2024-08-12T00:00:00Z"/>
        <d v="2024-08-13T00:00:00Z"/>
        <d v="2024-08-14T00:00:00Z"/>
        <d v="2024-08-15T00:00:00Z"/>
        <d v="2024-08-16T00:00:00Z"/>
        <d v="2024-08-17T00:00:00Z"/>
        <d v="2024-08-18T00:00:00Z"/>
        <d v="2024-08-19T00:00:00Z"/>
        <d v="2024-08-20T00:00:00Z"/>
        <d v="2024-08-21T00:00:00Z"/>
        <d v="2024-08-22T00:00:00Z"/>
        <d v="2024-08-23T00:00:00Z"/>
        <d v="2024-08-24T00:00:00Z"/>
        <d v="2024-08-25T00:00:00Z"/>
        <d v="2024-08-26T00:00:00Z"/>
        <d v="2024-08-27T00:00:00Z"/>
        <d v="2024-08-28T00:00:00Z"/>
        <d v="2024-08-29T00:00:00Z"/>
        <d v="2024-08-30T00:00:00Z"/>
        <d v="2024-08-31T00:00:00Z"/>
        <d v="2024-09-01T00:00:00Z"/>
        <d v="2024-09-02T00:00:00Z"/>
        <d v="2024-09-03T00:00:00Z"/>
        <d v="2024-09-04T00:00:00Z"/>
        <d v="2024-09-05T00:00:00Z"/>
        <d v="2024-09-06T00:00:00Z"/>
        <d v="2024-09-07T00:00:00Z"/>
        <d v="2024-09-08T00:00:00Z"/>
        <d v="2024-09-09T00:00:00Z"/>
        <d v="2024-09-10T00:00:00Z"/>
        <d v="2024-09-11T00:00:00Z"/>
        <d v="2024-09-12T00:00:00Z"/>
        <d v="2024-09-13T00:00:00Z"/>
        <d v="2024-09-14T00:00:00Z"/>
        <d v="2024-09-15T00:00:00Z"/>
        <d v="2024-09-16T00:00:00Z"/>
        <d v="2024-09-17T00:00:00Z"/>
        <d v="2024-09-18T00:00:00Z"/>
        <d v="2024-09-19T00:00:00Z"/>
        <d v="2024-09-20T00:00:00Z"/>
        <d v="2024-09-21T00:00:00Z"/>
        <d v="2024-09-22T00:00:00Z"/>
        <d v="2024-09-23T00:00:00Z"/>
        <d v="2024-09-24T00:00:00Z"/>
        <d v="2024-09-25T00:00:00Z"/>
        <d v="2024-09-26T00:00:00Z"/>
        <d v="2024-09-27T00:00:00Z"/>
        <d v="2024-09-28T00:00:00Z"/>
        <d v="2024-09-29T00:00:00Z"/>
        <d v="2024-09-30T00:00:00Z"/>
        <d v="2024-10-01T00:00:00Z"/>
        <d v="2024-10-02T00:00:00Z"/>
        <d v="2024-10-03T00:00:00Z"/>
        <d v="2024-10-04T00:00:00Z"/>
        <d v="2024-10-05T00:00:00Z"/>
        <d v="2024-10-06T00:00:00Z"/>
        <d v="2024-10-07T00:00:00Z"/>
        <d v="2024-10-08T00:00:00Z"/>
        <d v="2024-10-09T00:00:00Z"/>
        <d v="2024-10-10T00:00:00Z"/>
        <d v="2024-10-11T00:00:00Z"/>
        <d v="2024-10-12T00:00:00Z"/>
        <d v="2024-10-13T00:00:00Z"/>
        <d v="2024-10-14T00:00:00Z"/>
        <d v="2024-10-15T00:00:00Z"/>
        <d v="2024-10-16T00:00:00Z"/>
        <d v="2024-10-17T00:00:00Z"/>
        <d v="2024-10-18T00:00:00Z"/>
        <d v="2024-10-19T00:00:00Z"/>
        <d v="2024-10-20T00:00:00Z"/>
        <d v="2024-10-21T00:00:00Z"/>
        <d v="2024-10-22T00:00:00Z"/>
        <d v="2024-10-23T00:00:00Z"/>
        <d v="2024-10-24T00:00:00Z"/>
        <d v="2024-10-25T00:00:00Z"/>
        <d v="2024-10-26T00:00:00Z"/>
        <d v="2024-10-27T00:00:00Z"/>
        <d v="2024-10-28T00:00:00Z"/>
        <d v="2024-10-29T00:00:00Z"/>
        <d v="2024-10-30T00:00:00Z"/>
        <d v="2024-10-31T00:00:00Z"/>
        <d v="2024-11-01T00:00:00Z"/>
        <d v="2024-11-02T00:00:00Z"/>
        <d v="2024-11-03T00:00:00Z"/>
        <d v="2024-11-04T00:00:00Z"/>
        <d v="2024-11-05T00:00:00Z"/>
        <d v="2024-11-06T00:00:00Z"/>
        <d v="2024-11-07T00:00:00Z"/>
        <d v="2024-11-08T00:00:00Z"/>
        <d v="2024-11-09T00:00:00Z"/>
        <d v="2024-11-10T00:00:00Z"/>
        <d v="2024-11-11T00:00:00Z"/>
        <d v="2024-11-12T00:00:00Z"/>
        <d v="2024-11-13T00:00:00Z"/>
        <d v="2024-11-14T00:00:00Z"/>
        <d v="2024-11-15T00:00:00Z"/>
        <d v="2024-11-16T00:00:00Z"/>
        <d v="2024-11-17T00:00:00Z"/>
        <d v="2024-11-18T00:00:00Z"/>
        <d v="2024-11-19T00:00:00Z"/>
        <d v="2024-11-20T00:00:00Z"/>
        <d v="2024-11-21T00:00:00Z"/>
        <d v="2024-11-22T00:00:00Z"/>
        <d v="2024-11-23T00:00:00Z"/>
        <d v="2024-11-24T00:00:00Z"/>
        <d v="2024-11-25T00:00:00Z"/>
        <d v="2024-11-26T00:00:00Z"/>
        <d v="2024-11-27T00:00:00Z"/>
        <d v="2024-11-28T00:00:00Z"/>
        <d v="2024-11-29T00:00:00Z"/>
        <d v="2024-11-30T00:00:00Z"/>
        <d v="2024-12-01T00:00:00Z"/>
        <d v="2024-12-02T00:00:00Z"/>
        <d v="2024-12-03T00:00:00Z"/>
        <d v="2024-12-04T00:00:00Z"/>
        <d v="2024-12-05T00:00:00Z"/>
        <d v="2024-12-06T00:00:00Z"/>
        <d v="2024-12-07T00:00:00Z"/>
        <d v="2024-12-08T00:00:00Z"/>
        <d v="2024-12-09T00:00:00Z"/>
        <d v="2024-12-10T00:00:00Z"/>
        <d v="2024-12-11T00:00:00Z"/>
        <d v="2024-12-12T00:00:00Z"/>
        <d v="2024-12-13T00:00:00Z"/>
        <d v="2024-12-14T00:00:00Z"/>
        <d v="2024-12-15T00:00:00Z"/>
        <d v="2024-12-16T00:00:00Z"/>
        <d v="2024-12-17T00:00:00Z"/>
        <d v="2024-12-18T00:00:00Z"/>
        <d v="2024-12-19T00:00:00Z"/>
        <d v="2024-12-20T00:00:00Z"/>
        <d v="2024-12-21T00:00:00Z"/>
        <d v="2024-12-22T00:00:00Z"/>
        <d v="2024-12-23T00:00:00Z"/>
        <d v="2024-12-24T00:00:00Z"/>
        <d v="2024-12-25T00:00:00Z"/>
        <d v="2024-12-26T00:00:00Z"/>
        <d v="2024-12-27T00:00:00Z"/>
        <d v="2024-12-28T00:00:00Z"/>
        <d v="2024-12-29T00:00:00Z"/>
        <d v="2024-12-30T00:00:00Z"/>
        <d v="2024-12-31T00:00:00Z"/>
        <d v="2025-01-01T00:00:00Z"/>
        <d v="2025-01-02T00:00:00Z"/>
        <d v="2025-01-03T00:00:00Z"/>
        <d v="2025-01-04T00:00:00Z"/>
        <d v="2025-01-05T00:00:00Z"/>
        <d v="2025-01-06T00:00:00Z"/>
        <d v="2025-01-07T00:00:00Z"/>
        <d v="2025-01-08T00:00:00Z"/>
        <d v="2025-01-09T00:00:00Z"/>
        <d v="2025-01-10T00:00:00Z"/>
        <d v="2025-01-11T00:00:00Z"/>
        <d v="2025-01-12T00:00:00Z"/>
        <d v="2025-01-13T00:00:00Z"/>
        <d v="2025-01-14T00:00:00Z"/>
        <d v="2025-01-15T00:00:00Z"/>
        <d v="2025-01-16T00:00:00Z"/>
        <d v="2025-01-17T00:00:00Z"/>
        <d v="2025-01-18T00:00:00Z"/>
        <d v="2025-01-19T00:00:00Z"/>
        <d v="2025-01-20T00:00:00Z"/>
        <d v="2025-01-21T00:00:00Z"/>
        <d v="2025-01-22T00:00:00Z"/>
        <d v="2025-01-23T00:00:00Z"/>
        <d v="2025-01-24T00:00:00Z"/>
        <d v="2025-01-25T00:00:00Z"/>
        <d v="2025-01-26T00:00:00Z"/>
        <d v="2025-01-27T00:00:00Z"/>
        <d v="2025-01-28T00:00:00Z"/>
        <d v="2025-01-29T00:00:00Z"/>
        <d v="2025-01-30T00:00:00Z"/>
        <d v="2025-01-31T00:00:00Z"/>
        <d v="2025-02-01T00:00:00Z"/>
        <d v="2025-02-02T00:00:00Z"/>
        <d v="2025-02-03T00:00:00Z"/>
        <d v="2025-02-04T00:00:00Z"/>
        <d v="2025-02-05T00:00:00Z"/>
        <d v="2025-02-06T00:00:00Z"/>
        <d v="2025-02-07T00:00:00Z"/>
        <d v="2025-02-08T00:00:00Z"/>
        <d v="2025-02-09T00:00:00Z"/>
        <d v="2025-02-10T00:00:00Z"/>
        <d v="2025-02-11T00:00:00Z"/>
        <d v="2025-02-12T00:00:00Z"/>
        <d v="2025-02-13T00:00:00Z"/>
        <d v="2025-02-14T00:00:00Z"/>
        <d v="2025-02-15T00:00:00Z"/>
        <d v="2025-02-16T00:00:00Z"/>
        <d v="2025-02-17T00:00:00Z"/>
        <d v="2025-02-18T00:00:00Z"/>
        <d v="2025-02-19T00:00:00Z"/>
        <d v="2025-02-20T00:00:00Z"/>
        <d v="2025-02-21T00:00:00Z"/>
        <d v="2025-02-22T00:00:00Z"/>
        <d v="2025-02-23T00:00:00Z"/>
        <d v="2025-02-24T00:00:00Z"/>
        <d v="2025-02-25T00:00:00Z"/>
        <d v="2025-02-26T00:00:00Z"/>
        <d v="2025-02-27T00:00:00Z"/>
        <d v="2025-02-28T00:00:00Z"/>
        <d v="2025-03-01T00:00:00Z"/>
        <d v="2025-03-02T00:00:00Z"/>
        <d v="2025-03-03T00:00:00Z"/>
        <d v="2025-03-04T00:00:00Z"/>
        <d v="2025-03-05T00:00:00Z"/>
        <d v="2025-03-06T00:00:00Z"/>
        <d v="2025-03-07T00:00:00Z"/>
        <d v="2025-03-08T00:00:00Z"/>
        <d v="2025-03-09T00:00:00Z"/>
        <d v="2025-03-10T00:00:00Z"/>
        <d v="2025-03-11T00:00:00Z"/>
        <d v="2025-03-12T00:00:00Z"/>
        <d v="2025-03-13T00:00:00Z"/>
        <d v="2025-03-14T00:00:00Z"/>
        <d v="2025-03-15T00:00:00Z"/>
        <d v="2025-03-16T00:00:00Z"/>
        <d v="2025-03-17T00:00:00Z"/>
        <d v="2025-03-18T00:00:00Z"/>
        <d v="2025-03-19T00:00:00Z"/>
        <d v="2025-03-20T00:00:00Z"/>
        <d v="2025-03-21T00:00:00Z"/>
        <d v="2025-03-22T00:00:00Z"/>
        <d v="2025-03-23T00:00:00Z"/>
        <d v="2025-03-24T00:00:00Z"/>
        <d v="2025-03-25T00:00:00Z"/>
        <d v="2025-03-26T00:00:00Z"/>
        <d v="2025-03-27T00:00:00Z"/>
        <d v="2025-03-28T00:00:00Z"/>
        <d v="2025-03-29T00:00:00Z"/>
        <d v="2025-03-30T00:00:00Z"/>
        <d v="2025-03-31T00:00:00Z"/>
        <d v="2025-04-01T00:00:00Z"/>
        <d v="2025-04-02T00:00:00Z"/>
        <d v="2025-04-03T00:00:00Z"/>
        <d v="2025-04-04T00:00:00Z"/>
        <d v="2025-04-05T00:00:00Z"/>
        <d v="2025-04-06T00:00:00Z"/>
        <d v="2025-04-07T00:00:00Z"/>
        <d v="2025-04-08T00:00:00Z"/>
        <d v="2025-04-09T00:00:00Z"/>
        <d v="2025-04-10T00:00:00Z"/>
        <d v="2025-04-11T00:00:00Z"/>
        <d v="2025-04-12T00:00:00Z"/>
        <d v="2025-04-13T00:00:00Z"/>
        <d v="2025-04-14T00:00:00Z"/>
        <d v="2025-04-15T00:00:00Z"/>
        <d v="2025-04-16T00:00:00Z"/>
        <d v="2025-04-17T00:00:00Z"/>
        <d v="2025-04-18T00:00:00Z"/>
        <d v="2025-04-19T00:00:00Z"/>
        <d v="2025-04-20T00:00:00Z"/>
        <d v="2025-04-21T00:00:00Z"/>
        <d v="2025-04-22T00:00:00Z"/>
        <d v="2025-04-23T00:00:00Z"/>
        <d v="2025-04-24T00:00:00Z"/>
        <d v="2025-04-25T00:00:00Z"/>
        <d v="2025-04-26T00:00:00Z"/>
        <d v="2025-04-27T00:00:00Z"/>
        <d v="2025-04-28T00:00:00Z"/>
        <d v="2025-04-29T00:00:00Z"/>
        <d v="2025-04-30T00:00:00Z"/>
        <d v="2025-05-01T00:00:00Z"/>
        <d v="2025-05-02T00:00:00Z"/>
        <d v="2025-05-03T00:00:00Z"/>
        <d v="2025-05-04T00:00:00Z"/>
        <d v="2025-05-05T00:00:00Z"/>
        <d v="2025-05-06T00:00:00Z"/>
        <d v="2025-05-07T00:00:00Z"/>
        <d v="2025-05-08T00:00:00Z"/>
        <d v="2025-05-09T00:00:00Z"/>
        <d v="2025-05-10T00:00:00Z"/>
        <d v="2025-05-11T00:00:00Z"/>
        <d v="2025-05-12T00:00:00Z"/>
        <d v="2025-05-13T00:00:00Z"/>
        <d v="2025-05-14T00:00:00Z"/>
        <d v="2025-05-15T00:00:00Z"/>
        <d v="2025-05-16T00:00:00Z"/>
        <d v="2025-05-17T00:00:00Z"/>
        <d v="2025-05-18T00:00:00Z"/>
        <d v="2025-05-19T00:00:00Z"/>
        <d v="2025-05-20T00:00:00Z"/>
        <d v="2025-05-21T00:00:00Z"/>
        <d v="2025-05-22T00:00:00Z"/>
        <d v="2025-05-23T00:00:00Z"/>
        <d v="2025-05-24T00:00:00Z"/>
        <d v="2025-05-25T00:00:00Z"/>
        <d v="2025-05-26T00:00:00Z"/>
        <d v="2025-05-27T00:00:00Z"/>
        <d v="2025-05-28T00:00:00Z"/>
        <d v="2025-05-29T00:00:00Z"/>
        <d v="2025-05-30T00:00:00Z"/>
        <d v="2025-05-31T00:00:00Z"/>
        <d v="2025-06-01T00:00:00Z"/>
        <d v="2025-06-02T00:00:00Z"/>
        <d v="2025-06-03T00:00:00Z"/>
        <d v="2025-06-04T00:00:00Z"/>
        <d v="2025-06-05T00:00:00Z"/>
        <d v="2025-06-06T00:00:00Z"/>
        <d v="2025-06-07T00:00:00Z"/>
        <d v="2025-06-08T00:00:00Z"/>
        <d v="2025-06-09T00:00:00Z"/>
        <d v="2025-06-10T00:00:00Z"/>
        <d v="2025-06-11T00:00:00Z"/>
        <d v="2025-06-12T00:00:00Z"/>
        <d v="2025-06-13T00:00:00Z"/>
        <d v="2025-06-14T00:00:00Z"/>
        <d v="2025-06-15T00:00:00Z"/>
        <d v="2025-06-16T00:00:00Z"/>
        <d v="2025-06-17T00:00:00Z"/>
        <d v="2025-06-18T00:00:00Z"/>
        <d v="2025-06-19T00:00:00Z"/>
        <d v="2025-06-20T00:00:00Z"/>
        <d v="2025-06-21T00:00:00Z"/>
        <d v="2025-06-22T00:00:00Z"/>
        <d v="2025-06-23T00:00:00Z"/>
        <d v="2025-06-24T00:00:00Z"/>
        <d v="2025-06-25T00:00:00Z"/>
        <d v="2025-06-26T00:00:00Z"/>
        <d v="2025-06-27T00:00:00Z"/>
        <d v="2025-06-28T00:00:00Z"/>
        <d v="2025-06-29T00:00:00Z"/>
        <d v="2025-06-30T00:00:00Z"/>
        <d v="2025-07-01T00:00:00Z"/>
        <d v="2025-07-02T00:00:00Z"/>
        <d v="2025-07-03T00:00:00Z"/>
        <d v="2025-07-04T00:00:00Z"/>
        <d v="2025-07-05T00:00:00Z"/>
        <d v="2025-07-06T00:00:00Z"/>
        <d v="2025-07-07T00:00:00Z"/>
        <d v="2025-07-08T00:00:00Z"/>
        <d v="2025-07-09T00:00:00Z"/>
        <d v="2025-07-10T00:00:00Z"/>
        <d v="2025-07-11T00:00:00Z"/>
        <d v="2025-07-12T00:00:00Z"/>
        <d v="2025-07-13T00:00:00Z"/>
        <d v="2025-07-14T00:00:00Z"/>
        <d v="2025-07-15T00:00:00Z"/>
        <d v="2025-07-16T00:00:00Z"/>
        <d v="2025-07-17T00:00:00Z"/>
        <d v="2025-07-18T00:00:00Z"/>
        <d v="2025-07-19T00:00:00Z"/>
        <d v="2025-07-20T00:00:00Z"/>
        <d v="2025-07-21T00:00:00Z"/>
        <d v="2025-07-22T00:00:00Z"/>
        <d v="2025-07-23T00:00:00Z"/>
        <d v="2025-07-24T00:00:00Z"/>
        <d v="2025-07-25T00:00:00Z"/>
        <d v="2025-07-26T00:00:00Z"/>
        <d v="2025-07-27T00:00:00Z"/>
        <d v="2025-07-28T00:00:00Z"/>
        <d v="2025-07-29T00:00:00Z"/>
        <d v="2025-07-30T00:00:00Z"/>
        <d v="2025-07-31T00:00:00Z"/>
        <d v="2025-08-01T00:00:00Z"/>
        <d v="2025-08-02T00:00:00Z"/>
        <d v="2025-08-03T00:00:00Z"/>
        <d v="2025-08-04T00:00:00Z"/>
        <d v="2025-08-05T00:00:00Z"/>
        <d v="2025-08-06T00:00:00Z"/>
        <d v="2025-08-07T00:00:00Z"/>
        <d v="2025-08-08T00:00:00Z"/>
        <d v="2025-08-09T00:00:00Z"/>
        <d v="2025-08-10T00:00:00Z"/>
        <d v="2025-08-11T00:00:00Z"/>
        <d v="2025-08-12T00:00:00Z"/>
        <d v="2025-08-13T00:00:00Z"/>
        <d v="2025-08-14T00:00:00Z"/>
        <d v="2025-08-15T00:00:00Z"/>
        <d v="2025-08-16T00:00:00Z"/>
        <d v="2025-08-17T00:00:00Z"/>
        <d v="2025-08-18T00:00:00Z"/>
        <d v="2025-08-19T00:00:00Z"/>
        <d v="2025-08-20T00:00:00Z"/>
        <d v="2025-08-21T00:00:00Z"/>
        <d v="2025-08-22T00:00:00Z"/>
        <d v="2025-08-23T00:00:00Z"/>
        <d v="2025-08-24T00:00:00Z"/>
        <d v="2025-08-25T00:00:00Z"/>
        <d v="2025-08-26T00:00:00Z"/>
        <d v="2025-08-27T00:00:00Z"/>
        <d v="2025-08-28T00:00:00Z"/>
        <d v="2025-08-29T00:00:00Z"/>
        <d v="2025-08-30T00:00:00Z"/>
        <d v="2025-08-31T00:00:00Z"/>
        <d v="2025-09-01T00:00:00Z"/>
        <d v="2025-09-02T00:00:00Z"/>
        <d v="2025-09-03T00:00:00Z"/>
        <d v="2025-09-04T00:00:00Z"/>
        <d v="2025-09-05T00:00:00Z"/>
        <d v="2025-09-06T00:00:00Z"/>
        <d v="2025-09-07T00:00:00Z"/>
        <d v="2025-09-08T00:00:00Z"/>
        <d v="2025-09-09T00:00:00Z"/>
        <d v="2025-09-10T00:00:00Z"/>
        <d v="2025-09-11T00:00:00Z"/>
        <d v="2025-09-12T00:00:00Z"/>
        <d v="2025-09-13T00:00:00Z"/>
        <d v="2025-09-14T00:00:00Z"/>
        <d v="2025-09-15T00:00:00Z"/>
        <d v="2025-09-16T00:00:00Z"/>
        <d v="2025-09-17T00:00:00Z"/>
        <d v="2025-09-18T00:00:00Z"/>
        <d v="2025-09-19T00:00:00Z"/>
        <d v="2025-09-20T00:00:00Z"/>
        <d v="2025-09-21T00:00:00Z"/>
        <d v="2025-09-22T00:00:00Z"/>
        <d v="2025-09-23T00:00:00Z"/>
        <d v="2025-09-24T00:00:00Z"/>
        <d v="2025-09-25T00:00:00Z"/>
        <d v="2025-09-26T00:00:00Z"/>
        <d v="2025-09-27T00:00:00Z"/>
        <d v="2025-09-28T00:00:00Z"/>
        <d v="2025-09-29T00:00:00Z"/>
        <d v="2025-09-30T00:00:00Z"/>
        <d v="2025-10-01T00:00:00Z"/>
        <d v="2025-10-02T00:00:00Z"/>
        <d v="2025-10-03T00:00:00Z"/>
        <d v="2025-10-04T00:00:00Z"/>
        <d v="2025-10-05T00:00:00Z"/>
        <d v="2025-10-06T00:00:00Z"/>
        <d v="2025-10-07T00:00:00Z"/>
        <d v="2025-10-08T00:00:00Z"/>
        <d v="2025-10-09T00:00:00Z"/>
        <d v="2025-10-10T00:00:00Z"/>
        <d v="2025-10-11T00:00:00Z"/>
        <d v="2025-10-12T00:00:00Z"/>
        <d v="2025-10-13T00:00:00Z"/>
        <d v="2025-10-14T00:00:00Z"/>
        <d v="2025-10-15T00:00:00Z"/>
        <d v="2025-10-16T00:00:00Z"/>
        <d v="2025-10-17T00:00:00Z"/>
        <d v="2025-10-18T00:00:00Z"/>
        <d v="2025-10-19T00:00:00Z"/>
        <d v="2025-10-20T00:00:00Z"/>
        <d v="2025-10-21T00:00:00Z"/>
        <d v="2025-10-22T00:00:00Z"/>
        <d v="2025-10-23T00:00:00Z"/>
        <d v="2025-10-24T00:00:00Z"/>
        <d v="2025-10-25T00:00:00Z"/>
        <d v="2025-10-26T00:00:00Z"/>
        <d v="2025-10-27T00:00:00Z"/>
        <d v="2025-10-28T00:00:00Z"/>
        <d v="2025-10-29T00:00:00Z"/>
        <d v="2025-10-30T00:00:00Z"/>
        <d v="2025-10-31T00:00:00Z"/>
        <d v="2025-11-01T00:00:00Z"/>
        <d v="2025-11-02T00:00:00Z"/>
        <d v="2025-11-03T00:00:00Z"/>
        <d v="2025-11-04T00:00:00Z"/>
        <d v="2025-11-05T00:00:00Z"/>
        <d v="2025-11-06T00:00:00Z"/>
        <d v="2025-11-07T00:00:00Z"/>
        <d v="2025-11-08T00:00:00Z"/>
        <d v="2025-11-09T00:00:00Z"/>
        <d v="2025-11-10T00:00:00Z"/>
        <d v="2025-11-11T00:00:00Z"/>
        <d v="2025-11-12T00:00:00Z"/>
        <d v="2025-11-13T00:00:00Z"/>
        <d v="2025-11-14T00:00:00Z"/>
        <d v="2025-11-15T00:00:00Z"/>
        <d v="2025-11-16T00:00:00Z"/>
        <d v="2025-11-17T00:00:00Z"/>
        <d v="2025-11-18T00:00:00Z"/>
        <d v="2025-11-19T00:00:00Z"/>
        <d v="2025-11-20T00:00:00Z"/>
        <d v="2025-11-21T00:00:00Z"/>
        <d v="2025-11-22T00:00:00Z"/>
        <d v="2025-11-23T00:00:00Z"/>
        <d v="2025-11-24T00:00:00Z"/>
        <d v="2025-11-25T00:00:00Z"/>
        <d v="2025-11-26T00:00:00Z"/>
        <d v="2025-11-27T00:00:00Z"/>
        <d v="2025-11-28T00:00:00Z"/>
        <d v="2025-11-29T00:00:00Z"/>
        <d v="2025-11-30T00:00:00Z"/>
        <d v="2025-12-01T00:00:00Z"/>
        <d v="2025-12-02T00:00:00Z"/>
        <d v="2025-12-03T00:00:00Z"/>
        <d v="2025-12-04T00:00:00Z"/>
        <d v="2025-12-05T00:00:00Z"/>
        <d v="2025-12-06T00:00:00Z"/>
        <d v="2025-12-07T00:00:00Z"/>
        <d v="2025-12-08T00:00:00Z"/>
        <d v="2025-12-09T00:00:00Z"/>
        <d v="2025-12-10T00:00:00Z"/>
        <d v="2025-12-11T00:00:00Z"/>
        <d v="2025-12-12T00:00:00Z"/>
        <d v="2025-12-13T00:00:00Z"/>
        <d v="2025-12-14T00:00:00Z"/>
        <d v="2025-12-15T00:00:00Z"/>
        <d v="2025-12-16T00:00:00Z"/>
        <d v="2025-12-17T00:00:00Z"/>
        <d v="2025-12-18T00:00:00Z"/>
        <d v="2025-12-19T00:00:00Z"/>
        <d v="2025-12-20T00:00:00Z"/>
        <d v="2025-12-21T00:00:00Z"/>
        <d v="2025-12-22T00:00:00Z"/>
        <d v="2025-12-23T00:00:00Z"/>
        <d v="2025-12-24T00:00:00Z"/>
        <d v="2025-12-25T00:00:00Z"/>
        <d v="2025-12-26T00:00:00Z"/>
        <d v="2025-12-27T00:00:00Z"/>
        <d v="2025-12-28T00:00:00Z"/>
        <d v="2025-12-29T00:00:00Z"/>
        <d v="2025-12-30T00:00:00Z"/>
        <d v="2025-12-31T00:00:00Z"/>
        <d v="2026-01-01T00:00:00Z"/>
        <d v="2026-01-02T00:00:00Z"/>
        <d v="2026-01-03T00:00:00Z"/>
        <d v="2026-01-04T00:00:00Z"/>
        <d v="2026-01-05T00:00:00Z"/>
        <d v="2026-01-06T00:00:00Z"/>
        <d v="2026-01-07T00:00:00Z"/>
        <d v="2026-01-08T00:00:00Z"/>
        <d v="2026-01-09T00:00:00Z"/>
        <d v="2026-01-10T00:00:00Z"/>
        <d v="2026-01-11T00:00:00Z"/>
        <d v="2026-01-12T00:00:00Z"/>
        <d v="2026-01-13T00:00:00Z"/>
        <d v="2026-01-14T00:00:00Z"/>
        <d v="2026-01-15T00:00:00Z"/>
        <d v="2026-01-16T00:00:00Z"/>
        <d v="2026-01-17T00:00:00Z"/>
        <d v="2026-01-18T00:00:00Z"/>
        <d v="2026-01-19T00:00:00Z"/>
        <d v="2026-01-20T00:00:00Z"/>
        <d v="2026-01-21T00:00:00Z"/>
        <d v="2026-01-22T00:00:00Z"/>
        <d v="2026-01-23T00:00:00Z"/>
        <d v="2026-01-24T00:00:00Z"/>
        <d v="2026-01-25T00:00:00Z"/>
        <d v="2026-01-26T00:00:00Z"/>
        <d v="2026-01-27T00:00:00Z"/>
        <d v="2026-01-28T00:00:00Z"/>
        <d v="2026-01-29T00:00:00Z"/>
        <d v="2026-01-30T00:00:00Z"/>
        <d v="2026-01-31T00:00:00Z"/>
        <d v="2026-02-01T00:00:00Z"/>
        <d v="2026-02-02T00:00:00Z"/>
        <d v="2026-02-03T00:00:00Z"/>
        <d v="2026-02-04T00:00:00Z"/>
        <d v="2026-02-05T00:00:00Z"/>
        <d v="2026-02-06T00:00:00Z"/>
        <d v="2026-02-07T00:00:00Z"/>
        <d v="2026-02-08T00:00:00Z"/>
        <d v="2026-02-09T00:00:00Z"/>
        <d v="2026-02-10T00:00:00Z"/>
        <d v="2026-02-11T00:00:00Z"/>
        <d v="2026-02-12T00:00:00Z"/>
        <d v="2026-02-13T00:00:00Z"/>
        <d v="2026-02-14T00:00:00Z"/>
        <d v="2026-02-15T00:00:00Z"/>
        <d v="2026-02-16T00:00:00Z"/>
        <d v="2026-02-17T00:00:00Z"/>
        <d v="2026-02-18T00:00:00Z"/>
        <d v="2026-02-19T00:00:00Z"/>
        <d v="2026-02-20T00:00:00Z"/>
        <d v="2026-02-21T00:00:00Z"/>
        <d v="2026-02-22T00:00:00Z"/>
        <d v="2026-02-23T00:00:00Z"/>
        <d v="2026-02-24T00:00:00Z"/>
        <d v="2026-02-25T00:00:00Z"/>
        <d v="2026-02-26T00:00:00Z"/>
        <d v="2026-02-27T00:00:00Z"/>
        <d v="2026-02-28T00:00:00Z"/>
        <d v="2026-03-01T00:00:00Z"/>
        <d v="2026-03-02T00:00:00Z"/>
        <d v="2026-03-03T00:00:00Z"/>
        <d v="2026-03-04T00:00:00Z"/>
        <d v="2026-03-05T00:00:00Z"/>
        <d v="2026-03-06T00:00:00Z"/>
        <d v="2026-03-07T00:00:00Z"/>
        <d v="2026-03-08T00:00:00Z"/>
        <d v="2026-03-09T00:00:00Z"/>
        <d v="2026-03-10T00:00:00Z"/>
        <d v="2026-03-11T00:00:00Z"/>
        <d v="2026-03-12T00:00:00Z"/>
        <d v="2026-03-13T00:00:00Z"/>
        <d v="2026-03-14T00:00:00Z"/>
        <d v="2026-03-15T00:00:00Z"/>
        <d v="2026-03-16T00:00:00Z"/>
        <d v="2026-03-17T00:00:00Z"/>
        <d v="2026-03-18T00:00:00Z"/>
        <d v="2026-03-19T00:00:00Z"/>
        <d v="2026-03-20T00:00:00Z"/>
        <d v="2026-03-21T00:00:00Z"/>
        <d v="2026-03-22T00:00:00Z"/>
        <d v="2026-03-23T00:00:00Z"/>
        <d v="2026-03-24T00:00:00Z"/>
        <d v="2026-03-25T00:00:00Z"/>
        <d v="2026-03-26T00:00:00Z"/>
        <d v="2026-03-27T00:00:00Z"/>
        <d v="2026-03-28T00:00:00Z"/>
        <d v="2026-03-29T00:00:00Z"/>
        <d v="2026-03-30T00:00:00Z"/>
        <d v="2026-03-31T00:00:00Z"/>
        <d v="2026-04-01T00:00:00Z"/>
        <d v="2026-04-02T00:00:00Z"/>
        <d v="2026-04-03T00:00:00Z"/>
        <d v="2026-04-04T00:00:00Z"/>
        <d v="2026-04-05T00:00:00Z"/>
        <d v="2026-04-06T00:00:00Z"/>
        <d v="2026-04-07T00:00:00Z"/>
        <d v="2026-04-08T00:00:00Z"/>
        <d v="2026-04-09T00:00:00Z"/>
        <d v="2026-04-10T00:00:00Z"/>
        <d v="2026-04-11T00:00:00Z"/>
        <d v="2026-04-12T00:00:00Z"/>
        <d v="2026-04-13T00:00:00Z"/>
        <d v="2026-04-14T00:00:00Z"/>
        <d v="2026-04-15T00:00:00Z"/>
        <d v="2026-04-16T00:00:00Z"/>
        <d v="2026-04-17T00:00:00Z"/>
        <d v="2026-04-18T00:00:00Z"/>
        <d v="2026-04-19T00:00:00Z"/>
        <d v="2026-04-20T00:00:00Z"/>
        <d v="2026-04-21T00:00:00Z"/>
        <d v="2026-04-22T00:00:00Z"/>
        <d v="2026-04-23T00:00:00Z"/>
        <d v="2026-04-24T00:00:00Z"/>
        <d v="2026-04-25T00:00:00Z"/>
        <d v="2026-04-26T00:00:00Z"/>
        <d v="2026-04-27T00:00:00Z"/>
        <d v="2026-04-28T00:00:00Z"/>
        <d v="2026-04-29T00:00:00Z"/>
        <d v="2026-04-30T00:00:00Z"/>
        <d v="2026-05-01T00:00:00Z"/>
        <d v="2026-05-02T00:00:00Z"/>
        <d v="2026-05-03T00:00:00Z"/>
        <d v="2026-05-04T00:00:00Z"/>
        <d v="2026-05-05T00:00:00Z"/>
        <d v="2026-05-06T00:00:00Z"/>
        <d v="2026-05-07T00:00:00Z"/>
        <d v="2026-05-08T00:00:00Z"/>
        <d v="2026-05-09T00:00:00Z"/>
        <d v="2026-05-10T00:00:00Z"/>
        <d v="2026-05-11T00:00:00Z"/>
        <d v="2026-05-12T00:00:00Z"/>
        <d v="2026-05-13T00:00:00Z"/>
        <d v="2026-05-14T00:00:00Z"/>
        <d v="2026-05-15T00:00:00Z"/>
        <d v="2026-05-16T00:00:00Z"/>
        <d v="2026-05-17T00:00:00Z"/>
        <d v="2026-05-18T00:00:00Z"/>
        <d v="2026-05-19T00:00:00Z"/>
        <d v="2026-05-20T00:00:00Z"/>
        <d v="2026-05-21T00:00:00Z"/>
        <d v="2026-05-22T00:00:00Z"/>
        <d v="2026-05-23T00:00:00Z"/>
        <d v="2026-05-24T00:00:00Z"/>
        <d v="2026-05-25T00:00:00Z"/>
        <d v="2026-05-26T00:00:00Z"/>
        <d v="2026-05-27T00:00:00Z"/>
        <d v="2026-05-28T00:00:00Z"/>
        <d v="2026-05-29T00:00:00Z"/>
        <d v="2026-05-30T00:00:00Z"/>
        <d v="2026-05-31T00:00:00Z"/>
        <d v="2026-06-01T00:00:00Z"/>
        <d v="2026-06-02T00:00:00Z"/>
        <d v="2026-06-03T00:00:00Z"/>
        <d v="2026-06-04T00:00:00Z"/>
        <d v="2026-06-05T00:00:00Z"/>
        <d v="2026-06-06T00:00:00Z"/>
        <d v="2026-06-07T00:00:00Z"/>
        <d v="2026-06-08T00:00:00Z"/>
        <d v="2026-06-09T00:00:00Z"/>
        <d v="2026-06-10T00:00:00Z"/>
        <d v="2026-06-11T00:00:00Z"/>
        <d v="2026-06-12T00:00:00Z"/>
        <d v="2026-06-13T00:00:00Z"/>
        <d v="2026-06-14T00:00:00Z"/>
        <d v="2026-06-15T00:00:00Z"/>
        <d v="2026-06-16T00:00:00Z"/>
        <d v="2026-06-17T00:00:00Z"/>
        <d v="2026-06-18T00:00:00Z"/>
        <d v="2026-06-19T00:00:00Z"/>
        <d v="2026-06-20T00:00:00Z"/>
        <d v="2026-06-21T00:00:00Z"/>
        <d v="2026-06-22T00:00:00Z"/>
        <d v="2026-06-23T00:00:00Z"/>
        <d v="2026-06-24T00:00:00Z"/>
        <d v="2026-06-25T00:00:00Z"/>
        <d v="2026-06-26T00:00:00Z"/>
        <d v="2026-06-27T00:00:00Z"/>
        <d v="2026-06-28T00:00:00Z"/>
        <d v="2026-06-29T00:00:00Z"/>
        <d v="2026-06-30T00:00:00Z"/>
        <d v="2026-07-01T00:00:00Z"/>
        <d v="2026-07-02T00:00:00Z"/>
        <d v="2026-07-03T00:00:00Z"/>
        <d v="2026-07-04T00:00:00Z"/>
        <d v="2026-07-05T00:00:00Z"/>
        <d v="2026-07-06T00:00:00Z"/>
        <d v="2026-07-07T00:00:00Z"/>
        <d v="2026-07-08T00:00:00Z"/>
        <d v="2026-07-09T00:00:00Z"/>
        <d v="2026-07-10T00:00:00Z"/>
        <d v="2026-07-11T00:00:00Z"/>
        <d v="2026-07-12T00:00:00Z"/>
        <d v="2026-07-13T00:00:00Z"/>
        <d v="2026-07-14T00:00:00Z"/>
        <d v="2026-07-15T00:00:00Z"/>
        <d v="2026-07-16T00:00:00Z"/>
        <d v="2026-07-17T00:00:00Z"/>
        <d v="2026-07-18T00:00:00Z"/>
        <d v="2026-07-19T00:00:00Z"/>
        <d v="2026-07-20T00:00:00Z"/>
        <d v="2026-07-21T00:00:00Z"/>
        <d v="2026-07-22T00:00:00Z"/>
        <d v="2026-07-23T00:00:00Z"/>
        <d v="2026-07-24T00:00:00Z"/>
        <d v="2026-07-25T00:00:00Z"/>
        <d v="2026-07-26T00:00:00Z"/>
        <d v="2026-07-27T00:00:00Z"/>
        <d v="2026-07-28T00:00:00Z"/>
        <d v="2026-07-29T00:00:00Z"/>
        <d v="2026-07-30T00:00:00Z"/>
        <d v="2026-07-31T00:00:00Z"/>
        <d v="2026-08-01T00:00:00Z"/>
        <d v="2026-08-02T00:00:00Z"/>
        <d v="2026-08-03T00:00:00Z"/>
        <d v="2026-08-04T00:00:00Z"/>
        <d v="2026-08-05T00:00:00Z"/>
        <d v="2026-08-06T00:00:00Z"/>
        <d v="2026-08-07T00:00:00Z"/>
        <d v="2026-08-08T00:00:00Z"/>
        <d v="2026-08-09T00:00:00Z"/>
        <d v="2026-08-10T00:00:00Z"/>
        <d v="2026-08-11T00:00:00Z"/>
        <d v="2026-08-12T00:00:00Z"/>
        <d v="2026-08-13T00:00:00Z"/>
        <d v="2026-08-14T00:00:00Z"/>
        <d v="2026-08-15T00:00:00Z"/>
        <d v="2026-08-16T00:00:00Z"/>
        <d v="2026-08-17T00:00:00Z"/>
        <d v="2026-08-18T00:00:00Z"/>
        <d v="2026-08-19T00:00:00Z"/>
        <d v="2026-08-20T00:00:00Z"/>
        <d v="2026-08-21T00:00:00Z"/>
        <d v="2026-08-22T00:00:00Z"/>
        <d v="2026-08-23T00:00:00Z"/>
        <d v="2026-08-24T00:00:00Z"/>
        <d v="2026-08-25T00:00:00Z"/>
        <d v="2026-08-26T00:00:00Z"/>
        <d v="2026-08-27T00:00:00Z"/>
        <s v=""/>
      </sharedItems>
    </cacheField>
    <cacheField name="TOTAL DE BENEFICO" numFmtId="0">
      <sharedItems containsString="0" containsBlank="1" containsNumber="1" containsInteger="1">
        <n v="0.0"/>
        <n v="309.0"/>
        <n v="595.0"/>
        <n v="538.0"/>
        <n v="464.0"/>
        <n v="445.0"/>
        <n v="442.0"/>
        <n v="289.0"/>
        <n v="396.0"/>
        <n v="531.0"/>
        <n v="463.0"/>
        <n v="392.0"/>
        <n v="421.0"/>
        <n v="482.0"/>
        <n v="484.0"/>
        <n v="427.0"/>
        <n v="391.0"/>
        <n v="533.0"/>
        <n v="516.0"/>
        <n v="526.0"/>
        <n v="476.0"/>
        <n v="346.0"/>
        <n v="270.0"/>
        <n v="390.0"/>
        <n v="518.0"/>
        <n v="423.0"/>
        <n v="382.0"/>
        <n v="503.0"/>
        <n v="567.0"/>
        <n v="479.0"/>
        <n v="480.0"/>
        <n v="460.0"/>
        <n v="335.0"/>
        <n v="510.0"/>
        <n v="566.0"/>
        <n v="432.0"/>
        <n v="530.0"/>
        <n v="371.0"/>
        <n v="324.0"/>
        <n v="388.0"/>
        <n v="514.0"/>
        <n v="438.0"/>
        <n v="374.0"/>
        <n v="424.0"/>
        <n v="394.0"/>
        <n v="461.0"/>
        <n v="493.0"/>
        <n v="447.0"/>
        <n v="316.0"/>
        <n v="347.0"/>
        <n v="452.0"/>
        <n v="398.0"/>
        <n v="408.0"/>
        <n v="429.0"/>
        <n v="369.0"/>
        <n v="477.0"/>
        <n v="570.0"/>
        <n v="366.0"/>
        <n v="363.0"/>
        <n v="441.0"/>
        <n v="521.0"/>
        <n v="333.0"/>
        <n v="624.0"/>
        <n v="470.0"/>
        <n v="449.0"/>
        <n v="458.0"/>
        <n v="444.0"/>
        <n v="329.0"/>
        <n v="341.0"/>
        <n v="519.0"/>
        <n v="509.0"/>
        <n v="494.0"/>
        <n v="543.0"/>
        <n v="364.0"/>
        <n v="412.0"/>
        <n v="370.0"/>
        <n v="597.0"/>
        <n v="420.0"/>
        <n v="360.0"/>
        <n v="368.0"/>
        <n v="405.0"/>
        <n v="500.0"/>
        <n v="361.0"/>
        <n v="478.0"/>
        <n v="505.0"/>
        <n v="486.0"/>
        <n v="400.0"/>
        <n v="648.0"/>
        <n v="492.0"/>
        <n v="568.0"/>
        <n v="303.0"/>
        <n v="527.0"/>
        <n v="337.0"/>
        <n v="457.0"/>
        <n v="269.0"/>
        <n v="443.0"/>
        <n v="395.0"/>
        <n v="386.0"/>
        <n v="320.0"/>
        <n v="498.0"/>
        <n v="426.0"/>
        <n v="380.0"/>
        <n v="357.0"/>
        <n v="278.0"/>
        <n v="515.0"/>
        <n v="250.0"/>
        <n v="529.0"/>
        <n v="600.0"/>
        <n v="342.0"/>
        <n v="454.0"/>
        <n v="349.0"/>
        <n v="520.0"/>
        <n v="404.0"/>
        <n v="573.0"/>
        <n v="322.0"/>
        <n v="263.0"/>
        <n v="355.0"/>
        <n v="574.0"/>
        <n v="475.0"/>
        <n v="326.0"/>
        <n v="221.0"/>
        <n v="536.0"/>
        <n v="473.0"/>
        <n v="367.0"/>
        <n v="552.0"/>
        <n v="383.0"/>
        <n v="407.0"/>
        <n v="534.0"/>
        <n v="356.0"/>
        <n v="277.0"/>
        <n v="428.0"/>
        <n v="439.0"/>
        <n v="358.0"/>
        <n v="462.0"/>
        <n v="384.0"/>
        <n v="275.0"/>
        <n v="471.0"/>
        <n v="414.0"/>
        <n v="312.0"/>
        <n v="351.0"/>
        <n v="497.0"/>
        <n v="373.0"/>
        <n v="343.0"/>
        <n v="413.0"/>
        <n v="465.0"/>
        <n v="417.0"/>
        <n v="481.0"/>
        <n v="555.0"/>
        <n v="450.0"/>
        <n v="513.0"/>
        <n v="422.0"/>
        <n v="435.0"/>
        <n v="239.0"/>
        <n v="257.0"/>
        <n v="117.0"/>
        <n v="546.0"/>
        <n v="924.0"/>
        <n v="632.0"/>
        <n v="308.0"/>
        <n v="504.0"/>
        <n v="559.0"/>
        <n v="311.0"/>
        <n v="286.0"/>
        <n v="409.0"/>
        <n v="416.0"/>
        <n v="483.0"/>
        <n v="580.0"/>
        <n v="456.0"/>
        <n v="453.0"/>
        <n v="451.0"/>
        <n v="467.0"/>
        <n v="258.0"/>
        <n v="474.0"/>
        <n v="487.0"/>
        <n v="411.0"/>
        <n v="556.0"/>
        <n v="377.0"/>
        <n v="630.0"/>
        <n v="517.0"/>
        <n v="572.0"/>
        <n v="310.0"/>
        <n v="575.0"/>
        <n v="496.0"/>
        <n v="268.0"/>
        <n v="662.0"/>
        <n v="524.0"/>
        <n v="246.0"/>
        <n v="584.0"/>
        <n v="502.0"/>
        <n v="406.0"/>
        <n v="362.0"/>
        <n v="587.0"/>
        <n v="215.0"/>
        <n v="646.0"/>
        <n v="691.0"/>
        <n v="679.0"/>
        <n v="340.0"/>
        <n v="656.0"/>
        <n v="472.0"/>
        <n v="508.0"/>
        <n v="609.0"/>
        <n v="625.0"/>
        <n v="664.0"/>
        <n v="571.0"/>
        <n v="685.0"/>
        <n v="589.0"/>
        <n v="616.0"/>
        <n v="690.0"/>
        <n v="645.0"/>
        <n v="623.0"/>
        <n v="372.0"/>
        <n v="339.0"/>
        <n v="540.0"/>
        <n v="319.0"/>
        <n v="528.0"/>
        <n v="419.0"/>
        <n v="381.0"/>
        <n v="733.0"/>
        <n v="617.0"/>
        <n v="455.0"/>
        <n v="430.0"/>
        <n v="610.0"/>
        <n v="448.0"/>
        <n v="425.0"/>
        <n v="511.0"/>
        <n v="604.0"/>
        <n v="410.0"/>
        <n v="459.0"/>
        <n v="348.0"/>
        <n v="564.0"/>
        <n v="288.0"/>
        <n v="581.0"/>
        <n v="403.0"/>
        <n v="466.0"/>
        <n v="298.0"/>
        <n v="565.0"/>
        <n v="332.0"/>
        <n v="695.0"/>
        <n v="490.0"/>
        <n v="560.0"/>
        <n v="550.0"/>
        <n v="229.0"/>
        <n v="397.0"/>
        <n v="345.0"/>
        <n v="281.0"/>
        <n v="563.0"/>
        <n v="485.0"/>
        <n v="631.0"/>
        <n v="431.0"/>
        <n v="273.0"/>
        <n v="652.0"/>
        <n v="512.0"/>
        <n v="255.0"/>
        <n v="659.0"/>
        <n v="489.0"/>
        <n v="301.0"/>
        <n v="433.0"/>
        <n v="317.0"/>
        <n v="583.0"/>
        <n v="375.0"/>
        <n v="606.0"/>
        <n v="231.0"/>
        <n v="541.0"/>
        <n v="619.0"/>
        <n v="557.0"/>
        <n v="240.0"/>
        <n v="506.0"/>
        <n v="354.0"/>
        <n v="670.0"/>
        <n v="669.0"/>
        <n v="418.0"/>
        <n v="304.0"/>
        <n v="620.0"/>
        <n v="291.0"/>
        <n v="201.0"/>
        <n v="613.0"/>
        <n v="553.0"/>
        <n v="585.0"/>
        <n v="544.0"/>
        <n v="353.0"/>
        <n v="389.0"/>
        <n v="402.0"/>
        <n v="399.0"/>
        <n v="313.0"/>
        <n v="554.0"/>
        <n v="488.0"/>
        <n v="365.0"/>
        <n v="318.0"/>
        <n v="615.0"/>
        <n v="325.0"/>
        <n v="591.0"/>
        <n v="434.0"/>
        <n v="323.0"/>
        <n v="499.0"/>
        <n v="603.0"/>
        <n v="643.0"/>
        <n v="253.0"/>
        <n v="612.0"/>
        <n v="385.0"/>
        <n v="501.0"/>
        <n v="715.0"/>
        <n v="677.0"/>
        <n v="596.0"/>
        <n v="535.0"/>
        <n v="592.0"/>
        <n v="748.0"/>
        <n v="525.0"/>
        <n v="586.0"/>
        <n v="629.0"/>
        <n v="639.0"/>
        <n v="702.0"/>
        <n v="582.0"/>
        <n v="658.0"/>
        <n v="655.0"/>
        <n v="437.0"/>
        <n v="938.0"/>
        <n v="874.0"/>
        <n v="507.0"/>
        <n v="1069.0"/>
        <n v="602.0"/>
        <n v="548.0"/>
        <n v="633.0"/>
        <n v="300.0"/>
        <n v="640.0"/>
        <n v="344.0"/>
        <n v="446.0"/>
        <n v="558.0"/>
        <n v="162.0"/>
        <n v="276.0"/>
        <n v="614.0"/>
        <n v="469.0"/>
        <n v="279.0"/>
        <n v="618.0"/>
        <n v="699.0"/>
        <n v="328.0"/>
        <n v="359.0"/>
        <n v="678.0"/>
        <n v="233.0"/>
        <n v="593.0"/>
        <n v="290.0"/>
        <n v="688.0"/>
        <n v="292.0"/>
        <n v="307.0"/>
        <n v="710.0"/>
        <n v="549.0"/>
        <n v="694.0"/>
        <n v="522.0"/>
        <n v="561.0"/>
        <n v="350.0"/>
        <n v="393.0"/>
        <n v="607.0"/>
        <n v="644.0"/>
        <n v="387.0"/>
        <n v="598.0"/>
        <n v="588.0"/>
        <n v="532.0"/>
        <n v="545.0"/>
        <n v="305.0"/>
        <n v="628.0"/>
        <n v="440.0"/>
        <m/>
      </sharedItems>
    </cacheField>
    <cacheField name="HORA INICIO CABEZAS">
      <sharedItems containsDate="1" containsString="0" containsBlank="1" containsMixedTypes="1">
        <m/>
        <d v="1899-12-30T12:23:00Z"/>
        <d v="1899-12-30T13:24:00Z"/>
        <d v="1899-12-30T12:24:00Z"/>
        <d v="1899-12-30T13:23:00Z"/>
        <d v="1899-12-30T12:45:00Z"/>
        <d v="1899-12-30T10:24:00Z"/>
        <d v="1899-12-30T10:23:00Z"/>
        <d v="1899-12-30T14:24:00Z"/>
        <d v="1899-12-30T14:23:00Z"/>
        <d v="1899-12-30T13:34:00Z"/>
        <d v="1899-12-30T15:24:00Z"/>
        <d v="1899-12-30T09:24:00Z"/>
        <n v="0.0"/>
        <d v="1899-12-30T17:54:00Z"/>
        <d v="1899-12-30T16:24:00Z"/>
        <d v="1899-12-30T14:50:00Z"/>
        <d v="1899-12-30T15:55:00Z"/>
        <d v="1899-12-30T15:43:00Z"/>
        <d v="1899-12-30T13:49:00Z"/>
        <d v="1899-12-30T16:36:00Z"/>
        <d v="1899-12-30T14:42:00Z"/>
        <d v="1899-12-30T14:44:00Z"/>
        <d v="1899-12-30T15:00:00Z"/>
        <d v="1899-12-30T17:24:00Z"/>
        <d v="1899-12-30T14:54:00Z"/>
        <d v="1899-12-30T14:08:00Z"/>
        <d v="1899-12-30T14:37:00Z"/>
        <d v="1899-12-30T17:41:00Z"/>
        <d v="1899-12-30T14:51:00Z"/>
        <d v="1899-12-30T14:05:00Z"/>
        <d v="1899-12-30T14:39:00Z"/>
        <d v="1899-12-30T14:00:00Z"/>
        <d v="1899-12-30T14:30:00Z"/>
        <d v="1899-12-30T14:10:00Z"/>
        <d v="1899-12-30T15:07:00Z"/>
        <d v="1899-12-30T16:14:00Z"/>
        <d v="1899-12-30T16:05:00Z"/>
        <d v="1899-12-30T13:00:00Z"/>
        <d v="1899-12-30T17:00:00Z"/>
        <d v="1899-12-30T17:20:00Z"/>
        <d v="1899-12-30T16:00:00Z"/>
        <d v="1899-12-30T12:00:00Z"/>
        <d v="1899-12-30T15:12:00Z"/>
        <d v="1899-12-30T17:10:00Z"/>
        <d v="1899-12-30T14:25:00Z"/>
        <d v="1899-12-30T20:18:00Z"/>
        <d v="1899-12-30T15:10:00Z"/>
      </sharedItems>
    </cacheField>
    <cacheField name="HORA ULTIMA VISCERA AMARRADA" numFmtId="0">
      <sharedItems containsDate="1" containsString="0" containsBlank="1">
        <m/>
        <d v="1899-12-30T18:10:00Z"/>
        <d v="1899-12-31T00:30:00Z"/>
        <d v="1899-12-30T22:08:00Z"/>
        <d v="1899-12-30T20:48:00Z"/>
        <d v="1899-12-30T20:08:00Z"/>
        <d v="1899-12-30T20:45:00Z"/>
        <d v="1899-12-30T18:00:00Z"/>
        <d v="1899-12-30T23:00:00Z"/>
        <d v="1899-12-30T21:18:00Z"/>
        <d v="1899-12-30T20:50:00Z"/>
        <d v="1899-12-30T19:45:00Z"/>
        <d v="1899-12-30T20:33:00Z"/>
        <d v="1899-12-30T21:13:00Z"/>
        <d v="1899-12-30T21:35:00Z"/>
        <d v="1899-12-30T19:18:00Z"/>
        <d v="1899-12-30T18:35:00Z"/>
        <d v="1899-12-30T19:56:00Z"/>
        <d v="1899-12-30T22:00:00Z"/>
        <d v="1899-12-30T23:08:00Z"/>
        <d v="1899-12-30T23:33:00Z"/>
        <d v="1899-12-30T23:10:00Z"/>
        <d v="1899-12-30T21:00:00Z"/>
        <d v="1899-12-30T19:39:00Z"/>
        <d v="1899-12-30T21:30:00Z"/>
        <d v="1899-12-30T19:20:00Z"/>
        <d v="1899-12-30T20:30:00Z"/>
        <d v="1899-12-30T22:05:00Z"/>
        <d v="1899-12-30T23:19:00Z"/>
        <d v="1899-12-30T18:30:00Z"/>
        <d v="1899-12-30T22:38:00Z"/>
        <d v="1899-12-30T20:31:00Z"/>
        <d v="1899-12-30T22:25:00Z"/>
        <d v="1899-12-30T21:19:00Z"/>
        <d v="1899-12-30T18:52:00Z"/>
        <d v="1899-12-30T21:34:00Z"/>
        <d v="1899-12-30T20:17:00Z"/>
        <d v="1899-12-30T22:40:00Z"/>
        <d v="1899-12-30T20:10:00Z"/>
        <d v="1899-12-30T21:45:00Z"/>
        <d v="1899-12-30T22:18:00Z"/>
        <d v="1899-12-30T22:03:00Z"/>
        <d v="1899-12-30T19:32:00Z"/>
        <d v="1899-12-30T21:39:00Z"/>
        <d v="1899-12-30T22:50:00Z"/>
        <d v="1899-12-30T20:42:00Z"/>
        <d v="1899-12-30T23:15:00Z"/>
        <d v="1899-12-30T21:04:00Z"/>
        <d v="1899-12-30T20:24:00Z"/>
        <d v="1899-12-30T20:23:00Z"/>
        <d v="1899-12-30T23:38:00Z"/>
        <d v="1899-12-30T19:08:00Z"/>
        <d v="1899-12-30T21:20:00Z"/>
        <d v="1899-12-30T20:53:00Z"/>
        <d v="1899-12-30T21:28:00Z"/>
        <d v="1899-12-30T18:57:00Z"/>
        <d v="1899-12-31T00:20:00Z"/>
        <d v="1899-12-30T21:40:00Z"/>
        <d v="1899-12-30T17:00:00Z"/>
        <d v="1899-12-31T00:24:00Z"/>
        <d v="1899-12-30T23:18:00Z"/>
        <d v="1899-12-30T21:16:00Z"/>
        <d v="1899-12-30T19:48:00Z"/>
        <d v="1899-12-30T18:43:00Z"/>
        <d v="1899-12-30T22:42:00Z"/>
        <d v="1899-12-30T22:33:00Z"/>
        <d v="1899-12-30T19:43:00Z"/>
        <d v="1899-12-30T20:28:00Z"/>
        <d v="1899-12-30T20:18:00Z"/>
        <d v="1899-12-31T00:18:00Z"/>
        <d v="1899-12-30T21:02:00Z"/>
        <d v="1899-12-30T19:50:00Z"/>
        <d v="1899-12-30T21:11:00Z"/>
        <d v="1899-12-30T22:46:00Z"/>
        <d v="1899-12-30T21:12:00Z"/>
        <d v="1899-12-30T18:34:00Z"/>
        <d v="1899-12-30T21:06:00Z"/>
        <d v="1899-12-30T21:56:00Z"/>
        <d v="1899-12-30T22:30:00Z"/>
        <d v="1899-12-30T22:58:00Z"/>
        <d v="1899-12-30T20:20:00Z"/>
        <d v="1899-12-31T00:05:00Z"/>
        <d v="1899-12-30T22:26:00Z"/>
        <d v="1899-12-30T23:47:00Z"/>
        <d v="1899-12-30T21:08:00Z"/>
        <d v="1899-12-30T20:37:00Z"/>
        <d v="1899-12-30T23:35:00Z"/>
        <d v="1899-12-31T00:35:00Z"/>
        <d v="1899-12-31T00:37:00Z"/>
        <d v="1899-12-30T20:15:00Z"/>
        <d v="1899-12-30T21:23:00Z"/>
        <d v="1899-12-30T21:50:00Z"/>
        <d v="1899-12-30T21:42:00Z"/>
        <d v="1899-12-30T22:23:00Z"/>
        <d v="1899-12-31T01:02:00Z"/>
        <d v="1899-12-30T22:43:00Z"/>
        <d v="1899-12-30T23:43:00Z"/>
        <d v="1899-12-30T23:12:00Z"/>
        <d v="1899-12-30T22:29:00Z"/>
        <d v="1899-12-30T21:57:00Z"/>
        <d v="1899-12-30T20:05:00Z"/>
        <d v="1899-12-31T00:06:00Z"/>
        <d v="1899-12-30T23:05:00Z"/>
        <d v="1899-12-31T00:28:00Z"/>
        <d v="1899-12-31T02:20:00Z"/>
        <d v="1899-12-30T23:40:00Z"/>
        <d v="1899-12-30T21:55:00Z"/>
        <d v="1899-12-31T00:15:00Z"/>
        <d v="1899-12-31T01:25:00Z"/>
        <d v="1899-12-30T23:24:00Z"/>
        <d v="1899-12-31T01:48:00Z"/>
        <d v="1899-12-30T19:24:00Z"/>
        <d v="1899-12-31T00:25:00Z"/>
        <d v="1899-12-31T00:10:00Z"/>
        <d v="1899-12-30T17:56:00Z"/>
        <d v="1899-12-31T00:22:00Z"/>
        <d v="1899-12-31T01:33:00Z"/>
        <d v="1899-12-30T18:37:00Z"/>
        <d v="1899-12-30T21:54:00Z"/>
        <d v="1899-12-31T01:20:00Z"/>
        <d v="1899-12-30T23:36:00Z"/>
        <d v="1899-12-30T22:48:00Z"/>
        <d v="1899-12-30T21:44:00Z"/>
        <d v="1899-12-30T22:12:00Z"/>
        <d v="1899-12-30T23:42:00Z"/>
        <d v="1899-12-30T22:06:00Z"/>
        <d v="1899-12-31T00:51:00Z"/>
        <d v="1899-12-30T17:33:00Z"/>
        <d v="1899-12-30T23:02:00Z"/>
        <d v="1899-12-30T23:37:00Z"/>
        <d v="1899-12-30T21:26:00Z"/>
        <d v="1899-12-30T23:07:00Z"/>
        <d v="1899-12-30T21:58:00Z"/>
        <d v="1899-12-30T23:06:00Z"/>
        <d v="1899-12-30T22:16:00Z"/>
        <d v="1899-12-30T22:55:00Z"/>
        <d v="1899-12-30T22:45:00Z"/>
        <d v="1899-12-30T23:31:00Z"/>
        <d v="1899-12-30T23:51:00Z"/>
        <d v="1899-12-30T19:10:00Z"/>
        <d v="1899-12-30T21:05:00Z"/>
        <d v="1899-12-30T22:36:00Z"/>
        <d v="1899-12-31T03:26:00Z"/>
        <d v="1899-12-30T21:09:00Z"/>
        <d v="1899-12-30T21:51:00Z"/>
        <d v="1899-12-30T23:20:00Z"/>
        <d v="1899-12-30T23:48:00Z"/>
        <d v="1899-12-30T23:45:00Z"/>
        <d v="1899-12-30T18:20:00Z"/>
        <d v="1899-12-30T19:30:00Z"/>
        <d v="1899-12-30T17:35:00Z"/>
        <d v="1899-12-31T01:40:00Z"/>
        <d v="1899-12-31T04:00:00Z"/>
        <d v="1899-12-31T00:38:00Z"/>
        <d v="1899-12-31T00:04:00Z"/>
        <d v="1899-12-30T21:47:00Z"/>
        <d v="1899-12-30T20:07:00Z"/>
        <d v="1899-12-30T18:36:00Z"/>
        <d v="1899-12-30T20:56:00Z"/>
        <d v="1899-12-30T22:17:00Z"/>
        <d v="1899-12-30T23:30:00Z"/>
        <d v="1899-12-30T20:44:00Z"/>
        <d v="1899-12-31T00:50:00Z"/>
        <d v="1899-12-31T01:08:00Z"/>
        <d v="1899-12-31T01:34:00Z"/>
        <d v="1899-12-30T19:00:00Z"/>
        <d v="1899-12-31T00:45:00Z"/>
        <d v="1899-12-31T01:00:00Z"/>
        <d v="1899-12-31T00:29:00Z"/>
        <d v="1899-12-31T00:31:00Z"/>
        <d v="1899-12-30T22:37:00Z"/>
        <d v="1899-12-31T01:30:00Z"/>
        <d v="1899-12-31T01:59:00Z"/>
        <d v="1899-12-31T01:50:00Z"/>
        <d v="1899-12-31T01:46:00Z"/>
        <d v="1899-12-31T00:27:00Z"/>
        <d v="1899-12-31T00:02:00Z"/>
        <d v="1899-12-30T21:49:00Z"/>
        <d v="1899-12-30T21:10:00Z"/>
        <d v="1899-12-31T01:04:00Z"/>
        <d v="1899-12-30T19:55:00Z"/>
        <d v="1899-12-30T20:35:00Z"/>
        <d v="1899-12-31T02:25:00Z"/>
        <d v="1899-12-30T23:26:00Z"/>
        <d v="1899-12-31T01:07:00Z"/>
        <d v="1899-12-31T00:17:00Z"/>
        <d v="1899-12-30T21:37:00Z"/>
        <d v="1899-12-30T20:47:00Z"/>
        <d v="1899-12-31T01:21:00Z"/>
        <d v="1899-12-30T21:53:00Z"/>
        <d v="1899-12-30T23:14:00Z"/>
        <d v="1899-12-30T18:50:00Z"/>
        <d v="1899-12-31T01:05:00Z"/>
        <d v="1899-12-31T00:55:00Z"/>
        <d v="1899-12-31T01:56:00Z"/>
        <d v="1899-12-31T00:09:00Z"/>
        <d v="1899-12-30T21:32:00Z"/>
        <d v="1899-12-30T23:55:00Z"/>
        <d v="1899-12-31T02:24:00Z"/>
        <d v="1899-12-30T22:27:00Z"/>
        <d v="1899-12-30T22:57:00Z"/>
        <d v="1899-12-31T00:52:00Z"/>
        <d v="1899-12-30T22:53:00Z"/>
        <d v="1899-12-30T22:28:00Z"/>
        <d v="1899-12-31T00:56:00Z"/>
        <d v="1899-12-31T01:15:00Z"/>
        <d v="1899-12-31T01:10:00Z"/>
        <d v="1899-12-31T02:02:00Z"/>
        <d v="1899-12-31T05:48:00Z"/>
        <d v="1899-12-31T00:40:00Z"/>
        <d v="1899-12-30T22:20:00Z"/>
        <d v="1899-12-30T23:01:00Z"/>
        <d v="1899-12-31T01:17:00Z"/>
        <d v="1899-12-31T00:58:00Z"/>
        <d v="1899-12-30T21:43:00Z"/>
        <d v="1899-12-30T22:14:00Z"/>
        <d v="1899-12-31T03:30:00Z"/>
        <d v="1899-12-30T23:58:00Z"/>
        <d v="1899-12-30T23:32:00Z"/>
        <d v="1899-12-31T03:27:00Z"/>
        <d v="1899-12-30T21:25:00Z"/>
        <d v="1899-12-30T23:50:00Z"/>
        <d v="1899-12-30T20:43:00Z"/>
        <d v="1899-12-31T00:36:00Z"/>
        <d v="1899-12-30T18:48:00Z"/>
        <d v="1899-12-31T03:47:00Z"/>
        <d v="1899-12-30T21:38:00Z"/>
        <d v="1899-12-31T02:58:00Z"/>
        <d v="1899-12-30T21:46:00Z"/>
        <d v="1899-12-30T20:51:00Z"/>
        <d v="1899-12-31T00:43:00Z"/>
        <d v="1899-12-30T22:13:00Z"/>
        <d v="1899-12-31T02:28:00Z"/>
        <d v="1899-12-30T23:25:00Z"/>
        <d v="1899-12-30T21:59:00Z"/>
        <d v="1899-12-30T22:59:00Z"/>
        <d v="1899-12-31T00:32:00Z"/>
        <d v="1899-12-30T19:33:00Z"/>
        <d v="1899-12-30T00:32:00Z"/>
        <d v="1899-12-30T20:14:00Z"/>
        <d v="1899-12-30T21:31:00Z"/>
        <d v="1899-12-30T21:48:00Z"/>
        <d v="1899-12-30T21:15:00Z"/>
        <d v="1899-12-30T23:13:00Z"/>
        <d v="1899-12-31T01:47:00Z"/>
        <d v="1899-12-30T21:07:00Z"/>
        <d v="1899-12-31T02:15:00Z"/>
        <d v="1899-12-30T20:40:00Z"/>
        <d v="1899-12-31T03:00:00Z"/>
        <d v="1899-12-30T23:11:00Z"/>
        <d v="1899-12-31T02:40:00Z"/>
        <d v="1899-12-30T23:52:00Z"/>
        <d v="1899-12-31T01:35:00Z"/>
        <d v="1899-12-30T23:09:00Z"/>
        <d v="1899-12-30T23:41:00Z"/>
        <d v="1899-12-31T00:57:00Z"/>
        <d v="1899-12-30T22:07:00Z"/>
        <d v="1899-12-30T19:52:00Z"/>
        <d v="1899-12-31T00:11:00Z"/>
        <d v="1899-12-30T22:47:00Z"/>
        <d v="1899-12-31T00:26:00Z"/>
        <d v="1899-12-30T19:21:00Z"/>
        <d v="1899-12-31T01:19:00Z"/>
        <d v="1899-12-30T23:49:00Z"/>
        <d v="1899-12-30T22:56:00Z"/>
        <d v="1899-12-31T02:22:00Z"/>
        <d v="1899-12-31T00:13:00Z"/>
        <d v="1899-12-30T22:52:00Z"/>
        <d v="1899-12-31T02:26:00Z"/>
        <d v="1899-12-31T01:49:00Z"/>
        <d v="1899-12-31T00:00:00Z"/>
        <d v="1899-12-30T18:47:00Z"/>
        <d v="1899-12-30T21:41:00Z"/>
        <d v="1899-12-31T01:28:00Z"/>
        <d v="1899-12-31T00:07:00Z"/>
        <d v="1899-12-30T23:16:00Z"/>
        <d v="1899-12-31T00:44:00Z"/>
        <d v="1899-12-30T22:34:00Z"/>
        <d v="1899-12-30T20:22:00Z"/>
        <d v="1899-12-30T22:15:00Z"/>
        <d v="1899-12-31T00:03:00Z"/>
        <d v="1899-12-30T18:49:00Z"/>
        <d v="1899-12-31T00:08:00Z"/>
        <d v="1899-12-30T23:59:00Z"/>
        <d v="1899-12-30T20:38:00Z"/>
        <d v="1899-12-30T20:58:00Z"/>
        <d v="1899-12-30T22:10:00Z"/>
        <d v="1899-12-30T21:14:00Z"/>
        <d v="1899-12-30T23:53:00Z"/>
        <d v="1899-12-30T23:29:00Z"/>
        <d v="1899-12-30T20:27:00Z"/>
        <d v="1899-12-31T00:12:00Z"/>
        <d v="1899-12-30T21:24:00Z"/>
        <d v="1899-12-30T19:46:00Z"/>
        <d v="1899-12-30T20:26:00Z"/>
        <d v="1899-12-30T21:27:00Z"/>
        <d v="1899-12-30T18:12:00Z"/>
        <d v="1899-12-31T00:48:00Z"/>
        <d v="1899-12-30T19:27:00Z"/>
        <d v="1899-12-31T01:32:00Z"/>
        <d v="1899-12-31T00:53:00Z"/>
        <d v="1899-12-30T23:57:00Z"/>
        <d v="1899-12-31T01:18:00Z"/>
        <d v="1899-12-30T23:56:00Z"/>
        <d v="1899-12-30T20:52:00Z"/>
        <d v="1899-12-31T01:11:00Z"/>
        <d v="1899-12-30T22:01:00Z"/>
        <d v="1899-12-30T19:54:00Z"/>
        <d v="1899-12-30T22:24:00Z"/>
        <d v="1899-12-30T22:19:00Z"/>
        <d v="1899-12-31T02:04:00Z"/>
        <d v="1899-12-31T02:53:00Z"/>
        <d v="1899-12-30T20:49:00Z"/>
        <d v="1899-12-30T20:00:00Z"/>
        <d v="1899-12-30T19:59:00Z"/>
        <d v="1899-12-30T19:49:00Z"/>
        <d v="1899-12-30T20:25:00Z"/>
        <d v="1899-12-30T19:13:00Z"/>
        <d v="1899-12-30T21:21:00Z"/>
        <d v="1899-12-30T19:22:00Z"/>
        <d v="1899-12-30T20:55:00Z"/>
        <d v="1899-12-30T20:12:00Z"/>
        <d v="1899-12-30T19:25:00Z"/>
        <d v="1899-12-30T22:35:00Z"/>
        <d v="1899-12-30T18:24:00Z"/>
        <d v="1899-12-30T19:40:00Z"/>
        <d v="1899-12-30T20:29:00Z"/>
        <d v="1899-12-30T22:44:00Z"/>
        <d v="1899-12-30T19:47:00Z"/>
        <d v="1899-12-31T03:04:00Z"/>
        <d v="1899-12-30T20:54:00Z"/>
        <d v="1899-12-31T04:57:00Z"/>
        <d v="1899-12-31T01:37:00Z"/>
        <d v="1899-12-30T22:39:00Z"/>
        <d v="1899-12-30T19:34:00Z"/>
        <d v="1899-12-30T19:09:00Z"/>
        <d v="1899-12-30T19:31:00Z"/>
        <d v="1899-12-31T01:57:00Z"/>
        <d v="1899-12-31T01:29:00Z"/>
        <d v="1899-12-30T20:04:00Z"/>
        <d v="1899-12-30T23:22:00Z"/>
        <d v="1899-12-30T23:34:00Z"/>
        <d v="1899-12-31T00:42:00Z"/>
        <d v="1899-12-31T01:09:00Z"/>
        <d v="1899-12-30T22:31:00Z"/>
        <d v="1899-12-30T22:04:00Z"/>
        <d v="1899-12-31T02:33:00Z"/>
        <d v="1899-12-31T03:03:00Z"/>
        <d v="1899-12-31T00:33:00Z"/>
        <d v="1899-12-30T21:22:00Z"/>
        <d v="1899-12-31T00:23:00Z"/>
        <d v="1899-12-30T22:21:00Z"/>
        <d v="1899-12-30T22:49:00Z"/>
        <d v="1899-12-30T21:52:00Z"/>
        <d v="1899-12-31T02:36:00Z"/>
        <d v="1899-12-30T20:36:00Z"/>
        <d v="1899-12-31T00:01:00Z"/>
        <d v="1899-12-31T00:39:00Z"/>
        <d v="1899-12-30T19:23:00Z"/>
      </sharedItems>
    </cacheField>
    <cacheField name="TOTAL PAROS ">
      <sharedItems containsBlank="1" containsMixedTypes="1" containsNumber="1">
        <s v=""/>
        <n v="0.25"/>
        <n v="1.1"/>
        <n v="1.25"/>
        <n v="1.0"/>
        <n v="0.75"/>
        <n v="0.5"/>
        <n v="2.5"/>
        <n v="1.6666666666666667"/>
        <n v="0.0"/>
        <n v="1.05"/>
        <n v="0.5833333333333334"/>
        <n v="1.2"/>
        <n v="2.783333333333333"/>
        <n v="1.5"/>
        <n v="1.9166666666666667"/>
        <n v="0.43333333333333335"/>
        <n v="1.3333333333333333"/>
        <n v="0.85"/>
        <n v="2.533333333333333"/>
        <n v="0.6666666666666666"/>
        <n v="2.216666666666667"/>
        <n v="1.0833333333333333"/>
        <n v="0.6333333333333333"/>
        <n v="2.0"/>
        <n v="1.1833333333333333"/>
        <n v="0.8666666666666667"/>
        <n v="0.6833333333333333"/>
        <n v="1.45"/>
        <n v="1.4833333333333334"/>
        <n v="1.85"/>
        <n v="8.0"/>
        <n v="0.7"/>
        <n v="1.2666666666666666"/>
        <n v="1.5166666666666666"/>
        <n v="3.1"/>
        <n v="0.7666666666666667"/>
        <n v="0.5666666666666667"/>
        <n v="1.55"/>
        <n v="1.35"/>
        <n v="3.45"/>
        <n v="1.3833333333333333"/>
        <n v="1.5333333333333334"/>
        <n v="0.8333333333333334"/>
        <n v="2.7666666666666666"/>
        <n v="1.15"/>
        <n v="0.9166666666666666"/>
        <n v="1.8166666666666667"/>
        <n v="1.7166666666666666"/>
        <n v="1.2166666666666666"/>
        <n v="3.0833333333333335"/>
        <n v="0.3333333333333333"/>
        <n v="1.5666666666666667"/>
        <n v="0.6166666666666667"/>
        <n v="3.683333333333333"/>
        <n v="0.95"/>
        <n v="2.35"/>
        <n v="1.7833333333333334"/>
        <n v="1.3166666666666667"/>
        <m/>
        <n v="2.066666666666667"/>
        <n v="0.7166666666666667"/>
        <n v="2.283333333333333"/>
        <n v="2.683333333333333"/>
        <n v="1.4333333333333333"/>
        <n v="2.6333333333333333"/>
        <n v="1.3"/>
        <n v="0.9333333333333333"/>
        <n v="1.9666666666666666"/>
        <n v="2.45"/>
        <n v="1.1666666666666667"/>
        <n v="2.3"/>
        <n v="1.4"/>
        <n v="1.9833333333333334"/>
        <n v="1.6333333333333333"/>
        <n v="1.4166666666666667"/>
        <n v="1.7"/>
        <n v="1.0166666666666666"/>
        <n v="1.4666666666666666"/>
        <n v="1.9"/>
        <n v="0.31666666666666665"/>
        <n v="1.1166666666666667"/>
        <n v="0.8166666666666667"/>
        <n v="0.26666666666666666"/>
        <n v="1.8"/>
        <n v="2.1"/>
        <n v="0.9666666666666667"/>
        <n v="1.6166666666666667"/>
        <n v="1.9333333333333333"/>
        <n v="1.6"/>
        <n v="1.6833333333333333"/>
        <n v="0.7833333333333333"/>
        <n v="0.4166666666666667"/>
        <n v="2.05"/>
        <n v="0.45"/>
        <n v="0.18333333333333332"/>
        <n v="1.0333333333333334"/>
        <n v="0.7333333333333333"/>
        <n v="2.75"/>
        <n v="2.6666666666666665"/>
        <n v="3.7333333333333334"/>
        <n v="1.2333333333333334"/>
        <n v="0.5166666666666667"/>
        <n v="0.9"/>
        <n v="1.1333333333333333"/>
        <n v="0.8"/>
        <n v="1.0666666666666667"/>
        <n v="4.083333333333333"/>
        <n v="0.35"/>
        <n v="0.6"/>
        <n v="1.8333333333333333"/>
        <n v="0.9833333333333333"/>
        <n v="0.8833333333333333"/>
        <n v="1.8833333333333333"/>
        <n v="0.2833333333333333"/>
        <n v="2.7333333333333334"/>
        <n v="1.2833333333333334"/>
        <n v="2.466666666666667"/>
        <n v="0.65"/>
        <n v="0.3"/>
        <n v="0.21666666666666667"/>
        <n v="0.38333333333333336"/>
        <n v="2.2"/>
        <n v="1.8666666666666667"/>
        <n v="0.1"/>
        <n v="9.833333333333334"/>
        <n v="1.75"/>
        <n v="0.23333333333333334"/>
        <n v="2.1666666666666665"/>
        <n v="2.716666666666667"/>
        <n v="2.2666666666666666"/>
        <n v="2.183333333333333"/>
        <n v="2.3666666666666667"/>
        <n v="3.7"/>
        <n v="3.1333333333333333"/>
        <n v="2.15"/>
        <n v="0.11666666666666667"/>
        <n v="2.566666666666667"/>
      </sharedItems>
    </cacheField>
    <cacheField name="DURACIÓN PROCESO (Hrs)">
      <sharedItems containsMixedTypes="1" containsNumber="1">
        <s v=""/>
        <n v="5.783333333333333"/>
        <n v="11.1"/>
        <n v="9.733333333333333"/>
        <n v="8.416666666666666"/>
        <n v="7.733333333333333"/>
        <n v="8.366666666666667"/>
        <n v="5.6"/>
        <n v="7.416666666666667"/>
        <n v="9.6"/>
        <n v="8.55"/>
        <n v="8.433333333333334"/>
        <n v="7.35"/>
        <n v="8.166666666666666"/>
        <n v="8.816666666666666"/>
        <n v="9.2"/>
        <n v="8.9"/>
        <n v="8.2"/>
        <n v="7.55"/>
        <n v="8.733333333333333"/>
        <n v="9.166666666666666"/>
        <n v="8.766666666666667"/>
        <n v="6.6"/>
        <n v="5.25"/>
        <n v="7.1"/>
        <n v="7.6"/>
        <n v="6.933333333333334"/>
        <n v="9.183333333333334"/>
        <n v="10.1"/>
        <n v="9.683333333333334"/>
        <n v="8.916666666666666"/>
        <n v="8.183333333333334"/>
        <n v="6.1"/>
        <n v="9.233333333333333"/>
        <n v="10.6"/>
        <n v="8.116666666666667"/>
        <n v="10.016666666666667"/>
        <n v="6.916666666666667"/>
        <n v="6.466666666666667"/>
        <n v="6.883333333333333"/>
        <n v="9.266666666666667"/>
        <n v="6.733333333333333"/>
        <n v="7.766666666666667"/>
        <n v="8.35"/>
        <n v="8.6"/>
        <n v="8.65"/>
        <n v="6.133333333333334"/>
        <n v="8.25"/>
        <n v="7.4"/>
        <n v="9.433333333333334"/>
        <n v="7.3"/>
        <n v="7.85"/>
        <n v="7.666666666666667"/>
        <n v="7.0"/>
        <n v="6.983333333333333"/>
        <n v="10.233333333333333"/>
        <n v="7.933333333333334"/>
        <n v="7.483333333333333"/>
        <n v="8.066666666666666"/>
        <n v="8.1"/>
        <n v="6.55"/>
        <n v="10.933333333333334"/>
        <n v="11.0"/>
        <n v="7.866666666666667"/>
        <n v="6.4"/>
        <n v="6.316666666666666"/>
        <n v="9.3"/>
        <n v="9.15"/>
        <n v="9.85"/>
        <n v="7.316666666666666"/>
        <n v="7.066666666666666"/>
        <n v="6.9"/>
        <n v="10.9"/>
        <n v="7.633333333333333"/>
        <n v="6.433333333333334"/>
        <n v="6.783333333333333"/>
        <n v="6.8"/>
        <n v="5.166666666666667"/>
        <n v="7.7"/>
        <n v="8.533333333333333"/>
        <n v="9.1"/>
        <n v="8.566666666666666"/>
        <n v="7.816666666666666"/>
        <n v="10.683333333333334"/>
        <n v="9.033333333333333"/>
        <n v="10.383333333333333"/>
        <n v="5.733333333333333"/>
        <n v="6.216666666666667"/>
        <n v="10.183333333333334"/>
        <n v="10.216666666666667"/>
        <n v="4.85"/>
        <n v="7.983333333333333"/>
        <n v="7.433333333333334"/>
        <n v="9.633333333333333"/>
        <n v="4.816666666666666"/>
        <n v="9.316666666666666"/>
        <n v="8.8"/>
        <n v="8.083333333333334"/>
        <n v="5.683333333333334"/>
        <n v="9.7"/>
        <n v="5.266666666666667"/>
        <n v="8.683333333333334"/>
        <n v="10.066666666666666"/>
        <n v="11.933333333333334"/>
        <n v="6.35"/>
        <n v="7.516666666666667"/>
        <n v="9.416666666666666"/>
        <n v="5.766666666666667"/>
        <n v="9.5"/>
        <n v="7.9"/>
        <n v="9.0"/>
        <n v="11.4"/>
        <n v="5.0"/>
        <n v="9.766666666666667"/>
        <n v="4.533333333333333"/>
        <n v="9.966666666666667"/>
        <n v="8.85"/>
        <n v="11.15"/>
        <n v="7.5"/>
        <n v="8.4"/>
        <n v="9.333333333333334"/>
        <n v="7.8"/>
        <n v="10.45"/>
        <n v="7.65"/>
        <n v="5.15"/>
        <n v="8.5"/>
        <n v="8.633333333333333"/>
        <n v="9.216666666666667"/>
        <n v="7.033333333333333"/>
        <n v="8.716666666666667"/>
        <n v="6.25"/>
        <n v="8.7"/>
        <n v="8.516666666666667"/>
        <n v="9.35"/>
        <n v="9.116666666666667"/>
        <n v="8.45"/>
        <n v="6.683333333333334"/>
        <n v="14.033333333333333"/>
        <n v="6.75"/>
        <n v="7.45"/>
        <n v="8.933333333333334"/>
        <n v="5.816666666666666"/>
        <n v="9.4"/>
        <n v="7.566666666666666"/>
        <n v="4.933333333333334"/>
        <n v="8.033333333333333"/>
        <n v="5.1"/>
        <n v="2.183333333333333"/>
        <n v="10.266666666666667"/>
        <n v="15.6"/>
        <n v="5.4"/>
        <n v="10.666666666666666"/>
        <n v="7.383333333333334"/>
        <n v="5.716666666666667"/>
        <n v="9.933333333333334"/>
        <n v="5.2"/>
        <n v="7.533333333333333"/>
        <n v="7.883333333333333"/>
        <n v="7.333333333333333"/>
        <n v="11.433333333333334"/>
        <n v="10.733333333333333"/>
        <n v="11.166666666666666"/>
        <n v="4.6"/>
        <n v="10.35"/>
        <n v="9.083333333333334"/>
        <n v="8.216666666666667"/>
        <n v="7.366666666666666"/>
        <n v="11.583333333333334"/>
        <n v="10.433333333333334"/>
        <n v="10.366666666666667"/>
        <n v="9.05"/>
        <n v="6.766666666666667"/>
        <n v="8.016666666666667"/>
        <n v="5.216666666666667"/>
        <n v="10.05"/>
        <n v="6.183333333333334"/>
        <n v="12.016666666666667"/>
        <n v="10.716666666666667"/>
        <n v="10.883333333333333"/>
        <n v="7.216666666666667"/>
        <n v="6.383333333333334"/>
        <n v="11.95"/>
        <n v="8.833333333333334"/>
        <n v="11.683333333333334"/>
        <n v="10.516666666666667"/>
        <n v="11.533333333333333"/>
        <n v="9.75"/>
        <n v="8.133333333333333"/>
        <n v="11.516666666666667"/>
        <n v="6.3"/>
        <n v="12.0"/>
        <n v="8.05"/>
        <n v="11.466666666666667"/>
        <n v="8.483333333333333"/>
        <n v="10.533333333333333"/>
        <n v="10.85"/>
        <n v="10.766666666666667"/>
        <n v="12.633333333333333"/>
        <n v="15.4"/>
        <n v="8.616666666666667"/>
        <n v="11.566666666666666"/>
        <n v="6.833333333333333"/>
        <n v="8.266666666666667"/>
        <n v="13.1"/>
        <n v="7.716666666666667"/>
        <n v="7.266666666666667"/>
        <n v="12.45"/>
        <n v="6.016666666666667"/>
        <n v="9.566666666666666"/>
        <n v="8.383333333333333"/>
        <n v="7.2"/>
        <n v="14.383333333333333"/>
        <n v="7.233333333333333"/>
        <n v="10.566666666666666"/>
        <n v="6.45"/>
        <n v="10.316666666666666"/>
        <n v="12.066666666666666"/>
        <n v="9.016666666666667"/>
        <n v="7.583333333333333"/>
        <n v="8.883333333333333"/>
        <n v="11.016666666666667"/>
        <n v="8.583333333333334"/>
        <n v="7.133333333333334"/>
        <n v="6.266666666666667"/>
        <n v="10.133333333333333"/>
        <e v="#NUM!"/>
        <n v="7.166666666666667"/>
        <n v="5.833333333333333"/>
        <n v="6.85"/>
        <n v="5.3"/>
        <n v="11.383333333333333"/>
        <n v="6.716666666666667"/>
        <n v="11.85"/>
        <n v="12.6"/>
        <n v="8.783333333333333"/>
        <n v="12.266666666666667"/>
        <n v="7.466666666666667"/>
        <n v="8.3"/>
        <n v="11.45"/>
        <n v="7.783333333333333"/>
        <n v="9.283333333333333"/>
        <n v="10.55"/>
        <n v="5.466666666666667"/>
        <n v="10.033333333333333"/>
        <n v="4.95"/>
        <n v="10.916666666666666"/>
        <n v="9.383333333333333"/>
        <n v="4.516666666666667"/>
        <n v="11.966666666666667"/>
        <n v="6.533333333333333"/>
        <n v="8.15"/>
        <n v="5.9"/>
        <n v="8.966666666666667"/>
        <n v="12.033333333333333"/>
        <n v="10.95"/>
        <n v="10.15"/>
        <n v="10.416666666666666"/>
        <n v="6.816666666666666"/>
        <n v="4.383333333333334"/>
        <n v="10.4"/>
        <n v="7.283333333333333"/>
        <n v="8.316666666666666"/>
        <n v="5.883333333333333"/>
        <n v="9.133333333333333"/>
        <n v="8.866666666666667"/>
        <n v="7.116666666666666"/>
        <n v="11.333333333333334"/>
        <n v="4.966666666666667"/>
        <n v="6.066666666666666"/>
        <n v="3.4166666666666665"/>
        <n v="9.9"/>
        <n v="6.15"/>
        <n v="9.583333333333334"/>
        <n v="6.233333333333333"/>
        <n v="6.566666666666666"/>
        <n v="9.483333333333333"/>
        <n v="8.466666666666667"/>
        <n v="10.0"/>
        <n v="4.9"/>
        <n v="6.05"/>
        <n v="9.8"/>
        <n v="5.366666666666666"/>
        <n v="6.033333333333333"/>
        <n v="7.05"/>
        <n v="3.8"/>
        <n v="5.85"/>
        <n v="4.8"/>
        <n v="11.133333333333333"/>
        <n v="5.233333333333333"/>
        <n v="9.55"/>
        <n v="7.833333333333333"/>
        <n v="9.533333333333333"/>
        <n v="10.783333333333333"/>
        <n v="6.483333333333333"/>
        <n v="7.616666666666667"/>
        <n v="5.5"/>
        <n v="8.0"/>
        <n v="7.916666666666667"/>
        <n v="6.366666666666666"/>
        <n v="12.666666666666666"/>
        <n v="12.483333333333333"/>
        <n v="15.383333333333333"/>
        <n v="6.416666666666667"/>
        <n v="5.666666666666667"/>
        <n v="5.583333333333333"/>
        <n v="5.416666666666667"/>
        <n v="7.183333333333334"/>
        <n v="5.316666666666666"/>
        <n v="6.95"/>
        <n v="10.166666666666666"/>
        <n v="10.25"/>
        <n v="6.166666666666667"/>
        <n v="7.966666666666667"/>
        <n v="3.4"/>
        <n v="10.083333333333334"/>
        <n v="7.083333333333333"/>
        <n v="4.666666666666667"/>
        <n v="4.833333333333333"/>
        <n v="9.716666666666667"/>
        <n v="5.483333333333333"/>
        <n v="8.666666666666666"/>
        <n v="3.8666666666666667"/>
        <n v="6.616666666666667"/>
        <n v="4.783333333333333"/>
        <n v="13.066666666666666"/>
        <n v="5.8"/>
        <n v="6.2"/>
        <n v="14.95"/>
        <n v="11.616666666666667"/>
        <n v="8.75"/>
        <n v="4.566666666666666"/>
        <n v="4.15"/>
        <n v="5.516666666666667"/>
        <n v="4.75"/>
        <n v="10.483333333333333"/>
        <n v="5.066666666666666"/>
        <n v="7.75"/>
        <n v="10.2"/>
        <n v="9.366666666666667"/>
        <n v="6.633333333333333"/>
        <n v="8.333333333333334"/>
        <n v="5.933333333333334"/>
        <n v="5.433333333333334"/>
        <n v="10.833333333333334"/>
        <n v="8.983333333333333"/>
        <n v="9.666666666666666"/>
        <n v="5.7"/>
        <n v="10.75"/>
        <n v="7.25"/>
        <n v="8.95"/>
        <n v="10.5"/>
        <n v="9.466666666666667"/>
        <n v="7.95"/>
        <n v="8.233333333333333"/>
        <n v="6.5"/>
        <n v="11.6"/>
        <n v="9.65"/>
        <n v="10.983333333333333"/>
        <n v="5.383333333333334"/>
        <n v="10.333333333333334"/>
      </sharedItems>
    </cacheField>
    <cacheField name="RENDIMIENTO BRUTO (visceras/hora)">
      <sharedItems containsBlank="1" containsMixedTypes="1" containsNumber="1">
        <s v=""/>
        <n v="53.429394812680115"/>
        <n v="53.6036036036036"/>
        <n v="55.27397260273973"/>
        <n v="55.128712871287135"/>
        <n v="57.543103448275865"/>
        <n v="52.82868525896414"/>
        <n v="51.60714285714286"/>
        <n v="53.39325842696629"/>
        <n v="55.3125"/>
        <n v="54.15204678362573"/>
        <n v="54.901185770750985"/>
        <n v="53.333333333333336"/>
        <n v="51.55102040816327"/>
        <n v="54.66918714555766"/>
        <n v="52.608695652173914"/>
        <n v="52.13483146067416"/>
        <n v="52.07317073170732"/>
        <n v="51.788079470198674"/>
        <n v="55.520833333333336"/>
        <n v="59.08396946564886"/>
        <n v="57.38181818181818"/>
        <n v="54.29657794676805"/>
        <n v="52.42424242424243"/>
        <n v="51.42857142857143"/>
        <n v="54.929577464788736"/>
        <n v="59.31297709923665"/>
        <n v="61.422924901185766"/>
        <n v="55.65789473684211"/>
        <n v="55.09615384615385"/>
        <n v="54.77313974591652"/>
        <n v="56.13861386138614"/>
        <n v="49.46643717728055"/>
        <n v="53.831775700934585"/>
        <n v="56.21181262729124"/>
        <n v="54.91803278688525"/>
        <n v="55.234657039711195"/>
        <n v="53.39622641509434"/>
        <n v="53.223819301848046"/>
        <n v="52.911813643926784"/>
        <n v="53.63855421686747"/>
        <n v="50.103092783505154"/>
        <n v="52.28571428571429"/>
        <n v="56.3680387409201"/>
        <n v="55.46762589928057"/>
        <n v="50.152671755725194"/>
        <n v="55.54455445544554"/>
        <n v="54.592274678111586"/>
        <n v="55.49295774647888"/>
        <n v="55.209580838323355"/>
        <n v="55.39325842696629"/>
        <n v="51.97674418604652"/>
        <n v="53.52601156069364"/>
        <n v="56.42857142857143"/>
        <n v="56.576086956521735"/>
        <n v="54.78787878787879"/>
        <n v="53.78378378378378"/>
        <n v="54.063604240282686"/>
        <n v="55.89041095890411"/>
        <n v="50.63583815028902"/>
        <n v="54.64968152866242"/>
        <n v="51.130434782608695"/>
        <n v="52.714285714285715"/>
        <n v="68.3054892601432"/>
        <n v="55.700325732899024"/>
        <n v="54.35643564356435"/>
        <n v="45.7563025210084"/>
        <n v="51.09826589595375"/>
        <n v="54.521158129175944"/>
        <n v="54.66942148760331"/>
        <n v="64.32098765432099"/>
        <n v="50.839694656488554"/>
        <n v="57.073170731707314"/>
        <n v="50.71942446043165"/>
        <n v="59.078947368421055"/>
        <n v="41.63636363636363"/>
        <n v="59.550561797752806"/>
        <n v="51.86440677966102"/>
        <n v="55.348837209302324"/>
        <n v="51.40625"/>
        <n v="53.98416886543536"/>
        <n v="55.806451612903224"/>
        <n v="55.62841530054644"/>
        <n v="55.50561797752809"/>
        <n v="55.12690355329949"/>
        <n v="47.76315789473684"/>
        <n v="47.289293849658314"/>
        <n v="51.509433962264154"/>
        <n v="49.34131736526946"/>
        <n v="53.6231884057971"/>
        <n v="54.77064220183486"/>
        <n v="55.02183406113537"/>
        <n v="54.074074074074076"/>
        <n v="55.95854922279793"/>
        <n v="53.33333333333333"/>
        <n v="59.70515970515971"/>
        <n v="59.7609561752988"/>
        <n v="53.088235294117645"/>
        <n v="55.93548387096774"/>
        <n v="54.935064935064936"/>
        <n v="56.015625"/>
        <n v="55.494505494505496"/>
        <n v="56.73151750972763"/>
        <n v="55.07042253521127"/>
        <n v="53.36538461538461"/>
        <n v="54.44444444444445"/>
        <n v="51.1727078891258"/>
        <n v="60.65522620904836"/>
        <n v="54.464944649446494"/>
        <n v="54.703049759229536"/>
        <n v="52.848837209302324"/>
        <n v="55.86572438162544"/>
        <n v="54.20911528150134"/>
        <n v="50.67103109656301"/>
        <n v="44.73083197389886"/>
        <n v="55.4639175257732"/>
        <n v="55.49060542797495"/>
        <n v="51.39013452914798"/>
        <n v="54.109589041095894"/>
        <n v="55.2744630071599"/>
        <n v="45.46712802768166"/>
        <n v="66.43598615916956"/>
        <n v="53.452593917710196"/>
        <n v="46.022727272727266"/>
        <n v="52.70103092783505"/>
        <n v="50.33112582781457"/>
        <n v="54.09090909090909"/>
        <n v="48.914956011730204"/>
        <n v="53.09278350515464"/>
        <n v="47.46835443037975"/>
        <n v="52.97504798464491"/>
        <n v="52.549668874172184"/>
        <n v="50.279329608938546"/>
        <n v="53.85826771653544"/>
        <n v="48.99280575539568"/>
        <n v="52.87878787878788"/>
        <n v="51.22529644268774"/>
        <n v="53.21507760532151"/>
        <n v="55.2212389380531"/>
        <n v="63.12138728323699"/>
        <n v="50.73684210526316"/>
        <n v="51.13924050632911"/>
        <n v="52.888888888888886"/>
        <n v="50.26315789473684"/>
        <n v="48.78787878787879"/>
        <n v="52.6"/>
        <n v="51.81364392678868"/>
        <n v="50.83532219570406"/>
        <n v="50.35087719298245"/>
        <n v="48.63481228668942"/>
        <n v="47.2463768115942"/>
        <n v="48.75"/>
        <n v="53.77926421404682"/>
        <n v="46.55367231638418"/>
        <n v="54.248704663212436"/>
        <n v="52.55555555555556"/>
        <n v="50.85201793721973"/>
        <n v="53.565683646112596"/>
        <n v="54.151624548736464"/>
        <n v="48.93333333333333"/>
        <n v="50.48780487804878"/>
        <n v="51.84782608695652"/>
        <n v="52.14285714285714"/>
        <n v="41.035714285714285"/>
        <n v="46.53846153846154"/>
        <n v="53.11827956989247"/>
        <n v="52.857142857142854"/>
        <n v="51.100478468899524"/>
        <n v="46.5359477124183"/>
        <n v="53.78640776699029"/>
        <n v="50.35294117647059"/>
        <n v="50.84942084942085"/>
        <n v="51.32007233273056"/>
        <n v="50.90047393364929"/>
        <n v="48.52772466539197"/>
        <n v="55.52"/>
        <n v="53.20537428023032"/>
        <n v="51.03448275862069"/>
        <n v="45.762711864406775"/>
        <n v="51.912568306010925"/>
        <n v="45.088062622309195"/>
        <n v="36.99551569506726"/>
        <n v="54.01069518716578"/>
        <n v="48.593155893536114"/>
        <n v="52.6508226691042"/>
        <n v="43.079268292682926"/>
        <n v="48.99408284023669"/>
        <n v="54.104046242774565"/>
        <n v="48.02371541501976"/>
        <n v="52.51870324189526"/>
        <n v="54.02173913043479"/>
        <n v="47.6829268292683"/>
        <n v="52.53521126760564"/>
        <n v="24.44180522565321"/>
        <n v="61.18518518518518"/>
        <n v="53.04182509505703"/>
        <n v="55.9731543624161"/>
        <n v="53.84328358208955"/>
        <n v="63.06818181818181"/>
        <n v="55.702005730659025"/>
        <n v="52.52918287937743"/>
        <n v="54.57446808510638"/>
        <n v="49.36708860759494"/>
        <n v="50.538922155688624"/>
        <n v="57.48898678414097"/>
        <n v="48.445945945945944"/>
        <n v="54.89626556016598"/>
        <n v="50.392156862745104"/>
        <n v="53.58778625954199"/>
        <e v="#DIV/0!"/>
        <n v="53.18181818181818"/>
        <n v="59.23076923076923"/>
        <n v="57.981651376146786"/>
        <n v="46.084788029925186"/>
        <n v="52.592592592592595"/>
        <n v="54.58483754512636"/>
        <n v="55.08982035928144"/>
        <n v="53.51851851851851"/>
        <n v="52.40625"/>
        <n v="48.75846501128668"/>
        <n v="54.40233236151603"/>
        <n v="55.87248322147651"/>
        <n v="49.87341772151898"/>
        <n v="55.0"/>
        <n v="54.29203539823009"/>
        <n v="52.76955602536998"/>
        <n v="53.07692307692308"/>
        <n v="58.88059701492537"/>
        <n v="48.1057268722467"/>
        <n v="52.909090909090914"/>
        <n v="50.72886297376093"/>
        <n v="42.484472049689444"/>
        <n v="49.78021978021978"/>
        <n v="57.088607594936704"/>
        <n v="45.13432835820896"/>
        <n v="57.173913043478265"/>
        <n v="53.125"/>
        <n v="49.17874396135266"/>
        <n v="51.875"/>
        <n v="51.412844036697244"/>
        <n v="49.36014625228519"/>
        <n v="45.0"/>
        <n v="55.3307392996109"/>
        <n v="54.61682242990655"/>
        <n v="50.020283975659225"/>
        <n v="50.316139767054906"/>
        <n v="55.04950495049505"/>
        <n v="51.1764705882353"/>
        <n v="54.38848920863309"/>
        <n v="49.552715654952074"/>
        <n v="40.12861736334405"/>
        <n v="51.933701657458556"/>
        <n v="57.90393013100437"/>
        <n v="47.32584269662921"/>
        <n v="43.46534653465347"/>
        <n v="51.724137931034484"/>
        <n v="54.08866995073892"/>
        <n v="53.625"/>
        <n v="55.010395010395"/>
        <n v="59.424920127795524"/>
        <m/>
        <n v="54.36860068259385"/>
        <n v="53.72093023255814"/>
        <n v="57.2139303482587"/>
        <n v="58.0246913580247"/>
        <n v="55.3099730458221"/>
        <n v="57.8988326848249"/>
        <n v="46.74418604651163"/>
        <n v="55.090152565880715"/>
        <n v="53.46863468634687"/>
        <n v="48.89580093312597"/>
        <n v="45.55555555555555"/>
        <n v="53.660030627871365"/>
        <n v="47.390300230946885"/>
        <n v="58.372093023255815"/>
        <n v="53.65638766519824"/>
        <n v="50.83333333333333"/>
        <n v="56.71018276762402"/>
        <n v="49.12133891213389"/>
        <n v="57.15463917525773"/>
        <n v="53.18485523385301"/>
        <n v="58.98113207547169"/>
        <n v="48.02884615384615"/>
        <n v="33.41968911917098"/>
        <n v="55.29243937232525"/>
        <n v="54.48494453248811"/>
        <n v="59.91329479768786"/>
        <n v="54.46153846153846"/>
        <n v="55.45081967213115"/>
        <n v="58.95803183791606"/>
        <n v="53.96825396825397"/>
        <n v="54.666666666666664"/>
        <n v="52.546583850931675"/>
        <n v="55.2046783625731"/>
        <n v="56.44444444444444"/>
        <n v="53.110465116279066"/>
        <n v="55.40275049115914"/>
        <n v="52.43801652892562"/>
        <n v="59.335443037974684"/>
        <n v="61.19815668202765"/>
        <n v="53.034055727554176"/>
        <n v="54.221635883905016"/>
        <n v="40.51948051948052"/>
        <n v="62.43816254416961"/>
        <n v="59.99999999999999"/>
        <n v="65.61014263074485"/>
        <n v="55.84033613445378"/>
        <n v="51.64410058027079"/>
        <n v="59.26493108728943"/>
        <n v="53.861671469740635"/>
        <n v="54.66970387243736"/>
        <n v="54.43902439024391"/>
        <n v="54.40298507462686"/>
        <n v="50.806451612903224"/>
        <n v="54.53083109919571"/>
        <n v="41.221374045801525"/>
        <n v="41.33909287257019"/>
        <n v="51.859756097560975"/>
        <n v="56.14785992217899"/>
        <n v="53.852459016393446"/>
        <n v="56.00917431192661"/>
        <n v="50.60240963855422"/>
        <n v="54.18282548476454"/>
        <n v="49.683794466403164"/>
        <n v="54.95192307692307"/>
        <n v="58.258575197889186"/>
        <n v="59.68641114982579"/>
        <n v="61.039603960396036"/>
        <n v="54.63220675944334"/>
        <n v="52.36111111111111"/>
        <n v="55.774647887323944"/>
        <n v="57.77777777777777"/>
        <n v="50.96176129779838"/>
        <n v="51.1520737327189"/>
        <n v="52.88590604026845"/>
        <n v="58.39116719242902"/>
        <n v="53.815551537070526"/>
        <n v="52.126696832579185"/>
        <n v="58.548387096774185"/>
        <n v="50.23255813953488"/>
        <n v="54.184168012924076"/>
        <n v="57.95309168443497"/>
        <n v="55.04587155963303"/>
        <n v="57.35294117647059"/>
        <n v="54.43037974683544"/>
        <n v="50.552486187845304"/>
        <n v="55.64516129032258"/>
        <n v="55.099337748344375"/>
        <n v="52.795031055900616"/>
        <n v="49.020332717190385"/>
        <n v="56.57142857142858"/>
        <n v="57.58389261744966"/>
        <n v="57.523452157598506"/>
        <n v="52.346241457858774"/>
        <n v="61.5748031496063"/>
        <n v="54.82602118003025"/>
        <n v="49.86407766990291"/>
        <n v="57.47663551401869"/>
        <n v="56.66666666666667"/>
        <n v="55.53191489361702"/>
        <n v="50.87281795511222"/>
        <n v="51.946308724832214"/>
        <n v="47.19367588932806"/>
        <n v="46.885880077369436"/>
        <n v="52.20338983050848"/>
        <n v="55.922330097087375"/>
        <e v="#NUM!"/>
        <n v="52.69961977186311"/>
        <n v="52.604651162790695"/>
        <n v="57.5"/>
        <n v="50.06802721088436"/>
        <n v="58.45714285714286"/>
        <n v="58.89117043121149"/>
        <n v="58.83211678832117"/>
        <n v="55.881435257410295"/>
        <n v="52.85444234404537"/>
        <n v="56.22641509433962"/>
        <n v="53.587115666178626"/>
        <n v="54.640198511166254"/>
        <n v="47.67932489451477"/>
        <n v="57.48091603053436"/>
        <n v="53.89221556886228"/>
        <n v="52.97872340425532"/>
        <n v="55.15873015873016"/>
        <n v="55.787476280834916"/>
        <n v="54.736842105263165"/>
        <n v="45.65217391304348"/>
        <n v="57.10843373493975"/>
        <n v="53.886462882096076"/>
        <n v="58.58672376873662"/>
        <n v="59.13978494623655"/>
        <n v="43.48101265822785"/>
        <n v="56.0"/>
        <n v="42.76481149012567"/>
        <n v="53.74407582938388"/>
        <n v="50.57283142389525"/>
        <n v="51.364764267990076"/>
        <n v="51.40243902439024"/>
        <n v="58.850174216027874"/>
        <n v="56.75675675675676"/>
        <n v="61.0246679316888"/>
        <n v="53.03370786516854"/>
        <n v="57.85288270377734"/>
        <n v="52.5207756232687"/>
        <n v="57.97856049004594"/>
        <n v="52.465753424657535"/>
        <n v="55.85313174946004"/>
        <n v="56.21262458471761"/>
        <n v="54.95049504950495"/>
        <n v="55.15151515151515"/>
        <n v="59.72519083969466"/>
        <n v="54.56483126110125"/>
        <n v="51.18584070796461"/>
        <n v="53.5546875"/>
        <n v="55.96837944664031"/>
        <n v="56.457564575645755"/>
        <n v="55.069637883008355"/>
        <n v="52.055749128919864"/>
        <n v="65.81632653061224"/>
        <n v="53.73626373626374"/>
        <n v="60.3680981595092"/>
        <n v="59.01960784313726"/>
        <n v="64.61538461538461"/>
        <n v="59.00207900207899"/>
        <n v="60.80536912751678"/>
        <n v="57.733333333333334"/>
        <n v="54.82993197278912"/>
        <n v="53.72881355932203"/>
        <n v="55.17350157728707"/>
        <n v="50.223214285714285"/>
        <n v="51.18959107806691"/>
        <n v="56.93069306930693"/>
        <n v="50.3601108033241"/>
        <n v="37.868852459016395"/>
        <n v="56.986301369863014"/>
        <n v="53.30049261083744"/>
        <n v="54.816"/>
        <n v="54.312267657992564"/>
        <n v="53.251833740831295"/>
        <n v="56.97761194029851"/>
        <n v="57.940717628705144"/>
        <n v="57.00554528650646"/>
        <n v="50.625"/>
        <n v="59.71563981042654"/>
        <n v="55.607321131447584"/>
        <n v="54.75285171102661"/>
        <n v="55.86538461538461"/>
        <n v="53.82978723404255"/>
        <n v="48.60411899313501"/>
        <n v="49.870129870129865"/>
        <n v="55.331125827814574"/>
        <n v="47.97909407665505"/>
        <n v="51.52073732718894"/>
        <n v="47.11864406779661"/>
        <n v="55.40765391014975"/>
        <n v="54.250871080139376"/>
        <n v="59.278557114228455"/>
        <n v="58.130311614730886"/>
        <n v="62.519440124416796"/>
        <n v="54.74452554744526"/>
        <n v="54.989816700610994"/>
        <n v="53.796992481203006"/>
        <n v="57.61682242990654"/>
        <n v="57.049180327868854"/>
        <n v="59.02941176470588"/>
        <n v="56.561922365988906"/>
        <n v="58.091451292246525"/>
        <n v="58.325581395348834"/>
        <n v="51.839080459770116"/>
        <n v="61.20805369127517"/>
        <n v="56.70731707317073"/>
        <n v="56.30573248407644"/>
        <n v="55.72254335260116"/>
        <n v="60.0"/>
        <n v="58.37471783295711"/>
        <n v="63.2608695652174"/>
        <n v="64.1300191204589"/>
        <n v="65.94936708860759"/>
        <n v="60.14778325123153"/>
        <n v="61.44736842105264"/>
        <n v="58.82926829268293"/>
        <n v="61.91919191919192"/>
        <n v="57.60416666666667"/>
        <n v="69.73747016706444"/>
        <n v="63.605769230769226"/>
        <n v="58.048780487804876"/>
        <n v="57.96875"/>
        <n v="60.44943820224719"/>
        <n v="60.1027397260274"/>
        <n v="58.16091954022989"/>
        <n v="56.76521739130435"/>
        <n v="56.63101604278075"/>
        <n v="55.04716981132076"/>
        <n v="63.95939086294416"/>
        <n v="55.236051502145926"/>
        <n v="60.58536585365854"/>
        <n v="50.93145869947276"/>
        <n v="58.8"/>
        <n v="47.48031496062992"/>
        <n v="63.190184049079754"/>
        <n v="61.97674418604652"/>
        <n v="43.3"/>
        <n v="65.6396866840731"/>
        <n v="54.908256880733944"/>
        <n v="63.877551020408156"/>
        <n v="64.17495029821075"/>
        <n v="60.99082568807339"/>
        <n v="56.52509652509653"/>
        <n v="62.4633431085044"/>
        <n v="60.3305785123967"/>
        <n v="72.54752851711027"/>
        <n v="62.755102040816325"/>
        <n v="61.16883116883117"/>
        <n v="65.42857142857143"/>
        <n v="62.43792325056433"/>
        <n v="59.198218262806236"/>
        <n v="70.65217391304348"/>
        <n v="64.71358428805237"/>
        <n v="57.91208791208791"/>
        <n v="62.65017667844523"/>
        <n v="65.75757575757576"/>
        <n v="60.186335403726716"/>
        <n v="62.98342541436464"/>
        <n v="62.89915966386555"/>
        <n v="60.56737588652482"/>
        <n v="62.8125"/>
        <n v="56.76025917926566"/>
        <n v="60.56872037914692"/>
        <n v="78.24324324324324"/>
        <n v="64.94949494949495"/>
        <n v="59.36440677966101"/>
        <n v="63.982300884955755"/>
        <n v="58.82352941176471"/>
        <n v="60.775862068965516"/>
        <n v="66.57894736842105"/>
        <n v="65.80645161290322"/>
        <n v="70.6611570247934"/>
        <n v="66.16438356164383"/>
        <n v="62.601626016260155"/>
        <n v="56.12903225806451"/>
        <n v="68.2051282051282"/>
        <n v="64.20618556701031"/>
        <n v="64.12844036697248"/>
        <n v="60.604838709677416"/>
        <n v="44.51923076923077"/>
        <n v="63.41968911917098"/>
        <n v="60.625"/>
        <n v="68.75"/>
        <n v="63.333333333333336"/>
        <n v="65.39473684210526"/>
        <n v="66.83544303797468"/>
        <n v="66.97674418604652"/>
        <n v="65.3125"/>
        <n v="59.49367088607595"/>
        <n v="60.808383233532936"/>
        <n v="65.5813953488372"/>
        <n v="61.74418604651163"/>
        <n v="64.85061511423551"/>
        <n v="73.18471337579618"/>
        <n v="62.40837696335078"/>
        <n v="62.08588957055215"/>
        <n v="65.48936170212767"/>
        <n v="63.817097415506964"/>
        <n v="59.59731543624161"/>
        <n v="68.62385321100918"/>
        <n v="59.8876404494382"/>
        <n v="68.93617021276596"/>
        <n v="66.90978886756238"/>
        <n v="60.8641975308642"/>
        <n v="69.38325991189427"/>
        <n v="60.94405594405595"/>
        <n v="66.55462184873949"/>
        <n v="64.99075785582255"/>
        <n v="59.7979797979798"/>
        <n v="66.48648648648648"/>
        <n v="61.08247422680412"/>
        <n v="65.72916666666667"/>
        <n v="57.49613601236476"/>
        <n v="67.77506112469437"/>
        <n v="64.43418013856812"/>
        <n v="64.16452442159382"/>
        <n v="58.69362363919129"/>
        <n v="69.45652173913044"/>
        <n v="62.10065645514223"/>
        <n v="60.68702290076337"/>
        <n v="72.12328767123289"/>
        <n v="69.0909090909091"/>
        <n v="62.04778156996586"/>
        <n v="64.625"/>
        <n v="67.32631578947368"/>
        <n v="70.12048192771084"/>
        <n v="57.80380673499268"/>
        <n v="65.48302872062662"/>
        <n v="62.408759124087595"/>
        <n v="66.7557251908397"/>
        <n v="61.46341463414634"/>
        <n v="60.82616179001721"/>
        <n v="66.16161616161617"/>
        <n v="68.63874345549739"/>
        <n v="74.05263157894737"/>
        <n v="70.01335113484647"/>
        <n v="64.48905109489051"/>
        <n v="66.56455142231947"/>
        <n v="69.4907908992416"/>
        <n v="62.10526315789474"/>
        <n v="63.272727272727266"/>
        <n v="64.47916666666667"/>
        <n v="62.491349480968864"/>
        <n v="61.588235294117645"/>
        <n v="72.42290748898678"/>
        <n v="62.865671641791046"/>
        <n v="69.05908096280088"/>
        <n v="66.7948717948718"/>
        <n v="54.306569343065696"/>
        <n v="66.40243902439025"/>
        <n v="66.875"/>
        <n v="70.33846153846153"/>
        <n v="65.3061224489796"/>
        <n v="61.65584415584415"/>
        <n v="54.01662049861496"/>
        <n v="61.67053364269141"/>
        <n v="63.944636678200695"/>
        <n v="64.13793103448276"/>
        <n v="64.53488372093024"/>
        <n v="66.09981515711644"/>
        <n v="66.6891891891892"/>
        <n v="64.74820143884892"/>
        <n v="65.30303030303031"/>
        <n v="62.16393442622951"/>
        <n v="57.97894736842105"/>
        <n v="59.578454332552695"/>
        <n v="66.0"/>
        <n v="52.355769230769226"/>
        <n v="62.79503105590062"/>
        <n v="66.04878048780488"/>
        <n v="63.625"/>
        <n v="58.69879518072289"/>
        <n v="62.4390243902439"/>
        <n v="55.78378378378378"/>
        <n v="58.26923076923077"/>
        <n v="64.89539748953975"/>
        <n v="60.27027027027027"/>
        <n v="58.33846153846154"/>
        <n v="64.01529636711281"/>
        <n v="63.56043956043956"/>
        <n v="47.64705882352941"/>
        <n v="64.06611570247934"/>
        <n v="61.41630901287554"/>
        <n v="62.682352941176475"/>
        <n v="67.35849056603773"/>
        <n v="59.14285714285714"/>
        <n v="63.19039451114923"/>
        <n v="62.67748478701825"/>
        <n v="65.4945054945055"/>
        <n v="51.163636363636364"/>
        <n v="55.28384279475983"/>
        <n v="50.88145896656535"/>
        <n v="63.835051546391746"/>
        <n v="63.25"/>
        <n v="65.67032967032968"/>
        <n v="58.96153846153847"/>
        <n v="53.164556962025316"/>
        <n v="59.741379310344826"/>
        <n v="63.4351145038168"/>
        <n v="58.94117647058823"/>
        <n v="56.326530612244895"/>
        <n v="62.21476510067114"/>
        <n v="65.43554006968641"/>
        <n v="53.494897959183675"/>
        <n v="56.55172413793104"/>
        <n v="57.90322580645161"/>
        <n v="62.09445585215605"/>
        <n v="58.95043731778426"/>
        <n v="64.37647058823529"/>
        <n v="67.57475083056478"/>
        <n v="62.31884057971014"/>
        <n v="21.137123745819398"/>
        <n v="62.463768115942024"/>
        <n v="58.45050215208034"/>
        <n v="53.614457831325296"/>
        <n v="56.531791907514446"/>
        <n v="64.45714285714286"/>
        <n v="52.55474452554745"/>
        <n v="56.14457831325301"/>
        <n v="51.41618497109827"/>
        <n v="52.56797583081571"/>
        <n v="63.55263157894737"/>
        <n v="57.57322175732218"/>
        <n v="61.50268336314848"/>
        <n v="61.473684210526315"/>
        <n v="58.473767885532595"/>
        <n v="56.57794676806083"/>
        <n v="59.729119638826184"/>
        <n v="62.91754756871036"/>
        <n v="58.70192307692307"/>
        <n v="60.5921052631579"/>
        <n v="62.77777777777778"/>
        <n v="61.888888888888886"/>
        <n v="58.58064516129032"/>
        <n v="58.05555555555556"/>
        <n v="58.91238670694864"/>
        <n v="65.6"/>
        <n v="60.490196078431374"/>
        <n v="56.90391459074733"/>
        <n v="65.71984435797665"/>
        <n v="56.28626692456479"/>
        <n v="56.83417085427136"/>
        <n v="64.5"/>
        <n v="59.90384615384615"/>
        <n v="54.25061425061425"/>
        <n v="65.16"/>
        <n v="52.28699551569507"/>
        <n v="55.94202898550724"/>
        <n v="62.647058823529406"/>
        <n v="58.669623059866964"/>
        <n v="58.64754098360656"/>
        <n v="61.0"/>
        <n v="58.146067415730336"/>
        <n v="60.52325581395349"/>
        <n v="52.70270270270271"/>
        <n v="55.49738219895288"/>
        <n v="51.940298507462686"/>
        <n v="58.527607361963184"/>
        <n v="54.411764705882355"/>
        <n v="49.95073891625616"/>
        <n v="53.175355450236964"/>
        <n v="59.32692307692307"/>
        <n v="56.91056910569105"/>
        <n v="61.72774869109948"/>
        <n v="57.25571725571725"/>
        <n v="61.42011834319527"/>
        <n v="59.60848287112561"/>
        <n v="54.8"/>
        <n v="53.06024096385542"/>
        <n v="56.03076923076923"/>
        <n v="56.01518026565465"/>
        <n v="54.391304347826086"/>
        <n v="58.99236641221374"/>
        <n v="54.0"/>
        <n v="59.86607142857143"/>
        <n v="53.46534653465347"/>
        <n v="60.944881889763785"/>
        <n v="57.68488745980707"/>
        <n v="61.66975881261596"/>
        <n v="60.827586206896555"/>
        <n v="56.84210526315789"/>
        <n v="53.95348837209303"/>
        <n v="58.206896551724135"/>
        <n v="58.6530612244898"/>
        <n v="60.54545454545455"/>
        <n v="59.329608938547494"/>
        <n v="53.142857142857146"/>
        <n v="45.828729281767956"/>
        <n v="56.30281690140845"/>
        <n v="57.24665391969407"/>
        <n v="59.528487229862485"/>
        <n v="56.89887640449438"/>
        <n v="53.39350180505416"/>
        <n v="58.30065359477124"/>
        <n v="47.601476014760145"/>
        <n v="52.28733459357278"/>
        <n v="52.0"/>
        <n v="52.484848484848484"/>
        <n v="55.896487985212566"/>
        <n v="56.23616236162362"/>
        <n v="58.23899371069182"/>
        <n v="60.962566844919785"/>
        <n v="58.29959514170041"/>
        <n v="59.12663755458516"/>
        <n v="56.69491525423729"/>
        <n v="56.92307692307692"/>
        <n v="45.862068965517246"/>
        <n v="54.734917733089574"/>
        <n v="53.78787878787879"/>
        <n v="55.76592082616179"/>
        <n v="56.44359464627151"/>
        <n v="58.18505338078292"/>
        <n v="59.16167664670659"/>
        <n v="56.65859564164649"/>
        <n v="55.16949152542372"/>
        <n v="54.46293494704992"/>
        <n v="52.94117647058823"/>
        <n v="57.94285714285714"/>
        <n v="57.4468085106383"/>
        <n v="48.80829015544041"/>
        <n v="61.61616161616161"/>
        <n v="57.17754172989378"/>
        <n v="53.43228200371058"/>
        <n v="58.45871559633027"/>
        <n v="55.094339622641506"/>
        <n v="55.65862708719852"/>
        <n v="57.95665634674922"/>
        <n v="60.774193548387096"/>
        <n v="53.025830258302584"/>
        <n v="47.926829268292686"/>
        <n v="59.59367945823927"/>
      </sharedItems>
    </cacheField>
    <cacheField name="RENDIMIENTO NETO (visceras/hora)">
      <sharedItems containsMixedTypes="1" containsNumber="1">
        <s v=""/>
        <n v="55.8433734939759"/>
        <n v="59.5"/>
        <n v="63.41846758349706"/>
        <n v="56.81632653061225"/>
        <n v="59.465478841870826"/>
        <n v="54.45585215605749"/>
        <n v="54.01869158878505"/>
        <n v="55.25581395348837"/>
        <n v="56.791443850267385"/>
        <n v="55.783132530120476"/>
        <n v="56.57841140529531"/>
        <n v="55.21126760563381"/>
        <n v="53.178947368421056"/>
        <n v="56.264591439688715"/>
        <n v="54.0782122905028"/>
        <n v="58.734177215189874"/>
        <n v="59.305555555555564"/>
        <n v="53.56164383561644"/>
        <n v="57.00534759358289"/>
        <n v="60.825147347740675"/>
        <n v="58.990654205607484"/>
        <n v="55.890410958904106"/>
        <n v="59.14529914529915"/>
        <n v="54.0"/>
        <n v="56.93430656934307"/>
        <n v="61.060903732809436"/>
        <n v="65.29411764705883"/>
        <n v="57.55102040816327"/>
        <n v="57.1571072319202"/>
        <n v="56.30597014925373"/>
        <n v="62.30769230769231"/>
        <n v="66.68213457076565"/>
        <n v="55.38461538461539"/>
        <n v="57.983193277310924"/>
        <n v="57.26495726495727"/>
        <n v="56.77179962894249"/>
        <n v="63.35820895522388"/>
        <n v="54.91525423728813"/>
        <n v="58.7800369685767"/>
        <n v="53.63855421686747"/>
        <n v="50.103092783505154"/>
        <n v="53.93684210526316"/>
        <n v="58.492462311557794"/>
        <n v="57.00554528650646"/>
        <n v="50.152671755725194"/>
        <n v="57.68637532133676"/>
        <n v="56.4079822616408"/>
        <n v="57.518248175182485"/>
        <n v="56.91358024691358"/>
        <n v="56.99421965317919"/>
        <n v="53.53293413173653"/>
        <n v="55.11904761904761"/>
        <n v="59.06542056074767"/>
        <n v="58.98016997167139"/>
        <n v="56.5"/>
        <n v="55.66433566433566"/>
        <n v="55.53539019963702"/>
        <n v="57.87234042553192"/>
        <n v="52.14285714285714"/>
        <n v="56.44736842105264"/>
        <n v="52.853932584269664"/>
        <n v="54.666666666666664"/>
        <n v="70.84158415841584"/>
        <n v="61.73285198555957"/>
        <n v="56.45244215938303"/>
        <n v="52.73607748184019"/>
        <n v="52.61904761904761"/>
        <n v="56.40552995391705"/>
        <n v="56.417910447761194"/>
        <n v="66.36942675159236"/>
        <n v="52.85714285714286"/>
        <n v="62.81879194630872"/>
        <n v="54.12667946257198"/>
        <n v="70.15625"/>
        <n v="55.740365111561864"/>
        <n v="52.33791748526523"/>
        <n v="63.095238095238095"/>
        <n v="64.08376963350784"/>
        <n v="57.0059880239521"/>
        <n v="53.49593495934959"/>
        <n v="56.20879120879121"/>
        <n v="57.34806629834254"/>
        <n v="57.19101123595505"/>
        <n v="60.61349693251533"/>
        <n v="61.355932203389834"/>
        <n v="49.38775510204082"/>
        <n v="64.07407407407408"/>
        <n v="54.87437185929649"/>
        <n v="56.827586206896555"/>
        <n v="55.639097744360896"/>
        <n v="60.3030303030303"/>
        <n v="56.88487584650113"/>
        <n v="55.796178343949045"/>
        <n v="60.674157303370784"/>
        <n v="58.25857519788918"/>
        <n v="61.98979591836735"/>
        <n v="61.60164271047228"/>
        <n v="55.11450381679389"/>
        <n v="58.77966101694915"/>
        <n v="56.77852348993289"/>
        <n v="57.70623742454728"/>
        <n v="65.02145922746782"/>
        <n v="58.43687374749499"/>
        <n v="57.080291970802925"/>
        <n v="55.36159600997506"/>
        <n v="56.17834394904459"/>
        <n v="52.863436123348016"/>
        <n v="66.91910499139415"/>
        <n v="56.01518026565465"/>
        <n v="63.93996247654785"/>
        <n v="55.25835866261398"/>
        <n v="57.386569872958255"/>
        <n v="56.4804469273743"/>
        <n v="55.285714285714285"/>
        <n v="59.479392624728845"/>
        <n v="58.47826086956522"/>
        <n v="60.546697038724375"/>
        <n v="53.17865429234339"/>
        <n v="56.02836879432624"/>
        <n v="61.108179419525065"/>
        <n v="59.0561797752809"/>
        <n v="66.43598615916956"/>
        <n v="58.13229571984436"/>
        <n v="52.48380129589632"/>
        <n v="56.17582417582417"/>
        <n v="53.90070921985816"/>
        <n v="58.52459016393443"/>
        <n v="51.16564417177914"/>
        <n v="55.97826086956522"/>
        <n v="47.46835443037975"/>
        <n v="57.38045738045737"/>
        <n v="55.29616724738676"/>
        <n v="54.8780487804878"/>
        <n v="53.85826771653544"/>
        <n v="51.787072243346"/>
        <n v="57.21311475409836"/>
        <n v="54.45378151260504"/>
        <n v="57.00712589073634"/>
        <n v="58.3177570093458"/>
        <n v="63.12138728323699"/>
        <n v="53.55555555555556"/>
        <n v="54.59459459459459"/>
        <n v="56.0"/>
        <n v="56.920529801324506"/>
        <n v="53.96648044692737"/>
        <n v="52.6"/>
        <n v="54.53590192644483"/>
        <n v="54.75578406169666"/>
        <n v="61.06382978723404"/>
        <n v="51.25899280575539"/>
        <n v="49.02255639097744"/>
        <n v="48.75"/>
        <n v="56.61971830985915"/>
        <n v="49.34131736526946"/>
        <n v="58.82022471910112"/>
        <n v="55.64705882352941"/>
        <n v="55.86206896551724"/>
        <n v="53.565683646112596"/>
        <n v="57.25190839694657"/>
        <n v="52.42857142857143"/>
        <n v="56.61538461538461"/>
        <n v="54.827586206896555"/>
        <n v="55.44303797468354"/>
        <n v="43.35849056603773"/>
        <n v="51.48936170212766"/>
        <n v="56.13636363636363"/>
        <n v="56.52777777777778"/>
        <n v="53.66834170854272"/>
        <n v="49.790209790209786"/>
        <n v="53.78640776699029"/>
        <n v="57.06666666666667"/>
        <n v="53.97540983606558"/>
        <n v="54.263862332695986"/>
        <n v="59.33701657458564"/>
        <n v="51.48073022312373"/>
        <n v="60.34782608695652"/>
        <n v="56.45621181262729"/>
        <n v="54.146341463414636"/>
        <n v="48.86877828054298"/>
        <n v="57.34406438631791"/>
        <n v="49.02127659574468"/>
        <n v="36.99551569506726"/>
        <n v="57.06214689265537"/>
        <n v="51.53225806451612"/>
        <n v="55.705996131528046"/>
        <n v="49.666080843585235"/>
        <n v="59.42583732057417"/>
        <n v="54.104046242774565"/>
        <n v="51.05042016806723"/>
        <n v="54.559585492227974"/>
        <n v="57.1264367816092"/>
        <n v="61.5748031496063"/>
        <n v="56.515151515151516"/>
        <n v="56.850828729281766"/>
        <n v="66.08"/>
        <n v="57.644628099173545"/>
        <n v="60.0"/>
        <n v="57.03557312252964"/>
        <n v="66.86746987951807"/>
        <n v="60.940438871473354"/>
        <n v="55.78512396694215"/>
        <n v="57.640449438202246"/>
        <n v="58.793969849246224"/>
        <n v="61.75609756097561"/>
        <n v="61.55660377358491"/>
        <n v="48.445945945945944"/>
        <n v="58.53982300884956"/>
        <n v="50.392156862745104"/>
        <n v="53.58778625954199"/>
        <n v="58.92086330935251"/>
        <n v="73.92"/>
        <n v="62.26600985221675"/>
        <n v="54.19354838709677"/>
        <n v="56.05263157894737"/>
        <n v="59.527559055118125"/>
        <n v="58.598726114649686"/>
        <n v="53.51851851851851"/>
        <n v="59.362831858407084"/>
        <n v="50.467289719626166"/>
        <n v="54.40233236151603"/>
        <n v="62.12686567164179"/>
        <n v="53.24324324324324"/>
        <n v="55.0"/>
        <n v="58.15165876777251"/>
        <n v="56.85649202733485"/>
        <n v="63.973509933774835"/>
        <n v="62.37154150197628"/>
        <n v="51.509433962264154"/>
        <n v="52.909090909090914"/>
        <n v="55.59105431309904"/>
        <n v="48.5968028419183"/>
        <n v="52.674418604651166"/>
        <n v="60.945945945945944"/>
        <n v="65.31317494600432"/>
        <n v="57.173913043478265"/>
        <n v="56.043956043956044"/>
        <n v="56.765799256505574"/>
        <n v="54.72527472527473"/>
        <n v="60.387931034482754"/>
        <n v="57.81584582441113"/>
        <n v="45.0"/>
        <n v="67.39336492890996"/>
        <n v="57.86138613861387"/>
        <n v="53.26133909287257"/>
        <n v="52.959719789842374"/>
        <n v="64.65116279069768"/>
        <n v="57.704081632653065"/>
        <n v="59.527559055118104"/>
        <n v="52.04697986577181"/>
        <n v="54.73684210526316"/>
        <n v="54.97076023391812"/>
        <n v="61.96261682242991"/>
        <n v="50.74698795180723"/>
        <n v="45.72916666666667"/>
        <n v="54.87804878048781"/>
        <n v="58.40425531914894"/>
        <n v="60.105078809106836"/>
        <n v="58.66962305986696"/>
        <n v="59.424920127795524"/>
        <n v="59.440298507462686"/>
        <n v="56.8421052631579"/>
        <n v="57.03703703703704"/>
        <n v="63.53591160220994"/>
        <n v="61.8421052631579"/>
        <n v="55.3099730458221"/>
        <n v="61.48760330578513"/>
        <n v="55.6401384083045"/>
        <n v="60.09077155824508"/>
        <n v="66.9284064665127"/>
        <n v="58.22222222222222"/>
        <n v="45.55555555555555"/>
        <n v="60.41379310344828"/>
        <n v="49.09090909090909"/>
        <n v="60.11976047904192"/>
        <n v="57.45283018867925"/>
        <n v="55.81699346405229"/>
        <n v="61.52974504249291"/>
        <n v="66.20300751879701"/>
        <n v="60.92307692307692"/>
        <n v="56.9928400954654"/>
        <n v="62.519999999999996"/>
        <n v="50.45454545454545"/>
        <n v="33.41968911917098"/>
        <n v="60.46801872074883"/>
        <n v="60.21015761821366"/>
        <n v="68.87043189368771"/>
        <n v="60.68571428571428"/>
        <n v="66.81481481481481"/>
        <n v="64.56418383518225"/>
        <n v="58.62068965517241"/>
        <n v="59.63636363636363"/>
        <n v="56.02649006622516"/>
        <n v="59.87315010570824"/>
        <n v="59.76470588235294"/>
        <n v="61.515151515151516"/>
        <n v="59.745762711864415"/>
        <n v="55.90308370044053"/>
        <n v="65.55944055944056"/>
        <n v="67.41116751269035"/>
        <n v="55.61688311688311"/>
        <n v="58.882521489971346"/>
        <n v="53.2574679943101"/>
        <n v="69.84189723320158"/>
        <n v="66.47482014388488"/>
        <n v="74.46043165467626"/>
        <n v="58.28947368421052"/>
        <n v="58.04347826086956"/>
        <n v="65.26138279932546"/>
        <n v="58.958990536277604"/>
        <n v="58.679706601467"/>
        <n v="58.73684210526316"/>
        <n v="57.62845849802371"/>
        <n v="52.941176470588225"/>
        <n v="59.3002915451895"/>
        <n v="50.23255813953488"/>
        <n v="44.20323325635104"/>
        <n v="61.967213114754095"/>
        <n v="59.62809917355372"/>
        <n v="57.37991266375546"/>
        <n v="60.14778325123153"/>
        <n v="55.42521994134898"/>
        <n v="57.360703812316714"/>
        <n v="65.18518518518519"/>
        <n v="58.875878220140514"/>
        <n v="59.22279792746114"/>
        <n v="66.10778443113773"/>
        <n v="66.65369649805447"/>
        <n v="65.93582887700535"/>
        <n v="58.09725158562368"/>
        <n v="57.77777777777777"/>
        <n v="59.512855209742895"/>
        <n v="54.95049504950495"/>
        <n v="56.690647482014384"/>
        <n v="62.63959390862944"/>
        <n v="58.01169590643274"/>
        <n v="55.92233009708738"/>
        <n v="63.68421052631579"/>
        <n v="61.91343963553531"/>
        <n v="59.11330049261084"/>
        <n v="66.58536585365853"/>
        <n v="63.08068459657701"/>
        <n v="62.35093696763203"/>
        <n v="56.70886075949367"/>
        <n v="65.0943396226415"/>
        <n v="59.00709219858156"/>
        <n v="56.29139072847681"/>
        <n v="51.89823874755381"/>
        <n v="60.564705882352946"/>
        <n v="61.72661870503597"/>
        <n v="60.95427435387674"/>
        <n v="56.18581907090465"/>
        <n v="66.83760683760684"/>
        <n v="72.47999999999999"/>
        <n v="59.17050691244239"/>
        <n v="61.80904522613065"/>
        <n v="60.39473684210527"/>
        <n v="60.346820809248555"/>
        <n v="57.30337078651685"/>
        <n v="65.04201680672269"/>
        <n v="64.82758620689656"/>
        <n v="47.19367588932806"/>
        <n v="67.5208913649025"/>
        <n v="58.235294117647065"/>
        <n v="55.922330097087375"/>
        <e v="#NUM!"/>
        <n v="55.887096774193544"/>
        <n v="60.64343163538874"/>
        <n v="61.13924050632911"/>
        <n v="57.350649350649356"/>
        <n v="58.45714285714286"/>
        <n v="62.75711159737418"/>
        <n v="57.68115942028985"/>
        <n v="63.46456692913386"/>
        <n v="61.65232358003442"/>
        <n v="67.53623188405798"/>
        <n v="56.22641509433962"/>
        <n v="64.77876106194691"/>
        <n v="59.03485254691689"/>
        <n v="60.10638297872341"/>
        <n v="64.91379310344828"/>
        <n v="57.32484076433121"/>
        <n v="57.57225433526012"/>
        <n v="59.91379310344828"/>
        <n v="59.15492957746479"/>
        <n v="61.94945848375452"/>
        <n v="49.704142011834314"/>
        <n v="56.28865979381443"/>
        <n v="66.44859813084112"/>
        <n v="67.43169398907105"/>
        <n v="62.608695652173914"/>
        <n v="66.26506024096385"/>
        <n v="43.48101265822785"/>
        <n v="65.38922155688623"/>
        <n v="54.38356164383562"/>
        <n v="64.18867924528301"/>
        <n v="60.23391812865496"/>
        <n v="65.09433962264151"/>
        <n v="53.86581469648562"/>
        <n v="68.38056680161944"/>
        <n v="63.63636363636364"/>
        <n v="64.70824949698189"/>
        <n v="65.55555555555556"/>
        <n v="63.53711790393014"/>
        <n v="68.44765342960288"/>
        <n v="64.93996569468267"/>
        <n v="59.37984496124031"/>
        <n v="64.32835820895522"/>
        <n v="65.83657587548639"/>
        <n v="67.6829268292683"/>
        <n v="66.53061224489797"/>
        <n v="59.30501930501931"/>
        <n v="60.375782881002095"/>
        <n v="56.88796680497926"/>
        <n v="62.10526315789473"/>
        <n v="56.457564575645755"/>
        <n v="63.98058252427184"/>
        <n v="56.91428571428571"/>
        <n v="69.35483870967742"/>
        <n v="57.41682974559688"/>
        <n v="64.31372549019608"/>
        <n v="59.01960784313726"/>
        <n v="67.13450292397661"/>
        <n v="65.69444444444443"/>
        <n v="70.78125"/>
        <n v="61.857142857142854"/>
        <n v="58.83211678832117"/>
        <n v="56.27218934911242"/>
        <n v="61.91150442477876"/>
        <n v="55.831265508684865"/>
        <n v="55.08"/>
        <n v="69.27710843373495"/>
        <n v="50.3601108033241"/>
        <n v="37.868852459016395"/>
        <n v="75.48387096774195"/>
        <n v="66.24489795918366"/>
        <n v="68.65731462925852"/>
        <n v="67.95348837209302"/>
        <n v="58.5483870967742"/>
        <n v="63.09917355371901"/>
        <n v="65.27240773286466"/>
        <n v="61.803607214428844"/>
        <n v="64.28571428571429"/>
        <n v="64.14587332053743"/>
        <n v="54.75285171102661"/>
        <n v="62.3613595706619"/>
        <n v="61.210374639769455"/>
        <n v="59.190751445086704"/>
        <n v="61.43382352941177"/>
        <n v="56.55030800821355"/>
        <n v="56.84745762711865"/>
        <n v="58.05104408352669"/>
        <n v="68.65979381443299"/>
        <n v="63.55102040816327"/>
        <n v="67.53424657534246"/>
        <n v="61.62162162162162"/>
        <n v="68.95368782161235"/>
        <n v="57.915057915057915"/>
        <n v="58.568329718004335"/>
        <n v="62.21739130434782"/>
        <n v="61.95979899497487"/>
        <n v="61.36020151133501"/>
        <n v="65.80327868852459"/>
        <n v="68.76404494382021"/>
        <n v="72.68656716417911"/>
        <n v="65.48302872062662"/>
        <n v="62.93023255813954"/>
        <n v="66.81318681318682"/>
        <n v="69.79362101313322"/>
        <n v="62.400000000000006"/>
        <n v="72.11970074812967"/>
        <n v="64.19580419580419"/>
        <n v="64.97487437185929"/>
        <n v="63.2608695652174"/>
        <n v="67.62096774193547"/>
        <n v="70.4054054054054"/>
        <n v="68.78873239436619"/>
        <n v="72.07920792079209"/>
        <n v="70.40201005025126"/>
        <n v="62.16494845360825"/>
        <n v="71.41747572815534"/>
        <n v="71.97396963123644"/>
        <n v="75.11568123393316"/>
        <n v="71.70731707317073"/>
        <n v="69.77198697068403"/>
        <n v="72.74509803921568"/>
        <n v="69.12205567451821"/>
        <n v="68.28793774319067"/>
        <n v="61.707317073170735"/>
        <n v="70.34482758620689"/>
        <n v="68.54368932038834"/>
        <n v="62.741935483870975"/>
        <n v="72.0"/>
        <n v="63.08823529411765"/>
        <n v="65.36842105263158"/>
        <n v="71.73267326732675"/>
        <n v="67.84615384615384"/>
        <n v="69.31034482758619"/>
        <n v="68.8195991091314"/>
        <n v="72.5170068027211"/>
        <n v="69.09574468085107"/>
        <n v="73.29446064139941"/>
        <n v="66.13259668508287"/>
        <n v="75.7258064516129"/>
        <n v="73.19727891156462"/>
        <n v="73.05494505494505"/>
        <n v="70.2158273381295"/>
        <n v="68.70967741935483"/>
        <n v="67.80185758513933"/>
        <n v="76.93548387096773"/>
        <n v="73.94789579158316"/>
        <n v="68.42615012106538"/>
        <n v="73.475935828877"/>
        <n v="72.78947368421052"/>
        <n v="65.79207920792079"/>
        <n v="78.31325301204821"/>
        <n v="71.76043557168784"/>
        <n v="64.26829268292684"/>
        <n v="70.0790513833992"/>
        <n v="71.14754098360656"/>
        <n v="66.36986301369863"/>
        <n v="72.38095238095238"/>
        <n v="72.144578313253"/>
        <n v="65.19083969465649"/>
        <n v="71.36094674556213"/>
        <n v="64.72906403940887"/>
        <n v="67.08661417322836"/>
        <n v="100.25974025974024"/>
        <n v="73.34600760456273"/>
        <n v="67.68115942028984"/>
        <n v="71.58415841584159"/>
        <n v="71.58351409978309"/>
        <n v="69.8019801980198"/>
        <n v="76.66666666666667"/>
        <n v="73.73493975903614"/>
        <n v="75.33039647577093"/>
        <n v="71.02941176470588"/>
        <n v="75.73770491803278"/>
        <n v="70.83969465648855"/>
        <n v="74.57943925233646"/>
        <n v="69.97752808988764"/>
        <n v="68.86699507389163"/>
        <n v="66.8"/>
        <n v="73.29815303430078"/>
        <n v="70.95652173913044"/>
        <n v="65.39325842696628"/>
        <n v="77.57685352622062"/>
        <n v="68.52459016393443"/>
        <n v="71.855421686747"/>
        <n v="74.36619718309859"/>
        <n v="73.16397228637415"/>
        <n v="72.06896551724137"/>
        <n v="67.30310262529832"/>
        <n v="72.7956989247312"/>
        <n v="70.5"/>
        <n v="68.51612903225806"/>
        <n v="72.4950884086444"/>
        <n v="80.91549295774648"/>
        <n v="72.38866396761132"/>
        <n v="70.60465116279069"/>
        <n v="69.95454545454545"/>
        <n v="68.73661670235546"/>
        <n v="75.57446808510637"/>
        <n v="73.65269461077844"/>
        <n v="75.55555555555556"/>
        <n v="64.4758064516129"/>
        <n v="73.63636363636364"/>
        <n v="69.72"/>
        <n v="69.60000000000001"/>
        <n v="76.08695652173914"/>
        <n v="70.85365853658537"/>
        <n v="71.03139013452915"/>
        <n v="73.0977130977131"/>
        <n v="69.23976608187134"/>
        <n v="71.30434782608695"/>
        <n v="68.8953488372093"/>
        <n v="77.58196721311477"/>
        <n v="64.58333333333334"/>
        <n v="69.79310344827586"/>
        <n v="73.13984168865436"/>
        <n v="71.90721649484536"/>
        <n v="74.28571428571429"/>
        <n v="70.80675422138837"/>
        <n v="77.92682926829269"/>
        <n v="73.52331606217616"/>
        <n v="77.37226277372262"/>
        <n v="80.38167938931298"/>
        <n v="72.84345047923323"/>
        <n v="76.22641509433961"/>
        <n v="74.38848920863309"/>
        <n v="76.875"/>
        <n v="74.61538461538461"/>
        <n v="76.06936416184972"/>
        <n v="71.04815864022662"/>
        <n v="71.53374233128835"/>
        <n v="71.25964010282776"/>
        <n v="72.8659793814433"/>
        <n v="75.86872586872587"/>
        <n v="74.48863636363637"/>
        <n v="81.21212121212122"/>
        <n v="78.03571428571429"/>
        <n v="72.41803278688525"/>
        <n v="73.3012048192771"/>
        <n v="82.76129032258065"/>
        <n v="74.52631578947368"/>
        <n v="70.6086956521739"/>
        <n v="77.0539419087137"/>
        <n v="68.8"/>
        <n v="77.25752508361205"/>
        <n v="68.4313725490196"/>
        <n v="79.42028985507247"/>
        <n v="70.43478260869566"/>
        <n v="76.04819277108433"/>
        <n v="73.90070921985816"/>
        <n v="64.32276657060518"/>
        <n v="73.08724832214764"/>
        <n v="72.54237288135593"/>
        <n v="70.33846153846153"/>
        <n v="71.11111111111111"/>
        <n v="71.52542372881355"/>
        <n v="78.62903225806453"/>
        <n v="69.58115183246073"/>
        <n v="63.944636678200695"/>
        <n v="81.51394422310757"/>
        <n v="73.02631578947368"/>
        <n v="77.06896551724137"/>
        <n v="71.26353790613717"/>
        <n v="71.2401055408971"/>
        <n v="72.43697478991598"/>
        <n v="77.25321888412019"/>
        <n v="70.74626865671641"/>
        <n v="67.17073170731707"/>
        <n v="66.59685863874346"/>
        <n v="73.72340425531915"/>
        <n v="56.42487046632124"/>
        <n v="66.51315789473685"/>
        <n v="75.22222222222223"/>
        <n v="72.3696682464455"/>
        <n v="64.27440633245382"/>
        <n v="69.1891891891892"/>
        <n v="69.26174496644295"/>
        <n v="61.21212121212121"/>
        <n v="72.13953488372093"/>
        <n v="67.23618090452261"/>
        <n v="68.20143884892086"/>
        <n v="67.9107505070994"/>
        <n v="68.04705882352941"/>
        <n v="63.11688311688312"/>
        <n v="73.68821292775665"/>
        <n v="68.83720930232559"/>
        <n v="75.31645569620252"/>
        <n v="62.02247191011236"/>
        <n v="69.66292134831461"/>
        <n v="71.81286549707602"/>
        <n v="66.73866090712743"/>
        <n v="72.6829268292683"/>
        <n v="67.32057416267943"/>
        <n v="73.1791907514451"/>
        <n v="62.69662921348314"/>
        <n v="71.17241379310344"/>
        <n v="68.68778280542986"/>
        <n v="70.30588235294118"/>
        <n v="64.41176470588236"/>
        <n v="65.79634464751958"/>
        <n v="71.81347150259067"/>
        <n v="71.63793103448276"/>
        <n v="64.9244060475162"/>
        <n v="68.26855123674912"/>
        <n v="74.30861723446894"/>
        <n v="64.90463215258855"/>
        <n v="66.83274021352312"/>
        <n v="60.43227665706052"/>
        <n v="56.55172413793104"/>
        <n v="65.87155963302752"/>
        <n v="71.65876777251184"/>
        <n v="64.60063897763578"/>
        <n v="76.21169916434542"/>
        <n v="77.93103448275863"/>
        <n v="69.72972972972973"/>
        <n v="61.75895765472314"/>
        <n v="67.34375"/>
        <n v="68.81756756756756"/>
        <n v="61.66281755196304"/>
        <n v="70.02386634844869"/>
        <n v="70.94339622641509"/>
        <n v="61.80257510729614"/>
        <n v="59.48936170212765"/>
        <n v="63.30960854092526"/>
        <n v="63.970588235294116"/>
        <n v="75.46875"/>
        <n v="74.6473779385172"/>
        <n v="72.37894736842105"/>
        <n v="66.8702290076336"/>
        <n v="71.41747572815535"/>
        <n v="60.85889570552147"/>
        <n v="70.18567639257294"/>
        <n v="68.41379310344827"/>
        <n v="65.64516129032258"/>
        <n v="60.5921052631579"/>
        <n v="68.83248730964468"/>
        <n v="66.57370517928287"/>
        <n v="66.11650485436893"/>
        <n v="70.05586592178771"/>
        <n v="68.18181818181819"/>
        <n v="65.6"/>
        <n v="68.17679558011051"/>
        <n v="65.42168674698796"/>
        <n v="72.02558635394456"/>
        <n v="69.45107398568018"/>
        <n v="63.89830508474577"/>
        <n v="75.1912568306011"/>
        <n v="74.16666666666666"/>
        <n v="59.514824797843666"/>
        <n v="72.39999999999999"/>
        <n v="69.13043478260869"/>
        <n v="60.3125"/>
        <n v="70.52980132450331"/>
        <n v="69.08616187989557"/>
        <n v="65.79310344827586"/>
        <n v="68.81516587677726"/>
        <n v="75.37757437070938"/>
        <n v="64.89028213166145"/>
        <n v="70.81632653061224"/>
        <n v="69.28934010152284"/>
        <n v="75.63025210084034"/>
        <n v="63.27272727272727"/>
        <n v="58.527607361963184"/>
        <n v="69.23076923076924"/>
        <n v="65.13918629550321"/>
        <n v="56.47651006711409"/>
        <n v="62.32323232323232"/>
        <n v="68.18181818181817"/>
        <n v="68.15028901734104"/>
        <n v="65.8"/>
        <n v="63.897911832946626"/>
        <n v="66.82403433476395"/>
        <n v="63.7696335078534"/>
        <n v="59.42168674698795"/>
        <n v="54.776119402985074"/>
        <n v="63.339130434782604"/>
        <n v="63.758099352051836"/>
        <n v="66.54255319148935"/>
        <n v="64.94117647058825"/>
        <n v="59.55882352941177"/>
        <n v="65.57457212713936"/>
        <n v="65.21739130434783"/>
        <n v="65.59322033898306"/>
        <n v="61.86206896551723"/>
        <n v="67.83673469387756"/>
        <n v="68.63813229571984"/>
        <n v="65.89830508474576"/>
        <n v="59.48717948717949"/>
        <n v="62.51851851851852"/>
        <n v="64.72972972972974"/>
        <n v="64.78599221789884"/>
        <n v="70.95768374164811"/>
        <n v="64.41176470588235"/>
        <n v="64.38461538461539"/>
        <n v="66.09561752988047"/>
        <n v="65.26530612244899"/>
        <n v="65.37117903930131"/>
        <n v="69.33638443935928"/>
        <n v="66.10966057441253"/>
        <n v="61.46666666666667"/>
        <n v="67.22727272727273"/>
        <n v="64.17266187050359"/>
        <n v="55.84415584415584"/>
        <n v="63.29519450800915"/>
        <n v="60.498614958448755"/>
        <n v="77.09198813056379"/>
        <n v="65.31317494600431"/>
        <n v="61.451612903225815"/>
        <n v="68.93300248138958"/>
        <n v="66.27906976744185"/>
        <n v="65.01128668171557"/>
        <n v="67.47508305647841"/>
        <n v="64.32692307692308"/>
        <n v="63.793103448275865"/>
        <n v="62.83464566929134"/>
        <n v="68.51258581235697"/>
        <n v="59.166666666666664"/>
        <n v="65.9877800407332"/>
        <n v="63.483870967741936"/>
        <n v="65.66265060240963"/>
        <n v="65.72062084257206"/>
        <n v="63.357664233576635"/>
        <n v="65.93406593406593"/>
        <n v="66.15087040618955"/>
        <n v="64.31289640591966"/>
        <n v="64.90384615384616"/>
        <n v="67.60765550239235"/>
        <n v="65.12455516014235"/>
        <n v="57.17754172989378"/>
        <n v="53.43228200371058"/>
        <n v="67.64331210191082"/>
        <n v="68.49315068493152"/>
        <n v="59.24050632911391"/>
        <n v="68.75912408759123"/>
        <n v="60.63291139240506"/>
        <n v="69.76331360946746"/>
        <n v="67.17557251908396"/>
      </sharedItems>
    </cacheField>
    <cacheField name="RENDIMIENTO (visceras/hr/hombre)">
      <sharedItems containsBlank="1" containsMixedTypes="1" containsNumber="1">
        <s v=""/>
        <n v="1.3699844823764131"/>
        <n v="1.2762762762762763"/>
        <n v="1.2283105022831051"/>
        <n v="1.2820630900299335"/>
        <n v="1.4034903280067283"/>
        <n v="1.2285740757898638"/>
        <n v="1.1218944099378882"/>
        <n v="1.1607230092818759"/>
        <n v="1.202445652173913"/>
        <n v="1.1521712081622495"/>
        <n v="1.1935040384945865"/>
        <n v="1.1111111111111112"/>
        <n v="1.0968302214502823"/>
        <n v="1.1156976968481154"/>
        <n v="1.0736468500443657"/>
        <n v="1.0426966292134832"/>
        <n v="1.0414634146341464"/>
        <n v="1.0789183222958056"/>
        <n v="1.133078231292517"/>
        <n v="1.1585092052088013"/>
        <n v="1.1476363636363636"/>
        <n v="1.0646387832699618"/>
        <n v="1.069882498453927"/>
        <n v="0.989010989010989"/>
        <n v="1.0770505385252693"/>
        <n v="1.1629995509654245"/>
        <n v="1.335280976112734"/>
        <n v="1.1595394736842106"/>
        <n v="1.101923076923077"/>
        <n v="1.165385952040777"/>
        <n v="1.1456859971711457"/>
        <n v="1.030550774526678"/>
        <n v="1.170255993498578"/>
        <n v="1.171079429735234"/>
        <n v="1.1207761793241888"/>
        <n v="1.127237898769616"/>
        <n v="1.1124213836477987"/>
        <n v="1.0644763860369608"/>
        <n v="1.125783269019719"/>
        <n v="1.1412458344014356"/>
        <n v="1.0438144329896908"/>
        <n v="1.0892857142857144"/>
        <n v="1.1503681375697978"/>
        <n v="1.13199236529144"/>
        <n v="1.044847328244275"/>
        <n v="1.1817990309669264"/>
        <n v="1.0918454935622317"/>
        <n v="1.1098591549295775"/>
        <n v="1.0617227084292953"/>
        <n v="1.107865168539326"/>
        <n v="1.0607498813478882"/>
        <n v="1.0495296384449733"/>
        <n v="1.1755952380952381"/>
        <n v="1.203746530989824"/>
        <n v="1.1181199752628324"/>
        <n v="1.0756756756756756"/>
        <n v="1.0812720848056536"/>
        <n v="1.1643835616438356"/>
        <n v="0.9928595715742945"/>
        <n v="1.115299623033927"/>
        <n v="1.0434782608695652"/>
        <n v="1.0758017492711371"/>
        <n v="1.4230310262529835"/>
        <n v="1.1367413414877352"/>
        <n v="1.087128712871287"/>
        <n v="0.9532563025210083"/>
        <n v="1.0871971467224202"/>
        <n v="1.1126766965137949"/>
        <n v="1.115702479338843"/>
        <n v="1.312673217435122"/>
        <n v="1.0591603053435115"/>
        <n v="1.1414634146341462"/>
        <n v="1.0350902951108498"/>
        <n v="1.2056928034371643"/>
        <n v="0.9913419913419913"/>
        <n v="1.016793893129771"/>
        <n v="1.1910112359550562"/>
        <n v="1.0169491525423728"/>
        <n v="1.1531007751937985"/>
        <n v="1.028125"/>
        <n v="1.0585131150085365"/>
        <n v="1.1161290322580646"/>
        <n v="1.0907532411871852"/>
        <n v="1.132767713827104"/>
        <n v="1.148477157360406"/>
        <n v="0.9747583243823845"/>
        <n v="0.9272410558756532"/>
        <n v="1.0959454034524287"/>
        <n v="1.0069656605157034"/>
        <n v="1.1171497584541064"/>
        <n v="1.2171253822629968"/>
        <n v="1.2504962286621675"/>
        <n v="1.0814814814814815"/>
        <n v="1.16580310880829"/>
        <n v="1.111111111111111"/>
        <n v="1.2979382544599936"/>
        <n v="1.2991512212021479"/>
        <n v="1.154092071611253"/>
        <n v="1.096774193548387"/>
        <n v="1.1211237741849986"/>
        <n v="1.0772235576923077"/>
        <n v="1.0881275587157941"/>
        <n v="1.1346303501945527"/>
        <n v="1.1717111177704527"/>
        <n v="1.1354337152209493"/>
        <n v="1.067538126361656"/>
        <n v="1.044340977329098"/>
        <n v="1.2636505460218408"/>
        <n v="1.1588286095626914"/>
        <n v="1.1891967338962943"/>
        <n v="1.0569767441860465"/>
        <n v="1.0954063604240283"/>
        <n v="1.0841823056300268"/>
        <n v="1.0954627949183304"/>
        <n v="1.0341026754400615"/>
        <n v="0.9128741219163032"/>
        <n v="1.109278350515464"/>
        <n v="1.0880510868230382"/>
        <n v="1.0076496966499604"/>
        <n v="1.082191780821918"/>
        <n v="1.1280502654522429"/>
        <n v="0.9093425605536332"/>
        <n v="1.384083044982699"/>
        <n v="1.048090076817847"/>
        <n v="0.9204545454545453"/>
        <n v="1.0134813639968279"/>
        <n v="1.0066225165562914"/>
        <n v="1.0205831903945113"/>
        <n v="1.111703545721141"/>
        <n v="1.0618556701030928"/>
        <n v="0.9128529698149952"/>
        <n v="1.0811234282580593"/>
        <n v="1.0509933774834437"/>
        <n v="1.1173184357541899"/>
        <n v="1.2240515390121691"/>
        <n v="1.0650609946825147"/>
        <n v="1.1016414141414141"/>
        <n v="1.067193675889328"/>
        <n v="1.0643015521064303"/>
        <n v="1.104424778761062"/>
        <n v="1.2376742604556272"/>
        <n v="1.1531100478468899"/>
        <n v="1.0436579695169206"/>
        <n v="1.0793650793650793"/>
        <n v="0.9855521155830753"/>
        <n v="1.0164141414141414"/>
        <n v="1.0958333333333334"/>
        <n v="1.0574213046283403"/>
        <n v="1.0374555550143685"/>
        <n v="1.0275689223057642"/>
        <n v="1.034783240142328"/>
        <n v="1.027095148078135"/>
        <n v="1.0372340425531914"/>
        <n v="1.0755852842809364"/>
        <n v="0.9905036663060464"/>
        <n v="1.130181347150259"/>
        <n v="1.0949074074074074"/>
        <n v="1.0170403587443946"/>
        <n v="1.0713136729222519"/>
        <n v="1.0617965597791463"/>
        <n v="0.9786666666666666"/>
        <n v="1.0097560975609756"/>
        <n v="1.1271266540642721"/>
        <n v="1.1587301587301586"/>
        <n v="0.9326298701298701"/>
        <n v="1.0341880341880343"/>
        <n v="1.1804062126642771"/>
        <n v="1.2012987012987013"/>
        <n v="1.1883832202069657"/>
        <n v="1.1079987550575785"/>
        <n v="1.2224183583406882"/>
        <n v="1.0946291560102301"/>
        <n v="1.182544670916764"/>
        <n v="1.193490054249548"/>
        <n v="1.0387851823193732"/>
        <n v="1.032504780114723"/>
        <n v="1.2337777777777779"/>
        <n v="1.182341650671785"/>
        <n v="1.2151067323481117"/>
        <n v="1.0895883777239708"/>
        <n v="1.2978142076502732"/>
        <n v="1.1865279637449788"/>
        <n v="0.8603608301178433"/>
        <m/>
        <n v="1.1741455475470821"/>
        <n v="1.079847908745247"/>
        <n v="1.170018281535649"/>
        <n v="0.9790742793791574"/>
        <n v="1.1135018827326522"/>
        <n v="1.1511499200590334"/>
        <n v="1.0217811790429736"/>
        <n v="1.0718102702427603"/>
        <n v="1.0804347826086957"/>
        <n v="0.934959349593496"/>
        <n v="0.9912304012755782"/>
        <n v="0.4888361045130642"/>
        <n v="1.1124579124579124"/>
        <n v="1.020035097981866"/>
        <n v="1.119463087248322"/>
        <n v="1.0557506584723442"/>
        <n v="1.2613636363636362"/>
        <n v="1.1851490580991282"/>
        <n v="1.0101765938341813"/>
        <n v="1.0700876095118899"/>
        <n v="0.9679821295606851"/>
        <n v="0.9909592579546789"/>
        <n v="1.1497797356828194"/>
        <n v="0.9499205087440381"/>
        <n v="1.1680056502162974"/>
        <n v="1.0721735502711724"/>
        <n v="1.093628291011061"/>
        <n v="1.0427807486631016"/>
        <n v="1.1846153846153846"/>
        <n v="1.1596330275229356"/>
        <n v="0.9405058781617385"/>
        <n v="1.095679012345679"/>
        <n v="1.1866269031549208"/>
        <n v="1.1976047904191618"/>
        <n v="1.1893004115226335"/>
        <n v="1.1645833333333333"/>
        <n v="1.0374141491763125"/>
        <n v="1.1574964332237454"/>
        <n v="1.1887762387548193"/>
        <n v="1.1334867663981587"/>
        <n v="1.1956521739130435"/>
        <n v="1.3241959853226852"/>
        <n v="1.256418000604047"/>
        <n v="1.2062937062937065"/>
        <n v="1.2800129785853342"/>
        <n v="1.0235261036648233"/>
        <n v="1.1757575757575758"/>
        <n v="1.0793375100800198"/>
        <n v="0.9039249372274349"/>
        <n v="1.0370879120879122"/>
        <n v="1.2974683544303796"/>
        <n v="0.9811810512654122"/>
        <n v="1.2429111531190926"/>
        <n v="1.2073863636363635"/>
        <n v="1.1176987263943785"/>
        <n v="1.1789772727272727"/>
        <n v="1.093890298653133"/>
        <n v="1.0283363802559415"/>
        <n v="0.9183673469387755"/>
        <n v="1.1527237354085604"/>
        <n v="1.1620600517001394"/>
        <n v="1.0873974777317224"/>
        <n v="1.0938291253707588"/>
        <n v="1.1967283684890229"/>
        <n v="1.112531969309463"/>
        <n v="1.182358461057241"/>
        <n v="1.0772329490206973"/>
        <n v="0.8723612470292185"/>
        <n v="1.1540822590546347"/>
        <n v="1.231998513425625"/>
        <n v="1.0069328233325363"/>
        <n v="0.9247946071202866"/>
        <n v="1.0344827586206897"/>
        <n v="1.1038504071579371"/>
        <n v="1.1409574468085106"/>
        <n v="1.25023625023625"/>
        <n v="1.2918460897346853"/>
        <n v="1.2356500155134966"/>
        <n v="1.1851851851851853"/>
        <n v="1.193798449612403"/>
        <n v="1.3305565197269464"/>
        <n v="1.3494114269308068"/>
        <n v="1.22911051212938"/>
        <n v="1.3464844810424397"/>
        <n v="1.1129568106312293"/>
        <n v="1.2520489219518345"/>
        <n v="1.2151962428715197"/>
        <n v="1.0186625194401244"/>
        <n v="0.929705215419501"/>
        <n v="1.0521574632915953"/>
        <n v="1.0083042602329124"/>
        <n v="1.1674418604651162"/>
        <n v="1.0731277533039647"/>
        <n v="1.0590277777777777"/>
        <n v="1.1573506687270207"/>
        <n v="1.002476304329263"/>
        <n v="1.166421207658321"/>
        <n v="1.085405208854143"/>
        <n v="1.2549177037334402"/>
        <n v="1.0441053511705685"/>
        <n v="0.7595383890720678"/>
        <n v="1.105848787446505"/>
        <n v="1.1592541389891087"/>
        <n v="1.274750953142295"/>
        <n v="1.2102564102564102"/>
        <n v="1.2895539458635152"/>
        <n v="1.254426209317363"/>
        <n v="1.1482607227288077"/>
        <n v="1.1388888888888888"/>
        <n v="1.09472049689441"/>
        <n v="1.104093567251462"/>
        <n v="1.1288888888888888"/>
        <n v="1.106468023255814"/>
        <n v="1.2044076193730249"/>
        <n v="1.1652892561983472"/>
        <n v="1.2624562348505253"/>
        <n v="1.330394710478862"/>
        <n v="1.1283841644160464"/>
        <n v="1.1065639976307147"/>
        <n v="0.9004329004329004"/>
        <n v="1.387514723203769"/>
        <n v="1.3333333333333333"/>
        <n v="1.3959604815052096"/>
        <n v="1.3619594179135068"/>
        <n v="1.2596122092748974"/>
        <n v="1.3782542113323124"/>
        <n v="1.2525970109242008"/>
        <n v="1.242493269828122"/>
        <n v="1.2097560975609758"/>
        <n v="1.2364314789687922"/>
        <n v="1.1044880785413744"/>
        <n v="1.1854528499825154"/>
        <n v="0.8244274809160305"/>
        <n v="0.8795551675014934"/>
        <n v="1.1273860021208908"/>
        <n v="1.145874692289367"/>
        <n v="1.1219262295081969"/>
        <n v="1.1916845598282257"/>
        <n v="1.0327022375215147"/>
        <n v="1.1057719486686641"/>
        <n v="1.25"/>
        <n v="1.155437080614027"/>
        <n v="1.2779516994633273"/>
        <n v="1.2946350043975374"/>
        <n v="1.243466898954704"/>
        <n v="1.2207920792079208"/>
        <n v="1.1381709741550696"/>
        <n v="1.1382850241545892"/>
        <n v="1.2394366197183098"/>
        <n v="1.313131313131313"/>
        <n v="1.0617033603707997"/>
        <n v="1.088341994313168"/>
        <n v="1.17524235645041"/>
        <n v="1.327071981646114"/>
        <n v="1.2515244543504773"/>
        <n v="1.1331890615778084"/>
        <n v="1.301075268817204"/>
        <n v="1.1416490486257926"/>
        <n v="1.260096930533118"/>
        <n v="1.4134900410837798"/>
        <n v="1.2801365478984426"/>
        <n v="1.365546218487395"/>
        <n v="1.2658227848101264"/>
        <n v="1.0316833915886796"/>
        <n v="1.1356155365371954"/>
        <n v="1.172326335071157"/>
        <n v="1.0998964803312627"/>
        <n v="1.0004149534120488"/>
        <n v="1.1314285714285715"/>
        <n v="1.1290959336754836"/>
        <n v="1.173948003216296"/>
        <n v="1.0682906419971179"/>
        <n v="1.3101021946724745"/>
        <n v="1.1422087745839635"/>
        <n v="1.0388349514563107"/>
        <n v="1.2229071385961423"/>
        <n v="1.1805555555555556"/>
        <n v="1.1569148936170213"/>
        <n v="1.0824003820236643"/>
        <n v="1.0185550730359259"/>
        <n v="1.1131578947368421"/>
        <n v="0.9631362426393482"/>
        <n v="0.9767891682785299"/>
        <n v="1.0875706214689267"/>
        <n v="1.189836810576327"/>
        <e v="#NUM!"/>
        <n v="0.9943324485257191"/>
        <n v="1.0314637482900135"/>
        <n v="1.15"/>
        <n v="1.0013605442176872"/>
        <n v="1.1691428571428573"/>
        <n v="1.2018606210451326"/>
        <n v="1.0976282404853832"/>
        <n v="1.2006554446596158"/>
        <n v="1.117628705148206"/>
        <n v="1.1490096161748993"/>
        <n v="1.249475890985325"/>
        <n v="1.116398243045388"/>
        <n v="1.1151060920646174"/>
        <n v="1.0144537211598887"/>
        <n v="1.1730799189904972"/>
        <n v="1.177304964539007"/>
        <n v="1.1735900033772375"/>
        <n v="1.2127712234964112"/>
        <n v="1.216374269005848"/>
        <n v="1.0144927536231885"/>
        <n v="1.059782608695652"/>
        <n v="1.2690763052208833"/>
        <n v="1.146520486853108"/>
        <n v="1.2736244297551438"/>
        <n v="1.3753438359589896"/>
        <n v="0.9662447257383966"/>
        <n v="1.1666666666666667"/>
        <n v="0.9098896061728866"/>
        <n v="1.1683494745518235"/>
        <n v="1.0536006546644845"/>
        <n v="1.0928673248508527"/>
        <n v="1.1174443266171792"/>
        <n v="1.2521313662984654"/>
        <n v="1.1824324324324325"/>
        <n v="1.220493358633776"/>
        <n v="1.0823205686769088"/>
        <n v="1.1806710755872927"/>
        <n v="1.1671283471837488"/>
        <n v="1.1832359283682845"/>
        <n v="1.0930365296803652"/>
        <n v="1.1398598316216335"/>
        <n v="1.1710963455149501"/>
        <n v="1.1691594691384033"/>
        <n v="1.2255892255892256"/>
        <n v="1.2442748091603055"/>
        <n v="1.1367673179396094"/>
        <n v="1.0663716814159294"/>
        <n v="1.1394614361702127"/>
        <n v="1.1908165839710705"/>
        <n v="1.2273383603401251"/>
        <n v="1.223769730733519"/>
        <n v="1.1075691304025503"/>
        <n v="1.4307897071872226"/>
        <n v="1.143324760346037"/>
        <n v="1.2576687116564418"/>
        <n v="1.2830349531116796"/>
        <n v="1.3747954173486088"/>
        <n v="1.2826538913495433"/>
        <n v="1.266778523489933"/>
        <n v="1.2283687943262411"/>
        <n v="1.1665942972933856"/>
        <n v="1.1939736346516006"/>
        <n v="1.149447949526814"/>
        <n v="1.0463169642857142"/>
        <n v="1.0237918215613382"/>
        <n v="1.1860561056105612"/>
        <n v="1.0714917192196616"/>
        <n v="0.8606557377049181"/>
        <n v="1.238832638475283"/>
        <n v="1.184455391351943"/>
        <n v="1.2181333333333333"/>
        <n v="1.1315055762081785"/>
        <n v="1.1330177391666232"/>
        <n v="1.2661691542288558"/>
        <n v="1.3474585495047708"/>
        <n v="1.239250984489271"/>
        <n v="1.0546875"/>
        <n v="1.2440758293838863"/>
        <n v="1.158485856905158"/>
        <n v="1.1649542917239704"/>
        <n v="1.1886252045826513"/>
        <n v="1.2234042553191489"/>
        <n v="1.1303283486775584"/>
        <n v="1.0841332580463015"/>
        <n v="1.1772579963364802"/>
        <n v="0.9995644599303136"/>
        <n v="1.1200160288519334"/>
        <n v="1.0470809792843692"/>
        <n v="1.2312811980033278"/>
        <n v="1.1793667626117255"/>
        <n v="1.2349699398797596"/>
        <n v="1.2917847025495752"/>
        <n v="1.3591182635742782"/>
        <n v="1.2731285011033782"/>
        <n v="1.278832946525837"/>
        <n v="1.2808807733619763"/>
        <n v="1.3718291054739653"/>
        <n v="1.3583138173302107"/>
        <n v="1.3727770177838576"/>
        <n v="1.2569316081330868"/>
        <n v="1.262857636787968"/>
        <n v="1.2679474216380182"/>
        <n v="1.0799808429118773"/>
        <n v="1.3022990147079823"/>
        <n v="1.3501742160278745"/>
        <n v="1.2240376626973137"/>
        <n v="1.2113596381000251"/>
        <n v="1.2972159518434914"/>
        <n v="1.2652173913043478"/>
        <n v="1.2826003824091778"/>
        <n v="1.2682570593962998"/>
        <n v="1.1566881394467603"/>
        <n v="1.1538461538461537"/>
        <n v="1.2289473684210528"/>
        <n v="1.2256097560975612"/>
        <n v="1.2383838383838384"/>
        <n v="1.2000868055555556"/>
        <n v="1.4837759610013712"/>
        <n v="1.3251201923076923"/>
        <n v="1.1846689895470384"/>
        <n v="1.2076822916666667"/>
        <n v="1.3141182217879823"/>
        <n v="1.2521404109589043"/>
        <n v="1.2116858237547894"/>
        <n v="1.1584738243123336"/>
        <n v="1.179812834224599"/>
        <n v="1.2232704402515724"/>
        <n v="1.33248730964467"/>
        <n v="1.1507510729613735"/>
        <n v="1.2621951219512195"/>
        <n v="1.061072056239016"/>
        <n v="1.176"/>
        <n v="0.9689860196046922"/>
        <s v=" "/>
        <n v="1.2151958470976876"/>
        <n v="1.2395348837209303"/>
        <n v="0.9413043478260869"/>
        <n v="1.4586597040905134"/>
        <n v="1.168260784696467"/>
        <n v="1.33078231292517"/>
        <n v="1.3096928632287907"/>
        <n v="1.2706422018348624"/>
        <n v="1.1776061776061777"/>
        <n v="1.3290073001809446"/>
        <n v="1.3115343154868848"/>
        <n v="1.543564436534261"/>
        <n v="1.3073979591836735"/>
        <n v="1.3014644929538546"/>
        <n v="1.422360248447205"/>
        <n v="1.3573461576209638"/>
        <n v="1.2595365587831113"/>
        <n v="1.6057312252964429"/>
        <n v="1.4707632792739176"/>
        <n v="1.3788592360020933"/>
        <n v="1.392226148409894"/>
        <n v="1.4295125164690383"/>
        <n v="1.399682218691319"/>
        <n v="1.3996316758747698"/>
        <n v="1.3673730361709902"/>
        <n v="1.261820330969267"/>
        <n v="1.30859375"/>
        <n v="1.1352051835853132"/>
        <n v="1.2113744075829382"/>
        <n v="1.664749856239218"/>
        <n v="1.3254998969284684"/>
        <n v="1.2115185057073676"/>
        <n v="1.2796460176991151"/>
        <n v="1.2515644555694618"/>
        <n v="1.2661637931034482"/>
        <n v="1.4165733482642777"/>
        <n v="1.3709677419354838"/>
        <n v="1.4420644290774163"/>
        <n v="1.4077528417371028"/>
        <n v="1.331949489707663"/>
        <n v="1.1454904542462145"/>
        <n v="1.3919413919413919"/>
        <n v="1.310330317694088"/>
        <n v="1.3360091743119267"/>
        <n v="1.2626008064516128"/>
        <n v="0.9274839743589743"/>
        <n v="1.2942793697789996"/>
        <n v="1.2898936170212767"/>
        <n v="1.4627659574468086"/>
        <n v="1.4074074074074074"/>
        <n v="1.42162471395881"/>
        <n v="1.3367088607594937"/>
        <n v="1.3395348837209304"/>
        <n v="1.3329081632653061"/>
        <n v="1.2141565486954276"/>
        <n v="1.2668413173652695"/>
        <n v="1.311627906976744"/>
        <n v="1.2106703146374829"/>
        <n v="1.323481941106847"/>
        <n v="1.6263269639065818"/>
        <n v="1.2481675392670157"/>
        <n v="1.2670589708275948"/>
        <n v="1.3933906745133546"/>
        <n v="1.2513156355981758"/>
        <n v="1.2162717435967676"/>
        <n v="1.3724770642201836"/>
        <n v="1.1977528089887641"/>
        <n v="1.4068606165870603"/>
        <n v="1.3655058952563752"/>
        <n v="1.1934156378600824"/>
        <n v="1.4159848961611077"/>
        <n v="1.2188811188811188"/>
        <n v="1.3310924369747896"/>
        <n v="1.353974121996303"/>
        <n v="1.1725094078035254"/>
        <n v="1.3568670711527855"/>
        <n v="1.2465811066694719"/>
        <n v="1.3414115646258504"/>
        <n v="1.1273752159287207"/>
        <n v="1.2417177914110429"/>
        <n v="1.3555012224938876"/>
        <n v="1.3423787528868358"/>
        <n v="1.3367609254498714"/>
        <n v="1.1978290538610468"/>
        <n v="1.3891304347826088"/>
        <n v="1.2420131291028447"/>
        <n v="1.2385106714441503"/>
        <n v="1.502568493150685"/>
        <n v="1.3818181818181818"/>
        <n v="1.2166231680385464"/>
        <n v="1.3188775510204083"/>
        <n v="1.3465263157894736"/>
        <n v="1.3484708063021316"/>
        <n v="1.133407975195935"/>
        <n v="1.2839809553064043"/>
        <n v="1.1557177615571776"/>
        <n v="1.2595419847328244"/>
        <n v="1.1382113821138211"/>
        <n v="1.1697338805772541"/>
        <n v="1.2723387723387725"/>
        <n v="1.319975835682642"/>
        <n v="1.424089068825911"/>
        <n v="1.3464105987470476"/>
        <n v="1.2897810218978103"/>
        <n v="1.3312910284463895"/>
        <n v="1.4785274659413108"/>
        <n v="1.3801169590643276"/>
        <n v="1.375494071146245"/>
        <n v="1.3718971631205674"/>
        <n v="1.3019031141868513"/>
        <n v="1.4322916666666667"/>
        <n v="1.2569027611044417"/>
        <n v="1.5088105726872245"/>
        <n v="1.3097014925373134"/>
        <n v="1.438730853391685"/>
        <n v="1.3631606488749346"/>
        <n v="1.1313868613138687"/>
        <n v="1.4435312831389184"/>
        <n v="1.4861111111111112"/>
        <n v="1.5986013986013985"/>
        <n v="1.3894919669995658"/>
        <n v="1.2582825337927377"/>
        <n v="1.1253462603878117"/>
        <n v="1.3406637748411177"/>
        <n v="1.360524184642568"/>
        <n v="1.3362068965517242"/>
        <n v="1.3170384432842905"/>
        <n v="1.3770794824399257"/>
        <n v="1.3893581081081081"/>
        <n v="1.3213918660989576"/>
        <n v="1.3604797979797982"/>
        <n v="1.2254901960784315"/>
        <n v="1.2686517229842758"/>
        <n v="1.1832438238453276"/>
        <n v="1.2158868231133204"/>
        <n v="1.32"/>
        <n v="1.0907451923076923"/>
        <n v="1.3082298136645962"/>
        <n v="1.405293201868189"/>
        <n v="1.3831521739130435"/>
        <n v="1.2760607647983238"/>
        <n v="1.3875338753387534"/>
        <n v="1.1868890166762507"/>
        <n v="1.2397708674304417"/>
        <n v="1.4421199442119943"/>
        <n v="1.282346175963197"/>
        <n v="1.2682274247491638"/>
        <n v="1.3916368775459307"/>
        <n v="1.3817486860965122"/>
        <n v="1.0588235294117647"/>
        <n v="1.4560480841472576"/>
        <n v="1.3958252048380804"/>
        <n v="1.3626598465473148"/>
        <n v="1.464315012305168"/>
        <n v="1.2583586626139818"/>
        <n v="1.3089373680506686"/>
        <n v="1.4042309891366496"/>
        <n v="1.4244882906140512"/>
        <n v="1.4237935977066414"/>
        <n v="1.065909090909091"/>
        <n v="1.1517467248908297"/>
        <n v="1.0825842333311777"/>
        <n v="1.3298969072164948"/>
        <n v="1.2908163265306123"/>
        <n v="1.3972410568155251"/>
        <n v="1.2545008183306057"/>
        <n v="1.1557512383048982"/>
        <n v="1.2987256371814093"/>
        <n v="1.3215648854961832"/>
        <n v="1.227941176470588"/>
        <n v="1.149521032902957"/>
        <n v="1.2961409395973154"/>
        <n v="1.2499999999999998"/>
        <n v="1.335419185095641"/>
        <n v="1.1887755102040816"/>
        <n v="1.256704980842912"/>
        <n v="1.28673835125448"/>
        <n v="1.3798767967145789"/>
        <n v="1.2815312460387882"/>
        <n v="1.3994884910485934"/>
        <n v="1.4377606559694633"/>
        <n v="1.3547574039067423"/>
        <n v="0.45950269012650863"/>
        <n v="1.3880837359098228"/>
        <n v="1.2436277053634115"/>
        <n v="1.1407331453473468"/>
        <n v="1.1777456647398843"/>
        <n v="1.3714285714285714"/>
        <n v="1.1678832116788322"/>
        <n v="1.247657295850067"/>
        <n v="1.142581888246628"/>
        <n v="1.1427820832786024"/>
        <n v="1.324013157894737"/>
        <n v="1.199442119944212"/>
        <n v="1.2813059033989267"/>
        <n v="1.3079507278835387"/>
        <n v="1.2711688670767956"/>
        <n v="1.2299553645230616"/>
        <n v="1.2708323327409827"/>
        <n v="1.3107822410147991"/>
        <n v="1.1979984301412872"/>
        <n v="1.2623355263157896"/>
        <n v="1.3356973995271868"/>
        <n v="1.3167848699763594"/>
        <n v="1.195523370638578"/>
        <n v="1.1848072562358276"/>
        <n v="1.338917879703378"/>
        <n v="1.5619047619047617"/>
        <n v="1.374777183600713"/>
        <n v="1.3548551093035077"/>
        <n v="1.3636363636363635"/>
        <n v="1.4604409857328144"/>
        <n v="1.2508059316569953"/>
        <n v="1.2916857012334402"/>
        <n v="1.5357142857142858"/>
        <n v="1.3931127012522362"/>
        <n v="1.2916812916812916"/>
        <n v="1.5153488372093022"/>
        <n v="1.2449284646594063"/>
        <n v="1.3985507246376812"/>
        <n v="1.491596638655462"/>
        <n v="1.3644098386015573"/>
        <n v="1.3963700234192038"/>
        <n v="1.3953488372093024"/>
        <n v="1.4523809523809523"/>
        <n v="1.3215015321756896"/>
        <n v="1.3755285412262157"/>
        <n v="1.1711711711711712"/>
        <n v="1.400560224089636"/>
        <n v="1.2906367953244855"/>
        <n v="1.2668365489625044"/>
        <n v="1.500707881075979"/>
        <n v="1.1828644501278773"/>
        <n v="1.1893033075299084"/>
        <n v="1.2660798916723086"/>
        <n v="1.4831730769230769"/>
        <n v="1.4227642276422763"/>
        <n v="1.4697083021690351"/>
        <n v="1.2566044942389714"/>
        <n v="1.301266301266301"/>
        <n v="1.3648915187376727"/>
        <n v="1.3547382470710365"/>
        <n v="1.3365853658536584"/>
        <n v="1.3265060240963855"/>
        <n v="1.334065934065934"/>
        <n v="1.302678610829178"/>
        <n v="1.208695652173913"/>
        <n v="1.2551567321747605"/>
        <n v="1.173913043478261"/>
        <n v="1.3014363354037268"/>
        <n v="1.1881188118811883"/>
        <n v="1.385110952040086"/>
        <n v="1.373449701423978"/>
        <n v="1.4015854275594537"/>
        <n v="1.3824451410658307"/>
        <n v="1.4210526315789473"/>
        <n v="1.2547322877230938"/>
        <n v="1.2934865900383141"/>
        <n v="1.629251700680272"/>
        <n v="1.5524475524475525"/>
        <n v="1.5613054983828287"/>
        <n v="1.4634146341463414"/>
        <n v="1.180952380952381"/>
        <n v="0.9962767235166947"/>
        <n v="1.2511737089201878"/>
        <n v="1.2721478648820903"/>
        <n v="1.2940975484752715"/>
        <n v="1.2931562819203268"/>
        <n v="1.2268795741849634"/>
        <n v="1.2417093443035851"/>
        <n v="1.3881107998755058"/>
        <n v="1.161011610116101"/>
        <n v="1.215984525431925"/>
        <n v="1.2093023255813953"/>
        <n v="1.1663299663299662"/>
        <n v="1.2703747269366492"/>
        <n v="1.3078177293400841"/>
        <n v="1.3543952025742285"/>
        <n v="1.385512882839086"/>
        <n v="1.3558045381790793"/>
        <n v="1.3437872171496628"/>
        <n v="1.2324981577008105"/>
        <n v="1.237458193979933"/>
        <n v="0.975788701393984"/>
        <n v="1.16457271772531"/>
        <n v="1.2806637806637806"/>
        <n v="1.3277600196705188"/>
        <n v="1.3766730401529637"/>
        <n v="1.4086113487311092"/>
        <n v="1.317641759108058"/>
        <n v="1.3135593220338981"/>
        <n v="1.2967365463583316"/>
        <n v="1.231190150478796"/>
        <n v="1.2876190476190477"/>
        <n v="1.3056092843326885"/>
        <n v="1.1092793217145547"/>
        <n v="1.5028332101502833"/>
        <n v="1.3613700411879472"/>
        <n v="1.3032263903344043"/>
        <n v="1.4258223316178116"/>
        <n v="1.2812637121544537"/>
        <n v="1.26496879743633"/>
        <n v="1.3171967351533913"/>
        <n v="1.381231671554252"/>
        <n v="1.1527354403978822"/>
        <n v="1.0418875927889715"/>
        <n v="1.2415349887133182"/>
      </sharedItems>
    </cacheField>
    <cacheField name="MINUTOS  PAROS PROGRAMADOS" numFmtId="0">
      <sharedItems containsString="0" containsBlank="1" containsNumber="1" containsInteger="1">
        <m/>
        <n v="15.0"/>
        <n v="60.0"/>
        <n v="0.0"/>
        <n v="40.0"/>
        <n v="45.0"/>
        <n v="30.0"/>
        <n v="75.0"/>
        <n v="20.0"/>
        <n v="65.0"/>
        <n v="35.0"/>
        <n v="14.0"/>
        <n v="6.0"/>
        <n v="70.0"/>
        <n v="195.0"/>
      </sharedItems>
    </cacheField>
    <cacheField name="MINUTOS PAROS NO PROGRAMADOS" numFmtId="0">
      <sharedItems containsString="0" containsBlank="1" containsNumber="1" containsInteger="1">
        <m/>
        <n v="6.0"/>
        <n v="60.0"/>
        <n v="45.0"/>
        <n v="15.0"/>
        <n v="135.0"/>
        <n v="40.0"/>
        <n v="48.0"/>
        <n v="20.0"/>
        <n v="12.0"/>
        <n v="167.0"/>
        <n v="75.0"/>
        <n v="30.0"/>
        <n v="100.0"/>
        <n v="11.0"/>
        <n v="51.0"/>
        <n v="65.0"/>
        <n v="36.0"/>
        <n v="137.0"/>
        <n v="25.0"/>
        <n v="93.0"/>
        <n v="0.0"/>
        <n v="50.0"/>
        <n v="10.0"/>
        <n v="8.0"/>
        <n v="52.0"/>
        <n v="57.0"/>
        <n v="59.0"/>
        <n v="111.0"/>
        <n v="480.0"/>
        <n v="46.0"/>
        <n v="61.0"/>
        <n v="141.0"/>
        <n v="16.0"/>
        <n v="4.0"/>
        <n v="63.0"/>
        <n v="177.0"/>
        <n v="53.0"/>
        <n v="62.0"/>
        <n v="166.0"/>
        <n v="9.0"/>
        <n v="79.0"/>
        <n v="73.0"/>
        <n v="13.0"/>
        <n v="125.0"/>
        <n v="23.0"/>
        <n v="34.0"/>
        <n v="7.0"/>
        <n v="161.0"/>
        <n v="27.0"/>
        <n v="66.0"/>
        <n v="42.0"/>
        <n v="49.0"/>
        <n v="64.0"/>
        <n v="35.0"/>
        <n v="77.0"/>
        <n v="72.0"/>
        <n v="101.0"/>
        <n v="90.0"/>
        <n v="26.0"/>
        <n v="128.0"/>
        <n v="18.0"/>
        <n v="85.0"/>
        <n v="58.0"/>
        <n v="87.0"/>
        <n v="78.0"/>
        <n v="24.0"/>
        <n v="119.0"/>
        <n v="43.0"/>
        <n v="68.0"/>
        <n v="55.0"/>
        <n v="84.0"/>
        <n v="21.0"/>
        <n v="31.0"/>
        <n v="28.0"/>
        <n v="54.0"/>
        <n v="19.0"/>
        <n v="56.0"/>
        <n v="5.0"/>
        <n v="33.0"/>
        <n v="22.0"/>
        <n v="70.0"/>
        <n v="71.0"/>
        <n v="17.0"/>
        <n v="118.0"/>
        <n v="32.0"/>
        <n v="37.0"/>
        <n v="14.0"/>
        <n v="130.0"/>
        <n v="194.0"/>
        <n v="44.0"/>
        <n v="29.0"/>
        <n v="215.0"/>
        <n v="41.0"/>
        <n v="83.0"/>
        <n v="104.0"/>
        <n v="88.0"/>
        <n v="102.0"/>
        <n v="82.0"/>
        <n v="590.0"/>
        <n v="99.0"/>
        <n v="39.0"/>
        <n v="133.0"/>
        <n v="38.0"/>
        <n v="89.0"/>
        <n v="76.0"/>
        <n v="112.0"/>
        <n v="148.0"/>
        <n v="80.0"/>
        <n v="131.0"/>
        <n v="124.0"/>
      </sharedItems>
    </cacheField>
    <cacheField name="NOVEDADES:" numFmtId="0">
      <sharedItems containsBlank="1">
        <m/>
        <s v="Se funde motor de maquina de pandos "/>
        <s v=" Se realiza simulacro para habilitacion  china"/>
        <s v="SE EVIDENCIA FALTA DE COCICON EN PRODUCTOS (CHUNCHULA Y CANUTAS) DEL PROCESO DEL DIA 13/05/2024 , SE TIENE EVIDENCIA PARA SOCIALIZAR CON EL PERSONAL LA NOVEDAD."/>
        <s v="Parada por oreo lleno"/>
        <s v="Taponamiento de caja externa de visceras por falta de cumplimiento de cromograma de vactor"/>
        <s v="daño en bomba de sangre y desolladora "/>
        <s v="Se presenta novedad con maquina de libros pequena (cosidos) la cual pierde fuerza y se le ciente un ruido en los rodamientos al parecer."/>
        <s v="Se presenta novedad con maquina de patas, la cual se habilito la contiguencia pero presento falla la cual retrazo la operacion de escaldado de patas, ya que se tuvo que porcesar de 50 por bache"/>
        <s v="Novedad con el ruminal  debido a animales sin ayuno"/>
        <s v="Se presento taponamiento de tanque cañon debido a ganado con rumen seco "/>
        <s v="Se presenta demora al culminar debido a daños en compuertas del box, requeiro utilizar puerta de descarga de emergencia de manga debido a que faltaban poco animales por beneficiar "/>
        <s v="Se presetan novedad en apertura de pandos por reses sin ayuno "/>
        <s v="Se presento novedad con el vapor al inicio de proceso con afectacion en el proceso de patas "/>
        <s v="SE PRESENTA TARDANZA DE INICIO DEBIDO A ROTURA DE TUBO DE AGUA EN VISCERAS BLANCA"/>
        <s v="parada larga por falta de poleas para continuar "/>
        <s v="Se presenta parada de 4 horas  de proceso de cabezas debido a bastago partido internamente"/>
        <s v="NO SE  TUVO PERSONAL PARA SEPARACION DE CARNES AUNSENTISMO ALTO EL DIA DE HOY "/>
        <s v="se presenta accidente de trabajo al operario jeferson jimenez, estandi en puesto caldeo se le caen las canastas y ocaciones que se golpie contra el carro de traslado de pandos"/>
        <s v="Se presenta accidente grave a operario leonarod lopez, corte en muñeca"/>
        <s v="Se presenta daño en motor de maquina de pandos debido a eje partido "/>
        <s v="Se presenta novedad con caldera, cual segun reporte de mtto, se esta disparando un taco, se esta trabajando con caldera pequena ya que la titular presento falla al inicio de proceso."/>
        <s v="Se presenta novedad tanque cañon de visceras debido a ganado con limite de tiempo de ayuno, la cual genero traumatismo debido a lo seco y las llenas que venian las panzas"/>
        <s v="Se presenta incidente con operario agon jairo la cual en momento de realizar desposte de visceras olimpica un compañero corre el caro el cual caen desague y se voltea callendole encima generando una contucion  rn refgion lumbosacro "/>
        <s v="Se tenia a juan cuadro  en prestamo desposte"/>
        <s v="se reincorpora el operario lopez leonardo de incapacidad larga"/>
        <s v="Se presenta incidente con el operario yampier marquez cuando se encontraba empujando un carro perchero con viisceras olimpica se resbala y golpea a otro compañero  la cual  cae encima  golpeando la parte baja de la cintura."/>
        <s v="-"/>
        <s v="Se presenta accidente de trabajo a operario jorge hernandez al momento de dirigirse al area de visceras blanca  el opl transcarnes estaba manipulando un carro perchero con patas el cual da bote  y le caer sobre operario causando lecciones en mano y espald"/>
        <s v="no se para a la comida debido a lo tarde de la llegada se entrego al finalizar "/>
        <s v="parada por tiempos de ayuno "/>
        <s v="alto volumen se genera horas extras "/>
        <s v="ingresamos temprano por acondicionamiento de 121 visceras de olimpica"/>
        <s v="ingresamos temprano por acondicionamiento de 75 visceras de olimpica"/>
        <s v="ingresamos temprano por acondicionamiento de 90 visceras de olimpica"/>
        <s v="alto volumen se genera horas extras , Se presenta novedad con el retorno de carro de sangre debido a demora de descarga en harinagro , se solicito retorno de carro  con la carga  por mitad ya que se requeria para poder hacer el despacjo total de la sangre"/>
        <s v="Se presenta parada debido a novedad en bomba de aceite de maquina cabezas, se estiendo horas de  operarios de cabezas y subproductos"/>
        <s v="Personal citado a las 13:55 y se inicio hasta las 15 debido actividad politica "/>
        <s v="hubo despacho de subproductos 13:15 "/>
        <s v="Se cito el personal de subproductos para despacho a las 13:30 pero carro tuvo novedad mecanico y no llego "/>
        <s v="Se cito a las 12:30 para capacitacion programada y para relizar acondicionamiento 23 visceras de olimpica y se cruza con beneficio alto"/>
        <s v="Se tubo acondiconamiento a las 13:15 alguno operario llegaron temprano debido a cambio de horario sobre la horas lo que se  les infdico realizar cajss para adelantar y no tener los improductivos, posibleme se genere horas extrass "/>
        <s v="Novedad en pesaje de canales "/>
        <s v="se cito el personal a las 13:30 para socializacion de bienestar  "/>
        <s v="Se tiene novedad con escaldado de patas dbido a que no se tiene termometro para ver temperatura del agua y estar monitoriando el escaldo en la operacion los que ocaciona que se cocine en momento de escaldo y no pele mas el producto /Se tubo acondicionamie"/>
        <s v="Se cito el personal a las 13:00 para realizar el acondicionamiento de 202 visceras de olimpica "/>
        <s v="se cito el personal para acondicionamiento 88 visceras olimpica , se tuvo novedad por tardanza en inicio por novedad de cilindro de ddesolladora"/>
        <s v="se cito el personal para acondicionamiento 87 visceras olimpica "/>
        <s v=" el señor Leal Jesús de pccom manifiesta que, en medio de sus funciones, mientras realizaba el puesto de descascar, al momento de verificar si las patas ya estaban listas para sacar, levanta la tapa bruscamente y esta rebota contra el panel o pared del ár"/>
        <s v="se cito personal 13:00 para acondicionamiento 45 visceras de olimpica "/>
        <s v="se cito personal 13:00 para acondicionamiento 39 visceras de olimpica "/>
        <s v="se cito personal 14:30 para acondicionamiento 30 visceras de olimpica "/>
        <s v="se cito personal 13:00 para acondicionamiento 32 visceras de olimpica y socializacion de leccion aprendida, se presento novedad con maquina de libros  la cual se detuvo el proceso de escaldado de lbros por 4 horas"/>
        <s v="se cito personal 14:00 para acondicionamiento 50 visceras de olimpica "/>
        <s v="se cito personal 13:40 por entrega de detalle del dia del hombre por GH"/>
        <s v="se cito personal 12:30 para acondicionamiento 105 visceras de olimpica "/>
        <s v="Renuncia el operario Carlos Sierra  por motivos personales"/>
        <s v="se cito personal 14:00 para acondicionamiento 80 visceras de olimpica "/>
        <s v="Se cito personal 14:00 para reunion con SST"/>
        <s v="se cito personal 13:00 para reunion  y acondicionamiento 48 visceras de olimpica"/>
        <s v="1. La caldera numero 1 presento fallas durante el proceso"/>
        <s v="se cito personal 13:00 para acondicionamiento 50 visceras de olimpica"/>
        <s v="se cito personal 14:00 para reunion y acondicionamiento 42 visceras de olimpica"/>
        <s v="se cito personal 14:20 acondicionamiento 23 visceras de olimpica"/>
        <s v="se cito personal 13:00 acondicionamiento 43 visceras de olimpica"/>
        <s v="se cito personal 14:00 acondicionamiento 32 visceras de olimpica"/>
        <s v="se cito personal 13:15 acondicionamiento 42 visceras de olimpica"/>
        <s v="se cito personal 12:30 acondicionamiento 62 visceras de olimpica"/>
        <s v="Se presenta accidente de trabajo al trabajador Cristian Diaz  cuando se encontrab realizado puesto de lavod de rojas al momento de retornar las ganchos a linea, al regresar  entrando a el area de rojas se resbala pegandose en cabeza "/>
        <s v="se cito personal 13:30 acondicionamiento 19 visceras de olimpica"/>
        <s v="se cito personal 14:00 acondicionamiento 43 visceras de olimpica"/>
        <s v="se cito personal 13:00 acondicionamiento 28 visceras de olimpica"/>
        <s v="se cito personal 13:00 para capacitacion seguridad vial"/>
        <s v="se cito personal 15:00 acondicionamiento  131  visceras de olimpica y se tuvo novedad con indicador de las bascula generando retrazo en el proceso"/>
        <s v="se cito personal 11:45  acondicionamiento  131  visceras de olimpica "/>
        <s v="se cito personal 13:30  acondicionamiento  29  visceras de olimpica y reunion de sst"/>
        <s v="Se presenta novedad con maquina de patas al finalizar proceso  acacionando retrazo  en la operacion y salida tarde de perosnal  genrando horas extras  "/>
        <s v="personal de patas sale tarde debido a renuncia de colaborador  a raiz de acumulacion por novedad con descascadora y maquina de patas "/>
        <s v="Se tuvo auditoria de seguimiento HACCP "/>
        <s v="Se presento AT al sr AGUDELO DANIEL de PCCOM  estabdo en puesto de limpieza inferior al operairo de limpieza y desgrace superior se le enrreda cuchilo con la canal y se le caie pegando en casco y luego pasando por la muneca causandoles herina abierta "/>
      </sharedItems>
    </cacheField>
    <cacheField name="PERSONAL ASIGNADO" numFmtId="37">
      <sharedItems containsString="0" containsBlank="1" containsNumber="1" containsInteger="1">
        <n v="57.0"/>
        <m/>
      </sharedItems>
    </cacheField>
    <cacheField name="PERSONAL CONTRATADO" numFmtId="37">
      <sharedItems containsString="0" containsBlank="1" containsNumber="1" containsInteger="1">
        <n v="49.0"/>
        <n v="48.0"/>
        <n v="50.0"/>
        <n v="51.0"/>
        <n v="54.0"/>
        <n v="55.0"/>
        <n v="53.0"/>
        <n v="52.0"/>
        <n v="56.0"/>
        <n v="57.0"/>
        <m/>
      </sharedItems>
    </cacheField>
    <cacheField name="COMPENSATORIO">
      <sharedItems containsBlank="1" containsMixedTypes="1" containsNumber="1" containsInteger="1">
        <n v="0.0"/>
        <n v="1.0"/>
        <n v="2.0"/>
        <m/>
        <e v="#REF!"/>
      </sharedItems>
    </cacheField>
    <cacheField name="PERMISO" numFmtId="37">
      <sharedItems containsString="0" containsBlank="1" containsNumber="1" containsInteger="1">
        <n v="0.0"/>
        <n v="2.0"/>
        <n v="1.0"/>
        <m/>
      </sharedItems>
    </cacheField>
    <cacheField name="AUSENTISMO" numFmtId="37">
      <sharedItems containsString="0" containsBlank="1" containsNumber="1" containsInteger="1">
        <n v="0.0"/>
        <n v="3.0"/>
        <n v="1.0"/>
        <n v="2.0"/>
        <n v="6.0"/>
        <n v="4.0"/>
        <m/>
      </sharedItems>
    </cacheField>
    <cacheField name="RENUNCIA" numFmtId="37">
      <sharedItems containsString="0" containsBlank="1" containsNumber="1" containsInteger="1">
        <n v="0.0"/>
        <n v="1.0"/>
        <n v="2.0"/>
        <m/>
      </sharedItems>
    </cacheField>
    <cacheField name="INCAPACIDAD" numFmtId="37">
      <sharedItems containsString="0" containsBlank="1" containsNumber="1" containsInteger="1">
        <n v="0.0"/>
        <n v="3.0"/>
        <n v="4.0"/>
        <n v="2.0"/>
        <n v="1.0"/>
        <n v="5.0"/>
        <n v="6.0"/>
        <n v="7.0"/>
        <m/>
      </sharedItems>
    </cacheField>
    <cacheField name="CALAMIDAD" numFmtId="37">
      <sharedItems containsString="0" containsBlank="1" containsNumber="1" containsInteger="1">
        <n v="0.0"/>
        <n v="1.0"/>
        <n v="2.0"/>
        <m/>
      </sharedItems>
    </cacheField>
    <cacheField name="PDTE POR CONTRATAR" numFmtId="37">
      <sharedItems containsString="0" containsBlank="1" containsNumber="1" containsInteger="1">
        <n v="6.0"/>
        <n v="7.0"/>
        <n v="5.0"/>
        <n v="4.0"/>
        <n v="1.0"/>
        <n v="0.0"/>
        <n v="2.0"/>
        <n v="3.0"/>
        <m/>
      </sharedItems>
    </cacheField>
    <cacheField name="VACACIONES" numFmtId="37">
      <sharedItems containsString="0" containsBlank="1" containsNumber="1" containsInteger="1">
        <n v="0.0"/>
        <n v="4.0"/>
        <n v="3.0"/>
        <n v="2.0"/>
        <n v="1.0"/>
        <n v="5.0"/>
        <m/>
      </sharedItems>
    </cacheField>
    <cacheField name="SUSPENSION" numFmtId="37">
      <sharedItems containsString="0" containsBlank="1" containsNumber="1" containsInteger="1">
        <n v="0.0"/>
        <n v="1.0"/>
        <n v="2.0"/>
        <m/>
        <n v="3.0"/>
      </sharedItems>
    </cacheField>
    <cacheField name="REUBICADO" numFmtId="37">
      <sharedItems containsString="0" containsBlank="1" containsNumber="1" containsInteger="1">
        <n v="0.0"/>
        <n v="1.0"/>
        <m/>
      </sharedItems>
    </cacheField>
    <cacheField name="LICENCIA" numFmtId="37">
      <sharedItems containsString="0" containsBlank="1" containsNumber="1" containsInteger="1">
        <n v="0.0"/>
        <n v="1.0"/>
        <m/>
      </sharedItems>
    </cacheField>
    <cacheField name="AMORTIZAR EXTRAS" numFmtId="37">
      <sharedItems containsString="0" containsBlank="1" containsNumber="1" containsInteger="1">
        <n v="0.0"/>
        <n v="2.0"/>
        <n v="1.0"/>
        <m/>
      </sharedItems>
    </cacheField>
    <cacheField name="DIA DE CERO ACCIDENTE" numFmtId="37">
      <sharedItems containsString="0" containsBlank="1" containsNumber="1" containsInteger="1">
        <n v="0.0"/>
        <n v="2.0"/>
        <n v="3.0"/>
        <n v="1.0"/>
        <m/>
      </sharedItems>
    </cacheField>
    <cacheField name="INDUCCION" numFmtId="37">
      <sharedItems containsString="0" containsBlank="1" containsNumber="1" containsInteger="1">
        <n v="0.0"/>
        <n v="2.0"/>
        <n v="1.0"/>
        <n v="4.0"/>
        <m/>
        <n v="3.0"/>
      </sharedItems>
    </cacheField>
    <cacheField name="DIA DE LA FAMILIA" numFmtId="37">
      <sharedItems containsString="0" containsBlank="1" containsNumber="1" containsInteger="1">
        <n v="0.0"/>
        <n v="4.0"/>
        <n v="1.0"/>
        <n v="2.0"/>
        <n v="3.0"/>
        <m/>
      </sharedItems>
    </cacheField>
    <cacheField name="PERSONAL PRESENTE" numFmtId="37">
      <sharedItems containsString="0" containsBlank="1" containsNumber="1" containsInteger="1">
        <n v="0.0"/>
        <n v="39.0"/>
        <n v="42.0"/>
        <n v="45.0"/>
        <n v="43.0"/>
        <n v="41.0"/>
        <n v="46.0"/>
        <n v="47.0"/>
        <n v="48.0"/>
        <n v="49.0"/>
        <n v="50.0"/>
        <n v="51.0"/>
        <n v="52.0"/>
        <n v="44.0"/>
        <n v="53.0"/>
        <n v="40.0"/>
        <n v="38.0"/>
        <n v="55.0"/>
        <n v="54.0"/>
        <m/>
        <n v="36.0"/>
        <n v="1.0"/>
      </sharedItems>
    </cacheField>
    <cacheField name="PERSONAL AUSENTE" numFmtId="37">
      <sharedItems containsString="0" containsBlank="1" containsNumber="1" containsInteger="1">
        <n v="8.0"/>
        <n v="20.0"/>
        <n v="17.0"/>
        <n v="14.0"/>
        <n v="16.0"/>
        <n v="18.0"/>
        <n v="13.0"/>
        <n v="12.0"/>
        <n v="11.0"/>
        <n v="10.0"/>
        <n v="9.0"/>
        <n v="6.0"/>
        <n v="7.0"/>
        <n v="3.0"/>
        <n v="2.0"/>
        <n v="4.0"/>
        <n v="5.0"/>
        <n v="0.0"/>
        <n v="1.0"/>
        <n v="15.0"/>
        <n v="19.0"/>
        <m/>
      </sharedItems>
    </cacheField>
    <cacheField name="PENDIENTES POR CONTRATAR" numFmtId="37">
      <sharedItems containsString="0" containsBlank="1" containsNumber="1" containsInteger="1">
        <n v="8.0"/>
        <n v="9.0"/>
        <n v="7.0"/>
        <n v="6.0"/>
        <n v="3.0"/>
        <n v="2.0"/>
        <n v="4.0"/>
        <n v="5.0"/>
        <n v="1.0"/>
        <n v="0.0"/>
        <m/>
      </sharedItems>
    </cacheField>
    <cacheField name="MES" numFmtId="0">
      <sharedItems>
        <s v="ENERO"/>
        <s v="FEBRERO"/>
        <s v="MARZO"/>
        <s v="ABRIL"/>
        <s v="MAYO"/>
        <s v="JUNIO"/>
        <s v="JULIO"/>
        <s v="AGOSTO"/>
        <s v="SEPTIEMBRE"/>
        <s v="OCTUBRE"/>
        <s v="NOVIEMBRE"/>
        <s v="DICIEMBRE"/>
        <s v=""/>
      </sharedItems>
    </cacheField>
    <cacheField name="AÑO" numFmtId="0">
      <sharedItems>
        <s v="2024"/>
        <s v="2025"/>
        <s v="2026"/>
        <s v=""/>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995" sheet="TOLERANCIA"/>
  </cacheSource>
  <cacheFields>
    <cacheField name="FECHA" numFmtId="165">
      <sharedItems containsDate="1" containsString="0" containsBlank="1">
        <d v="2026-03-05T00:00:00Z"/>
        <d v="2026-03-06T00:00:00Z"/>
        <d v="2026-03-07T00:00:00Z"/>
        <d v="2026-03-09T00:00:00Z"/>
        <d v="2026-03-10T00:00:00Z"/>
        <d v="2026-03-11T00:00:00Z"/>
        <d v="2026-03-12T00:00:00Z"/>
        <d v="2026-03-13T00:00:00Z"/>
        <d v="2026-03-14T00:00:00Z"/>
        <d v="2026-03-16T00:00:00Z"/>
        <d v="2026-03-17T00:00:00Z"/>
        <d v="2026-03-18T00:00:00Z"/>
        <d v="2026-03-19T00:00:00Z"/>
        <d v="2026-03-20T00:00:00Z"/>
        <d v="2026-03-21T00:00:00Z"/>
        <d v="2026-03-23T00:00:00Z"/>
        <d v="2026-03-24T00:00:00Z"/>
        <d v="2026-03-25T00:00:00Z"/>
        <d v="2026-03-26T00:00:00Z"/>
        <d v="2026-03-27T00:00:00Z"/>
        <d v="2026-03-28T00:00:00Z"/>
        <d v="2026-03-30T00:00:00Z"/>
        <d v="2026-03-31T00:00:00Z"/>
        <d v="2026-04-04T00:00:00Z"/>
        <d v="2026-04-07T00:00:00Z"/>
        <d v="2026-04-13T00:00:00Z"/>
        <d v="2026-04-17T00:00:00Z"/>
        <d v="2026-04-22T00:00:00Z"/>
        <d v="2026-04-23T00:00:00Z"/>
        <d v="2026-04-28T00:00:00Z"/>
        <d v="2026-05-06T00:00:00Z"/>
        <m/>
      </sharedItems>
    </cacheField>
    <cacheField name="HORA" numFmtId="20">
      <sharedItems containsDate="1" containsString="0" containsBlank="1">
        <d v="1899-12-30T16:42:42Z"/>
        <d v="1899-12-30T18:03:27Z"/>
        <d v="1899-12-30T19:26:43Z"/>
        <d v="1899-12-30T17:34:32Z"/>
        <d v="1899-12-30T19:26:54Z"/>
        <d v="1899-12-30T17:41:58Z"/>
        <d v="1899-12-30T18:31:47Z"/>
        <d v="1899-12-30T19:11:26Z"/>
        <d v="1899-12-30T19:26:50Z"/>
        <d v="1899-12-30T21:15:40Z"/>
        <d v="1899-12-30T20:56:00Z"/>
        <d v="1899-12-30T20:51:55Z"/>
        <d v="1899-12-30T10:06:00Z"/>
        <d v="1899-12-30T10:17:00Z"/>
        <d v="1899-12-30T10:27:00Z"/>
        <d v="1899-12-30T10:39:00Z"/>
        <d v="1899-12-30T22:47:00Z"/>
        <d v="1899-12-30T14:48:00Z"/>
        <d v="1899-12-30T14:56:00Z"/>
        <d v="1899-12-30T17:54:00Z"/>
        <d v="1899-12-30T19:47:00Z"/>
        <d v="1899-12-30T20:08:00Z"/>
        <d v="1899-12-30T19:25:00Z"/>
        <d v="1899-12-30T19:35:00Z"/>
        <d v="1899-12-30T16:26:00Z"/>
        <d v="1899-12-30T16:29:00Z"/>
        <d v="1899-12-30T20:21:00Z"/>
        <d v="1899-12-30T16:50:00Z"/>
        <d v="1899-12-30T16:49:00Z"/>
        <d v="1899-12-30T17:00:00Z"/>
        <d v="1899-12-30T15:02:00Z"/>
        <d v="1899-12-30T15:43:00Z"/>
        <d v="1899-12-30T16:04:00Z"/>
        <d v="1899-12-30T17:07:00Z"/>
        <d v="1899-12-30T17:45:00Z"/>
        <d v="1899-12-30T18:29:00Z"/>
        <d v="1899-12-30T19:04:00Z"/>
        <d v="1899-12-30T19:08:00Z"/>
        <d v="1899-12-30T21:08:00Z"/>
        <d v="1899-12-30T15:26:00Z"/>
        <d v="1899-12-30T16:43:00Z"/>
        <d v="1899-12-30T16:53:00Z"/>
        <d v="1899-12-30T18:25:00Z"/>
        <d v="1899-12-30T19:45:00Z"/>
        <d v="1899-12-30T19:59:00Z"/>
        <d v="1899-12-30T20:26:00Z"/>
        <d v="1899-12-30T14:46:00Z"/>
        <d v="1899-12-30T16:00:00Z"/>
        <m/>
        <d v="1899-12-30T14:40:00Z"/>
        <d v="1899-12-30T15:00:00Z"/>
        <d v="1899-12-30T15:38:00Z"/>
        <d v="1899-12-30T16:48:00Z"/>
        <d v="1899-12-30T17:14:00Z"/>
        <d v="1899-12-30T19:31:00Z"/>
        <d v="1899-12-30T19:55:00Z"/>
        <d v="1899-12-30T18:00:00Z"/>
        <d v="1899-12-30T18:36:00Z"/>
        <d v="1899-12-30T20:43:00Z"/>
        <d v="1899-12-30T17:13:00Z"/>
        <d v="1899-12-30T17:35:00Z"/>
        <d v="1899-12-30T17:40:00Z"/>
        <d v="1899-12-30T17:26:00Z"/>
        <d v="1899-12-30T18:06:00Z"/>
        <d v="1899-12-30T18:16:00Z"/>
        <d v="1899-12-30T21:00:00Z"/>
        <d v="1899-12-30T21:58:00Z"/>
        <d v="1899-12-30T15:31:00Z"/>
        <d v="1899-12-30T17:53:00Z"/>
        <d v="1899-12-30T19:10:00Z"/>
        <d v="1899-12-30T15:10:00Z"/>
        <d v="1899-12-30T15:13:00Z"/>
        <d v="1899-12-30T15:17:00Z"/>
        <d v="1899-12-30T15:25:00Z"/>
        <d v="1899-12-30T15:30:00Z"/>
        <d v="1899-12-30T16:09:00Z"/>
        <d v="1899-12-30T16:16:00Z"/>
        <d v="1899-12-30T16:21:00Z"/>
        <d v="1899-12-30T16:28:00Z"/>
        <d v="1899-12-30T16:35:00Z"/>
        <d v="1899-12-30T17:03:00Z"/>
        <d v="1899-12-30T17:16:00Z"/>
        <d v="1899-12-30T16:10:00Z"/>
        <d v="1899-12-30T15:40:00Z"/>
        <d v="1899-12-30T17:51:00Z"/>
        <d v="1899-12-30T15:57:00Z"/>
        <d v="1899-12-30T16:44:00Z"/>
        <d v="1899-12-30T16:58:00Z"/>
        <d v="1899-12-30T17:11:00Z"/>
        <d v="1899-12-30T17:29:00Z"/>
        <d v="1899-12-30T17:38:00Z"/>
        <d v="1899-12-30T17:50:00Z"/>
        <d v="1899-12-30T17:25:00Z"/>
        <d v="1899-12-30T18:03:00Z"/>
        <d v="1899-12-30T18:12:00Z"/>
        <d v="1899-12-30T17:10:00Z"/>
        <d v="1899-12-30T15:28:00Z"/>
        <d v="1899-12-30T15:32:00Z"/>
        <d v="1899-12-30T17:36:00Z"/>
        <d v="1899-12-30T18:07:00Z"/>
        <d v="1899-12-30T18:13:00Z"/>
        <d v="1899-12-30T18:24:00Z"/>
        <d v="1899-12-30T16:24:00Z"/>
        <d v="1899-12-30T16:41:00Z"/>
        <d v="1899-12-30T17:34:00Z"/>
        <d v="1899-12-30T16:40:00Z"/>
        <d v="1899-12-30T17:27:00Z"/>
        <d v="1899-12-30T16:08:00Z"/>
        <d v="1899-12-30T16:27:00Z"/>
        <d v="1899-12-30T16:15:00Z"/>
        <d v="1899-12-30T16:52:00Z"/>
        <d v="1899-12-30T17:33:00Z"/>
        <d v="1899-12-30T17:58:00Z"/>
        <d v="1899-12-30T16:45:00Z"/>
        <d v="1899-12-30T16:55:00Z"/>
        <d v="1899-12-30T18:26:00Z"/>
        <d v="1899-12-30T18:54:00Z"/>
        <d v="1899-12-30T15:15:00Z"/>
        <d v="1899-12-30T16:54:00Z"/>
      </sharedItems>
    </cacheField>
    <cacheField name="CANT" numFmtId="0">
      <sharedItems containsString="0" containsBlank="1" containsNumber="1" containsInteger="1">
        <n v="1.0"/>
        <n v="2.0"/>
        <m/>
      </sharedItems>
    </cacheField>
    <cacheField name="CUARTOS" numFmtId="0">
      <sharedItems containsBlank="1">
        <s v="ANTERIOR"/>
        <s v="POSTERIOR"/>
        <m/>
      </sharedItems>
    </cacheField>
    <cacheField name="PUESTOS" numFmtId="0">
      <sharedItems containsBlank="1">
        <s v="Rayado de pecho "/>
        <s v="Eviscerado de Blanca"/>
        <s v="Choque de canales "/>
        <s v="Clipado de esofago "/>
        <s v="Manipulacion "/>
        <s v="Despeje de recto "/>
        <s v="Corte de esternon "/>
        <s v="Corte de patas "/>
        <s v="Desolladora (cogote "/>
        <s v="Desuello de manos "/>
        <m/>
      </sharedItems>
    </cacheField>
    <cacheField name="HALLAZGO" numFmtId="0">
      <sharedItems containsBlank="1">
        <s v="Materia Fecal"/>
        <s v="Contenido Rummial"/>
        <e v="#N/A"/>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Tabla dinámica 1" cacheId="0" dataCaption="" compact="0" compactData="0">
  <location ref="A3:B13" firstHeaderRow="0" firstDataRow="1" firstDataCol="0" rowPageCount="1" colPageCount="1"/>
  <pivotFields>
    <pivotField name="FECHA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t="default"/>
      </items>
    </pivotField>
    <pivotField name="TOTAL DE BENEFICO"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t="default"/>
      </items>
    </pivotField>
    <pivotField name="HORA INICIO CABEZA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HORA ULTIMA VISCERA AMARRAD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t="default"/>
      </items>
    </pivotField>
    <pivotField name="TOTAL PAROS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name="DURACIÓN PROCESO (H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t="default"/>
      </items>
    </pivotField>
    <pivotField name="RENDIMIENTO BRUTO (visceras/ho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t="default"/>
      </items>
    </pivotField>
    <pivotField name="RENDIMIENTO NETO (visceras/ho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t="default"/>
      </items>
    </pivotField>
    <pivotField name="RENDIMIENTO (visceras/hr/h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t="default"/>
      </items>
    </pivotField>
    <pivotField name="MINUTOS  PAROS PROGRAMADOS" compact="0" outline="0" multipleItemSelectionAllowed="1" showAll="0">
      <items>
        <item x="0"/>
        <item x="1"/>
        <item x="2"/>
        <item x="3"/>
        <item x="4"/>
        <item x="5"/>
        <item x="6"/>
        <item x="7"/>
        <item x="8"/>
        <item x="9"/>
        <item x="10"/>
        <item x="11"/>
        <item x="12"/>
        <item x="13"/>
        <item x="14"/>
        <item t="default"/>
      </items>
    </pivotField>
    <pivotField name="MINUTOS PAROS NO PROGRAMAD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name="NOVEDAD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name="PERSONAL ASIGNADO" compact="0" numFmtId="37" outline="0" multipleItemSelectionAllowed="1" showAll="0">
      <items>
        <item x="0"/>
        <item x="1"/>
        <item t="default"/>
      </items>
    </pivotField>
    <pivotField name="PERSONAL CONTRATADO" compact="0" numFmtId="37" outline="0" multipleItemSelectionAllowed="1" showAll="0">
      <items>
        <item x="0"/>
        <item x="1"/>
        <item x="2"/>
        <item x="3"/>
        <item x="4"/>
        <item x="5"/>
        <item x="6"/>
        <item x="7"/>
        <item x="8"/>
        <item x="9"/>
        <item x="10"/>
        <item t="default"/>
      </items>
    </pivotField>
    <pivotField name="COMPENSATORIO" compact="0" outline="0" multipleItemSelectionAllowed="1" showAll="0">
      <items>
        <item x="0"/>
        <item x="1"/>
        <item x="2"/>
        <item x="3"/>
        <item x="4"/>
        <item t="default"/>
      </items>
    </pivotField>
    <pivotField name="PERMISO" compact="0" numFmtId="37" outline="0" multipleItemSelectionAllowed="1" showAll="0">
      <items>
        <item x="0"/>
        <item x="1"/>
        <item x="2"/>
        <item x="3"/>
        <item t="default"/>
      </items>
    </pivotField>
    <pivotField name="AUSENTISMO" compact="0" numFmtId="37" outline="0" multipleItemSelectionAllowed="1" showAll="0">
      <items>
        <item x="0"/>
        <item x="1"/>
        <item x="2"/>
        <item x="3"/>
        <item x="4"/>
        <item x="5"/>
        <item x="6"/>
        <item t="default"/>
      </items>
    </pivotField>
    <pivotField name="RENUNCIA" compact="0" numFmtId="37" outline="0" multipleItemSelectionAllowed="1" showAll="0">
      <items>
        <item x="0"/>
        <item x="1"/>
        <item x="2"/>
        <item x="3"/>
        <item t="default"/>
      </items>
    </pivotField>
    <pivotField name="INCAPACIDAD" compact="0" numFmtId="37" outline="0" multipleItemSelectionAllowed="1" showAll="0">
      <items>
        <item x="0"/>
        <item x="1"/>
        <item x="2"/>
        <item x="3"/>
        <item x="4"/>
        <item x="5"/>
        <item x="6"/>
        <item x="7"/>
        <item x="8"/>
        <item t="default"/>
      </items>
    </pivotField>
    <pivotField name="CALAMIDAD" compact="0" numFmtId="37" outline="0" multipleItemSelectionAllowed="1" showAll="0">
      <items>
        <item x="0"/>
        <item x="1"/>
        <item x="2"/>
        <item x="3"/>
        <item t="default"/>
      </items>
    </pivotField>
    <pivotField name="PDTE POR CONTRATAR" compact="0" numFmtId="37" outline="0" multipleItemSelectionAllowed="1" showAll="0">
      <items>
        <item x="0"/>
        <item x="1"/>
        <item x="2"/>
        <item x="3"/>
        <item x="4"/>
        <item x="5"/>
        <item x="6"/>
        <item x="7"/>
        <item x="8"/>
        <item t="default"/>
      </items>
    </pivotField>
    <pivotField name="VACACIONES" compact="0" numFmtId="37" outline="0" multipleItemSelectionAllowed="1" showAll="0">
      <items>
        <item x="0"/>
        <item x="1"/>
        <item x="2"/>
        <item x="3"/>
        <item x="4"/>
        <item x="5"/>
        <item x="6"/>
        <item t="default"/>
      </items>
    </pivotField>
    <pivotField name="SUSPENSION" compact="0" numFmtId="37" outline="0" multipleItemSelectionAllowed="1" showAll="0">
      <items>
        <item x="0"/>
        <item x="1"/>
        <item x="2"/>
        <item x="3"/>
        <item x="4"/>
        <item t="default"/>
      </items>
    </pivotField>
    <pivotField name="REUBICADO" compact="0" numFmtId="37" outline="0" multipleItemSelectionAllowed="1" showAll="0">
      <items>
        <item x="0"/>
        <item x="1"/>
        <item x="2"/>
        <item t="default"/>
      </items>
    </pivotField>
    <pivotField name="LICENCIA" compact="0" numFmtId="37" outline="0" multipleItemSelectionAllowed="1" showAll="0">
      <items>
        <item x="0"/>
        <item x="1"/>
        <item x="2"/>
        <item t="default"/>
      </items>
    </pivotField>
    <pivotField name="AMORTIZAR EXTRAS" compact="0" numFmtId="37" outline="0" multipleItemSelectionAllowed="1" showAll="0">
      <items>
        <item x="0"/>
        <item x="1"/>
        <item x="2"/>
        <item x="3"/>
        <item t="default"/>
      </items>
    </pivotField>
    <pivotField name="DIA DE CERO ACCIDENTE" compact="0" numFmtId="37" outline="0" multipleItemSelectionAllowed="1" showAll="0">
      <items>
        <item x="0"/>
        <item x="1"/>
        <item x="2"/>
        <item x="3"/>
        <item x="4"/>
        <item t="default"/>
      </items>
    </pivotField>
    <pivotField name="INDUCCION" compact="0" numFmtId="37" outline="0" multipleItemSelectionAllowed="1" showAll="0">
      <items>
        <item x="0"/>
        <item x="1"/>
        <item x="2"/>
        <item x="3"/>
        <item x="4"/>
        <item x="5"/>
        <item t="default"/>
      </items>
    </pivotField>
    <pivotField name="DIA DE LA FAMILIA" compact="0" numFmtId="37" outline="0" multipleItemSelectionAllowed="1" showAll="0">
      <items>
        <item x="0"/>
        <item x="1"/>
        <item x="2"/>
        <item x="3"/>
        <item x="4"/>
        <item x="5"/>
        <item t="default"/>
      </items>
    </pivotField>
    <pivotField name="PERSONAL PRESENTE" compact="0" numFmtId="37"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PERSONAL AUSENTE" compact="0" numFmtId="37"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PENDIENTES POR CONTRATAR" compact="0" numFmtId="37" outline="0" multipleItemSelectionAllowed="1" showAll="0">
      <items>
        <item x="0"/>
        <item x="1"/>
        <item x="2"/>
        <item x="3"/>
        <item x="4"/>
        <item x="5"/>
        <item x="6"/>
        <item x="7"/>
        <item x="8"/>
        <item x="9"/>
        <item x="10"/>
        <item t="default"/>
      </items>
    </pivotField>
    <pivotField name="MES" axis="axisRow" compact="0" outline="0" multipleItemSelectionAllowed="1" showAll="0" sortType="ascending">
      <items>
        <item x="12"/>
        <item x="3"/>
        <item x="7"/>
        <item x="11"/>
        <item x="0"/>
        <item x="1"/>
        <item x="6"/>
        <item x="5"/>
        <item x="2"/>
        <item x="4"/>
        <item x="10"/>
        <item x="9"/>
        <item x="8"/>
        <item t="default"/>
      </items>
    </pivotField>
    <pivotField name="AÑO" axis="axisPage" compact="0" outline="0" multipleItemSelectionAllowed="1" showAll="0">
      <items>
        <item h="1" x="0"/>
        <item h="1" x="1"/>
        <item x="2"/>
        <item x="3"/>
        <item t="default"/>
      </items>
    </pivotField>
  </pivotFields>
  <rowFields>
    <field x="32"/>
  </rowFields>
  <pageFields>
    <pageField fld="33"/>
  </pageFields>
  <dataFields>
    <dataField name="SUM of TOTAL DE BENEFICO" fld="1" baseField="0"/>
  </dataFields>
</pivotTableDefinition>
</file>

<file path=xl/pivotTables/pivotTable2.xml><?xml version="1.0" encoding="utf-8"?>
<pivotTableDefinition xmlns="http://schemas.openxmlformats.org/spreadsheetml/2006/main" name="Tabla dinámica 1 2" cacheId="1" dataCaption="" compact="0" compactData="0">
  <location ref="E3:H12" firstHeaderRow="0" firstDataRow="1" firstDataCol="1" rowPageCount="1" colPageCount="1"/>
  <pivotFields>
    <pivotField name="FECHA" axis="axisPage" compact="0" numFmtId="165" outline="0" multipleItemSelectionAllowed="1" showAll="0">
      <items>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t="default"/>
      </items>
    </pivotField>
    <pivotField name="HORA" compact="0" numFmtId="2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name="CANT" dataField="1" compact="0" outline="0" multipleItemSelectionAllowed="1" showAll="0">
      <items>
        <item x="0"/>
        <item x="1"/>
        <item x="2"/>
        <item t="default"/>
      </items>
    </pivotField>
    <pivotField name="CUARTOS" compact="0" outline="0" multipleItemSelectionAllowed="1" showAll="0">
      <items>
        <item x="0"/>
        <item x="1"/>
        <item x="2"/>
        <item t="default"/>
      </items>
    </pivotField>
    <pivotField name="PUESTOS" axis="axisRow" compact="0" outline="0" multipleItemSelectionAllowed="1" showAll="0" sortType="descending">
      <items>
        <item x="0"/>
        <item x="4"/>
        <item x="1"/>
        <item x="9"/>
        <item x="5"/>
        <item x="8"/>
        <item x="7"/>
        <item x="6"/>
        <item x="3"/>
        <item x="2"/>
        <item x="10"/>
        <item t="default"/>
      </items>
    </pivotField>
    <pivotField name="HALLAZGO" axis="axisCol" compact="0" outline="0" multipleItemSelectionAllowed="1" showAll="0" sortType="ascending">
      <items>
        <item x="3"/>
        <item x="1"/>
        <item x="0"/>
        <item x="2"/>
        <item t="default"/>
      </items>
    </pivotField>
  </pivotFields>
  <rowFields>
    <field x="4"/>
  </rowFields>
  <colFields>
    <field x="5"/>
  </colFields>
  <pageFields>
    <pageField fld="0"/>
  </pageFields>
  <dataFields>
    <dataField name="SUM of CANT" fld="2" baseField="0"/>
  </dataFields>
</pivotTableDefinition>
</file>

<file path=xl/tables/table1.xml><?xml version="1.0" encoding="utf-8"?>
<table xmlns="http://schemas.openxmlformats.org/spreadsheetml/2006/main" headerRowCount="0" ref="C67:C68" displayName="Table_1" name="Table_1" id="1">
  <tableColumns count="1">
    <tableColumn name="Column1" id="1"/>
  </tableColumns>
  <tableStyleInfo name="CIERRE DE PROCESO-style" showColumnStripes="0" showFirstColumn="1" showLastColumn="1" showRowStripes="1"/>
</table>
</file>

<file path=xl/tables/table2.xml><?xml version="1.0" encoding="utf-8"?>
<table xmlns="http://schemas.openxmlformats.org/spreadsheetml/2006/main" headerRowCount="0" ref="H67:H68" displayName="Table_2" name="Table_2" id="2">
  <tableColumns count="1">
    <tableColumn name="Column1" id="1"/>
  </tableColumns>
  <tableStyleInfo name="CIERRE DE PROCESO-style 2" showColumnStripes="0" showFirstColumn="1" showLastColumn="1" showRowStripes="1"/>
</table>
</file>

<file path=xl/tables/table3.xml><?xml version="1.0" encoding="utf-8"?>
<table xmlns="http://schemas.openxmlformats.org/spreadsheetml/2006/main" headerRowCount="0" ref="C77" displayName="Table_3" name="Table_3" id="3">
  <tableColumns count="1">
    <tableColumn name="Column1" id="1"/>
  </tableColumns>
  <tableStyleInfo name="CIERRE DE PROCESO-style 3" showColumnStripes="0" showFirstColumn="1" showLastColumn="1" showRowStripes="1"/>
</table>
</file>

<file path=xl/tables/table4.xml><?xml version="1.0" encoding="utf-8"?>
<table xmlns="http://schemas.openxmlformats.org/spreadsheetml/2006/main" headerRowCount="0" ref="H77:H85" displayName="Table_4" name="Table_4" id="4">
  <tableColumns count="1">
    <tableColumn name="Column1" id="1"/>
  </tableColumns>
  <tableStyleInfo name="CIERRE DE PROCESO-style 4" showColumnStripes="0" showFirstColumn="1" showLastColumn="1" showRowStripes="1"/>
</table>
</file>

<file path=xl/tables/table5.xml><?xml version="1.0" encoding="utf-8"?>
<table xmlns="http://schemas.openxmlformats.org/spreadsheetml/2006/main" headerRowCount="0" ref="H87" displayName="Table_5" name="Table_5" id="5">
  <tableColumns count="1">
    <tableColumn name="Column1" id="1"/>
  </tableColumns>
  <tableStyleInfo name="CIERRE DE PROCESO-style 5" showColumnStripes="0" showFirstColumn="1" showLastColumn="1" showRowStripes="1"/>
</table>
</file>

<file path=xl/tables/table6.xml><?xml version="1.0" encoding="utf-8"?>
<table xmlns="http://schemas.openxmlformats.org/spreadsheetml/2006/main" headerRowCount="0" ref="C88" displayName="Table_6" name="Table_6" id="6">
  <tableColumns count="1">
    <tableColumn name="Column1" id="1"/>
  </tableColumns>
  <tableStyleInfo name="CIERRE DE PROCESO-style 6" showColumnStripes="0" showFirstColumn="1" showLastColumn="1" showRowStripes="1"/>
</table>
</file>

<file path=xl/tables/table7.xml><?xml version="1.0" encoding="utf-8"?>
<table xmlns="http://schemas.openxmlformats.org/spreadsheetml/2006/main" headerRowCount="0" ref="H88:H89" displayName="Table_7" name="Table_7" id="7">
  <tableColumns count="1">
    <tableColumn name="Column1" id="1"/>
  </tableColumns>
  <tableStyleInfo name="CIERRE DE PROCESO-style 7" showColumnStripes="0" showFirstColumn="1" showLastColumn="1" showRowStripes="1"/>
</table>
</file>

<file path=xl/tables/table8.xml><?xml version="1.0" encoding="utf-8"?>
<table xmlns="http://schemas.openxmlformats.org/spreadsheetml/2006/main" ref="A1:F995" displayName="Quality_Tolerance_Record" name="Quality_Tolerance_Record" id="8">
  <autoFilter ref="$A$1:$F$995"/>
  <tableColumns count="6">
    <tableColumn name="FECHA" id="1"/>
    <tableColumn name="HORA" id="2"/>
    <tableColumn name="CANT" id="3"/>
    <tableColumn name="CUARTOS" id="4"/>
    <tableColumn name="PUESTOS" id="5"/>
    <tableColumn name="HALLAZGO" id="6"/>
  </tableColumns>
  <tableStyleInfo name="TOLERANCIA-style" showColumnStripes="0" showFirstColumn="1" showLastColumn="1" showRowStripes="1"/>
</table>
</file>

<file path=xl/tables/table9.xml><?xml version="1.0" encoding="utf-8"?>
<table xmlns="http://schemas.openxmlformats.org/spreadsheetml/2006/main" headerRowCount="0" ref="M6:N45" displayName="Table_8" name="Table_8" id="9">
  <tableColumns count="2">
    <tableColumn name="Column1" id="1"/>
    <tableColumn name="Column2" id="2"/>
  </tableColumns>
  <tableStyleInfo name="SIBO-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ref="A1:C23" displayName="Tabla" name="Tabla" id="10">
  <autoFilter ref="$A$1:$C$23"/>
  <tableColumns count="3">
    <tableColumn name="LISTADO DE INSUMOS" id="1"/>
    <tableColumn name="VALOR (UND)" id="2"/>
    <tableColumn name="KG" id="3"/>
  </tableColumns>
  <tableStyleInfo name="COSTO UNITARIO-style" showColumnStripes="0" showFirstColumn="1" showLastColumn="1" showRowStripes="1"/>
</table>
</file>

<file path=xl/tables/table11.xml><?xml version="1.0" encoding="utf-8"?>
<table xmlns="http://schemas.openxmlformats.org/spreadsheetml/2006/main" ref="E1:J13" displayName="Tabla_2" name="Tabla_2" id="11">
  <tableColumns count="6">
    <tableColumn name="subrproductos" id="1"/>
    <tableColumn name="valor por kg" id="2"/>
    <tableColumn name="META 2025" id="3"/>
    <tableColumn name="UND" id="4"/>
    <tableColumn name="META 2026" id="5"/>
    <tableColumn name="Diferencias" id="6"/>
  </tableColumns>
  <tableStyleInfo name="COSTO UNITARIO-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7CE8AD"/>
      </a:lt1>
      <a:dk2>
        <a:srgbClr val="000000"/>
      </a:dk2>
      <a:lt2>
        <a:srgbClr val="7CE8AD"/>
      </a:lt2>
      <a:accent1>
        <a:srgbClr val="629F50"/>
      </a:accent1>
      <a:accent2>
        <a:srgbClr val="D14F53"/>
      </a:accent2>
      <a:accent3>
        <a:srgbClr val="7CE8AD"/>
      </a:accent3>
      <a:accent4>
        <a:srgbClr val="F9DFF8"/>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3.xml"/><Relationship Id="rId10" Type="http://schemas.openxmlformats.org/officeDocument/2006/relationships/table" Target="../tables/table2.xml"/><Relationship Id="rId13" Type="http://schemas.openxmlformats.org/officeDocument/2006/relationships/table" Target="../tables/table5.xml"/><Relationship Id="rId12" Type="http://schemas.openxmlformats.org/officeDocument/2006/relationships/table" Target="../tables/table4.xml"/><Relationship Id="rId9" Type="http://schemas.openxmlformats.org/officeDocument/2006/relationships/table" Target="../tables/table1.xml"/><Relationship Id="rId15" Type="http://schemas.openxmlformats.org/officeDocument/2006/relationships/table" Target="../tables/table7.xml"/><Relationship Id="rId14"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 Id="rId4" Type="http://schemas.openxmlformats.org/officeDocument/2006/relationships/table" Target="../tables/table10.xml"/><Relationship Id="rId5"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0.86"/>
    <col customWidth="1" min="2" max="2" width="4.14"/>
    <col customWidth="1" min="3" max="3" width="17.57"/>
    <col customWidth="1" min="4" max="4" width="18.0"/>
    <col customWidth="1" min="5" max="5" width="14.29"/>
    <col customWidth="1" min="6" max="6" width="12.29"/>
    <col customWidth="1" min="7" max="7" width="14.0"/>
    <col customWidth="1" min="8" max="9" width="12.57"/>
    <col customWidth="1" min="10" max="10" width="13.57"/>
    <col customWidth="1" min="11" max="11" width="15.43"/>
    <col customWidth="1" min="12" max="12" width="11.29"/>
    <col customWidth="1" min="13" max="13" width="10.71"/>
    <col customWidth="1" hidden="1" min="14" max="15" width="10.71"/>
    <col customWidth="1" min="16" max="16" width="10.71"/>
    <col customWidth="1" min="17" max="17" width="1.29"/>
    <col customWidth="1" min="18" max="18" width="6.71"/>
    <col customWidth="1" min="19" max="19" width="10.71"/>
    <col customWidth="1" min="20" max="20" width="1.0"/>
    <col customWidth="1" min="21" max="24" width="10.71"/>
    <col customWidth="1" min="25" max="25" width="11.71"/>
    <col customWidth="1" min="26" max="26" width="13.43"/>
  </cols>
  <sheetData>
    <row r="1" ht="14.25" customHeight="1">
      <c r="B1" s="1"/>
      <c r="E1" s="3" t="s">
        <v>0</v>
      </c>
      <c r="F1" s="4" t="s">
        <v>2</v>
      </c>
    </row>
    <row r="2" ht="28.5" customHeight="1">
      <c r="B2" s="5" t="s">
        <v>3</v>
      </c>
      <c r="C2" s="7"/>
      <c r="D2" s="7"/>
      <c r="E2" s="7"/>
      <c r="F2" s="7"/>
      <c r="G2" s="7"/>
      <c r="H2" s="7"/>
      <c r="I2" s="7"/>
      <c r="J2" s="7"/>
      <c r="K2" s="7"/>
      <c r="L2" s="7"/>
      <c r="M2" s="7"/>
      <c r="N2" s="7"/>
      <c r="O2" s="7"/>
      <c r="P2" s="10"/>
    </row>
    <row r="3" ht="78.0" customHeight="1">
      <c r="A3" s="13"/>
      <c r="B3" s="14" t="s">
        <v>5</v>
      </c>
      <c r="C3" s="14" t="s">
        <v>7</v>
      </c>
      <c r="D3" s="14" t="s">
        <v>8</v>
      </c>
      <c r="E3" s="14" t="s">
        <v>9</v>
      </c>
      <c r="F3" s="14" t="s">
        <v>10</v>
      </c>
      <c r="G3" s="14" t="s">
        <v>11</v>
      </c>
      <c r="H3" s="14" t="s">
        <v>12</v>
      </c>
      <c r="I3" s="14" t="s">
        <v>13</v>
      </c>
      <c r="J3" s="14" t="s">
        <v>14</v>
      </c>
      <c r="K3" s="14" t="s">
        <v>15</v>
      </c>
      <c r="L3" s="14" t="s">
        <v>16</v>
      </c>
      <c r="M3" s="14" t="s">
        <v>17</v>
      </c>
      <c r="N3" s="14"/>
      <c r="O3" s="14"/>
      <c r="P3" s="14" t="s">
        <v>18</v>
      </c>
      <c r="Q3" s="13"/>
      <c r="R3" s="18"/>
      <c r="S3" s="13" t="s">
        <v>21</v>
      </c>
      <c r="T3" s="13"/>
      <c r="U3" s="13"/>
      <c r="V3" s="13"/>
      <c r="W3" s="13"/>
      <c r="X3" s="13"/>
      <c r="Y3" s="13"/>
      <c r="Z3" s="13"/>
    </row>
    <row r="4" ht="14.25" customHeight="1">
      <c r="A4" s="1"/>
      <c r="B4" s="23">
        <v>1.0</v>
      </c>
      <c r="C4" s="24">
        <v>306.0</v>
      </c>
      <c r="D4" s="24">
        <v>75.0</v>
      </c>
      <c r="E4" s="24">
        <v>0.0</v>
      </c>
      <c r="F4" s="24">
        <v>0.49</v>
      </c>
      <c r="G4" s="31">
        <f>+(C4/D4)</f>
        <v>4.08</v>
      </c>
      <c r="H4" s="31">
        <f>+G4-E4</f>
        <v>4.08</v>
      </c>
      <c r="I4" s="31">
        <f>H4-F4</f>
        <v>3.59</v>
      </c>
      <c r="J4" s="43">
        <f>+C4/H4</f>
        <v>75</v>
      </c>
      <c r="K4" s="50">
        <f>+C4/I4</f>
        <v>85.2367688</v>
      </c>
      <c r="L4" s="54">
        <f>+K4/60</f>
        <v>1.420612813</v>
      </c>
      <c r="M4" s="60">
        <f>(60/K4)/60/24</f>
        <v>0.0004888344227</v>
      </c>
      <c r="N4" s="62">
        <f>+MINUTE(M4)</f>
        <v>0</v>
      </c>
      <c r="O4" s="62">
        <f>+SECOND(M4)</f>
        <v>42</v>
      </c>
      <c r="P4" s="62">
        <f>+(N4*60)+O4</f>
        <v>42</v>
      </c>
      <c r="Q4" s="1"/>
      <c r="R4" s="1"/>
      <c r="S4" s="1"/>
      <c r="T4" s="1"/>
      <c r="U4" s="1"/>
      <c r="V4" s="1"/>
      <c r="W4" s="1"/>
      <c r="X4" s="1"/>
      <c r="Y4" s="1"/>
      <c r="Z4" s="1"/>
    </row>
    <row r="5" ht="14.25" customHeight="1">
      <c r="B5" s="68"/>
      <c r="C5" s="70"/>
      <c r="D5" s="1"/>
      <c r="E5" s="1"/>
      <c r="F5" s="1"/>
      <c r="G5" s="63"/>
      <c r="H5" s="63"/>
      <c r="I5" s="63"/>
      <c r="J5" s="73"/>
      <c r="K5" s="73"/>
      <c r="L5" s="75"/>
      <c r="M5" s="77"/>
      <c r="N5" s="1"/>
      <c r="O5" s="1"/>
      <c r="P5" s="1"/>
    </row>
    <row r="6" ht="14.25" customHeight="1">
      <c r="B6" s="1"/>
      <c r="E6" s="1"/>
      <c r="J6" s="79" t="s">
        <v>57</v>
      </c>
      <c r="K6" s="79" t="s">
        <v>58</v>
      </c>
      <c r="V6" s="3">
        <v>60.0</v>
      </c>
      <c r="W6" s="3">
        <v>76.0</v>
      </c>
    </row>
    <row r="7" ht="14.25" customHeight="1">
      <c r="B7" s="1"/>
      <c r="C7" s="62" t="s">
        <v>43</v>
      </c>
      <c r="D7" s="86">
        <v>0.8458333333333333</v>
      </c>
      <c r="V7" s="3">
        <v>30.0</v>
      </c>
      <c r="W7" s="3" t="s">
        <v>63</v>
      </c>
    </row>
    <row r="8" ht="14.25" customHeight="1">
      <c r="B8" s="1"/>
      <c r="C8" s="62" t="s">
        <v>65</v>
      </c>
      <c r="D8" s="93">
        <f>+D7+D9</f>
        <v>1.015833333</v>
      </c>
      <c r="G8" s="98">
        <f>C4</f>
        <v>306</v>
      </c>
    </row>
    <row r="9" ht="14.25" customHeight="1">
      <c r="B9" s="1"/>
      <c r="C9" s="103" t="s">
        <v>71</v>
      </c>
      <c r="D9" s="111">
        <f>+G4/24</f>
        <v>0.17</v>
      </c>
      <c r="E9" s="112" t="s">
        <v>27</v>
      </c>
      <c r="F9" s="115">
        <f>G8*4</f>
        <v>1224</v>
      </c>
      <c r="G9" s="119">
        <f>G8*2</f>
        <v>612</v>
      </c>
      <c r="P9" s="3">
        <v>0.33</v>
      </c>
      <c r="R9" s="3" t="s">
        <v>79</v>
      </c>
      <c r="V9" s="3">
        <f>V7*W6/V6</f>
        <v>38</v>
      </c>
    </row>
    <row r="10" ht="18.0" customHeight="1">
      <c r="B10" s="1"/>
      <c r="C10" s="4"/>
      <c r="D10" s="126"/>
      <c r="F10" s="128"/>
      <c r="G10" s="129"/>
    </row>
    <row r="11" ht="14.25" customHeight="1">
      <c r="B11" s="1"/>
      <c r="F11" s="132" t="s">
        <v>80</v>
      </c>
      <c r="G11" s="133" t="s">
        <v>82</v>
      </c>
      <c r="H11" s="133" t="s">
        <v>84</v>
      </c>
      <c r="P11" s="3">
        <v>1.0</v>
      </c>
      <c r="R11" s="3" t="s">
        <v>85</v>
      </c>
    </row>
    <row r="12" ht="14.25" customHeight="1">
      <c r="B12" s="1"/>
      <c r="C12" s="112">
        <v>344.0</v>
      </c>
      <c r="F12" s="136">
        <f t="shared" ref="F12:G12" si="1">(F13/F9)*100</f>
        <v>0.7</v>
      </c>
      <c r="G12" s="136">
        <f t="shared" si="1"/>
        <v>1.5</v>
      </c>
      <c r="H12" s="142">
        <f>H13/G9*100</f>
        <v>1</v>
      </c>
    </row>
    <row r="13" ht="14.25" customHeight="1">
      <c r="B13" s="1"/>
      <c r="D13" s="4"/>
      <c r="F13" s="152">
        <f>F9*0.007</f>
        <v>8.568</v>
      </c>
      <c r="G13" s="152">
        <f>G9*0.015</f>
        <v>9.18</v>
      </c>
      <c r="H13" s="152">
        <f>G9*0.01</f>
        <v>6.12</v>
      </c>
      <c r="U13" s="3">
        <f>13+10+39+5</f>
        <v>67</v>
      </c>
    </row>
    <row r="14" ht="14.25" customHeight="1">
      <c r="B14" s="1"/>
      <c r="D14" s="4"/>
      <c r="H14" s="158"/>
    </row>
    <row r="15" ht="15.75" customHeight="1">
      <c r="B15" s="1"/>
      <c r="H15" s="62">
        <v>0.5</v>
      </c>
      <c r="I15" s="62">
        <v>30.0</v>
      </c>
      <c r="P15" s="3">
        <v>0.75</v>
      </c>
      <c r="R15" s="3" t="s">
        <v>101</v>
      </c>
    </row>
    <row r="16" ht="14.25" customHeight="1">
      <c r="B16" s="1"/>
      <c r="H16" s="62">
        <v>0.33</v>
      </c>
      <c r="I16" s="62" t="s">
        <v>63</v>
      </c>
      <c r="J16" s="162">
        <f>H16*I15/H15</f>
        <v>19.8</v>
      </c>
      <c r="P16" s="3">
        <v>0.67</v>
      </c>
      <c r="R16" s="3" t="s">
        <v>107</v>
      </c>
    </row>
    <row r="17" ht="14.25" customHeight="1">
      <c r="B17" s="1"/>
      <c r="P17" s="3">
        <v>0.5</v>
      </c>
      <c r="R17" s="3" t="s">
        <v>108</v>
      </c>
    </row>
    <row r="18" ht="14.25" customHeight="1">
      <c r="B18" s="1"/>
    </row>
    <row r="19" ht="14.25" customHeight="1">
      <c r="B19" s="1"/>
      <c r="I19" s="62" t="s">
        <v>109</v>
      </c>
      <c r="J19" s="62" t="s">
        <v>110</v>
      </c>
    </row>
    <row r="20" ht="14.25" customHeight="1">
      <c r="B20" s="1"/>
      <c r="C20" s="62" t="s">
        <v>115</v>
      </c>
      <c r="I20" s="62">
        <v>60.0</v>
      </c>
      <c r="J20" s="169">
        <v>76.0</v>
      </c>
    </row>
    <row r="21" ht="14.25" customHeight="1">
      <c r="B21" s="1"/>
      <c r="C21" s="171">
        <v>344.0</v>
      </c>
      <c r="I21" s="169">
        <v>28.5</v>
      </c>
      <c r="J21" s="62" t="s">
        <v>63</v>
      </c>
    </row>
    <row r="22" ht="14.25" customHeight="1">
      <c r="B22" s="1"/>
      <c r="J22" s="175">
        <f>I21*J20/I20</f>
        <v>36.1</v>
      </c>
    </row>
    <row r="23" ht="14.25" customHeight="1">
      <c r="B23" s="1"/>
    </row>
    <row r="24" ht="14.25" customHeight="1">
      <c r="B24" s="1"/>
    </row>
    <row r="25" ht="14.25" customHeight="1">
      <c r="B25" s="1"/>
    </row>
    <row r="26" ht="14.25" customHeight="1">
      <c r="B26" s="1"/>
      <c r="M26" s="178">
        <v>0.6493055555555556</v>
      </c>
    </row>
    <row r="27" ht="14.25" customHeight="1">
      <c r="B27" s="1"/>
      <c r="M27" s="178">
        <v>0.6840277777777778</v>
      </c>
      <c r="P27" s="182">
        <f>M27-M26</f>
        <v>0.03472222222</v>
      </c>
    </row>
    <row r="28" ht="14.25" customHeight="1">
      <c r="B28" s="1"/>
    </row>
    <row r="29" ht="14.25" customHeight="1">
      <c r="B29" s="1"/>
    </row>
    <row r="30" ht="14.25" customHeight="1">
      <c r="B30" s="1"/>
    </row>
    <row r="31" ht="14.25" customHeight="1">
      <c r="B31" s="1"/>
    </row>
    <row r="32" ht="14.25" customHeight="1">
      <c r="B32" s="1"/>
    </row>
    <row r="33" ht="14.25" customHeight="1">
      <c r="B33" s="1"/>
    </row>
    <row r="34" ht="14.25" customHeight="1">
      <c r="B34" s="1"/>
    </row>
    <row r="35">
      <c r="B35" s="1"/>
    </row>
    <row r="36" ht="14.25" customHeight="1">
      <c r="B36" s="1"/>
    </row>
    <row r="37" ht="14.25" customHeight="1">
      <c r="B37" s="1"/>
    </row>
    <row r="38" ht="14.25" customHeight="1">
      <c r="B38" s="1"/>
    </row>
    <row r="39" ht="14.25" customHeight="1">
      <c r="B39" s="1"/>
    </row>
    <row r="40" ht="14.25" customHeight="1">
      <c r="B40" s="1"/>
    </row>
    <row r="41" ht="14.25" customHeight="1">
      <c r="B41" s="1"/>
    </row>
    <row r="42" ht="14.25" customHeight="1">
      <c r="B42" s="1"/>
    </row>
    <row r="43" ht="14.25" customHeight="1">
      <c r="B43" s="1"/>
    </row>
    <row r="44" ht="14.25" customHeight="1">
      <c r="B44" s="1"/>
    </row>
    <row r="45" ht="14.25" customHeight="1">
      <c r="B45" s="1"/>
    </row>
    <row r="46" ht="14.25" customHeight="1">
      <c r="B46" s="1"/>
    </row>
    <row r="47" ht="14.25" customHeight="1">
      <c r="B47" s="1"/>
    </row>
    <row r="48" ht="14.25" customHeight="1">
      <c r="B48" s="1"/>
    </row>
    <row r="49" ht="14.25" customHeight="1">
      <c r="B49" s="1"/>
    </row>
    <row r="50" ht="14.25" customHeight="1">
      <c r="B50" s="1"/>
    </row>
    <row r="51" ht="14.25" customHeight="1">
      <c r="B51" s="1"/>
    </row>
    <row r="52" ht="14.25" customHeight="1">
      <c r="B52" s="1"/>
    </row>
    <row r="53" ht="14.25" customHeight="1">
      <c r="B53" s="1"/>
    </row>
    <row r="54" ht="14.25" customHeight="1">
      <c r="B54" s="1"/>
    </row>
    <row r="55" ht="14.25" customHeight="1">
      <c r="B55" s="1"/>
    </row>
    <row r="56" ht="14.25" customHeight="1">
      <c r="B56" s="1"/>
    </row>
    <row r="57" ht="14.25" customHeight="1">
      <c r="B57" s="1"/>
    </row>
    <row r="58" ht="14.25" customHeight="1">
      <c r="B58" s="1"/>
    </row>
    <row r="59" ht="14.25" customHeight="1">
      <c r="B59" s="1"/>
    </row>
    <row r="60" ht="14.25" customHeight="1">
      <c r="B60" s="1"/>
    </row>
    <row r="61" ht="14.25" customHeight="1">
      <c r="B61" s="1"/>
    </row>
    <row r="62" ht="14.25" customHeight="1">
      <c r="B62" s="1"/>
    </row>
    <row r="63" ht="14.25" customHeight="1">
      <c r="B63" s="1"/>
    </row>
    <row r="64" ht="14.25" customHeight="1">
      <c r="B64" s="1"/>
    </row>
    <row r="65" ht="14.25" customHeight="1">
      <c r="B65" s="1"/>
    </row>
    <row r="66" ht="14.25" customHeight="1">
      <c r="B66" s="1"/>
    </row>
    <row r="67" ht="14.25" customHeight="1">
      <c r="B67" s="1"/>
    </row>
    <row r="68" ht="14.25" customHeight="1">
      <c r="B68" s="1"/>
    </row>
    <row r="69" ht="14.25" customHeight="1">
      <c r="B69" s="1"/>
    </row>
    <row r="70" ht="14.25" customHeight="1">
      <c r="B70" s="1"/>
    </row>
    <row r="71" ht="14.25" customHeight="1">
      <c r="B71" s="1"/>
    </row>
    <row r="72" ht="14.25" customHeight="1">
      <c r="B72" s="1"/>
    </row>
    <row r="73" ht="14.25" customHeight="1">
      <c r="B73" s="1"/>
    </row>
    <row r="74" ht="14.25" customHeight="1">
      <c r="B74" s="1"/>
    </row>
    <row r="75" ht="14.25" customHeight="1">
      <c r="B75" s="1"/>
    </row>
    <row r="76" ht="14.25" customHeight="1">
      <c r="B76" s="1"/>
    </row>
    <row r="77" ht="14.25" customHeight="1">
      <c r="B77" s="1"/>
    </row>
    <row r="78" ht="14.25" customHeight="1">
      <c r="B78" s="1"/>
    </row>
    <row r="79" ht="14.25" customHeight="1">
      <c r="B79" s="1"/>
    </row>
    <row r="80" ht="14.25" customHeight="1">
      <c r="B80" s="1"/>
    </row>
    <row r="81" ht="14.25" customHeight="1">
      <c r="B81" s="1"/>
    </row>
    <row r="82" ht="14.25" customHeight="1">
      <c r="B82" s="1"/>
    </row>
    <row r="83" ht="14.25" customHeight="1">
      <c r="B83" s="1"/>
    </row>
    <row r="84" ht="14.25" customHeight="1">
      <c r="B84" s="1"/>
    </row>
    <row r="85" ht="14.25" customHeight="1">
      <c r="B85" s="1"/>
    </row>
    <row r="86" ht="14.25" customHeight="1">
      <c r="B86" s="1"/>
    </row>
    <row r="87" ht="14.25" customHeight="1">
      <c r="B87" s="1"/>
    </row>
    <row r="88" ht="14.25" customHeight="1">
      <c r="B88" s="1"/>
    </row>
    <row r="89" ht="14.25" customHeight="1">
      <c r="B89" s="1"/>
    </row>
    <row r="90" ht="14.25" customHeight="1">
      <c r="B90" s="1"/>
    </row>
    <row r="91" ht="14.25" customHeight="1">
      <c r="B91" s="1"/>
    </row>
    <row r="92" ht="14.25" customHeight="1">
      <c r="B92" s="1"/>
    </row>
    <row r="93" ht="14.25" customHeight="1">
      <c r="B93" s="1"/>
    </row>
    <row r="94" ht="14.25" customHeight="1">
      <c r="B94" s="1"/>
    </row>
    <row r="95" ht="14.25" customHeight="1">
      <c r="B95" s="1"/>
    </row>
    <row r="96" ht="14.25" customHeight="1">
      <c r="B96" s="1"/>
    </row>
    <row r="97" ht="14.25" customHeight="1">
      <c r="B97" s="1"/>
    </row>
    <row r="98" ht="14.25" customHeight="1">
      <c r="B98" s="1"/>
    </row>
    <row r="99" ht="14.25" customHeight="1">
      <c r="B99" s="1"/>
    </row>
    <row r="100" ht="14.25" customHeight="1">
      <c r="B100" s="1"/>
    </row>
    <row r="101" ht="14.25" customHeight="1">
      <c r="B101" s="1"/>
    </row>
    <row r="102" ht="14.25" customHeight="1">
      <c r="B102" s="1"/>
    </row>
    <row r="103" ht="14.25" customHeight="1">
      <c r="B103" s="1"/>
    </row>
    <row r="104" ht="14.25" customHeight="1">
      <c r="B104" s="1"/>
    </row>
    <row r="105" ht="14.25" customHeight="1">
      <c r="B105" s="1"/>
    </row>
    <row r="106" ht="14.25" customHeight="1">
      <c r="B106" s="1"/>
    </row>
    <row r="107" ht="14.25" customHeight="1">
      <c r="B107" s="1"/>
    </row>
    <row r="108" ht="14.25" customHeight="1">
      <c r="B108" s="1"/>
    </row>
    <row r="109" ht="14.25" customHeight="1">
      <c r="B109" s="1"/>
    </row>
    <row r="110" ht="14.25" customHeight="1">
      <c r="B110" s="1"/>
    </row>
    <row r="111" ht="14.25" customHeight="1">
      <c r="B111" s="1"/>
    </row>
    <row r="112" ht="14.25" customHeight="1">
      <c r="B112" s="1"/>
    </row>
    <row r="113" ht="14.25" customHeight="1">
      <c r="B113" s="1"/>
    </row>
    <row r="114" ht="14.25" customHeight="1">
      <c r="B114" s="1"/>
    </row>
    <row r="115" ht="14.25" customHeight="1">
      <c r="B115" s="1"/>
    </row>
    <row r="116" ht="14.25" customHeight="1">
      <c r="B116" s="1"/>
    </row>
    <row r="117" ht="14.25" customHeight="1">
      <c r="B117" s="1"/>
    </row>
    <row r="118" ht="14.25" customHeight="1">
      <c r="B118" s="1"/>
    </row>
    <row r="119" ht="14.25" customHeight="1">
      <c r="B119" s="1"/>
    </row>
    <row r="120" ht="14.25" customHeight="1">
      <c r="B120" s="1"/>
    </row>
    <row r="121" ht="14.25" customHeight="1">
      <c r="B121" s="1"/>
    </row>
    <row r="122" ht="14.25" customHeight="1">
      <c r="B122" s="1"/>
    </row>
    <row r="123" ht="14.25" customHeight="1">
      <c r="B123" s="1"/>
    </row>
    <row r="124" ht="14.25" customHeight="1">
      <c r="B124" s="1"/>
    </row>
    <row r="125" ht="14.25" customHeight="1">
      <c r="B125" s="1"/>
    </row>
    <row r="126" ht="14.25" customHeight="1">
      <c r="B126" s="1"/>
    </row>
    <row r="127" ht="14.25" customHeight="1">
      <c r="B127" s="1"/>
    </row>
    <row r="128" ht="14.25" customHeight="1">
      <c r="B128" s="1"/>
    </row>
    <row r="129" ht="14.25" customHeight="1">
      <c r="B129" s="1"/>
    </row>
    <row r="130" ht="14.25" customHeight="1">
      <c r="B130" s="1"/>
    </row>
    <row r="131" ht="14.25" customHeight="1">
      <c r="B131" s="1"/>
    </row>
    <row r="132" ht="14.25" customHeight="1">
      <c r="B132" s="1"/>
    </row>
    <row r="133" ht="14.25" customHeight="1">
      <c r="B133" s="1"/>
    </row>
    <row r="134" ht="14.25" customHeight="1">
      <c r="B134" s="1"/>
    </row>
    <row r="135" ht="14.25" customHeight="1">
      <c r="B135" s="1"/>
    </row>
    <row r="136" ht="14.25" customHeight="1">
      <c r="B136" s="1"/>
    </row>
    <row r="137" ht="14.25" customHeight="1">
      <c r="B137" s="1"/>
    </row>
    <row r="138" ht="14.25" customHeight="1">
      <c r="B138" s="1"/>
    </row>
    <row r="139" ht="14.25" customHeight="1">
      <c r="B139" s="1"/>
    </row>
    <row r="140" ht="14.25" customHeight="1">
      <c r="B140" s="1"/>
    </row>
    <row r="141" ht="14.25" customHeight="1">
      <c r="B141" s="1"/>
    </row>
    <row r="142" ht="14.25" customHeight="1">
      <c r="B142" s="1"/>
    </row>
    <row r="143" ht="14.25" customHeight="1">
      <c r="B143" s="1"/>
    </row>
    <row r="144" ht="14.25" customHeight="1">
      <c r="B144" s="1"/>
    </row>
    <row r="145" ht="14.25" customHeight="1">
      <c r="B145" s="1"/>
    </row>
    <row r="146" ht="14.25" customHeight="1">
      <c r="B146" s="1"/>
    </row>
    <row r="147" ht="14.25" customHeight="1">
      <c r="B147" s="1"/>
    </row>
    <row r="148" ht="14.25" customHeight="1">
      <c r="B148" s="1"/>
    </row>
    <row r="149" ht="14.25" customHeight="1">
      <c r="B149" s="1"/>
    </row>
    <row r="150" ht="14.25" customHeight="1">
      <c r="B150" s="1"/>
    </row>
    <row r="151" ht="14.25" customHeight="1">
      <c r="B151" s="1"/>
    </row>
    <row r="152" ht="14.25" customHeight="1">
      <c r="B152" s="1"/>
    </row>
    <row r="153" ht="14.25" customHeight="1">
      <c r="B153" s="1"/>
    </row>
    <row r="154" ht="14.25" customHeight="1">
      <c r="B154" s="1"/>
    </row>
    <row r="155" ht="14.25" customHeight="1">
      <c r="B155" s="1"/>
    </row>
    <row r="156" ht="14.25" customHeight="1">
      <c r="B156" s="1"/>
    </row>
    <row r="157" ht="14.25" customHeight="1">
      <c r="B157" s="1"/>
    </row>
    <row r="158" ht="14.25" customHeight="1">
      <c r="B158" s="1"/>
    </row>
    <row r="159" ht="14.25" customHeight="1">
      <c r="B159" s="1"/>
    </row>
    <row r="160" ht="14.25" customHeight="1">
      <c r="B160" s="1"/>
    </row>
    <row r="161" ht="14.25" customHeight="1">
      <c r="B161" s="1"/>
    </row>
    <row r="162" ht="14.25" customHeight="1">
      <c r="B162" s="1"/>
    </row>
    <row r="163" ht="14.25" customHeight="1">
      <c r="B163" s="1"/>
    </row>
    <row r="164" ht="14.25" customHeight="1">
      <c r="B164" s="1"/>
    </row>
    <row r="165" ht="14.25" customHeight="1">
      <c r="B165" s="1"/>
    </row>
    <row r="166" ht="14.25" customHeight="1">
      <c r="B166" s="1"/>
    </row>
    <row r="167" ht="14.25" customHeight="1">
      <c r="B167" s="1"/>
    </row>
    <row r="168" ht="14.25" customHeight="1">
      <c r="B168" s="1"/>
    </row>
    <row r="169" ht="14.25" customHeight="1">
      <c r="B169" s="1"/>
    </row>
    <row r="170" ht="14.25" customHeight="1">
      <c r="B170" s="1"/>
    </row>
    <row r="171" ht="14.25" customHeight="1">
      <c r="B171" s="1"/>
    </row>
    <row r="172" ht="14.25" customHeight="1">
      <c r="B172" s="1"/>
    </row>
    <row r="173" ht="14.25" customHeight="1">
      <c r="B173" s="1"/>
    </row>
    <row r="174" ht="14.25" customHeight="1">
      <c r="B174" s="1"/>
    </row>
    <row r="175" ht="14.25" customHeight="1">
      <c r="B175" s="1"/>
    </row>
    <row r="176" ht="14.25" customHeight="1">
      <c r="B176" s="1"/>
    </row>
    <row r="177" ht="14.25" customHeight="1">
      <c r="B177" s="1"/>
    </row>
    <row r="178" ht="14.25" customHeight="1">
      <c r="B178" s="1"/>
    </row>
    <row r="179" ht="14.25" customHeight="1">
      <c r="B179" s="1"/>
    </row>
    <row r="180" ht="14.25" customHeight="1">
      <c r="B180" s="1"/>
    </row>
    <row r="181" ht="14.25" customHeight="1">
      <c r="B181" s="1"/>
    </row>
    <row r="182" ht="14.25" customHeight="1">
      <c r="B182" s="1"/>
    </row>
    <row r="183" ht="14.25" customHeight="1">
      <c r="B183" s="1"/>
    </row>
    <row r="184" ht="14.25" customHeight="1">
      <c r="B184" s="1"/>
    </row>
    <row r="185" ht="14.25" customHeight="1">
      <c r="B185" s="1"/>
    </row>
    <row r="186" ht="14.25" customHeight="1">
      <c r="B186" s="1"/>
    </row>
    <row r="187" ht="14.25" customHeight="1">
      <c r="B187" s="1"/>
    </row>
    <row r="188" ht="14.25" customHeight="1">
      <c r="B188" s="1"/>
    </row>
    <row r="189" ht="14.25" customHeight="1">
      <c r="B189" s="1"/>
    </row>
    <row r="190" ht="14.25" customHeight="1">
      <c r="B190" s="1"/>
    </row>
    <row r="191" ht="14.25" customHeight="1">
      <c r="B191" s="1"/>
    </row>
    <row r="192" ht="14.25" customHeight="1">
      <c r="B192" s="1"/>
    </row>
    <row r="193" ht="14.25" customHeight="1">
      <c r="B193" s="1"/>
    </row>
    <row r="194" ht="14.25" customHeight="1">
      <c r="B194" s="1"/>
    </row>
    <row r="195" ht="14.25" customHeight="1">
      <c r="B195" s="1"/>
    </row>
    <row r="196" ht="14.25" customHeight="1">
      <c r="B196" s="1"/>
    </row>
    <row r="197" ht="14.25" customHeight="1">
      <c r="B197" s="1"/>
    </row>
    <row r="198" ht="14.25" customHeight="1">
      <c r="B198" s="1"/>
    </row>
    <row r="199" ht="14.25" customHeight="1">
      <c r="B199" s="1"/>
    </row>
    <row r="200" ht="14.25" customHeight="1">
      <c r="B200" s="1"/>
    </row>
    <row r="201" ht="14.25" customHeight="1">
      <c r="B201" s="1"/>
    </row>
    <row r="202" ht="14.25" customHeight="1">
      <c r="B202" s="1"/>
    </row>
    <row r="203" ht="14.25" customHeight="1">
      <c r="B203" s="1"/>
    </row>
    <row r="204" ht="14.25" customHeight="1">
      <c r="B204" s="1"/>
    </row>
    <row r="205" ht="14.25" customHeight="1">
      <c r="B205" s="1"/>
    </row>
    <row r="206" ht="14.25" customHeight="1">
      <c r="B206" s="1"/>
    </row>
    <row r="207" ht="14.25" customHeight="1">
      <c r="B207" s="1"/>
    </row>
    <row r="208" ht="14.25" customHeight="1">
      <c r="B208" s="1"/>
    </row>
    <row r="209" ht="14.25" customHeight="1">
      <c r="B209" s="1"/>
    </row>
    <row r="210" ht="14.25" customHeight="1">
      <c r="B210" s="1"/>
    </row>
    <row r="211" ht="14.25" customHeight="1">
      <c r="B211" s="1"/>
    </row>
    <row r="212" ht="14.25" customHeight="1">
      <c r="B212" s="1"/>
    </row>
    <row r="213" ht="14.25" customHeight="1">
      <c r="B213" s="1"/>
    </row>
    <row r="214" ht="14.25" customHeight="1">
      <c r="B214" s="1"/>
    </row>
    <row r="215" ht="14.25" customHeight="1">
      <c r="B215" s="1"/>
    </row>
    <row r="216" ht="14.25" customHeight="1">
      <c r="B216" s="1"/>
    </row>
    <row r="217" ht="14.25" customHeight="1">
      <c r="B217" s="1"/>
    </row>
    <row r="218" ht="14.25" customHeight="1">
      <c r="B218" s="1"/>
    </row>
    <row r="219" ht="14.25" customHeight="1">
      <c r="B219" s="1"/>
    </row>
    <row r="220" ht="14.25" customHeight="1">
      <c r="B220" s="1"/>
    </row>
    <row r="221" ht="14.25" customHeight="1">
      <c r="B221" s="1"/>
    </row>
    <row r="222" ht="14.25" customHeight="1">
      <c r="B222" s="1"/>
    </row>
    <row r="223" ht="14.25" customHeight="1">
      <c r="B223" s="1"/>
    </row>
    <row r="224" ht="14.25" customHeight="1">
      <c r="B224" s="1"/>
    </row>
    <row r="225" ht="14.25" customHeight="1">
      <c r="B225" s="1"/>
    </row>
    <row r="226" ht="14.25" customHeight="1">
      <c r="B226" s="1"/>
    </row>
    <row r="227" ht="14.25" customHeight="1">
      <c r="B227" s="1"/>
    </row>
    <row r="228" ht="14.25" customHeight="1">
      <c r="B228" s="1"/>
    </row>
    <row r="229" ht="14.25" customHeight="1">
      <c r="B229" s="1"/>
    </row>
    <row r="230" ht="14.25" customHeight="1">
      <c r="B230" s="1"/>
    </row>
    <row r="231" ht="14.25" customHeight="1">
      <c r="B231" s="1"/>
    </row>
    <row r="232" ht="14.25" customHeight="1">
      <c r="B232" s="1"/>
    </row>
    <row r="233" ht="14.25" customHeight="1">
      <c r="B233" s="1"/>
    </row>
    <row r="234" ht="14.25" customHeight="1">
      <c r="B234" s="1"/>
    </row>
    <row r="235" ht="14.25" customHeight="1">
      <c r="B235" s="1"/>
    </row>
    <row r="236" ht="14.25" customHeight="1">
      <c r="B236" s="1"/>
    </row>
    <row r="237" ht="14.25" customHeight="1">
      <c r="B237" s="1"/>
    </row>
    <row r="238" ht="14.25" customHeight="1">
      <c r="B238" s="1"/>
    </row>
    <row r="239" ht="14.25" customHeight="1">
      <c r="B239" s="1"/>
    </row>
    <row r="240" ht="14.25" customHeight="1">
      <c r="B240" s="1"/>
    </row>
    <row r="241" ht="14.25" customHeight="1">
      <c r="B241" s="1"/>
    </row>
    <row r="242" ht="14.25" customHeight="1">
      <c r="B242" s="1"/>
    </row>
    <row r="243" ht="14.25" customHeight="1">
      <c r="B243" s="1"/>
    </row>
    <row r="244" ht="14.25" customHeight="1">
      <c r="B244" s="1"/>
    </row>
    <row r="245" ht="14.25" customHeight="1">
      <c r="B245" s="1"/>
    </row>
    <row r="246" ht="14.25" customHeight="1">
      <c r="B246" s="1"/>
    </row>
    <row r="247" ht="14.25" customHeight="1">
      <c r="B247" s="1"/>
    </row>
    <row r="248" ht="14.25" customHeight="1">
      <c r="B248" s="1"/>
    </row>
    <row r="249" ht="14.25" customHeight="1">
      <c r="B249" s="1"/>
    </row>
    <row r="250" ht="14.25" customHeight="1">
      <c r="B250" s="1"/>
    </row>
    <row r="251" ht="14.25" customHeight="1">
      <c r="B251" s="1"/>
    </row>
    <row r="252" ht="14.25" customHeight="1">
      <c r="B252" s="1"/>
    </row>
    <row r="253" ht="14.25" customHeight="1">
      <c r="B253" s="1"/>
    </row>
    <row r="254" ht="14.25" customHeight="1">
      <c r="B254" s="1"/>
    </row>
    <row r="255" ht="14.25" customHeight="1">
      <c r="B255" s="1"/>
    </row>
    <row r="256" ht="14.25" customHeight="1">
      <c r="B256" s="1"/>
    </row>
    <row r="257" ht="14.25" customHeight="1">
      <c r="B257" s="1"/>
    </row>
    <row r="258" ht="14.25" customHeight="1">
      <c r="B258" s="1"/>
    </row>
    <row r="259" ht="14.25" customHeight="1">
      <c r="B259" s="1"/>
    </row>
    <row r="260" ht="14.25" customHeight="1">
      <c r="B260" s="1"/>
    </row>
    <row r="261" ht="14.25" customHeight="1">
      <c r="B261" s="1"/>
    </row>
    <row r="262" ht="14.25" customHeight="1">
      <c r="B262" s="1"/>
    </row>
    <row r="263" ht="14.25" customHeight="1">
      <c r="B263" s="1"/>
    </row>
    <row r="264" ht="14.25" customHeight="1">
      <c r="B264" s="1"/>
    </row>
    <row r="265" ht="14.25" customHeight="1">
      <c r="B265" s="1"/>
    </row>
    <row r="266" ht="14.25" customHeight="1">
      <c r="B266" s="1"/>
    </row>
    <row r="267" ht="14.25" customHeight="1">
      <c r="B267" s="1"/>
    </row>
    <row r="268" ht="14.25" customHeight="1">
      <c r="B268" s="1"/>
    </row>
    <row r="269" ht="14.25" customHeight="1">
      <c r="B269" s="1"/>
    </row>
    <row r="270" ht="14.25" customHeight="1">
      <c r="B270" s="1"/>
    </row>
    <row r="271" ht="14.25" customHeight="1">
      <c r="B271" s="1"/>
    </row>
    <row r="272" ht="14.25" customHeight="1">
      <c r="B272" s="1"/>
    </row>
    <row r="273" ht="14.25" customHeight="1">
      <c r="B273" s="1"/>
    </row>
    <row r="274" ht="14.25" customHeight="1">
      <c r="B274" s="1"/>
    </row>
    <row r="275" ht="14.25" customHeight="1">
      <c r="B275" s="1"/>
    </row>
    <row r="276" ht="14.25" customHeight="1">
      <c r="B276" s="1"/>
    </row>
    <row r="277" ht="14.25" customHeight="1">
      <c r="B277" s="1"/>
    </row>
    <row r="278" ht="14.25" customHeight="1">
      <c r="B278" s="1"/>
    </row>
    <row r="279" ht="14.25" customHeight="1">
      <c r="B279" s="1"/>
    </row>
    <row r="280" ht="14.25" customHeight="1">
      <c r="B280" s="1"/>
    </row>
    <row r="281" ht="14.25" customHeight="1">
      <c r="B281" s="1"/>
    </row>
    <row r="282" ht="14.25" customHeight="1">
      <c r="B282" s="1"/>
    </row>
    <row r="283" ht="14.25" customHeight="1">
      <c r="B283" s="1"/>
    </row>
    <row r="284" ht="14.25" customHeight="1">
      <c r="B284" s="1"/>
    </row>
    <row r="285" ht="14.25" customHeight="1">
      <c r="B285" s="1"/>
    </row>
    <row r="286" ht="14.25" customHeight="1">
      <c r="B286" s="1"/>
    </row>
    <row r="287" ht="14.25" customHeight="1">
      <c r="B287" s="1"/>
    </row>
    <row r="288" ht="14.25" customHeight="1">
      <c r="B288" s="1"/>
    </row>
    <row r="289" ht="14.25" customHeight="1">
      <c r="B289" s="1"/>
    </row>
    <row r="290" ht="14.25" customHeight="1">
      <c r="B290" s="1"/>
    </row>
    <row r="291" ht="14.25" customHeight="1">
      <c r="B291" s="1"/>
    </row>
    <row r="292" ht="14.25" customHeight="1">
      <c r="B292" s="1"/>
    </row>
    <row r="293" ht="14.25" customHeight="1">
      <c r="B293" s="1"/>
    </row>
    <row r="294" ht="14.25" customHeight="1">
      <c r="B294" s="1"/>
    </row>
    <row r="295" ht="14.25" customHeight="1">
      <c r="B295" s="1"/>
    </row>
    <row r="296" ht="14.25" customHeight="1">
      <c r="B296" s="1"/>
    </row>
    <row r="297" ht="14.25" customHeight="1">
      <c r="B297" s="1"/>
    </row>
    <row r="298" ht="14.25" customHeight="1">
      <c r="B298" s="1"/>
    </row>
    <row r="299" ht="14.25" customHeight="1">
      <c r="B299" s="1"/>
    </row>
    <row r="300" ht="14.25" customHeight="1">
      <c r="B300" s="1"/>
    </row>
    <row r="301" ht="14.25" customHeight="1">
      <c r="B301" s="1"/>
    </row>
    <row r="302" ht="14.25" customHeight="1">
      <c r="B302" s="1"/>
    </row>
    <row r="303" ht="14.25" customHeight="1">
      <c r="B303" s="1"/>
    </row>
    <row r="304" ht="14.25" customHeight="1">
      <c r="B304" s="1"/>
    </row>
    <row r="305" ht="14.25" customHeight="1">
      <c r="B305" s="1"/>
    </row>
    <row r="306" ht="14.25" customHeight="1">
      <c r="B306" s="1"/>
    </row>
    <row r="307" ht="14.25" customHeight="1">
      <c r="B307" s="1"/>
    </row>
    <row r="308" ht="14.25" customHeight="1">
      <c r="B308" s="1"/>
    </row>
    <row r="309" ht="14.25" customHeight="1">
      <c r="B309" s="1"/>
    </row>
    <row r="310" ht="14.25" customHeight="1">
      <c r="B310" s="1"/>
    </row>
    <row r="311" ht="14.25" customHeight="1">
      <c r="B311" s="1"/>
    </row>
    <row r="312" ht="14.25" customHeight="1">
      <c r="B312" s="1"/>
    </row>
    <row r="313" ht="14.25" customHeight="1">
      <c r="B313" s="1"/>
    </row>
    <row r="314" ht="14.25" customHeight="1">
      <c r="B314" s="1"/>
    </row>
    <row r="315" ht="14.25" customHeight="1">
      <c r="B315" s="1"/>
    </row>
    <row r="316" ht="14.25" customHeight="1">
      <c r="B316" s="1"/>
    </row>
    <row r="317" ht="14.25" customHeight="1">
      <c r="B317" s="1"/>
    </row>
    <row r="318" ht="14.25" customHeight="1">
      <c r="B318" s="1"/>
    </row>
    <row r="319" ht="14.25" customHeight="1">
      <c r="B319" s="1"/>
    </row>
    <row r="320" ht="14.25" customHeight="1">
      <c r="B320" s="1"/>
    </row>
    <row r="321" ht="14.25" customHeight="1">
      <c r="B321" s="1"/>
    </row>
    <row r="322" ht="14.25" customHeight="1">
      <c r="B322" s="1"/>
    </row>
    <row r="323" ht="14.25" customHeight="1">
      <c r="B323" s="1"/>
    </row>
    <row r="324" ht="14.25" customHeight="1">
      <c r="B324" s="1"/>
    </row>
    <row r="325" ht="14.25" customHeight="1">
      <c r="B325" s="1"/>
    </row>
    <row r="326" ht="14.25" customHeight="1">
      <c r="B326" s="1"/>
    </row>
    <row r="327" ht="14.25" customHeight="1">
      <c r="B327" s="1"/>
    </row>
    <row r="328" ht="14.25" customHeight="1">
      <c r="B328" s="1"/>
    </row>
    <row r="329" ht="14.25" customHeight="1">
      <c r="B329" s="1"/>
    </row>
    <row r="330" ht="14.25" customHeight="1">
      <c r="B330" s="1"/>
    </row>
    <row r="331" ht="14.25" customHeight="1">
      <c r="B331" s="1"/>
    </row>
    <row r="332" ht="14.25" customHeight="1">
      <c r="B332" s="1"/>
    </row>
    <row r="333" ht="14.25" customHeight="1">
      <c r="B333" s="1"/>
    </row>
    <row r="334" ht="14.25" customHeight="1">
      <c r="B334" s="1"/>
    </row>
    <row r="335" ht="14.25" customHeight="1">
      <c r="B335" s="1"/>
    </row>
    <row r="336" ht="14.25" customHeight="1">
      <c r="B336" s="1"/>
    </row>
    <row r="337" ht="14.25" customHeight="1">
      <c r="B337" s="1"/>
    </row>
    <row r="338" ht="14.25" customHeight="1">
      <c r="B338" s="1"/>
    </row>
    <row r="339" ht="14.25" customHeight="1">
      <c r="B339" s="1"/>
    </row>
    <row r="340" ht="14.25" customHeight="1">
      <c r="B340" s="1"/>
    </row>
    <row r="341" ht="14.25" customHeight="1">
      <c r="B341" s="1"/>
    </row>
    <row r="342" ht="14.25" customHeight="1">
      <c r="B342" s="1"/>
    </row>
    <row r="343" ht="14.25" customHeight="1">
      <c r="B343" s="1"/>
    </row>
    <row r="344" ht="14.25" customHeight="1">
      <c r="B344" s="1"/>
    </row>
    <row r="345" ht="14.25" customHeight="1">
      <c r="B345" s="1"/>
    </row>
    <row r="346" ht="14.25" customHeight="1">
      <c r="B346" s="1"/>
    </row>
    <row r="347" ht="14.25" customHeight="1">
      <c r="B347" s="1"/>
    </row>
    <row r="348" ht="14.25" customHeight="1">
      <c r="B348" s="1"/>
    </row>
    <row r="349" ht="14.25" customHeight="1">
      <c r="B349" s="1"/>
    </row>
    <row r="350" ht="14.25" customHeight="1">
      <c r="B350" s="1"/>
    </row>
    <row r="351" ht="14.25" customHeight="1">
      <c r="B351" s="1"/>
    </row>
    <row r="352" ht="14.25" customHeight="1">
      <c r="B352" s="1"/>
    </row>
    <row r="353" ht="14.25" customHeight="1">
      <c r="B353" s="1"/>
    </row>
    <row r="354" ht="14.25" customHeight="1">
      <c r="B354" s="1"/>
    </row>
    <row r="355" ht="14.25" customHeight="1">
      <c r="B355" s="1"/>
    </row>
    <row r="356" ht="14.25" customHeight="1">
      <c r="B356" s="1"/>
    </row>
    <row r="357" ht="14.25" customHeight="1">
      <c r="B357" s="1"/>
    </row>
    <row r="358" ht="14.25" customHeight="1">
      <c r="B358" s="1"/>
    </row>
    <row r="359" ht="14.25" customHeight="1">
      <c r="B359" s="1"/>
    </row>
    <row r="360" ht="14.25" customHeight="1">
      <c r="B360" s="1"/>
    </row>
    <row r="361" ht="14.25" customHeight="1">
      <c r="B361" s="1"/>
    </row>
    <row r="362" ht="14.25" customHeight="1">
      <c r="B362" s="1"/>
    </row>
    <row r="363" ht="14.25" customHeight="1">
      <c r="B363" s="1"/>
    </row>
    <row r="364" ht="14.25" customHeight="1">
      <c r="B364" s="1"/>
    </row>
    <row r="365" ht="14.25" customHeight="1">
      <c r="B365" s="1"/>
    </row>
    <row r="366" ht="14.25" customHeight="1">
      <c r="B366" s="1"/>
    </row>
    <row r="367" ht="14.25" customHeight="1">
      <c r="B367" s="1"/>
    </row>
    <row r="368" ht="14.25" customHeight="1">
      <c r="B368" s="1"/>
    </row>
    <row r="369" ht="14.25" customHeight="1">
      <c r="B369" s="1"/>
    </row>
    <row r="370" ht="14.25" customHeight="1">
      <c r="B370" s="1"/>
    </row>
    <row r="371" ht="14.25" customHeight="1">
      <c r="B371" s="1"/>
    </row>
    <row r="372" ht="14.25" customHeight="1">
      <c r="B372" s="1"/>
    </row>
    <row r="373" ht="14.25" customHeight="1">
      <c r="B373" s="1"/>
    </row>
    <row r="374" ht="14.25" customHeight="1">
      <c r="B374" s="1"/>
    </row>
    <row r="375" ht="14.25" customHeight="1">
      <c r="B375" s="1"/>
    </row>
    <row r="376" ht="14.25" customHeight="1">
      <c r="B376" s="1"/>
    </row>
    <row r="377" ht="14.25" customHeight="1">
      <c r="B377" s="1"/>
    </row>
    <row r="378" ht="14.25" customHeight="1">
      <c r="B378" s="1"/>
    </row>
    <row r="379" ht="14.25" customHeight="1">
      <c r="B379" s="1"/>
    </row>
    <row r="380" ht="14.25" customHeight="1">
      <c r="B380" s="1"/>
    </row>
    <row r="381" ht="14.25" customHeight="1">
      <c r="B381" s="1"/>
    </row>
    <row r="382" ht="14.25" customHeight="1">
      <c r="B382" s="1"/>
    </row>
    <row r="383" ht="14.25" customHeight="1">
      <c r="B383" s="1"/>
    </row>
    <row r="384" ht="14.25" customHeight="1">
      <c r="B384" s="1"/>
    </row>
    <row r="385" ht="14.25" customHeight="1">
      <c r="B385" s="1"/>
    </row>
    <row r="386" ht="14.25" customHeight="1">
      <c r="B386" s="1"/>
    </row>
    <row r="387" ht="14.25" customHeight="1">
      <c r="B387" s="1"/>
    </row>
    <row r="388" ht="14.25" customHeight="1">
      <c r="B388" s="1"/>
    </row>
    <row r="389" ht="14.25" customHeight="1">
      <c r="B389" s="1"/>
    </row>
    <row r="390" ht="14.25" customHeight="1">
      <c r="B390" s="1"/>
    </row>
    <row r="391" ht="14.25" customHeight="1">
      <c r="B391" s="1"/>
    </row>
    <row r="392" ht="14.25" customHeight="1">
      <c r="B392" s="1"/>
    </row>
    <row r="393" ht="14.25" customHeight="1">
      <c r="B393" s="1"/>
    </row>
    <row r="394" ht="14.25" customHeight="1">
      <c r="B394" s="1"/>
    </row>
    <row r="395" ht="14.25" customHeight="1">
      <c r="B395" s="1"/>
    </row>
    <row r="396" ht="14.25" customHeight="1">
      <c r="B396" s="1"/>
    </row>
    <row r="397" ht="14.25" customHeight="1">
      <c r="B397" s="1"/>
    </row>
    <row r="398" ht="14.25" customHeight="1">
      <c r="B398" s="1"/>
    </row>
    <row r="399" ht="14.25" customHeight="1">
      <c r="B399" s="1"/>
    </row>
    <row r="400" ht="14.25" customHeight="1">
      <c r="B400" s="1"/>
    </row>
    <row r="401" ht="14.25" customHeight="1">
      <c r="B401" s="1"/>
    </row>
    <row r="402" ht="14.25" customHeight="1">
      <c r="B402" s="1"/>
    </row>
    <row r="403" ht="14.25" customHeight="1">
      <c r="B403" s="1"/>
    </row>
    <row r="404" ht="14.25" customHeight="1">
      <c r="B404" s="1"/>
    </row>
    <row r="405" ht="14.25" customHeight="1">
      <c r="B405" s="1"/>
    </row>
    <row r="406" ht="14.25" customHeight="1">
      <c r="B406" s="1"/>
    </row>
    <row r="407" ht="14.25" customHeight="1">
      <c r="B407" s="1"/>
    </row>
    <row r="408" ht="14.25" customHeight="1">
      <c r="B408" s="1"/>
    </row>
    <row r="409" ht="14.25" customHeight="1">
      <c r="B409" s="1"/>
    </row>
    <row r="410" ht="14.25" customHeight="1">
      <c r="B410" s="1"/>
    </row>
    <row r="411" ht="14.25" customHeight="1">
      <c r="B411" s="1"/>
    </row>
    <row r="412" ht="14.25" customHeight="1">
      <c r="B412" s="1"/>
    </row>
    <row r="413" ht="14.25" customHeight="1">
      <c r="B413" s="1"/>
    </row>
    <row r="414" ht="14.25" customHeight="1">
      <c r="B414" s="1"/>
    </row>
    <row r="415" ht="14.25" customHeight="1">
      <c r="B415" s="1"/>
    </row>
    <row r="416" ht="14.25" customHeight="1">
      <c r="B416" s="1"/>
    </row>
    <row r="417" ht="14.25" customHeight="1">
      <c r="B417" s="1"/>
    </row>
    <row r="418" ht="14.25" customHeight="1">
      <c r="B418" s="1"/>
    </row>
    <row r="419" ht="14.25" customHeight="1">
      <c r="B419" s="1"/>
    </row>
    <row r="420" ht="14.25" customHeight="1">
      <c r="B420" s="1"/>
    </row>
    <row r="421" ht="14.25" customHeight="1">
      <c r="B421" s="1"/>
    </row>
    <row r="422" ht="14.25" customHeight="1">
      <c r="B422" s="1"/>
    </row>
    <row r="423" ht="14.25" customHeight="1">
      <c r="B423" s="1"/>
    </row>
    <row r="424" ht="14.25" customHeight="1">
      <c r="B424" s="1"/>
    </row>
    <row r="425" ht="14.25" customHeight="1">
      <c r="B425" s="1"/>
    </row>
    <row r="426" ht="14.25" customHeight="1">
      <c r="B426" s="1"/>
    </row>
    <row r="427" ht="14.25" customHeight="1">
      <c r="B427" s="1"/>
    </row>
    <row r="428" ht="14.25" customHeight="1">
      <c r="B428" s="1"/>
    </row>
    <row r="429" ht="14.25" customHeight="1">
      <c r="B429" s="1"/>
    </row>
    <row r="430" ht="14.25" customHeight="1">
      <c r="B430" s="1"/>
    </row>
    <row r="431" ht="14.25" customHeight="1">
      <c r="B431" s="1"/>
    </row>
    <row r="432" ht="14.25" customHeight="1">
      <c r="B432" s="1"/>
    </row>
    <row r="433" ht="14.25" customHeight="1">
      <c r="B433" s="1"/>
    </row>
    <row r="434" ht="14.25" customHeight="1">
      <c r="B434" s="1"/>
    </row>
    <row r="435" ht="14.25" customHeight="1">
      <c r="B435" s="1"/>
    </row>
    <row r="436" ht="14.25" customHeight="1">
      <c r="B436" s="1"/>
    </row>
    <row r="437" ht="14.25" customHeight="1">
      <c r="B437" s="1"/>
    </row>
    <row r="438" ht="14.25" customHeight="1">
      <c r="B438" s="1"/>
    </row>
    <row r="439" ht="14.25" customHeight="1">
      <c r="B439" s="1"/>
    </row>
    <row r="440" ht="14.25" customHeight="1">
      <c r="B440" s="1"/>
    </row>
    <row r="441" ht="14.25" customHeight="1">
      <c r="B441" s="1"/>
    </row>
    <row r="442" ht="14.25" customHeight="1">
      <c r="B442" s="1"/>
    </row>
    <row r="443" ht="14.25" customHeight="1">
      <c r="B443" s="1"/>
    </row>
    <row r="444" ht="14.25" customHeight="1">
      <c r="B444" s="1"/>
    </row>
    <row r="445" ht="14.25" customHeight="1">
      <c r="B445" s="1"/>
    </row>
    <row r="446" ht="14.25" customHeight="1">
      <c r="B446" s="1"/>
    </row>
    <row r="447" ht="14.25" customHeight="1">
      <c r="B447" s="1"/>
    </row>
    <row r="448" ht="14.25" customHeight="1">
      <c r="B448" s="1"/>
    </row>
    <row r="449" ht="14.25" customHeight="1">
      <c r="B449" s="1"/>
    </row>
    <row r="450" ht="14.25" customHeight="1">
      <c r="B450" s="1"/>
    </row>
    <row r="451" ht="14.25" customHeight="1">
      <c r="B451" s="1"/>
    </row>
    <row r="452" ht="14.25" customHeight="1">
      <c r="B452" s="1"/>
    </row>
    <row r="453" ht="14.25" customHeight="1">
      <c r="B453" s="1"/>
    </row>
    <row r="454" ht="14.25" customHeight="1">
      <c r="B454" s="1"/>
    </row>
    <row r="455" ht="14.25" customHeight="1">
      <c r="B455" s="1"/>
    </row>
    <row r="456" ht="14.25" customHeight="1">
      <c r="B456" s="1"/>
    </row>
    <row r="457" ht="14.25" customHeight="1">
      <c r="B457" s="1"/>
    </row>
    <row r="458" ht="14.25" customHeight="1">
      <c r="B458" s="1"/>
    </row>
    <row r="459" ht="14.25" customHeight="1">
      <c r="B459" s="1"/>
    </row>
    <row r="460" ht="14.25" customHeight="1">
      <c r="B460" s="1"/>
    </row>
    <row r="461" ht="14.25" customHeight="1">
      <c r="B461" s="1"/>
    </row>
    <row r="462" ht="14.25" customHeight="1">
      <c r="B462" s="1"/>
    </row>
    <row r="463" ht="14.25" customHeight="1">
      <c r="B463" s="1"/>
    </row>
    <row r="464" ht="14.25" customHeight="1">
      <c r="B464" s="1"/>
    </row>
    <row r="465" ht="14.25" customHeight="1">
      <c r="B465" s="1"/>
    </row>
    <row r="466" ht="14.25" customHeight="1">
      <c r="B466" s="1"/>
    </row>
    <row r="467" ht="14.25" customHeight="1">
      <c r="B467" s="1"/>
    </row>
    <row r="468" ht="14.25" customHeight="1">
      <c r="B468" s="1"/>
    </row>
    <row r="469" ht="14.25" customHeight="1">
      <c r="B469" s="1"/>
    </row>
    <row r="470" ht="14.25" customHeight="1">
      <c r="B470" s="1"/>
    </row>
    <row r="471" ht="14.25" customHeight="1">
      <c r="B471" s="1"/>
    </row>
    <row r="472" ht="14.25" customHeight="1">
      <c r="B472" s="1"/>
    </row>
    <row r="473" ht="14.25" customHeight="1">
      <c r="B473" s="1"/>
    </row>
    <row r="474" ht="14.25" customHeight="1">
      <c r="B474" s="1"/>
    </row>
    <row r="475" ht="14.25" customHeight="1">
      <c r="B475" s="1"/>
    </row>
    <row r="476" ht="14.25" customHeight="1">
      <c r="B476" s="1"/>
    </row>
    <row r="477" ht="14.25" customHeight="1">
      <c r="B477" s="1"/>
    </row>
    <row r="478" ht="14.25" customHeight="1">
      <c r="B478" s="1"/>
    </row>
    <row r="479" ht="14.25" customHeight="1">
      <c r="B479" s="1"/>
    </row>
    <row r="480" ht="14.25" customHeight="1">
      <c r="B480" s="1"/>
    </row>
    <row r="481" ht="14.25" customHeight="1">
      <c r="B481" s="1"/>
    </row>
    <row r="482" ht="14.25" customHeight="1">
      <c r="B482" s="1"/>
    </row>
    <row r="483" ht="14.25" customHeight="1">
      <c r="B483" s="1"/>
    </row>
    <row r="484" ht="14.25" customHeight="1">
      <c r="B484" s="1"/>
    </row>
    <row r="485" ht="14.25" customHeight="1">
      <c r="B485" s="1"/>
    </row>
    <row r="486" ht="14.25" customHeight="1">
      <c r="B486" s="1"/>
    </row>
    <row r="487" ht="14.25" customHeight="1">
      <c r="B487" s="1"/>
    </row>
    <row r="488" ht="14.25" customHeight="1">
      <c r="B488" s="1"/>
    </row>
    <row r="489" ht="14.25" customHeight="1">
      <c r="B489" s="1"/>
    </row>
    <row r="490" ht="14.25" customHeight="1">
      <c r="B490" s="1"/>
    </row>
    <row r="491" ht="14.25" customHeight="1">
      <c r="B491" s="1"/>
    </row>
    <row r="492" ht="14.25" customHeight="1">
      <c r="B492" s="1"/>
    </row>
    <row r="493" ht="14.25" customHeight="1">
      <c r="B493" s="1"/>
    </row>
    <row r="494" ht="14.25" customHeight="1">
      <c r="B494" s="1"/>
    </row>
    <row r="495" ht="14.25" customHeight="1">
      <c r="B495" s="1"/>
    </row>
    <row r="496" ht="14.25" customHeight="1">
      <c r="B496" s="1"/>
    </row>
    <row r="497" ht="14.25" customHeight="1">
      <c r="B497" s="1"/>
    </row>
    <row r="498" ht="14.25" customHeight="1">
      <c r="B498" s="1"/>
    </row>
    <row r="499" ht="14.25" customHeight="1">
      <c r="B499" s="1"/>
    </row>
    <row r="500" ht="14.25" customHeight="1">
      <c r="B500" s="1"/>
    </row>
    <row r="501" ht="14.25" customHeight="1">
      <c r="B501" s="1"/>
    </row>
    <row r="502" ht="14.25" customHeight="1">
      <c r="B502" s="1"/>
    </row>
    <row r="503" ht="14.25" customHeight="1">
      <c r="B503" s="1"/>
    </row>
    <row r="504" ht="14.25" customHeight="1">
      <c r="B504" s="1"/>
    </row>
    <row r="505" ht="14.25" customHeight="1">
      <c r="B505" s="1"/>
    </row>
    <row r="506" ht="14.25" customHeight="1">
      <c r="B506" s="1"/>
    </row>
    <row r="507" ht="14.25" customHeight="1">
      <c r="B507" s="1"/>
    </row>
    <row r="508" ht="14.25" customHeight="1">
      <c r="B508" s="1"/>
    </row>
    <row r="509" ht="14.25" customHeight="1">
      <c r="B509" s="1"/>
    </row>
    <row r="510" ht="14.25" customHeight="1">
      <c r="B510" s="1"/>
    </row>
    <row r="511" ht="14.25" customHeight="1">
      <c r="B511" s="1"/>
    </row>
    <row r="512" ht="14.25" customHeight="1">
      <c r="B512" s="1"/>
    </row>
    <row r="513" ht="14.25" customHeight="1">
      <c r="B513" s="1"/>
    </row>
    <row r="514" ht="14.25" customHeight="1">
      <c r="B514" s="1"/>
    </row>
    <row r="515" ht="14.25" customHeight="1">
      <c r="B515" s="1"/>
    </row>
    <row r="516" ht="14.25" customHeight="1">
      <c r="B516" s="1"/>
    </row>
    <row r="517" ht="14.25" customHeight="1">
      <c r="B517" s="1"/>
    </row>
    <row r="518" ht="14.25" customHeight="1">
      <c r="B518" s="1"/>
    </row>
    <row r="519" ht="14.25" customHeight="1">
      <c r="B519" s="1"/>
    </row>
    <row r="520" ht="14.25" customHeight="1">
      <c r="B520" s="1"/>
    </row>
    <row r="521" ht="14.25" customHeight="1">
      <c r="B521" s="1"/>
    </row>
    <row r="522" ht="14.25" customHeight="1">
      <c r="B522" s="1"/>
    </row>
    <row r="523" ht="14.25" customHeight="1">
      <c r="B523" s="1"/>
    </row>
    <row r="524" ht="14.25" customHeight="1">
      <c r="B524" s="1"/>
    </row>
    <row r="525" ht="14.25" customHeight="1">
      <c r="B525" s="1"/>
    </row>
    <row r="526" ht="14.25" customHeight="1">
      <c r="B526" s="1"/>
    </row>
    <row r="527" ht="14.25" customHeight="1">
      <c r="B527" s="1"/>
    </row>
    <row r="528" ht="14.25" customHeight="1">
      <c r="B528" s="1"/>
    </row>
    <row r="529" ht="14.25" customHeight="1">
      <c r="B529" s="1"/>
    </row>
    <row r="530" ht="14.25" customHeight="1">
      <c r="B530" s="1"/>
    </row>
    <row r="531" ht="14.25" customHeight="1">
      <c r="B531" s="1"/>
    </row>
    <row r="532" ht="14.25" customHeight="1">
      <c r="B532" s="1"/>
    </row>
    <row r="533" ht="14.25" customHeight="1">
      <c r="B533" s="1"/>
    </row>
    <row r="534" ht="14.25" customHeight="1">
      <c r="B534" s="1"/>
    </row>
    <row r="535" ht="14.25" customHeight="1">
      <c r="B535" s="1"/>
    </row>
    <row r="536" ht="14.25" customHeight="1">
      <c r="B536" s="1"/>
    </row>
    <row r="537" ht="14.25" customHeight="1">
      <c r="B537" s="1"/>
    </row>
    <row r="538" ht="14.25" customHeight="1">
      <c r="B538" s="1"/>
    </row>
    <row r="539" ht="14.25" customHeight="1">
      <c r="B539" s="1"/>
    </row>
    <row r="540" ht="14.25" customHeight="1">
      <c r="B540" s="1"/>
    </row>
    <row r="541" ht="14.25" customHeight="1">
      <c r="B541" s="1"/>
    </row>
    <row r="542" ht="14.25" customHeight="1">
      <c r="B542" s="1"/>
    </row>
    <row r="543" ht="14.25" customHeight="1">
      <c r="B543" s="1"/>
    </row>
    <row r="544" ht="14.25" customHeight="1">
      <c r="B544" s="1"/>
    </row>
    <row r="545" ht="14.25" customHeight="1">
      <c r="B545" s="1"/>
    </row>
    <row r="546" ht="14.25" customHeight="1">
      <c r="B546" s="1"/>
    </row>
    <row r="547" ht="14.25" customHeight="1">
      <c r="B547" s="1"/>
    </row>
    <row r="548" ht="14.25" customHeight="1">
      <c r="B548" s="1"/>
    </row>
    <row r="549" ht="14.25" customHeight="1">
      <c r="B549" s="1"/>
    </row>
    <row r="550" ht="14.25" customHeight="1">
      <c r="B550" s="1"/>
    </row>
    <row r="551" ht="14.25" customHeight="1">
      <c r="B551" s="1"/>
    </row>
    <row r="552" ht="14.25" customHeight="1">
      <c r="B552" s="1"/>
    </row>
    <row r="553" ht="14.25" customHeight="1">
      <c r="B553" s="1"/>
    </row>
    <row r="554" ht="14.25" customHeight="1">
      <c r="B554" s="1"/>
    </row>
    <row r="555" ht="14.25" customHeight="1">
      <c r="B555" s="1"/>
    </row>
    <row r="556" ht="14.25" customHeight="1">
      <c r="B556" s="1"/>
    </row>
    <row r="557" ht="14.25" customHeight="1">
      <c r="B557" s="1"/>
    </row>
    <row r="558" ht="14.25" customHeight="1">
      <c r="B558" s="1"/>
    </row>
    <row r="559" ht="14.25" customHeight="1">
      <c r="B559" s="1"/>
    </row>
    <row r="560" ht="14.25" customHeight="1">
      <c r="B560" s="1"/>
    </row>
    <row r="561" ht="14.25" customHeight="1">
      <c r="B561" s="1"/>
    </row>
    <row r="562" ht="14.25" customHeight="1">
      <c r="B562" s="1"/>
    </row>
    <row r="563" ht="14.25" customHeight="1">
      <c r="B563" s="1"/>
    </row>
    <row r="564" ht="14.25" customHeight="1">
      <c r="B564" s="1"/>
    </row>
    <row r="565" ht="14.25" customHeight="1">
      <c r="B565" s="1"/>
    </row>
    <row r="566" ht="14.25" customHeight="1">
      <c r="B566" s="1"/>
    </row>
    <row r="567" ht="14.25" customHeight="1">
      <c r="B567" s="1"/>
    </row>
    <row r="568" ht="14.25" customHeight="1">
      <c r="B568" s="1"/>
    </row>
    <row r="569" ht="14.25" customHeight="1">
      <c r="B569" s="1"/>
    </row>
    <row r="570" ht="14.25" customHeight="1">
      <c r="B570" s="1"/>
    </row>
    <row r="571" ht="14.25" customHeight="1">
      <c r="B571" s="1"/>
    </row>
    <row r="572" ht="14.25" customHeight="1">
      <c r="B572" s="1"/>
    </row>
    <row r="573" ht="14.25" customHeight="1">
      <c r="B573" s="1"/>
    </row>
    <row r="574" ht="14.25" customHeight="1">
      <c r="B574" s="1"/>
    </row>
    <row r="575" ht="14.25" customHeight="1">
      <c r="B575" s="1"/>
    </row>
    <row r="576" ht="14.25" customHeight="1">
      <c r="B576" s="1"/>
    </row>
    <row r="577" ht="14.25" customHeight="1">
      <c r="B577" s="1"/>
    </row>
    <row r="578" ht="14.25" customHeight="1">
      <c r="B578" s="1"/>
    </row>
    <row r="579" ht="14.25" customHeight="1">
      <c r="B579" s="1"/>
    </row>
    <row r="580" ht="14.25" customHeight="1">
      <c r="B580" s="1"/>
    </row>
    <row r="581" ht="14.25" customHeight="1">
      <c r="B581" s="1"/>
    </row>
    <row r="582" ht="14.25" customHeight="1">
      <c r="B582" s="1"/>
    </row>
    <row r="583" ht="14.25" customHeight="1">
      <c r="B583" s="1"/>
    </row>
    <row r="584" ht="14.25" customHeight="1">
      <c r="B584" s="1"/>
    </row>
    <row r="585" ht="14.25" customHeight="1">
      <c r="B585" s="1"/>
    </row>
    <row r="586" ht="14.25" customHeight="1">
      <c r="B586" s="1"/>
    </row>
    <row r="587" ht="14.25" customHeight="1">
      <c r="B587" s="1"/>
    </row>
    <row r="588" ht="14.25" customHeight="1">
      <c r="B588" s="1"/>
    </row>
    <row r="589" ht="14.25" customHeight="1">
      <c r="B589" s="1"/>
    </row>
    <row r="590" ht="14.25" customHeight="1">
      <c r="B590" s="1"/>
    </row>
    <row r="591" ht="14.25" customHeight="1">
      <c r="B591" s="1"/>
    </row>
    <row r="592" ht="14.25" customHeight="1">
      <c r="B592" s="1"/>
    </row>
    <row r="593" ht="14.25" customHeight="1">
      <c r="B593" s="1"/>
    </row>
    <row r="594" ht="14.25" customHeight="1">
      <c r="B594" s="1"/>
    </row>
    <row r="595" ht="14.25" customHeight="1">
      <c r="B595" s="1"/>
    </row>
    <row r="596" ht="14.25" customHeight="1">
      <c r="B596" s="1"/>
    </row>
    <row r="597" ht="14.25" customHeight="1">
      <c r="B597" s="1"/>
    </row>
    <row r="598" ht="14.25" customHeight="1">
      <c r="B598" s="1"/>
    </row>
    <row r="599" ht="14.25" customHeight="1">
      <c r="B599" s="1"/>
    </row>
    <row r="600" ht="14.25" customHeight="1">
      <c r="B600" s="1"/>
    </row>
    <row r="601" ht="14.25" customHeight="1">
      <c r="B601" s="1"/>
    </row>
    <row r="602" ht="14.25" customHeight="1">
      <c r="B602" s="1"/>
    </row>
    <row r="603" ht="14.25" customHeight="1">
      <c r="B603" s="1"/>
    </row>
    <row r="604" ht="14.25" customHeight="1">
      <c r="B604" s="1"/>
    </row>
    <row r="605" ht="14.25" customHeight="1">
      <c r="B605" s="1"/>
    </row>
    <row r="606" ht="14.25" customHeight="1">
      <c r="B606" s="1"/>
    </row>
    <row r="607" ht="14.25" customHeight="1">
      <c r="B607" s="1"/>
    </row>
    <row r="608" ht="14.25" customHeight="1">
      <c r="B608" s="1"/>
    </row>
    <row r="609" ht="14.25" customHeight="1">
      <c r="B609" s="1"/>
    </row>
    <row r="610" ht="14.25" customHeight="1">
      <c r="B610" s="1"/>
    </row>
    <row r="611" ht="14.25" customHeight="1">
      <c r="B611" s="1"/>
    </row>
    <row r="612" ht="14.25" customHeight="1">
      <c r="B612" s="1"/>
    </row>
    <row r="613" ht="14.25" customHeight="1">
      <c r="B613" s="1"/>
    </row>
    <row r="614" ht="14.25" customHeight="1">
      <c r="B614" s="1"/>
    </row>
    <row r="615" ht="14.25" customHeight="1">
      <c r="B615" s="1"/>
    </row>
    <row r="616" ht="14.25" customHeight="1">
      <c r="B616" s="1"/>
    </row>
    <row r="617" ht="14.25" customHeight="1">
      <c r="B617" s="1"/>
    </row>
    <row r="618" ht="14.25" customHeight="1">
      <c r="B618" s="1"/>
    </row>
    <row r="619" ht="14.25" customHeight="1">
      <c r="B619" s="1"/>
    </row>
    <row r="620" ht="14.25" customHeight="1">
      <c r="B620" s="1"/>
    </row>
    <row r="621" ht="14.25" customHeight="1">
      <c r="B621" s="1"/>
    </row>
    <row r="622" ht="14.25" customHeight="1">
      <c r="B622" s="1"/>
    </row>
    <row r="623" ht="14.25" customHeight="1">
      <c r="B623" s="1"/>
    </row>
    <row r="624" ht="14.25" customHeight="1">
      <c r="B624" s="1"/>
    </row>
    <row r="625" ht="14.25" customHeight="1">
      <c r="B625" s="1"/>
    </row>
    <row r="626" ht="14.25" customHeight="1">
      <c r="B626" s="1"/>
    </row>
    <row r="627" ht="14.25" customHeight="1">
      <c r="B627" s="1"/>
    </row>
    <row r="628" ht="14.25" customHeight="1">
      <c r="B628" s="1"/>
    </row>
    <row r="629" ht="14.25" customHeight="1">
      <c r="B629" s="1"/>
    </row>
    <row r="630" ht="14.25" customHeight="1">
      <c r="B630" s="1"/>
    </row>
    <row r="631" ht="14.25" customHeight="1">
      <c r="B631" s="1"/>
    </row>
    <row r="632" ht="14.25" customHeight="1">
      <c r="B632" s="1"/>
    </row>
    <row r="633" ht="14.25" customHeight="1">
      <c r="B633" s="1"/>
    </row>
    <row r="634" ht="14.25" customHeight="1">
      <c r="B634" s="1"/>
    </row>
    <row r="635" ht="14.25" customHeight="1">
      <c r="B635" s="1"/>
    </row>
    <row r="636" ht="14.25" customHeight="1">
      <c r="B636" s="1"/>
    </row>
    <row r="637" ht="14.25" customHeight="1">
      <c r="B637" s="1"/>
    </row>
    <row r="638" ht="14.25" customHeight="1">
      <c r="B638" s="1"/>
    </row>
    <row r="639" ht="14.25" customHeight="1">
      <c r="B639" s="1"/>
    </row>
    <row r="640" ht="14.25" customHeight="1">
      <c r="B640" s="1"/>
    </row>
    <row r="641" ht="14.25" customHeight="1">
      <c r="B641" s="1"/>
    </row>
    <row r="642" ht="14.25" customHeight="1">
      <c r="B642" s="1"/>
    </row>
    <row r="643" ht="14.25" customHeight="1">
      <c r="B643" s="1"/>
    </row>
    <row r="644" ht="14.25" customHeight="1">
      <c r="B644" s="1"/>
    </row>
    <row r="645" ht="14.25" customHeight="1">
      <c r="B645" s="1"/>
    </row>
    <row r="646" ht="14.25" customHeight="1">
      <c r="B646" s="1"/>
    </row>
    <row r="647" ht="14.25" customHeight="1">
      <c r="B647" s="1"/>
    </row>
    <row r="648" ht="14.25" customHeight="1">
      <c r="B648" s="1"/>
    </row>
    <row r="649" ht="14.25" customHeight="1">
      <c r="B649" s="1"/>
    </row>
    <row r="650" ht="14.25" customHeight="1">
      <c r="B650" s="1"/>
    </row>
    <row r="651" ht="14.25" customHeight="1">
      <c r="B651" s="1"/>
    </row>
    <row r="652" ht="14.25" customHeight="1">
      <c r="B652" s="1"/>
    </row>
    <row r="653" ht="14.25" customHeight="1">
      <c r="B653" s="1"/>
    </row>
    <row r="654" ht="14.25" customHeight="1">
      <c r="B654" s="1"/>
    </row>
    <row r="655" ht="14.25" customHeight="1">
      <c r="B655" s="1"/>
    </row>
    <row r="656" ht="14.25" customHeight="1">
      <c r="B656" s="1"/>
    </row>
    <row r="657" ht="14.25" customHeight="1">
      <c r="B657" s="1"/>
    </row>
    <row r="658" ht="14.25" customHeight="1">
      <c r="B658" s="1"/>
    </row>
    <row r="659" ht="14.25" customHeight="1">
      <c r="B659" s="1"/>
    </row>
    <row r="660" ht="14.25" customHeight="1">
      <c r="B660" s="1"/>
    </row>
    <row r="661" ht="14.25" customHeight="1">
      <c r="B661" s="1"/>
    </row>
    <row r="662" ht="14.25" customHeight="1">
      <c r="B662" s="1"/>
    </row>
    <row r="663" ht="14.25" customHeight="1">
      <c r="B663" s="1"/>
    </row>
    <row r="664" ht="14.25" customHeight="1">
      <c r="B664" s="1"/>
    </row>
    <row r="665" ht="14.25" customHeight="1">
      <c r="B665" s="1"/>
    </row>
    <row r="666" ht="14.25" customHeight="1">
      <c r="B666" s="1"/>
    </row>
    <row r="667" ht="14.25" customHeight="1">
      <c r="B667" s="1"/>
    </row>
    <row r="668" ht="14.25" customHeight="1">
      <c r="B668" s="1"/>
    </row>
    <row r="669" ht="14.25" customHeight="1">
      <c r="B669" s="1"/>
    </row>
    <row r="670" ht="14.25" customHeight="1">
      <c r="B670" s="1"/>
    </row>
    <row r="671" ht="14.25" customHeight="1">
      <c r="B671" s="1"/>
    </row>
    <row r="672" ht="14.25" customHeight="1">
      <c r="B672" s="1"/>
    </row>
    <row r="673" ht="14.25" customHeight="1">
      <c r="B673" s="1"/>
    </row>
    <row r="674" ht="14.25" customHeight="1">
      <c r="B674" s="1"/>
    </row>
    <row r="675" ht="14.25" customHeight="1">
      <c r="B675" s="1"/>
    </row>
    <row r="676" ht="14.25" customHeight="1">
      <c r="B676" s="1"/>
    </row>
    <row r="677" ht="14.25" customHeight="1">
      <c r="B677" s="1"/>
    </row>
    <row r="678" ht="14.25" customHeight="1">
      <c r="B678" s="1"/>
    </row>
    <row r="679" ht="14.25" customHeight="1">
      <c r="B679" s="1"/>
    </row>
    <row r="680" ht="14.25" customHeight="1">
      <c r="B680" s="1"/>
    </row>
    <row r="681" ht="14.25" customHeight="1">
      <c r="B681" s="1"/>
    </row>
    <row r="682" ht="14.25" customHeight="1">
      <c r="B682" s="1"/>
    </row>
    <row r="683" ht="14.25" customHeight="1">
      <c r="B683" s="1"/>
    </row>
    <row r="684" ht="14.25" customHeight="1">
      <c r="B684" s="1"/>
    </row>
    <row r="685" ht="14.25" customHeight="1">
      <c r="B685" s="1"/>
    </row>
    <row r="686" ht="14.25" customHeight="1">
      <c r="B686" s="1"/>
    </row>
    <row r="687" ht="14.25" customHeight="1">
      <c r="B687" s="1"/>
    </row>
    <row r="688" ht="14.25" customHeight="1">
      <c r="B688" s="1"/>
    </row>
    <row r="689" ht="14.25" customHeight="1">
      <c r="B689" s="1"/>
    </row>
    <row r="690" ht="14.25" customHeight="1">
      <c r="B690" s="1"/>
    </row>
    <row r="691" ht="14.25" customHeight="1">
      <c r="B691" s="1"/>
    </row>
    <row r="692" ht="14.25" customHeight="1">
      <c r="B692" s="1"/>
    </row>
    <row r="693" ht="14.25" customHeight="1">
      <c r="B693" s="1"/>
    </row>
    <row r="694" ht="14.25" customHeight="1">
      <c r="B694" s="1"/>
    </row>
    <row r="695" ht="14.25" customHeight="1">
      <c r="B695" s="1"/>
    </row>
    <row r="696" ht="14.25" customHeight="1">
      <c r="B696" s="1"/>
    </row>
    <row r="697" ht="14.25" customHeight="1">
      <c r="B697" s="1"/>
    </row>
    <row r="698" ht="14.25" customHeight="1">
      <c r="B698" s="1"/>
    </row>
    <row r="699" ht="14.25" customHeight="1">
      <c r="B699" s="1"/>
    </row>
    <row r="700" ht="14.25" customHeight="1">
      <c r="B700" s="1"/>
    </row>
    <row r="701" ht="14.25" customHeight="1">
      <c r="B701" s="1"/>
    </row>
    <row r="702" ht="14.25" customHeight="1">
      <c r="B702" s="1"/>
    </row>
    <row r="703" ht="14.25" customHeight="1">
      <c r="B703" s="1"/>
    </row>
    <row r="704" ht="14.25" customHeight="1">
      <c r="B704" s="1"/>
    </row>
    <row r="705" ht="14.25" customHeight="1">
      <c r="B705" s="1"/>
    </row>
    <row r="706" ht="14.25" customHeight="1">
      <c r="B706" s="1"/>
    </row>
    <row r="707" ht="14.25" customHeight="1">
      <c r="B707" s="1"/>
    </row>
    <row r="708" ht="14.25" customHeight="1">
      <c r="B708" s="1"/>
    </row>
    <row r="709" ht="14.25" customHeight="1">
      <c r="B709" s="1"/>
    </row>
    <row r="710" ht="14.25" customHeight="1">
      <c r="B710" s="1"/>
    </row>
    <row r="711" ht="14.25" customHeight="1">
      <c r="B711" s="1"/>
    </row>
    <row r="712" ht="14.25" customHeight="1">
      <c r="B712" s="1"/>
    </row>
    <row r="713" ht="14.25" customHeight="1">
      <c r="B713" s="1"/>
    </row>
    <row r="714" ht="14.25" customHeight="1">
      <c r="B714" s="1"/>
    </row>
    <row r="715" ht="14.25" customHeight="1">
      <c r="B715" s="1"/>
    </row>
    <row r="716" ht="14.25" customHeight="1">
      <c r="B716" s="1"/>
    </row>
    <row r="717" ht="14.25" customHeight="1">
      <c r="B717" s="1"/>
    </row>
    <row r="718" ht="14.25" customHeight="1">
      <c r="B718" s="1"/>
    </row>
    <row r="719" ht="14.25" customHeight="1">
      <c r="B719" s="1"/>
    </row>
    <row r="720" ht="14.25" customHeight="1">
      <c r="B720" s="1"/>
    </row>
    <row r="721" ht="14.25" customHeight="1">
      <c r="B721" s="1"/>
    </row>
    <row r="722" ht="14.25" customHeight="1">
      <c r="B722" s="1"/>
    </row>
    <row r="723" ht="14.25" customHeight="1">
      <c r="B723" s="1"/>
    </row>
    <row r="724" ht="14.25" customHeight="1">
      <c r="B724" s="1"/>
    </row>
    <row r="725" ht="14.25" customHeight="1">
      <c r="B725" s="1"/>
    </row>
    <row r="726" ht="14.25" customHeight="1">
      <c r="B726" s="1"/>
    </row>
    <row r="727" ht="14.25" customHeight="1">
      <c r="B727" s="1"/>
    </row>
    <row r="728" ht="14.25" customHeight="1">
      <c r="B728" s="1"/>
    </row>
    <row r="729" ht="14.25" customHeight="1">
      <c r="B729" s="1"/>
    </row>
    <row r="730" ht="14.25" customHeight="1">
      <c r="B730" s="1"/>
    </row>
    <row r="731" ht="14.25" customHeight="1">
      <c r="B731" s="1"/>
    </row>
    <row r="732" ht="14.25" customHeight="1">
      <c r="B732" s="1"/>
    </row>
    <row r="733" ht="14.25" customHeight="1">
      <c r="B733" s="1"/>
    </row>
    <row r="734" ht="14.25" customHeight="1">
      <c r="B734" s="1"/>
    </row>
    <row r="735" ht="14.25" customHeight="1">
      <c r="B735" s="1"/>
    </row>
    <row r="736" ht="14.25" customHeight="1">
      <c r="B736" s="1"/>
    </row>
    <row r="737" ht="14.25" customHeight="1">
      <c r="B737" s="1"/>
    </row>
    <row r="738" ht="14.25" customHeight="1">
      <c r="B738" s="1"/>
    </row>
    <row r="739" ht="14.25" customHeight="1">
      <c r="B739" s="1"/>
    </row>
    <row r="740" ht="14.25" customHeight="1">
      <c r="B740" s="1"/>
    </row>
    <row r="741" ht="14.25" customHeight="1">
      <c r="B741" s="1"/>
    </row>
    <row r="742" ht="14.25" customHeight="1">
      <c r="B742" s="1"/>
    </row>
    <row r="743" ht="14.25" customHeight="1">
      <c r="B743" s="1"/>
    </row>
    <row r="744" ht="14.25" customHeight="1">
      <c r="B744" s="1"/>
    </row>
    <row r="745" ht="14.25" customHeight="1">
      <c r="B745" s="1"/>
    </row>
    <row r="746" ht="14.25" customHeight="1">
      <c r="B746" s="1"/>
    </row>
    <row r="747" ht="14.25" customHeight="1">
      <c r="B747" s="1"/>
    </row>
    <row r="748" ht="14.25" customHeight="1">
      <c r="B748" s="1"/>
    </row>
    <row r="749" ht="14.25" customHeight="1">
      <c r="B749" s="1"/>
    </row>
    <row r="750" ht="14.25" customHeight="1">
      <c r="B750" s="1"/>
    </row>
    <row r="751" ht="14.25" customHeight="1">
      <c r="B751" s="1"/>
    </row>
    <row r="752" ht="14.25" customHeight="1">
      <c r="B752" s="1"/>
    </row>
    <row r="753" ht="14.25" customHeight="1">
      <c r="B753" s="1"/>
    </row>
    <row r="754" ht="14.25" customHeight="1">
      <c r="B754" s="1"/>
    </row>
    <row r="755" ht="14.25" customHeight="1">
      <c r="B755" s="1"/>
    </row>
    <row r="756" ht="14.25" customHeight="1">
      <c r="B756" s="1"/>
    </row>
    <row r="757" ht="14.25" customHeight="1">
      <c r="B757" s="1"/>
    </row>
    <row r="758" ht="14.25" customHeight="1">
      <c r="B758" s="1"/>
    </row>
    <row r="759" ht="14.25" customHeight="1">
      <c r="B759" s="1"/>
    </row>
    <row r="760" ht="14.25" customHeight="1">
      <c r="B760" s="1"/>
    </row>
    <row r="761" ht="14.25" customHeight="1">
      <c r="B761" s="1"/>
    </row>
    <row r="762" ht="14.25" customHeight="1">
      <c r="B762" s="1"/>
    </row>
    <row r="763" ht="14.25" customHeight="1">
      <c r="B763" s="1"/>
    </row>
    <row r="764" ht="14.25" customHeight="1">
      <c r="B764" s="1"/>
    </row>
    <row r="765" ht="14.25" customHeight="1">
      <c r="B765" s="1"/>
    </row>
    <row r="766" ht="14.25" customHeight="1">
      <c r="B766" s="1"/>
    </row>
    <row r="767" ht="14.25" customHeight="1">
      <c r="B767" s="1"/>
    </row>
    <row r="768" ht="14.25" customHeight="1">
      <c r="B768" s="1"/>
    </row>
    <row r="769" ht="14.25" customHeight="1">
      <c r="B769" s="1"/>
    </row>
    <row r="770" ht="14.25" customHeight="1">
      <c r="B770" s="1"/>
    </row>
    <row r="771" ht="14.25" customHeight="1">
      <c r="B771" s="1"/>
    </row>
    <row r="772" ht="14.25" customHeight="1">
      <c r="B772" s="1"/>
    </row>
    <row r="773" ht="14.25" customHeight="1">
      <c r="B773" s="1"/>
    </row>
    <row r="774" ht="14.25" customHeight="1">
      <c r="B774" s="1"/>
    </row>
    <row r="775" ht="14.25" customHeight="1">
      <c r="B775" s="1"/>
    </row>
    <row r="776" ht="14.25" customHeight="1">
      <c r="B776" s="1"/>
    </row>
    <row r="777" ht="14.25" customHeight="1">
      <c r="B777" s="1"/>
    </row>
    <row r="778" ht="14.25" customHeight="1">
      <c r="B778" s="1"/>
    </row>
    <row r="779" ht="14.25" customHeight="1">
      <c r="B779" s="1"/>
    </row>
    <row r="780" ht="14.25" customHeight="1">
      <c r="B780" s="1"/>
    </row>
    <row r="781" ht="14.25" customHeight="1">
      <c r="B781" s="1"/>
    </row>
    <row r="782" ht="14.25" customHeight="1">
      <c r="B782" s="1"/>
    </row>
    <row r="783" ht="14.25" customHeight="1">
      <c r="B783" s="1"/>
    </row>
    <row r="784" ht="14.25" customHeight="1">
      <c r="B784" s="1"/>
    </row>
    <row r="785" ht="14.25" customHeight="1">
      <c r="B785" s="1"/>
    </row>
    <row r="786" ht="14.25" customHeight="1">
      <c r="B786" s="1"/>
    </row>
    <row r="787" ht="14.25" customHeight="1">
      <c r="B787" s="1"/>
    </row>
    <row r="788" ht="14.25" customHeight="1">
      <c r="B788" s="1"/>
    </row>
    <row r="789" ht="14.25" customHeight="1">
      <c r="B789" s="1"/>
    </row>
    <row r="790" ht="14.25" customHeight="1">
      <c r="B790" s="1"/>
    </row>
    <row r="791" ht="14.25" customHeight="1">
      <c r="B791" s="1"/>
    </row>
    <row r="792" ht="14.25" customHeight="1">
      <c r="B792" s="1"/>
    </row>
    <row r="793" ht="14.25" customHeight="1">
      <c r="B793" s="1"/>
    </row>
    <row r="794" ht="14.25" customHeight="1">
      <c r="B794" s="1"/>
    </row>
    <row r="795" ht="14.25" customHeight="1">
      <c r="B795" s="1"/>
    </row>
    <row r="796" ht="14.25" customHeight="1">
      <c r="B796" s="1"/>
    </row>
    <row r="797" ht="14.25" customHeight="1">
      <c r="B797" s="1"/>
    </row>
    <row r="798" ht="14.25" customHeight="1">
      <c r="B798" s="1"/>
    </row>
    <row r="799" ht="14.25" customHeight="1">
      <c r="B799" s="1"/>
    </row>
    <row r="800" ht="14.25" customHeight="1">
      <c r="B800" s="1"/>
    </row>
    <row r="801" ht="14.25" customHeight="1">
      <c r="B801" s="1"/>
    </row>
    <row r="802" ht="14.25" customHeight="1">
      <c r="B802" s="1"/>
    </row>
    <row r="803" ht="14.25" customHeight="1">
      <c r="B803" s="1"/>
    </row>
    <row r="804" ht="14.25" customHeight="1">
      <c r="B804" s="1"/>
    </row>
    <row r="805" ht="14.25" customHeight="1">
      <c r="B805" s="1"/>
    </row>
    <row r="806" ht="14.25" customHeight="1">
      <c r="B806" s="1"/>
    </row>
    <row r="807" ht="14.25" customHeight="1">
      <c r="B807" s="1"/>
    </row>
    <row r="808" ht="14.25" customHeight="1">
      <c r="B808" s="1"/>
    </row>
    <row r="809" ht="14.25" customHeight="1">
      <c r="B809" s="1"/>
    </row>
    <row r="810" ht="14.25" customHeight="1">
      <c r="B810" s="1"/>
    </row>
    <row r="811" ht="14.25" customHeight="1">
      <c r="B811" s="1"/>
    </row>
    <row r="812" ht="14.25" customHeight="1">
      <c r="B812" s="1"/>
    </row>
    <row r="813" ht="14.25" customHeight="1">
      <c r="B813" s="1"/>
    </row>
    <row r="814" ht="14.25" customHeight="1">
      <c r="B814" s="1"/>
    </row>
    <row r="815" ht="14.25" customHeight="1">
      <c r="B815" s="1"/>
    </row>
    <row r="816" ht="14.25" customHeight="1">
      <c r="B816" s="1"/>
    </row>
    <row r="817" ht="14.25" customHeight="1">
      <c r="B817" s="1"/>
    </row>
    <row r="818" ht="14.25" customHeight="1">
      <c r="B818" s="1"/>
    </row>
    <row r="819" ht="14.25" customHeight="1">
      <c r="B819" s="1"/>
    </row>
    <row r="820" ht="14.25" customHeight="1">
      <c r="B820" s="1"/>
    </row>
    <row r="821" ht="14.25" customHeight="1">
      <c r="B821" s="1"/>
    </row>
    <row r="822" ht="14.25" customHeight="1">
      <c r="B822" s="1"/>
    </row>
    <row r="823" ht="14.25" customHeight="1">
      <c r="B823" s="1"/>
    </row>
    <row r="824" ht="14.25" customHeight="1">
      <c r="B824" s="1"/>
    </row>
    <row r="825" ht="14.25" customHeight="1">
      <c r="B825" s="1"/>
    </row>
    <row r="826" ht="14.25" customHeight="1">
      <c r="B826" s="1"/>
    </row>
    <row r="827" ht="14.25" customHeight="1">
      <c r="B827" s="1"/>
    </row>
    <row r="828" ht="14.25" customHeight="1">
      <c r="B828" s="1"/>
    </row>
    <row r="829" ht="14.25" customHeight="1">
      <c r="B829" s="1"/>
    </row>
    <row r="830" ht="14.25" customHeight="1">
      <c r="B830" s="1"/>
    </row>
    <row r="831" ht="14.25" customHeight="1">
      <c r="B831" s="1"/>
    </row>
    <row r="832" ht="14.25" customHeight="1">
      <c r="B832" s="1"/>
    </row>
    <row r="833" ht="14.25" customHeight="1">
      <c r="B833" s="1"/>
    </row>
    <row r="834" ht="14.25" customHeight="1">
      <c r="B834" s="1"/>
    </row>
    <row r="835" ht="14.25" customHeight="1">
      <c r="B835" s="1"/>
    </row>
    <row r="836" ht="14.25" customHeight="1">
      <c r="B836" s="1"/>
    </row>
    <row r="837" ht="14.25" customHeight="1">
      <c r="B837" s="1"/>
    </row>
    <row r="838" ht="14.25" customHeight="1">
      <c r="B838" s="1"/>
    </row>
    <row r="839" ht="14.25" customHeight="1">
      <c r="B839" s="1"/>
    </row>
    <row r="840" ht="14.25" customHeight="1">
      <c r="B840" s="1"/>
    </row>
    <row r="841" ht="14.25" customHeight="1">
      <c r="B841" s="1"/>
    </row>
    <row r="842" ht="14.25" customHeight="1">
      <c r="B842" s="1"/>
    </row>
    <row r="843" ht="14.25" customHeight="1">
      <c r="B843" s="1"/>
    </row>
    <row r="844" ht="14.25" customHeight="1">
      <c r="B844" s="1"/>
    </row>
    <row r="845" ht="14.25" customHeight="1">
      <c r="B845" s="1"/>
    </row>
    <row r="846" ht="14.25" customHeight="1">
      <c r="B846" s="1"/>
    </row>
    <row r="847" ht="14.25" customHeight="1">
      <c r="B847" s="1"/>
    </row>
    <row r="848" ht="14.25" customHeight="1">
      <c r="B848" s="1"/>
    </row>
    <row r="849" ht="14.25" customHeight="1">
      <c r="B849" s="1"/>
    </row>
    <row r="850" ht="14.25" customHeight="1">
      <c r="B850" s="1"/>
    </row>
    <row r="851" ht="14.25" customHeight="1">
      <c r="B851" s="1"/>
    </row>
    <row r="852" ht="14.25" customHeight="1">
      <c r="B852" s="1"/>
    </row>
    <row r="853" ht="14.25" customHeight="1">
      <c r="B853" s="1"/>
    </row>
    <row r="854" ht="14.25" customHeight="1">
      <c r="B854" s="1"/>
    </row>
    <row r="855" ht="14.25" customHeight="1">
      <c r="B855" s="1"/>
    </row>
    <row r="856" ht="14.25" customHeight="1">
      <c r="B856" s="1"/>
    </row>
    <row r="857" ht="14.25" customHeight="1">
      <c r="B857" s="1"/>
    </row>
    <row r="858" ht="14.25" customHeight="1">
      <c r="B858" s="1"/>
    </row>
    <row r="859" ht="14.25" customHeight="1">
      <c r="B859" s="1"/>
    </row>
    <row r="860" ht="14.25" customHeight="1">
      <c r="B860" s="1"/>
    </row>
    <row r="861" ht="14.25" customHeight="1">
      <c r="B861" s="1"/>
    </row>
    <row r="862" ht="14.25" customHeight="1">
      <c r="B862" s="1"/>
    </row>
    <row r="863" ht="14.25" customHeight="1">
      <c r="B863" s="1"/>
    </row>
    <row r="864" ht="14.25" customHeight="1">
      <c r="B864" s="1"/>
    </row>
    <row r="865" ht="14.25" customHeight="1">
      <c r="B865" s="1"/>
    </row>
    <row r="866" ht="14.25" customHeight="1">
      <c r="B866" s="1"/>
    </row>
    <row r="867" ht="14.25" customHeight="1">
      <c r="B867" s="1"/>
    </row>
    <row r="868" ht="14.25" customHeight="1">
      <c r="B868" s="1"/>
    </row>
    <row r="869" ht="14.25" customHeight="1">
      <c r="B869" s="1"/>
    </row>
    <row r="870" ht="14.25" customHeight="1">
      <c r="B870" s="1"/>
    </row>
    <row r="871" ht="14.25" customHeight="1">
      <c r="B871" s="1"/>
    </row>
    <row r="872" ht="14.25" customHeight="1">
      <c r="B872" s="1"/>
    </row>
    <row r="873" ht="14.25" customHeight="1">
      <c r="B873" s="1"/>
    </row>
    <row r="874" ht="14.25" customHeight="1">
      <c r="B874" s="1"/>
    </row>
    <row r="875" ht="14.25" customHeight="1">
      <c r="B875" s="1"/>
    </row>
    <row r="876" ht="14.25" customHeight="1">
      <c r="B876" s="1"/>
    </row>
    <row r="877" ht="14.25" customHeight="1">
      <c r="B877" s="1"/>
    </row>
    <row r="878" ht="14.25" customHeight="1">
      <c r="B878" s="1"/>
    </row>
    <row r="879" ht="14.25" customHeight="1">
      <c r="B879" s="1"/>
    </row>
    <row r="880" ht="14.25" customHeight="1">
      <c r="B880" s="1"/>
    </row>
    <row r="881" ht="14.25" customHeight="1">
      <c r="B881" s="1"/>
    </row>
    <row r="882" ht="14.25" customHeight="1">
      <c r="B882" s="1"/>
    </row>
    <row r="883" ht="14.25" customHeight="1">
      <c r="B883" s="1"/>
    </row>
    <row r="884" ht="14.25" customHeight="1">
      <c r="B884" s="1"/>
    </row>
    <row r="885" ht="14.25" customHeight="1">
      <c r="B885" s="1"/>
    </row>
    <row r="886" ht="14.25" customHeight="1">
      <c r="B886" s="1"/>
    </row>
    <row r="887" ht="14.25" customHeight="1">
      <c r="B887" s="1"/>
    </row>
    <row r="888" ht="14.25" customHeight="1">
      <c r="B888" s="1"/>
    </row>
    <row r="889" ht="14.25" customHeight="1">
      <c r="B889" s="1"/>
    </row>
    <row r="890" ht="14.25" customHeight="1">
      <c r="B890" s="1"/>
    </row>
    <row r="891" ht="14.25" customHeight="1">
      <c r="B891" s="1"/>
    </row>
    <row r="892" ht="14.25" customHeight="1">
      <c r="B892" s="1"/>
    </row>
    <row r="893" ht="14.25" customHeight="1">
      <c r="B893" s="1"/>
    </row>
    <row r="894" ht="14.25" customHeight="1">
      <c r="B894" s="1"/>
    </row>
    <row r="895" ht="14.25" customHeight="1">
      <c r="B895" s="1"/>
    </row>
    <row r="896" ht="14.25" customHeight="1">
      <c r="B896" s="1"/>
    </row>
    <row r="897" ht="14.25" customHeight="1">
      <c r="B897" s="1"/>
    </row>
    <row r="898" ht="14.25" customHeight="1">
      <c r="B898" s="1"/>
    </row>
    <row r="899" ht="14.25" customHeight="1">
      <c r="B899" s="1"/>
    </row>
    <row r="900" ht="14.25" customHeight="1">
      <c r="B900" s="1"/>
    </row>
    <row r="901" ht="14.25" customHeight="1">
      <c r="B901" s="1"/>
    </row>
    <row r="902" ht="14.25" customHeight="1">
      <c r="B902" s="1"/>
    </row>
    <row r="903" ht="14.25" customHeight="1">
      <c r="B903" s="1"/>
    </row>
    <row r="904" ht="14.25" customHeight="1">
      <c r="B904" s="1"/>
    </row>
    <row r="905" ht="14.25" customHeight="1">
      <c r="B905" s="1"/>
    </row>
    <row r="906" ht="14.25" customHeight="1">
      <c r="B906" s="1"/>
    </row>
    <row r="907" ht="14.25" customHeight="1">
      <c r="B907" s="1"/>
    </row>
    <row r="908" ht="14.25" customHeight="1">
      <c r="B908" s="1"/>
    </row>
    <row r="909" ht="14.25" customHeight="1">
      <c r="B909" s="1"/>
    </row>
    <row r="910" ht="14.25" customHeight="1">
      <c r="B910" s="1"/>
    </row>
    <row r="911" ht="14.25" customHeight="1">
      <c r="B911" s="1"/>
    </row>
    <row r="912" ht="14.25" customHeight="1">
      <c r="B912" s="1"/>
    </row>
    <row r="913" ht="14.25" customHeight="1">
      <c r="B913" s="1"/>
    </row>
    <row r="914" ht="14.25" customHeight="1">
      <c r="B914" s="1"/>
    </row>
    <row r="915" ht="14.25" customHeight="1">
      <c r="B915" s="1"/>
    </row>
    <row r="916" ht="14.25" customHeight="1">
      <c r="B916" s="1"/>
    </row>
    <row r="917" ht="14.25" customHeight="1">
      <c r="B917" s="1"/>
    </row>
    <row r="918" ht="14.25" customHeight="1">
      <c r="B918" s="1"/>
    </row>
    <row r="919" ht="14.25" customHeight="1">
      <c r="B919" s="1"/>
    </row>
    <row r="920" ht="14.25" customHeight="1">
      <c r="B920" s="1"/>
    </row>
    <row r="921" ht="14.25" customHeight="1">
      <c r="B921" s="1"/>
    </row>
    <row r="922" ht="14.25" customHeight="1">
      <c r="B922" s="1"/>
    </row>
    <row r="923" ht="14.25" customHeight="1">
      <c r="B923" s="1"/>
    </row>
    <row r="924" ht="14.25" customHeight="1">
      <c r="B924" s="1"/>
    </row>
    <row r="925" ht="14.25" customHeight="1">
      <c r="B925" s="1"/>
    </row>
    <row r="926" ht="14.25" customHeight="1">
      <c r="B926" s="1"/>
    </row>
    <row r="927" ht="14.25" customHeight="1">
      <c r="B927" s="1"/>
    </row>
    <row r="928" ht="14.25" customHeight="1">
      <c r="B928" s="1"/>
    </row>
    <row r="929" ht="14.25" customHeight="1">
      <c r="B929" s="1"/>
    </row>
    <row r="930" ht="14.25" customHeight="1">
      <c r="B930" s="1"/>
    </row>
    <row r="931" ht="14.25" customHeight="1">
      <c r="B931" s="1"/>
    </row>
    <row r="932" ht="14.25" customHeight="1">
      <c r="B932" s="1"/>
    </row>
    <row r="933" ht="14.25" customHeight="1">
      <c r="B933" s="1"/>
    </row>
    <row r="934" ht="14.25" customHeight="1">
      <c r="B934" s="1"/>
    </row>
    <row r="935" ht="14.25" customHeight="1">
      <c r="B935" s="1"/>
    </row>
    <row r="936" ht="14.25" customHeight="1">
      <c r="B936" s="1"/>
    </row>
    <row r="937" ht="14.25" customHeight="1">
      <c r="B937" s="1"/>
    </row>
    <row r="938" ht="14.25" customHeight="1">
      <c r="B938" s="1"/>
    </row>
    <row r="939" ht="14.25" customHeight="1">
      <c r="B939" s="1"/>
    </row>
    <row r="940" ht="14.25" customHeight="1">
      <c r="B940" s="1"/>
    </row>
    <row r="941" ht="14.25" customHeight="1">
      <c r="B941" s="1"/>
    </row>
    <row r="942" ht="14.25" customHeight="1">
      <c r="B942" s="1"/>
    </row>
    <row r="943" ht="14.25" customHeight="1">
      <c r="B943" s="1"/>
    </row>
    <row r="944" ht="14.25" customHeight="1">
      <c r="B944" s="1"/>
    </row>
    <row r="945" ht="14.25" customHeight="1">
      <c r="B945" s="1"/>
    </row>
    <row r="946" ht="14.25" customHeight="1">
      <c r="B946" s="1"/>
    </row>
    <row r="947" ht="14.25" customHeight="1">
      <c r="B947" s="1"/>
    </row>
    <row r="948" ht="14.25" customHeight="1">
      <c r="B948" s="1"/>
    </row>
    <row r="949" ht="14.25" customHeight="1">
      <c r="B949" s="1"/>
    </row>
    <row r="950" ht="14.25" customHeight="1">
      <c r="B950" s="1"/>
    </row>
    <row r="951" ht="14.25" customHeight="1">
      <c r="B951" s="1"/>
    </row>
    <row r="952" ht="14.25" customHeight="1">
      <c r="B952" s="1"/>
    </row>
    <row r="953" ht="14.25" customHeight="1">
      <c r="B953" s="1"/>
    </row>
    <row r="954" ht="14.25" customHeight="1">
      <c r="B954" s="1"/>
    </row>
    <row r="955" ht="14.25" customHeight="1">
      <c r="B955" s="1"/>
    </row>
    <row r="956" ht="14.25" customHeight="1">
      <c r="B956" s="1"/>
    </row>
    <row r="957" ht="14.25" customHeight="1">
      <c r="B957" s="1"/>
    </row>
    <row r="958" ht="14.25" customHeight="1">
      <c r="B958" s="1"/>
    </row>
    <row r="959" ht="14.25" customHeight="1">
      <c r="B959" s="1"/>
    </row>
    <row r="960" ht="14.25" customHeight="1">
      <c r="B960" s="1"/>
    </row>
    <row r="961" ht="14.25" customHeight="1">
      <c r="B961" s="1"/>
    </row>
    <row r="962" ht="14.25" customHeight="1">
      <c r="B962" s="1"/>
    </row>
    <row r="963" ht="14.25" customHeight="1">
      <c r="B963" s="1"/>
    </row>
    <row r="964" ht="14.25" customHeight="1">
      <c r="B964" s="1"/>
    </row>
    <row r="965" ht="14.25" customHeight="1">
      <c r="B965" s="1"/>
    </row>
    <row r="966" ht="14.25" customHeight="1">
      <c r="B966" s="1"/>
    </row>
    <row r="967" ht="14.25" customHeight="1">
      <c r="B967" s="1"/>
    </row>
    <row r="968" ht="14.25" customHeight="1">
      <c r="B968" s="1"/>
    </row>
    <row r="969" ht="14.25" customHeight="1">
      <c r="B969" s="1"/>
    </row>
    <row r="970" ht="14.25" customHeight="1">
      <c r="B970" s="1"/>
    </row>
    <row r="971" ht="14.25" customHeight="1">
      <c r="B971" s="1"/>
    </row>
    <row r="972" ht="14.25" customHeight="1">
      <c r="B972" s="1"/>
    </row>
    <row r="973" ht="14.25" customHeight="1">
      <c r="B973" s="1"/>
    </row>
    <row r="974" ht="14.25" customHeight="1">
      <c r="B974" s="1"/>
    </row>
    <row r="975" ht="14.25" customHeight="1">
      <c r="B975" s="1"/>
    </row>
    <row r="976" ht="14.25" customHeight="1">
      <c r="B976" s="1"/>
    </row>
    <row r="977" ht="14.25" customHeight="1">
      <c r="B977" s="1"/>
    </row>
    <row r="978" ht="14.25" customHeight="1">
      <c r="B978" s="1"/>
    </row>
    <row r="979" ht="14.25" customHeight="1">
      <c r="B979" s="1"/>
    </row>
    <row r="980" ht="14.25" customHeight="1">
      <c r="B980" s="1"/>
    </row>
    <row r="981" ht="14.25" customHeight="1">
      <c r="B981" s="1"/>
    </row>
    <row r="982" ht="14.25" customHeight="1">
      <c r="B982" s="1"/>
    </row>
    <row r="983" ht="14.25" customHeight="1">
      <c r="B983" s="1"/>
    </row>
    <row r="984" ht="14.25" customHeight="1">
      <c r="B984" s="1"/>
    </row>
    <row r="985" ht="14.25" customHeight="1">
      <c r="B985" s="1"/>
    </row>
    <row r="986" ht="14.25" customHeight="1">
      <c r="B986" s="1"/>
    </row>
    <row r="987" ht="14.25" customHeight="1">
      <c r="B987" s="1"/>
    </row>
    <row r="988" ht="14.25" customHeight="1">
      <c r="B988" s="1"/>
    </row>
    <row r="989" ht="14.25" customHeight="1">
      <c r="B989" s="1"/>
    </row>
    <row r="990" ht="14.25" customHeight="1">
      <c r="B990" s="1"/>
    </row>
    <row r="991" ht="14.25" customHeight="1">
      <c r="B991" s="1"/>
    </row>
    <row r="992" ht="14.25" customHeight="1">
      <c r="B992" s="1"/>
    </row>
    <row r="993" ht="14.25" customHeight="1">
      <c r="B993" s="1"/>
    </row>
    <row r="994" ht="14.25" customHeight="1">
      <c r="B994" s="1"/>
    </row>
    <row r="995" ht="14.25" customHeight="1">
      <c r="B995" s="1"/>
    </row>
    <row r="996" ht="14.25" customHeight="1">
      <c r="B996" s="1"/>
    </row>
    <row r="997" ht="14.25" customHeight="1">
      <c r="B997" s="1"/>
    </row>
    <row r="998" ht="14.25" customHeight="1">
      <c r="B998" s="1"/>
    </row>
    <row r="999" ht="14.25" customHeight="1">
      <c r="B999" s="1"/>
    </row>
  </sheetData>
  <mergeCells count="3">
    <mergeCell ref="B2:P2"/>
    <mergeCell ref="J6:J7"/>
    <mergeCell ref="K6:K8"/>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57"/>
    <col customWidth="1" min="2" max="2" width="0.57"/>
    <col customWidth="1" min="3" max="3" width="3.14"/>
    <col customWidth="1" min="4" max="4" width="28.43"/>
    <col customWidth="1" min="5" max="5" width="12.14"/>
    <col customWidth="1" min="6" max="6" width="0.57"/>
    <col customWidth="1" hidden="1" min="7" max="7" width="12.0"/>
    <col customWidth="1" hidden="1" min="8" max="8" width="2.86"/>
    <col customWidth="1" hidden="1" min="9" max="9" width="10.43"/>
    <col customWidth="1" hidden="1" min="10" max="10" width="12.0"/>
    <col customWidth="1" hidden="1" min="11" max="11" width="1.86"/>
    <col customWidth="1" hidden="1" min="12" max="12" width="11.57"/>
    <col customWidth="1" min="13" max="13" width="3.86"/>
    <col customWidth="1" min="14" max="14" width="0.86"/>
    <col customWidth="1" min="15" max="15" width="18.57"/>
    <col customWidth="1" hidden="1" min="16" max="16" width="6.14"/>
    <col customWidth="1" min="17" max="17" width="16.43"/>
    <col customWidth="1" hidden="1" min="18" max="18" width="31.43"/>
    <col customWidth="1" hidden="1" min="19" max="19" width="9.14"/>
    <col customWidth="1" min="20" max="20" width="0.71"/>
    <col customWidth="1" min="21" max="21" width="0.86"/>
    <col customWidth="1" min="22" max="22" width="5.0"/>
    <col customWidth="1" min="23" max="23" width="0.86"/>
    <col customWidth="1" min="24" max="24" width="0.71"/>
    <col customWidth="1" min="25" max="25" width="40.0"/>
    <col customWidth="1" min="26" max="26" width="4.57"/>
    <col customWidth="1" min="27" max="27" width="50.0"/>
    <col customWidth="1" min="28" max="28" width="0.57"/>
    <col customWidth="1" min="29" max="29" width="11.0"/>
    <col customWidth="1" min="30" max="30" width="0.43"/>
    <col customWidth="1" min="31" max="31" width="10.57"/>
    <col customWidth="1" min="32" max="32" width="7.29"/>
    <col customWidth="1" min="33" max="33" width="7.57"/>
    <col customWidth="1" min="34" max="34" width="82.14"/>
    <col customWidth="1" min="35" max="35" width="17.14"/>
    <col customWidth="1" min="36" max="36" width="0.43"/>
    <col customWidth="1" min="37" max="37" width="0.71"/>
    <col customWidth="1" min="38" max="38" width="0.57"/>
    <col customWidth="1" min="39" max="39" width="31.14"/>
    <col customWidth="1" min="40" max="41" width="0.71"/>
    <col customWidth="1" min="42" max="42" width="5.14"/>
    <col customWidth="1" min="43" max="43" width="20.14"/>
    <col customWidth="1" min="44" max="44" width="9.86"/>
    <col customWidth="1" min="45" max="45" width="16.14"/>
    <col customWidth="1" min="47" max="47" width="0.57"/>
  </cols>
  <sheetData>
    <row r="1" ht="15.75" customHeight="1">
      <c r="C1" s="1"/>
      <c r="Y1" s="4" t="s">
        <v>1</v>
      </c>
    </row>
    <row r="2" ht="3.75" customHeight="1">
      <c r="B2" s="3"/>
      <c r="C2" s="1"/>
      <c r="X2" s="4"/>
    </row>
    <row r="3" ht="19.5" customHeight="1">
      <c r="C3" s="11" t="s">
        <v>4</v>
      </c>
      <c r="D3" s="7"/>
      <c r="E3" s="10"/>
      <c r="K3" s="3">
        <f>+HOUR(I5)</f>
        <v>15</v>
      </c>
      <c r="L3" s="3">
        <f>+MINUTE(I5)</f>
        <v>5</v>
      </c>
      <c r="O3" s="21" t="s">
        <v>23</v>
      </c>
      <c r="P3" s="21" t="s">
        <v>25</v>
      </c>
      <c r="Q3" s="21"/>
      <c r="R3" s="25" t="s">
        <v>26</v>
      </c>
      <c r="S3" s="27" t="s">
        <v>28</v>
      </c>
      <c r="Y3" s="32">
        <f>TODAY()</f>
        <v>46262</v>
      </c>
      <c r="Z3" s="10"/>
      <c r="AA3" s="34" t="s">
        <v>30</v>
      </c>
      <c r="AF3" s="37"/>
    </row>
    <row r="4" ht="17.25" customHeight="1">
      <c r="C4" s="44">
        <f>NOW()</f>
        <v>46262.47463</v>
      </c>
      <c r="D4" s="7"/>
      <c r="E4" s="10"/>
      <c r="M4" s="3">
        <v>19.0</v>
      </c>
      <c r="O4" s="48">
        <v>0.5833333333333334</v>
      </c>
      <c r="P4" s="51">
        <v>79.0</v>
      </c>
      <c r="Q4" s="56">
        <v>73.0</v>
      </c>
      <c r="R4" s="58">
        <v>36.0</v>
      </c>
      <c r="S4" s="58">
        <f t="shared" ref="S4:S12" si="1">P4-Q4</f>
        <v>6</v>
      </c>
      <c r="V4" s="3"/>
      <c r="Y4" s="66" t="s">
        <v>47</v>
      </c>
      <c r="Z4" s="66" t="s">
        <v>5</v>
      </c>
      <c r="AA4" s="72" t="s">
        <v>48</v>
      </c>
      <c r="AF4" s="63"/>
    </row>
    <row r="5" ht="14.25" customHeight="1">
      <c r="C5" s="66" t="s">
        <v>5</v>
      </c>
      <c r="D5" s="66" t="s">
        <v>53</v>
      </c>
      <c r="E5" s="66" t="s">
        <v>56</v>
      </c>
      <c r="I5" s="90">
        <f>+I6-E6</f>
        <v>46261.6288</v>
      </c>
      <c r="L5" s="3">
        <f>+K3*60+L3</f>
        <v>905</v>
      </c>
      <c r="M5" s="3">
        <v>38.0</v>
      </c>
      <c r="O5" s="48">
        <v>0.625</v>
      </c>
      <c r="P5" s="51">
        <v>79.0</v>
      </c>
      <c r="Q5" s="56">
        <v>50.0</v>
      </c>
      <c r="R5" s="96"/>
      <c r="S5" s="58">
        <f t="shared" si="1"/>
        <v>29</v>
      </c>
      <c r="V5" s="3"/>
      <c r="Y5" s="99" t="s">
        <v>69</v>
      </c>
      <c r="Z5" s="99">
        <v>7.0</v>
      </c>
      <c r="AA5" s="101" t="s">
        <v>70</v>
      </c>
      <c r="AF5" s="63"/>
    </row>
    <row r="6" ht="15.0" customHeight="1">
      <c r="C6" s="106">
        <v>1.0</v>
      </c>
      <c r="D6" s="109" t="s">
        <v>72</v>
      </c>
      <c r="E6" s="116">
        <f>'CIERRE DE PROCESO '!D3</f>
        <v>0.8458333333</v>
      </c>
      <c r="I6" s="120">
        <f>NOW()</f>
        <v>46262.47463</v>
      </c>
      <c r="J6" s="127">
        <f>I5*24/60</f>
        <v>18504.65152</v>
      </c>
      <c r="L6" s="137">
        <f>+L5/60</f>
        <v>15.08333333</v>
      </c>
      <c r="M6" s="3">
        <v>57.0</v>
      </c>
      <c r="O6" s="48">
        <v>0.6666666666666666</v>
      </c>
      <c r="P6" s="51">
        <v>79.0</v>
      </c>
      <c r="Q6" s="56">
        <v>29.0</v>
      </c>
      <c r="R6" s="96"/>
      <c r="S6" s="58">
        <f t="shared" si="1"/>
        <v>50</v>
      </c>
      <c r="Y6" s="99" t="s">
        <v>86</v>
      </c>
      <c r="Z6" s="99">
        <v>21.0</v>
      </c>
      <c r="AA6" s="101" t="s">
        <v>87</v>
      </c>
      <c r="AF6" s="63"/>
    </row>
    <row r="7" ht="14.25" customHeight="1">
      <c r="C7" s="144">
        <v>2.0</v>
      </c>
      <c r="D7" s="146" t="s">
        <v>88</v>
      </c>
      <c r="E7" s="149">
        <f>'CIERRE DE PROCESO '!D2</f>
        <v>306</v>
      </c>
      <c r="G7" s="127">
        <f>I6*24*60</f>
        <v>66617963.47</v>
      </c>
      <c r="I7" s="3" t="s">
        <v>93</v>
      </c>
      <c r="M7" s="3">
        <v>76.0</v>
      </c>
      <c r="O7" s="48">
        <v>0.7083333333333334</v>
      </c>
      <c r="P7" s="51">
        <v>79.0</v>
      </c>
      <c r="Q7" s="56">
        <v>80.0</v>
      </c>
      <c r="R7" s="96"/>
      <c r="S7" s="58">
        <f t="shared" si="1"/>
        <v>-1</v>
      </c>
      <c r="U7" s="3"/>
      <c r="Y7" s="99" t="s">
        <v>94</v>
      </c>
      <c r="Z7" s="99">
        <v>14.0</v>
      </c>
      <c r="AA7" s="101" t="s">
        <v>87</v>
      </c>
    </row>
    <row r="8" ht="14.25" customHeight="1">
      <c r="C8" s="144">
        <v>3.0</v>
      </c>
      <c r="D8" s="146" t="s">
        <v>95</v>
      </c>
      <c r="E8" s="149">
        <v>126.0</v>
      </c>
      <c r="G8" s="127">
        <f>G7-785</f>
        <v>66617178.47</v>
      </c>
      <c r="O8" s="48">
        <v>0.75</v>
      </c>
      <c r="P8" s="51">
        <v>40.0</v>
      </c>
      <c r="Q8" s="56">
        <v>80.0</v>
      </c>
      <c r="R8" s="157" t="s">
        <v>99</v>
      </c>
      <c r="S8" s="160">
        <f t="shared" si="1"/>
        <v>-40</v>
      </c>
      <c r="Y8" s="99" t="s">
        <v>102</v>
      </c>
      <c r="Z8" s="99">
        <v>14.0</v>
      </c>
      <c r="AA8" s="101" t="s">
        <v>103</v>
      </c>
    </row>
    <row r="9">
      <c r="C9" s="144">
        <v>4.0</v>
      </c>
      <c r="D9" s="146" t="s">
        <v>104</v>
      </c>
      <c r="E9" s="164">
        <f>E7-E8</f>
        <v>180</v>
      </c>
      <c r="O9" s="48">
        <v>0.7916666666666666</v>
      </c>
      <c r="P9" s="51">
        <v>79.0</v>
      </c>
      <c r="Q9" s="56">
        <v>40.0</v>
      </c>
      <c r="R9" s="96"/>
      <c r="S9" s="58">
        <f t="shared" si="1"/>
        <v>39</v>
      </c>
      <c r="Y9" s="99" t="s">
        <v>111</v>
      </c>
      <c r="Z9" s="99">
        <v>46.0</v>
      </c>
      <c r="AA9" s="101" t="s">
        <v>87</v>
      </c>
    </row>
    <row r="10">
      <c r="C10" s="144">
        <v>5.0</v>
      </c>
      <c r="D10" s="146" t="s">
        <v>112</v>
      </c>
      <c r="E10" s="172">
        <f>'CIERRE DE PROCESO '!D9</f>
        <v>255</v>
      </c>
      <c r="G10" s="177">
        <f>J6/60</f>
        <v>308.4108587</v>
      </c>
      <c r="O10" s="48">
        <v>0.8333333333333334</v>
      </c>
      <c r="P10" s="51">
        <v>79.0</v>
      </c>
      <c r="Q10" s="56">
        <v>80.0</v>
      </c>
      <c r="R10" s="96" t="s">
        <v>99</v>
      </c>
      <c r="S10" s="101">
        <f t="shared" si="1"/>
        <v>-1</v>
      </c>
      <c r="Y10" s="99" t="s">
        <v>118</v>
      </c>
      <c r="Z10" s="99">
        <v>8.0</v>
      </c>
      <c r="AA10" s="101" t="s">
        <v>70</v>
      </c>
    </row>
    <row r="11">
      <c r="C11" s="180">
        <v>6.0</v>
      </c>
      <c r="D11" s="183" t="s">
        <v>119</v>
      </c>
      <c r="E11" s="185">
        <f>O23</f>
        <v>0.8979166667</v>
      </c>
      <c r="G11" s="3">
        <f>+E9/60</f>
        <v>3</v>
      </c>
      <c r="J11" s="3">
        <f>+E7-E8</f>
        <v>180</v>
      </c>
      <c r="O11" s="48">
        <v>0.875</v>
      </c>
      <c r="P11" s="51">
        <v>79.0</v>
      </c>
      <c r="Q11" s="56">
        <v>75.0</v>
      </c>
      <c r="R11" s="96" t="s">
        <v>123</v>
      </c>
      <c r="S11" s="101">
        <f t="shared" si="1"/>
        <v>4</v>
      </c>
      <c r="T11" s="112">
        <v>35.0</v>
      </c>
      <c r="U11" s="3"/>
      <c r="V11" s="184"/>
      <c r="Y11" s="99" t="s">
        <v>125</v>
      </c>
      <c r="Z11" s="99">
        <v>95.0</v>
      </c>
      <c r="AA11" s="99" t="s">
        <v>70</v>
      </c>
    </row>
    <row r="12">
      <c r="C12" s="1"/>
      <c r="D12" s="4"/>
      <c r="E12" s="188"/>
      <c r="G12" s="3"/>
      <c r="J12" s="3"/>
      <c r="O12" s="48">
        <v>0.9166666666666666</v>
      </c>
      <c r="P12" s="51">
        <v>21.0</v>
      </c>
      <c r="Q12" s="56"/>
      <c r="R12" s="96" t="s">
        <v>123</v>
      </c>
      <c r="S12" s="101">
        <f t="shared" si="1"/>
        <v>21</v>
      </c>
    </row>
    <row r="13">
      <c r="C13" s="1"/>
      <c r="D13" s="4"/>
      <c r="E13" s="188"/>
      <c r="G13" s="3"/>
      <c r="J13" s="3"/>
      <c r="O13" s="48">
        <v>0.9583333333333334</v>
      </c>
      <c r="P13" s="194"/>
      <c r="Q13" s="56"/>
      <c r="R13" s="96"/>
      <c r="S13" s="58">
        <v>36.0</v>
      </c>
      <c r="AA13" s="4"/>
      <c r="AI13" s="3"/>
    </row>
    <row r="14">
      <c r="C14" s="1"/>
      <c r="D14" s="4"/>
      <c r="E14" s="188"/>
      <c r="G14" s="3"/>
      <c r="J14" s="3"/>
      <c r="O14" s="48">
        <v>1.0</v>
      </c>
      <c r="P14" s="194"/>
      <c r="Q14" s="56"/>
      <c r="R14" s="96"/>
      <c r="S14" s="58">
        <v>36.0</v>
      </c>
      <c r="AA14" s="4"/>
    </row>
    <row r="15" hidden="1">
      <c r="C15" s="1"/>
      <c r="D15" s="4"/>
      <c r="E15" s="188"/>
      <c r="G15" s="3"/>
      <c r="J15" s="3"/>
      <c r="O15" s="48">
        <v>1.0416666666666667</v>
      </c>
      <c r="P15" s="194"/>
      <c r="Q15" s="101"/>
      <c r="R15" s="96"/>
      <c r="S15" s="58">
        <v>36.0</v>
      </c>
      <c r="AA15" s="4"/>
      <c r="AI15" s="3" t="s">
        <v>130</v>
      </c>
    </row>
    <row r="16" hidden="1">
      <c r="C16" s="1"/>
      <c r="D16" s="4"/>
      <c r="E16" s="188"/>
      <c r="G16" s="3"/>
      <c r="J16" s="3"/>
      <c r="O16" s="48">
        <v>1.0833333333333333</v>
      </c>
      <c r="P16" s="194"/>
      <c r="Q16" s="101"/>
      <c r="R16" s="96"/>
      <c r="S16" s="58">
        <v>36.0</v>
      </c>
      <c r="AA16" s="4"/>
    </row>
    <row r="17" hidden="1">
      <c r="C17" s="1"/>
      <c r="D17" s="4"/>
      <c r="E17" s="188"/>
      <c r="G17" s="3"/>
      <c r="J17" s="3"/>
      <c r="O17" s="48">
        <v>1.125</v>
      </c>
      <c r="P17" s="194"/>
      <c r="Q17" s="101"/>
      <c r="R17" s="96"/>
      <c r="S17" s="58">
        <v>36.0</v>
      </c>
      <c r="AA17" s="4"/>
    </row>
    <row r="18" hidden="1">
      <c r="C18" s="1"/>
      <c r="G18" s="3">
        <f>+G11*60</f>
        <v>180</v>
      </c>
      <c r="J18" s="3">
        <f>+J11/E10</f>
        <v>0.7058823529</v>
      </c>
      <c r="M18" s="4"/>
      <c r="N18" s="4"/>
      <c r="O18" s="48">
        <v>1.1666666666666667</v>
      </c>
      <c r="P18" s="194"/>
      <c r="Q18" s="101"/>
      <c r="R18" s="96"/>
      <c r="S18" s="58">
        <v>36.0</v>
      </c>
      <c r="T18" s="4"/>
      <c r="U18" s="4"/>
      <c r="AA18" s="4"/>
    </row>
    <row r="19" ht="3.75" customHeight="1">
      <c r="C19" s="1"/>
      <c r="G19" s="3"/>
      <c r="J19" s="3"/>
      <c r="M19" s="4"/>
      <c r="N19" s="4"/>
      <c r="O19" s="4"/>
      <c r="P19" s="4"/>
      <c r="Q19" s="4"/>
      <c r="R19" s="129"/>
      <c r="S19" s="129"/>
      <c r="T19" s="4"/>
      <c r="U19" s="4"/>
      <c r="AA19" s="4"/>
    </row>
    <row r="20" ht="14.25" customHeight="1">
      <c r="C20" s="1"/>
      <c r="G20" s="127">
        <f>+G18+G7</f>
        <v>66618143.47</v>
      </c>
      <c r="J20" s="137">
        <f>+J18+L6</f>
        <v>15.78921569</v>
      </c>
      <c r="M20" s="4" t="s">
        <v>138</v>
      </c>
      <c r="N20" s="4"/>
      <c r="O20" s="34" t="s">
        <v>139</v>
      </c>
      <c r="P20" s="225">
        <f t="shared" ref="P20:Q20" si="2">SUM(P4:P19)</f>
        <v>614</v>
      </c>
      <c r="Q20" s="225">
        <f t="shared" si="2"/>
        <v>507</v>
      </c>
      <c r="R20" s="129"/>
      <c r="S20" s="129"/>
      <c r="T20" s="4"/>
      <c r="U20" s="4"/>
      <c r="V20" s="4"/>
      <c r="Y20" s="228"/>
      <c r="AA20" s="4"/>
    </row>
    <row r="21" ht="14.25" customHeight="1">
      <c r="C21" s="1"/>
      <c r="G21" s="127"/>
      <c r="J21" s="137"/>
      <c r="O21" s="232" t="s">
        <v>141</v>
      </c>
      <c r="P21" s="7"/>
      <c r="Q21" s="233"/>
      <c r="R21" s="129"/>
      <c r="S21" s="129"/>
      <c r="U21" s="4"/>
      <c r="V21" s="4"/>
      <c r="Y21" s="228"/>
      <c r="AA21" s="4"/>
      <c r="AE21" s="62"/>
      <c r="AF21" s="62"/>
      <c r="AG21" s="62"/>
      <c r="AH21" s="62"/>
    </row>
    <row r="22" ht="30.0" customHeight="1">
      <c r="C22" s="1"/>
      <c r="G22" s="238">
        <f>G20/60</f>
        <v>1110302.391</v>
      </c>
      <c r="J22" s="120">
        <f>+J20/24</f>
        <v>0.6578839869</v>
      </c>
      <c r="O22" s="243" t="s">
        <v>146</v>
      </c>
      <c r="P22" s="10"/>
      <c r="Q22" s="244" t="s">
        <v>150</v>
      </c>
      <c r="R22" s="129"/>
      <c r="S22" s="129"/>
      <c r="U22" s="4"/>
      <c r="V22" s="4"/>
      <c r="Y22" s="228" t="s">
        <v>27</v>
      </c>
      <c r="AA22" s="4"/>
      <c r="AE22" s="245" t="s">
        <v>153</v>
      </c>
      <c r="AF22" s="247">
        <f t="shared" ref="AF22:AG22" si="3">AF20-3</f>
        <v>-3</v>
      </c>
      <c r="AG22" s="247">
        <f t="shared" si="3"/>
        <v>-3</v>
      </c>
      <c r="AH22" s="247" t="s">
        <v>156</v>
      </c>
      <c r="AR22" s="4"/>
    </row>
    <row r="23" ht="14.25" customHeight="1">
      <c r="B23" s="37"/>
      <c r="C23" s="37"/>
      <c r="D23" s="37"/>
      <c r="E23" s="37"/>
      <c r="F23" s="37"/>
      <c r="G23" s="37"/>
      <c r="H23" s="37"/>
      <c r="I23" s="37"/>
      <c r="J23" s="37"/>
      <c r="K23" s="37"/>
      <c r="L23" s="37"/>
      <c r="N23" s="37"/>
      <c r="O23" s="256">
        <f>Q23-0.01875</f>
        <v>0.8979166667</v>
      </c>
      <c r="P23" s="257"/>
      <c r="Q23" s="260">
        <f>'CIERRE DE PROCESO '!D16</f>
        <v>0.9166666667</v>
      </c>
      <c r="R23" s="129"/>
      <c r="S23" s="129"/>
      <c r="T23" s="37"/>
      <c r="U23" s="4"/>
      <c r="V23" s="4"/>
      <c r="W23" s="37"/>
      <c r="AE23" s="62" t="s">
        <v>162</v>
      </c>
      <c r="AF23" s="62" t="s">
        <v>163</v>
      </c>
      <c r="AG23" s="262" t="s">
        <v>164</v>
      </c>
      <c r="AH23" s="62" t="s">
        <v>165</v>
      </c>
    </row>
    <row r="24" ht="14.25" hidden="1" customHeight="1">
      <c r="C24" s="1"/>
      <c r="E24" s="184"/>
      <c r="Q24" s="4"/>
      <c r="R24" s="129"/>
      <c r="S24" s="129"/>
      <c r="U24" s="4"/>
      <c r="V24" s="4"/>
    </row>
    <row r="25" ht="6.0" hidden="1" customHeight="1">
      <c r="C25" s="1"/>
      <c r="E25" s="184"/>
      <c r="R25" s="129"/>
      <c r="S25" s="129"/>
      <c r="U25" s="4"/>
      <c r="V25" s="4"/>
    </row>
    <row r="26" ht="15.0" hidden="1" customHeight="1">
      <c r="C26" s="1"/>
      <c r="O26" s="225" t="s">
        <v>139</v>
      </c>
      <c r="P26" s="269">
        <f>Q20</f>
        <v>507</v>
      </c>
      <c r="Q26" s="10"/>
      <c r="R26" s="129"/>
      <c r="S26" s="129"/>
      <c r="U26" s="4"/>
    </row>
    <row r="27" ht="18.0" hidden="1" customHeight="1">
      <c r="C27" s="1"/>
      <c r="I27" s="3"/>
      <c r="O27" s="243" t="s">
        <v>146</v>
      </c>
      <c r="P27" s="7"/>
      <c r="Q27" s="10"/>
      <c r="R27" s="129" t="s">
        <v>27</v>
      </c>
      <c r="S27" s="129"/>
      <c r="U27" s="4"/>
    </row>
    <row r="28" ht="16.5" hidden="1" customHeight="1">
      <c r="C28" s="1"/>
      <c r="O28" s="256">
        <f>O23</f>
        <v>0.8979166667</v>
      </c>
      <c r="P28" s="7"/>
      <c r="Q28" s="10"/>
      <c r="R28" s="129"/>
      <c r="S28" s="129"/>
      <c r="U28" s="4"/>
    </row>
    <row r="29" ht="4.5" customHeight="1">
      <c r="C29" s="1"/>
      <c r="R29" s="129"/>
      <c r="S29" s="129"/>
    </row>
    <row r="30" ht="3.0" customHeight="1">
      <c r="C30" s="1"/>
    </row>
    <row r="31" ht="2.25" customHeight="1">
      <c r="C31" s="1"/>
      <c r="Z31" s="283" t="s">
        <v>169</v>
      </c>
      <c r="AA31" s="285">
        <v>17.0</v>
      </c>
    </row>
    <row r="32" ht="14.25" customHeight="1">
      <c r="C32" s="1"/>
      <c r="O32" s="184"/>
      <c r="R32" s="184"/>
      <c r="S32" s="184"/>
    </row>
    <row r="33" ht="14.25" customHeight="1">
      <c r="C33" s="1"/>
    </row>
    <row r="34" ht="3.0" customHeight="1">
      <c r="C34" s="1"/>
    </row>
    <row r="35" ht="14.25" customHeight="1">
      <c r="C35" s="1"/>
      <c r="Q35" s="177"/>
      <c r="R35" s="177"/>
      <c r="S35" s="177"/>
      <c r="Y35" s="101" t="s">
        <v>170</v>
      </c>
      <c r="AA35" s="288" t="s">
        <v>171</v>
      </c>
    </row>
    <row r="36" ht="14.25" customHeight="1">
      <c r="C36" s="1"/>
      <c r="Y36" s="101" t="s">
        <v>102</v>
      </c>
      <c r="AA36" s="290" t="s">
        <v>103</v>
      </c>
    </row>
    <row r="37" ht="14.25" customHeight="1">
      <c r="C37" s="1"/>
      <c r="Y37" s="101" t="s">
        <v>172</v>
      </c>
      <c r="AA37" s="290" t="s">
        <v>173</v>
      </c>
    </row>
    <row r="38" ht="14.25" customHeight="1">
      <c r="C38" s="1"/>
      <c r="D38" s="62" t="s">
        <v>174</v>
      </c>
      <c r="Y38" s="101" t="s">
        <v>175</v>
      </c>
      <c r="AA38" s="290" t="s">
        <v>70</v>
      </c>
    </row>
    <row r="39" ht="14.25" customHeight="1">
      <c r="C39" s="1"/>
      <c r="D39" s="291">
        <v>46062.0</v>
      </c>
      <c r="Y39" s="101" t="s">
        <v>177</v>
      </c>
      <c r="AA39" s="290" t="s">
        <v>178</v>
      </c>
    </row>
    <row r="40" ht="14.25" customHeight="1">
      <c r="C40" s="1"/>
      <c r="D40" s="291">
        <v>46087.0</v>
      </c>
      <c r="Y40" s="101" t="s">
        <v>118</v>
      </c>
      <c r="AA40" s="290" t="s">
        <v>70</v>
      </c>
    </row>
    <row r="41" ht="14.25" customHeight="1">
      <c r="C41" s="1"/>
      <c r="D41" s="295">
        <v>46118.0</v>
      </c>
      <c r="Y41" s="101" t="s">
        <v>179</v>
      </c>
      <c r="AA41" s="290" t="s">
        <v>70</v>
      </c>
    </row>
    <row r="42" ht="14.25" customHeight="1">
      <c r="C42" s="1"/>
      <c r="D42" s="291"/>
      <c r="Y42" s="101" t="s">
        <v>69</v>
      </c>
      <c r="AA42" s="290" t="s">
        <v>70</v>
      </c>
    </row>
    <row r="43" ht="14.25" customHeight="1">
      <c r="C43" s="1"/>
      <c r="D43" s="291"/>
      <c r="Y43" s="101" t="s">
        <v>181</v>
      </c>
      <c r="AA43" s="290" t="s">
        <v>70</v>
      </c>
    </row>
    <row r="44" ht="15.0" customHeight="1">
      <c r="C44" s="1"/>
      <c r="D44" s="291"/>
    </row>
    <row r="45" ht="14.25" customHeight="1">
      <c r="C45" s="1"/>
      <c r="D45" s="291"/>
    </row>
    <row r="46" ht="14.25" customHeight="1">
      <c r="C46" s="1"/>
      <c r="D46" s="291"/>
    </row>
    <row r="47" ht="14.25" customHeight="1">
      <c r="C47" s="1"/>
      <c r="D47" s="291"/>
    </row>
    <row r="48" ht="14.25" customHeight="1">
      <c r="C48" s="1"/>
      <c r="D48" s="291"/>
    </row>
    <row r="49" ht="14.25" customHeight="1">
      <c r="C49" s="1"/>
      <c r="D49" s="291"/>
    </row>
    <row r="50" ht="14.25" customHeight="1">
      <c r="C50" s="1"/>
      <c r="D50" s="291"/>
    </row>
    <row r="51" ht="14.25" customHeight="1">
      <c r="C51" s="1"/>
      <c r="D51" s="291"/>
    </row>
    <row r="52" ht="14.25" customHeight="1">
      <c r="C52" s="1"/>
    </row>
    <row r="53" ht="14.25" customHeight="1">
      <c r="C53" s="1"/>
    </row>
    <row r="54" ht="14.25" customHeight="1">
      <c r="C54" s="1"/>
      <c r="D54" s="68"/>
      <c r="E54" s="1"/>
      <c r="P54" s="1"/>
    </row>
    <row r="55" ht="14.25" customHeight="1">
      <c r="C55" s="1"/>
      <c r="E55" s="4"/>
    </row>
    <row r="56" ht="14.25" customHeight="1">
      <c r="C56" s="1"/>
      <c r="AA56" s="4"/>
    </row>
    <row r="57" ht="14.25" customHeight="1">
      <c r="C57" s="1"/>
      <c r="AA57" s="4"/>
    </row>
    <row r="58" ht="14.25" customHeight="1">
      <c r="C58" s="1"/>
      <c r="D58" s="4"/>
      <c r="AA58" s="4"/>
    </row>
    <row r="59" ht="14.25" customHeight="1">
      <c r="C59" s="1"/>
      <c r="AA59" s="4"/>
    </row>
    <row r="60" ht="14.25" customHeight="1">
      <c r="C60" s="1"/>
      <c r="AA60" s="4"/>
    </row>
    <row r="61" ht="14.25" customHeight="1">
      <c r="C61" s="1"/>
      <c r="AA61" s="4"/>
    </row>
    <row r="62" ht="14.25" customHeight="1">
      <c r="C62" s="1"/>
      <c r="AA62" s="4"/>
    </row>
    <row r="63" ht="14.25" customHeight="1">
      <c r="C63" s="1"/>
      <c r="AA63" s="4"/>
    </row>
    <row r="64" ht="14.25" customHeight="1">
      <c r="C64" s="1"/>
      <c r="AA64" s="4"/>
    </row>
    <row r="65" ht="14.25" customHeight="1">
      <c r="C65" s="1"/>
      <c r="AA65" s="4"/>
    </row>
    <row r="66" ht="14.25" customHeight="1">
      <c r="C66" s="1"/>
      <c r="AA66" s="4"/>
    </row>
    <row r="67" ht="14.25" customHeight="1">
      <c r="C67" s="1"/>
    </row>
    <row r="68" ht="14.25" customHeight="1">
      <c r="C68" s="1"/>
    </row>
    <row r="69" ht="14.25" customHeight="1">
      <c r="C69" s="1"/>
    </row>
    <row r="70" ht="14.25" customHeight="1">
      <c r="C70" s="1"/>
    </row>
    <row r="71" ht="14.25" customHeight="1">
      <c r="C71" s="1"/>
    </row>
    <row r="72" ht="14.25" customHeight="1">
      <c r="C72" s="1"/>
    </row>
    <row r="73" ht="14.25" customHeight="1">
      <c r="C73" s="1"/>
    </row>
    <row r="74" ht="14.25" customHeight="1">
      <c r="C74" s="1"/>
    </row>
    <row r="75" ht="14.25" customHeight="1">
      <c r="C75" s="1"/>
    </row>
    <row r="76" ht="14.25" customHeight="1">
      <c r="C76" s="1"/>
    </row>
    <row r="77" ht="14.25" customHeight="1">
      <c r="C77" s="1"/>
    </row>
    <row r="78" ht="14.25" customHeight="1">
      <c r="C78" s="1"/>
    </row>
    <row r="79" ht="14.25" customHeight="1">
      <c r="C79" s="1"/>
    </row>
    <row r="80" ht="14.25" customHeight="1">
      <c r="C80" s="1"/>
    </row>
    <row r="81" ht="14.25" customHeight="1">
      <c r="C81" s="1"/>
    </row>
    <row r="82" ht="14.25" customHeight="1">
      <c r="C82" s="1"/>
    </row>
    <row r="83" ht="14.25" customHeight="1">
      <c r="C83" s="1"/>
    </row>
    <row r="84" ht="14.25" customHeight="1">
      <c r="C84" s="1"/>
    </row>
    <row r="85" ht="14.25" customHeight="1">
      <c r="C85" s="1"/>
    </row>
    <row r="86" ht="14.25" customHeight="1">
      <c r="C86" s="1"/>
    </row>
    <row r="87" ht="14.25" customHeight="1">
      <c r="C87" s="1"/>
    </row>
    <row r="88" ht="14.25" customHeight="1">
      <c r="C88" s="1"/>
    </row>
    <row r="89" ht="14.25" customHeight="1">
      <c r="C89" s="1"/>
    </row>
    <row r="90" ht="14.25" customHeight="1">
      <c r="C90" s="1"/>
    </row>
    <row r="91" ht="15.0" customHeight="1">
      <c r="C91" s="1"/>
      <c r="AP91" s="4"/>
      <c r="AQ91" s="4"/>
      <c r="AR91" s="4"/>
      <c r="AS91" s="4"/>
      <c r="AT91" s="4"/>
      <c r="AU91" s="4"/>
    </row>
    <row r="92" ht="14.25" customHeight="1">
      <c r="C92" s="1"/>
    </row>
    <row r="93" ht="14.25" customHeight="1">
      <c r="C93" s="1"/>
    </row>
    <row r="94" ht="14.25" customHeight="1">
      <c r="C94" s="1"/>
    </row>
    <row r="95" ht="14.25" customHeight="1">
      <c r="C95" s="1"/>
    </row>
    <row r="96" ht="14.25" customHeight="1">
      <c r="C96" s="1"/>
    </row>
    <row r="97" ht="14.25" customHeight="1">
      <c r="C97" s="1"/>
    </row>
    <row r="98" ht="14.25" customHeight="1">
      <c r="C98" s="1"/>
    </row>
    <row r="99" ht="14.25" customHeight="1">
      <c r="C99" s="1"/>
    </row>
    <row r="100" ht="14.25" customHeight="1">
      <c r="C100" s="1"/>
    </row>
    <row r="101" ht="14.25" customHeight="1">
      <c r="C101" s="1"/>
    </row>
    <row r="102" ht="14.25" customHeight="1">
      <c r="C102" s="1"/>
    </row>
    <row r="103" ht="14.25" customHeight="1">
      <c r="C103" s="1"/>
    </row>
    <row r="104" ht="14.25" customHeight="1">
      <c r="C104" s="1"/>
    </row>
    <row r="105" ht="14.25" customHeight="1">
      <c r="C105" s="1"/>
    </row>
    <row r="106" ht="14.25" customHeight="1">
      <c r="C106" s="1"/>
    </row>
    <row r="107" ht="14.25" customHeight="1">
      <c r="C107" s="1"/>
    </row>
    <row r="108" ht="14.25" customHeight="1">
      <c r="C108" s="1"/>
    </row>
    <row r="109" ht="14.25" customHeight="1">
      <c r="C109" s="1"/>
    </row>
    <row r="110" ht="14.25" customHeight="1">
      <c r="C110" s="1"/>
    </row>
    <row r="111" ht="14.25" customHeight="1">
      <c r="C111" s="1"/>
    </row>
    <row r="112" ht="14.25" customHeight="1">
      <c r="C112" s="1"/>
    </row>
    <row r="113" ht="14.25" customHeight="1">
      <c r="C113" s="1"/>
    </row>
    <row r="114" ht="14.25" customHeight="1">
      <c r="C114" s="1"/>
    </row>
    <row r="115" ht="14.25" customHeight="1">
      <c r="C115" s="1"/>
    </row>
    <row r="116" ht="14.25" customHeight="1">
      <c r="C116" s="1"/>
    </row>
    <row r="117" ht="14.25" customHeight="1">
      <c r="C117" s="1"/>
    </row>
    <row r="118" ht="14.25" customHeight="1">
      <c r="C118" s="1"/>
    </row>
    <row r="119" ht="14.25" customHeight="1">
      <c r="C119" s="1"/>
    </row>
    <row r="120" ht="14.25" customHeight="1">
      <c r="C120" s="1"/>
    </row>
    <row r="121" ht="14.25" customHeight="1">
      <c r="C121" s="1"/>
    </row>
    <row r="122" ht="14.25" customHeight="1">
      <c r="C122" s="1"/>
    </row>
    <row r="123" ht="14.25" customHeight="1">
      <c r="C123" s="1"/>
    </row>
    <row r="124" ht="14.25" customHeight="1">
      <c r="C124" s="1"/>
    </row>
    <row r="125" ht="14.25" customHeight="1">
      <c r="C125" s="1"/>
    </row>
    <row r="126" ht="14.25" customHeight="1">
      <c r="C126" s="1"/>
    </row>
    <row r="127" ht="14.25" customHeight="1">
      <c r="C127" s="1"/>
    </row>
    <row r="128" ht="14.25" customHeight="1">
      <c r="C128" s="1"/>
    </row>
    <row r="129" ht="14.25" customHeight="1">
      <c r="C129" s="1"/>
    </row>
    <row r="130" ht="14.25" customHeight="1">
      <c r="C130" s="1"/>
    </row>
    <row r="131" ht="14.25" customHeight="1">
      <c r="C131" s="1"/>
    </row>
    <row r="132" ht="14.25" customHeight="1">
      <c r="C132" s="1"/>
    </row>
    <row r="133" ht="14.25" customHeight="1">
      <c r="C133" s="1"/>
    </row>
    <row r="134" ht="14.25" customHeight="1">
      <c r="C134" s="1"/>
    </row>
    <row r="135" ht="14.25" customHeight="1">
      <c r="C135" s="1"/>
    </row>
    <row r="136" ht="14.25" customHeight="1">
      <c r="C136" s="1"/>
    </row>
    <row r="137" ht="14.25" customHeight="1">
      <c r="C137" s="1"/>
    </row>
    <row r="138" ht="14.25" customHeight="1">
      <c r="C138" s="1"/>
    </row>
    <row r="139" ht="14.25" customHeight="1">
      <c r="C139" s="1"/>
    </row>
    <row r="140" ht="14.25" customHeight="1">
      <c r="C140" s="1"/>
    </row>
    <row r="141" ht="14.25" customHeight="1">
      <c r="C141" s="1"/>
    </row>
    <row r="142" ht="14.25" customHeight="1">
      <c r="C142" s="1"/>
    </row>
    <row r="143" ht="14.25" customHeight="1">
      <c r="C143" s="1"/>
    </row>
    <row r="144" ht="14.25" customHeight="1">
      <c r="C144" s="1"/>
    </row>
    <row r="145" ht="14.25" customHeight="1">
      <c r="C145" s="1"/>
    </row>
    <row r="146" ht="14.25" customHeight="1">
      <c r="C146" s="1"/>
    </row>
    <row r="147" ht="14.25" customHeight="1">
      <c r="C147" s="1"/>
    </row>
    <row r="148" ht="14.25" customHeight="1">
      <c r="C148" s="1"/>
    </row>
    <row r="149" ht="14.25" customHeight="1">
      <c r="C149" s="1"/>
    </row>
    <row r="150" ht="14.25" customHeight="1">
      <c r="C150" s="1"/>
    </row>
    <row r="151" ht="14.25" customHeight="1">
      <c r="C151" s="1"/>
    </row>
    <row r="152" ht="14.25" customHeight="1">
      <c r="C152" s="1"/>
    </row>
    <row r="153" ht="14.25" customHeight="1">
      <c r="C153" s="1"/>
    </row>
    <row r="154" ht="14.25" customHeight="1">
      <c r="C154" s="1"/>
    </row>
    <row r="155" ht="14.25" customHeight="1">
      <c r="C155" s="1"/>
    </row>
    <row r="156" ht="14.25" customHeight="1">
      <c r="C156" s="1"/>
    </row>
    <row r="157" ht="14.25" customHeight="1">
      <c r="C157" s="1"/>
    </row>
    <row r="158" ht="14.25" customHeight="1">
      <c r="C158" s="1"/>
    </row>
    <row r="159" ht="14.25" customHeight="1">
      <c r="C159" s="1"/>
    </row>
    <row r="160" ht="14.25" customHeight="1">
      <c r="C160" s="1"/>
    </row>
    <row r="161" ht="14.25" customHeight="1">
      <c r="C161" s="1"/>
    </row>
    <row r="162" ht="14.25" customHeight="1">
      <c r="C162" s="1"/>
    </row>
    <row r="163" ht="14.25" customHeight="1">
      <c r="C163" s="1"/>
    </row>
    <row r="164" ht="14.25" customHeight="1">
      <c r="C164" s="1"/>
    </row>
    <row r="165" ht="14.25" customHeight="1">
      <c r="C165" s="1"/>
    </row>
    <row r="166" ht="14.25" customHeight="1">
      <c r="C166" s="1"/>
    </row>
    <row r="167" ht="14.25" customHeight="1">
      <c r="C167" s="1"/>
    </row>
    <row r="168" ht="14.25" customHeight="1">
      <c r="C168" s="1"/>
    </row>
    <row r="169" ht="14.25" customHeight="1">
      <c r="C169" s="1"/>
    </row>
    <row r="170" ht="14.25" customHeight="1">
      <c r="C170" s="1"/>
    </row>
    <row r="171" ht="14.25" customHeight="1">
      <c r="C171" s="1"/>
    </row>
    <row r="172" ht="14.25" customHeight="1">
      <c r="C172" s="1"/>
    </row>
    <row r="173" ht="14.25" customHeight="1">
      <c r="C173" s="1"/>
    </row>
    <row r="174" ht="14.25" customHeight="1">
      <c r="C174" s="1"/>
    </row>
    <row r="175" ht="14.25" customHeight="1">
      <c r="C175" s="1"/>
    </row>
    <row r="176" ht="14.25" customHeight="1">
      <c r="C176" s="1"/>
    </row>
    <row r="177" ht="14.25" customHeight="1">
      <c r="C177" s="1"/>
    </row>
    <row r="178" ht="14.25" customHeight="1">
      <c r="C178" s="1"/>
    </row>
    <row r="179" ht="14.25" customHeight="1">
      <c r="C179" s="1"/>
    </row>
    <row r="180" ht="14.25" customHeight="1">
      <c r="C180" s="1"/>
    </row>
    <row r="181" ht="14.25" customHeight="1">
      <c r="C181" s="1"/>
    </row>
    <row r="182" ht="14.25" customHeight="1">
      <c r="C182" s="1"/>
    </row>
    <row r="183" ht="14.25" customHeight="1">
      <c r="C183" s="1"/>
    </row>
    <row r="184" ht="14.25" customHeight="1">
      <c r="C184" s="1"/>
    </row>
    <row r="185" ht="14.25" customHeight="1">
      <c r="C185" s="1"/>
    </row>
    <row r="186" ht="14.25" customHeight="1">
      <c r="C186" s="1"/>
    </row>
    <row r="187" ht="14.25" customHeight="1">
      <c r="C187" s="1"/>
    </row>
    <row r="188" ht="14.25" customHeight="1">
      <c r="C188" s="1"/>
    </row>
    <row r="189" ht="14.25" customHeight="1">
      <c r="C189" s="1"/>
    </row>
    <row r="190" ht="14.25" customHeight="1">
      <c r="C190" s="1"/>
    </row>
    <row r="191" ht="14.25" customHeight="1">
      <c r="C191" s="1"/>
    </row>
    <row r="192" ht="14.25" customHeight="1">
      <c r="C192" s="1"/>
    </row>
    <row r="193" ht="14.25" customHeight="1">
      <c r="C193" s="1"/>
    </row>
    <row r="194" ht="14.25" customHeight="1">
      <c r="C194" s="1"/>
    </row>
    <row r="195" ht="14.25" customHeight="1">
      <c r="C195" s="1"/>
    </row>
    <row r="196" ht="14.25" customHeight="1">
      <c r="C196" s="1"/>
    </row>
    <row r="197" ht="14.25" customHeight="1">
      <c r="C197" s="1"/>
    </row>
    <row r="198" ht="14.25" customHeight="1">
      <c r="C198" s="1"/>
    </row>
    <row r="199" ht="14.25" customHeight="1">
      <c r="C199" s="1"/>
    </row>
    <row r="200" ht="14.25" customHeight="1">
      <c r="C200" s="1"/>
    </row>
    <row r="201" ht="14.25" customHeight="1">
      <c r="C201" s="1"/>
    </row>
    <row r="202" ht="14.25" customHeight="1">
      <c r="C202" s="1"/>
    </row>
    <row r="203" ht="14.25" customHeight="1">
      <c r="C203" s="1"/>
    </row>
    <row r="204" ht="14.25" customHeight="1">
      <c r="C204" s="1"/>
    </row>
    <row r="205" ht="14.25" customHeight="1">
      <c r="C205" s="1"/>
    </row>
    <row r="206" ht="14.25" customHeight="1">
      <c r="C206" s="1"/>
    </row>
    <row r="207" ht="14.25" customHeight="1">
      <c r="C207" s="1"/>
    </row>
    <row r="208" ht="14.25" customHeight="1">
      <c r="C208" s="1"/>
    </row>
    <row r="209" ht="14.25" customHeight="1">
      <c r="C209" s="1"/>
    </row>
    <row r="210" ht="14.25" customHeight="1">
      <c r="C210" s="1"/>
    </row>
    <row r="211" ht="14.25" customHeight="1">
      <c r="C211" s="1"/>
    </row>
    <row r="212" ht="14.25" customHeight="1">
      <c r="C212" s="1"/>
    </row>
    <row r="213" ht="14.25" customHeight="1">
      <c r="C213" s="1"/>
    </row>
    <row r="214" ht="14.25" customHeight="1">
      <c r="C214" s="1"/>
    </row>
    <row r="215" ht="14.25" customHeight="1">
      <c r="C215" s="1"/>
    </row>
    <row r="216" ht="14.25" customHeight="1">
      <c r="C216" s="1"/>
    </row>
    <row r="217" ht="14.25" customHeight="1">
      <c r="C217" s="1"/>
    </row>
    <row r="218" ht="14.25" customHeight="1">
      <c r="C218" s="1"/>
    </row>
    <row r="219" ht="14.25" customHeight="1">
      <c r="C219" s="1"/>
    </row>
    <row r="220" ht="14.25" customHeight="1">
      <c r="C220" s="1"/>
    </row>
    <row r="221" ht="14.25" customHeight="1">
      <c r="C221" s="1"/>
    </row>
    <row r="222" ht="14.25" customHeight="1">
      <c r="C222" s="1"/>
    </row>
    <row r="223" ht="14.25" customHeight="1">
      <c r="C223" s="1"/>
    </row>
    <row r="224" ht="14.25" customHeight="1">
      <c r="C224" s="1"/>
    </row>
    <row r="225" ht="14.25" customHeight="1">
      <c r="C225" s="1"/>
    </row>
    <row r="226" ht="14.25" customHeight="1">
      <c r="C226" s="1"/>
    </row>
    <row r="227" ht="14.25" customHeight="1">
      <c r="C227" s="1"/>
    </row>
    <row r="228" ht="14.25" customHeight="1">
      <c r="C228" s="1"/>
    </row>
    <row r="229" ht="14.25" customHeight="1">
      <c r="C229" s="1"/>
    </row>
    <row r="230" ht="14.25" customHeight="1">
      <c r="C230" s="1"/>
    </row>
    <row r="231" ht="14.25" customHeight="1">
      <c r="C231" s="1"/>
    </row>
    <row r="232" ht="14.25" customHeight="1">
      <c r="C232" s="1"/>
    </row>
    <row r="233" ht="14.25" customHeight="1">
      <c r="C233" s="1"/>
    </row>
    <row r="234" ht="14.25" customHeight="1">
      <c r="C234" s="1"/>
    </row>
    <row r="235" ht="14.25" customHeight="1">
      <c r="C235" s="1"/>
    </row>
    <row r="236" ht="14.25" customHeight="1">
      <c r="C236" s="1"/>
    </row>
    <row r="237" ht="14.25" customHeight="1">
      <c r="C237" s="1"/>
    </row>
    <row r="238" ht="14.25" customHeight="1">
      <c r="C238" s="1"/>
    </row>
    <row r="239" ht="14.25" customHeight="1">
      <c r="C239" s="1"/>
    </row>
    <row r="240" ht="14.25" customHeight="1">
      <c r="C240" s="1"/>
    </row>
    <row r="241" ht="14.25" customHeight="1">
      <c r="C241" s="1"/>
    </row>
    <row r="242" ht="14.25" customHeight="1">
      <c r="C242" s="1"/>
    </row>
    <row r="243" ht="14.25" customHeight="1">
      <c r="C243" s="1"/>
    </row>
    <row r="244" ht="14.25" customHeight="1">
      <c r="C244" s="1"/>
    </row>
    <row r="245" ht="14.25" customHeight="1">
      <c r="C245" s="1"/>
    </row>
    <row r="246" ht="14.25" customHeight="1">
      <c r="C246" s="1"/>
    </row>
    <row r="247" ht="14.25" customHeight="1">
      <c r="C247" s="1"/>
    </row>
    <row r="248" ht="14.25" customHeight="1">
      <c r="C248" s="1"/>
    </row>
    <row r="249" ht="14.25" customHeight="1">
      <c r="C249" s="1"/>
    </row>
    <row r="250" ht="14.25" customHeight="1">
      <c r="C250" s="1"/>
    </row>
    <row r="251" ht="14.25" customHeight="1">
      <c r="C251" s="1"/>
    </row>
    <row r="252" ht="14.25" customHeight="1">
      <c r="C252" s="1"/>
    </row>
    <row r="253" ht="14.25" customHeight="1">
      <c r="C253" s="1"/>
    </row>
    <row r="254" ht="14.25" customHeight="1">
      <c r="C254" s="1"/>
    </row>
    <row r="255" ht="14.25" customHeight="1">
      <c r="C255" s="1"/>
    </row>
    <row r="256" ht="14.25" customHeight="1">
      <c r="C256" s="1"/>
    </row>
    <row r="257" ht="14.25" customHeight="1">
      <c r="C257" s="1"/>
    </row>
    <row r="258" ht="14.25" customHeight="1">
      <c r="C258" s="1"/>
    </row>
    <row r="259" ht="14.25" customHeight="1">
      <c r="C259" s="1"/>
    </row>
    <row r="260" ht="14.25" customHeight="1">
      <c r="C260" s="1"/>
    </row>
    <row r="261" ht="14.25" customHeight="1">
      <c r="C261" s="1"/>
    </row>
    <row r="262" ht="14.25" customHeight="1">
      <c r="C262" s="1"/>
    </row>
    <row r="263" ht="14.25" customHeight="1">
      <c r="C263" s="1"/>
    </row>
    <row r="264" ht="14.25" customHeight="1">
      <c r="C264" s="1"/>
    </row>
    <row r="265" ht="14.25" customHeight="1">
      <c r="C265" s="1"/>
    </row>
    <row r="266" ht="14.25" customHeight="1">
      <c r="C266" s="1"/>
    </row>
    <row r="267" ht="14.25" customHeight="1">
      <c r="C267" s="1"/>
    </row>
    <row r="268" ht="14.25" customHeight="1">
      <c r="C268" s="1"/>
    </row>
    <row r="269" ht="14.25" customHeight="1">
      <c r="C269" s="1"/>
    </row>
    <row r="270" ht="14.25" customHeight="1">
      <c r="C270" s="1"/>
    </row>
    <row r="271" ht="14.25" customHeight="1">
      <c r="C271" s="1"/>
    </row>
    <row r="272" ht="14.25" customHeight="1">
      <c r="C272" s="1"/>
    </row>
    <row r="273" ht="14.25" customHeight="1">
      <c r="C273" s="1"/>
    </row>
    <row r="274" ht="14.25" customHeight="1">
      <c r="C274" s="1"/>
    </row>
    <row r="275" ht="14.25" customHeight="1">
      <c r="C275" s="1"/>
    </row>
    <row r="276" ht="14.25" customHeight="1">
      <c r="C276" s="1"/>
    </row>
    <row r="277" ht="14.25" customHeight="1">
      <c r="C277" s="1"/>
    </row>
    <row r="278" ht="14.25" customHeight="1">
      <c r="C278" s="1"/>
    </row>
    <row r="279" ht="14.25" customHeight="1">
      <c r="C279" s="1"/>
    </row>
    <row r="280" ht="14.25" customHeight="1">
      <c r="C280" s="1"/>
    </row>
    <row r="281" ht="14.25" customHeight="1">
      <c r="C281" s="1"/>
    </row>
    <row r="282" ht="14.25" customHeight="1">
      <c r="C282" s="1"/>
    </row>
    <row r="283" ht="14.25" customHeight="1">
      <c r="C283" s="1"/>
    </row>
    <row r="284" ht="14.25" customHeight="1">
      <c r="C284" s="1"/>
    </row>
    <row r="285" ht="14.25" customHeight="1">
      <c r="C285" s="1"/>
    </row>
    <row r="286" ht="14.25" customHeight="1">
      <c r="C286" s="1"/>
    </row>
    <row r="287" ht="14.25" customHeight="1">
      <c r="C287" s="1"/>
    </row>
    <row r="288" ht="14.25" customHeight="1">
      <c r="C288" s="1"/>
    </row>
    <row r="289" ht="14.25" customHeight="1">
      <c r="C289" s="1"/>
    </row>
    <row r="290" ht="14.25" customHeight="1">
      <c r="C290" s="1"/>
    </row>
    <row r="291" ht="14.25" customHeight="1">
      <c r="C291" s="1"/>
    </row>
    <row r="292" ht="14.25" customHeight="1">
      <c r="C292" s="1"/>
    </row>
    <row r="293" ht="14.25" customHeight="1">
      <c r="C293" s="1"/>
    </row>
    <row r="294" ht="14.25" customHeight="1">
      <c r="C294" s="1"/>
    </row>
    <row r="295" ht="14.25" customHeight="1">
      <c r="C295" s="1"/>
    </row>
    <row r="296" ht="14.25" customHeight="1">
      <c r="C296" s="1"/>
    </row>
    <row r="297" ht="14.25" customHeight="1">
      <c r="C297" s="1"/>
    </row>
    <row r="298" ht="14.25" customHeight="1">
      <c r="C298" s="1"/>
    </row>
    <row r="299" ht="14.25" customHeight="1">
      <c r="C299" s="1"/>
    </row>
    <row r="300" ht="14.25" customHeight="1">
      <c r="C300" s="1"/>
    </row>
    <row r="301" ht="14.25" customHeight="1">
      <c r="C301" s="1"/>
    </row>
    <row r="302" ht="14.25" customHeight="1">
      <c r="C302" s="1"/>
    </row>
    <row r="303" ht="14.25" customHeight="1">
      <c r="C303" s="1"/>
    </row>
    <row r="304" ht="14.25" customHeight="1">
      <c r="C304" s="1"/>
    </row>
    <row r="305" ht="14.25" customHeight="1">
      <c r="C305" s="1"/>
    </row>
    <row r="306" ht="14.25" customHeight="1">
      <c r="C306" s="1"/>
    </row>
    <row r="307" ht="14.25" customHeight="1">
      <c r="C307" s="1"/>
    </row>
    <row r="308" ht="14.25" customHeight="1">
      <c r="C308" s="1"/>
    </row>
    <row r="309" ht="14.25" customHeight="1">
      <c r="C309" s="1"/>
    </row>
    <row r="310" ht="14.25" customHeight="1">
      <c r="C310" s="1"/>
    </row>
    <row r="311" ht="14.25" customHeight="1">
      <c r="C311" s="1"/>
    </row>
    <row r="312" ht="14.25" customHeight="1">
      <c r="C312" s="1"/>
    </row>
    <row r="313" ht="14.25" customHeight="1">
      <c r="C313" s="1"/>
    </row>
    <row r="314" ht="14.25" customHeight="1">
      <c r="C314" s="1"/>
    </row>
    <row r="315" ht="14.25" customHeight="1">
      <c r="C315" s="1"/>
    </row>
    <row r="316" ht="14.25" customHeight="1">
      <c r="C316" s="1"/>
    </row>
    <row r="317" ht="14.25" customHeight="1">
      <c r="C317" s="1"/>
    </row>
    <row r="318" ht="14.25" customHeight="1">
      <c r="C318" s="1"/>
    </row>
    <row r="319" ht="14.25" customHeight="1">
      <c r="C319" s="1"/>
    </row>
    <row r="320" ht="14.25" customHeight="1">
      <c r="C320" s="1"/>
    </row>
    <row r="321" ht="14.25" customHeight="1">
      <c r="C321" s="1"/>
    </row>
    <row r="322" ht="14.25" customHeight="1">
      <c r="C322" s="1"/>
    </row>
    <row r="323" ht="14.25" customHeight="1">
      <c r="C323" s="1"/>
    </row>
    <row r="324" ht="14.25" customHeight="1">
      <c r="C324" s="1"/>
    </row>
    <row r="325" ht="14.25" customHeight="1">
      <c r="C325" s="1"/>
    </row>
    <row r="326" ht="14.25" customHeight="1">
      <c r="C326" s="1"/>
    </row>
    <row r="327" ht="14.25" customHeight="1">
      <c r="C327" s="1"/>
    </row>
    <row r="328" ht="14.25" customHeight="1">
      <c r="C328" s="1"/>
    </row>
    <row r="329" ht="14.25" customHeight="1">
      <c r="C329" s="1"/>
    </row>
    <row r="330" ht="14.25" customHeight="1">
      <c r="C330" s="1"/>
    </row>
    <row r="331" ht="14.25" customHeight="1">
      <c r="C331" s="1"/>
    </row>
    <row r="332" ht="14.25" customHeight="1">
      <c r="C332" s="1"/>
    </row>
    <row r="333" ht="14.25" customHeight="1">
      <c r="C333" s="1"/>
    </row>
    <row r="334" ht="14.25" customHeight="1">
      <c r="C334" s="1"/>
    </row>
    <row r="335" ht="14.25" customHeight="1">
      <c r="C335" s="1"/>
    </row>
    <row r="336" ht="14.25" customHeight="1">
      <c r="C336" s="1"/>
    </row>
    <row r="337" ht="14.25" customHeight="1">
      <c r="C337" s="1"/>
    </row>
    <row r="338" ht="14.25" customHeight="1">
      <c r="C338" s="1"/>
    </row>
    <row r="339" ht="14.25" customHeight="1">
      <c r="C339" s="1"/>
    </row>
    <row r="340" ht="14.25" customHeight="1">
      <c r="C340" s="1"/>
    </row>
    <row r="341" ht="14.25" customHeight="1">
      <c r="C341" s="1"/>
    </row>
    <row r="342" ht="14.25" customHeight="1">
      <c r="C342" s="1"/>
    </row>
    <row r="343" ht="14.25" customHeight="1">
      <c r="C343" s="1"/>
    </row>
    <row r="344" ht="14.25" customHeight="1">
      <c r="C344" s="1"/>
    </row>
    <row r="345" ht="14.25" customHeight="1">
      <c r="C345" s="1"/>
    </row>
    <row r="346" ht="14.25" customHeight="1">
      <c r="C346" s="1"/>
    </row>
    <row r="347" ht="14.25" customHeight="1">
      <c r="C347" s="1"/>
    </row>
    <row r="348" ht="14.25" customHeight="1">
      <c r="C348" s="1"/>
    </row>
    <row r="349" ht="14.25" customHeight="1">
      <c r="C349" s="1"/>
    </row>
    <row r="350" ht="14.25" customHeight="1">
      <c r="C350" s="1"/>
    </row>
    <row r="351" ht="14.25" customHeight="1">
      <c r="C351" s="1"/>
    </row>
    <row r="352" ht="14.25" customHeight="1">
      <c r="C352" s="1"/>
    </row>
    <row r="353" ht="14.25" customHeight="1">
      <c r="C353" s="1"/>
    </row>
    <row r="354" ht="14.25" customHeight="1">
      <c r="C354" s="1"/>
    </row>
    <row r="355" ht="14.25" customHeight="1">
      <c r="C355" s="1"/>
    </row>
    <row r="356" ht="14.25" customHeight="1">
      <c r="C356" s="1"/>
    </row>
    <row r="357" ht="14.25" customHeight="1">
      <c r="C357" s="1"/>
    </row>
    <row r="358" ht="14.25" customHeight="1">
      <c r="C358" s="1"/>
    </row>
    <row r="359" ht="14.25" customHeight="1">
      <c r="C359" s="1"/>
    </row>
    <row r="360" ht="14.25" customHeight="1">
      <c r="C360" s="1"/>
    </row>
    <row r="361" ht="14.25" customHeight="1">
      <c r="C361" s="1"/>
    </row>
    <row r="362" ht="14.25" customHeight="1">
      <c r="C362" s="1"/>
    </row>
    <row r="363" ht="14.25" customHeight="1">
      <c r="C363" s="1"/>
    </row>
    <row r="364" ht="14.25" customHeight="1">
      <c r="C364" s="1"/>
    </row>
    <row r="365" ht="14.25" customHeight="1">
      <c r="C365" s="1"/>
    </row>
    <row r="366" ht="14.25" customHeight="1">
      <c r="C366" s="1"/>
    </row>
    <row r="367" ht="14.25" customHeight="1">
      <c r="C367" s="1"/>
    </row>
    <row r="368" ht="14.25" customHeight="1">
      <c r="C368" s="1"/>
    </row>
    <row r="369" ht="14.25" customHeight="1">
      <c r="C369" s="1"/>
    </row>
    <row r="370" ht="14.25" customHeight="1">
      <c r="C370" s="1"/>
    </row>
    <row r="371" ht="14.25" customHeight="1">
      <c r="C371" s="1"/>
    </row>
    <row r="372" ht="14.25" customHeight="1">
      <c r="C372" s="1"/>
    </row>
    <row r="373" ht="14.25" customHeight="1">
      <c r="C373" s="1"/>
    </row>
    <row r="374" ht="14.25" customHeight="1">
      <c r="C374" s="1"/>
    </row>
    <row r="375" ht="14.25" customHeight="1">
      <c r="C375" s="1"/>
    </row>
    <row r="376" ht="14.25" customHeight="1">
      <c r="C376" s="1"/>
    </row>
    <row r="377" ht="14.25" customHeight="1">
      <c r="C377" s="1"/>
    </row>
    <row r="378" ht="14.25" customHeight="1">
      <c r="C378" s="1"/>
    </row>
    <row r="379" ht="14.25" customHeight="1">
      <c r="C379" s="1"/>
    </row>
    <row r="380" ht="14.25" customHeight="1">
      <c r="C380" s="1"/>
    </row>
    <row r="381" ht="14.25" customHeight="1">
      <c r="C381" s="1"/>
    </row>
    <row r="382" ht="14.25" customHeight="1">
      <c r="C382" s="1"/>
    </row>
    <row r="383" ht="14.25" customHeight="1">
      <c r="C383" s="1"/>
    </row>
    <row r="384" ht="14.25" customHeight="1">
      <c r="C384" s="1"/>
    </row>
    <row r="385" ht="14.25" customHeight="1">
      <c r="C385" s="1"/>
    </row>
    <row r="386" ht="14.25" customHeight="1">
      <c r="C386" s="1"/>
    </row>
    <row r="387" ht="14.25" customHeight="1">
      <c r="C387" s="1"/>
    </row>
    <row r="388" ht="14.25" customHeight="1">
      <c r="C388" s="1"/>
    </row>
    <row r="389" ht="14.25" customHeight="1">
      <c r="C389" s="1"/>
    </row>
    <row r="390" ht="14.25" customHeight="1">
      <c r="C390" s="1"/>
    </row>
    <row r="391" ht="14.25" customHeight="1">
      <c r="C391" s="1"/>
    </row>
    <row r="392" ht="14.25" customHeight="1">
      <c r="C392" s="1"/>
    </row>
    <row r="393" ht="14.25" customHeight="1">
      <c r="C393" s="1"/>
    </row>
    <row r="394" ht="14.25" customHeight="1">
      <c r="C394" s="1"/>
    </row>
    <row r="395" ht="14.25" customHeight="1">
      <c r="C395" s="1"/>
    </row>
    <row r="396" ht="14.25" customHeight="1">
      <c r="C396" s="1"/>
    </row>
    <row r="397" ht="14.25" customHeight="1">
      <c r="C397" s="1"/>
    </row>
    <row r="398" ht="14.25" customHeight="1">
      <c r="C398" s="1"/>
    </row>
    <row r="399" ht="14.25" customHeight="1">
      <c r="C399" s="1"/>
    </row>
    <row r="400" ht="14.25" customHeight="1">
      <c r="C400" s="1"/>
    </row>
    <row r="401" ht="14.25" customHeight="1">
      <c r="C401" s="1"/>
    </row>
    <row r="402" ht="14.25" customHeight="1">
      <c r="C402" s="1"/>
    </row>
    <row r="403" ht="14.25" customHeight="1">
      <c r="C403" s="1"/>
    </row>
    <row r="404" ht="14.25" customHeight="1">
      <c r="C404" s="1"/>
    </row>
    <row r="405" ht="14.25" customHeight="1">
      <c r="C405" s="1"/>
    </row>
    <row r="406" ht="14.25" customHeight="1">
      <c r="C406" s="1"/>
    </row>
    <row r="407" ht="14.25" customHeight="1">
      <c r="C407" s="1"/>
    </row>
    <row r="408" ht="14.25" customHeight="1">
      <c r="C408" s="1"/>
    </row>
    <row r="409" ht="14.25" customHeight="1">
      <c r="C409" s="1"/>
    </row>
    <row r="410" ht="14.25" customHeight="1">
      <c r="C410" s="1"/>
    </row>
    <row r="411" ht="14.25" customHeight="1">
      <c r="C411" s="1"/>
    </row>
    <row r="412" ht="14.25" customHeight="1">
      <c r="C412" s="1"/>
    </row>
    <row r="413" ht="14.25" customHeight="1">
      <c r="C413" s="1"/>
    </row>
    <row r="414" ht="14.25" customHeight="1">
      <c r="C414" s="1"/>
    </row>
    <row r="415" ht="14.25" customHeight="1">
      <c r="C415" s="1"/>
    </row>
    <row r="416" ht="14.25" customHeight="1">
      <c r="C416" s="1"/>
    </row>
    <row r="417" ht="14.25" customHeight="1">
      <c r="C417" s="1"/>
    </row>
    <row r="418" ht="14.25" customHeight="1">
      <c r="C418" s="1"/>
    </row>
    <row r="419" ht="14.25" customHeight="1">
      <c r="C419" s="1"/>
    </row>
    <row r="420" ht="14.25" customHeight="1">
      <c r="C420" s="1"/>
    </row>
    <row r="421" ht="14.25" customHeight="1">
      <c r="C421" s="1"/>
    </row>
    <row r="422" ht="14.25" customHeight="1">
      <c r="C422" s="1"/>
    </row>
    <row r="423" ht="14.25" customHeight="1">
      <c r="C423" s="1"/>
    </row>
    <row r="424" ht="14.25" customHeight="1">
      <c r="C424" s="1"/>
    </row>
    <row r="425" ht="14.25" customHeight="1">
      <c r="C425" s="1"/>
    </row>
    <row r="426" ht="14.25" customHeight="1">
      <c r="C426" s="1"/>
    </row>
    <row r="427" ht="14.25" customHeight="1">
      <c r="C427" s="1"/>
    </row>
    <row r="428" ht="14.25" customHeight="1">
      <c r="C428" s="1"/>
    </row>
    <row r="429" ht="14.25" customHeight="1">
      <c r="C429" s="1"/>
    </row>
    <row r="430" ht="14.25" customHeight="1">
      <c r="C430" s="1"/>
    </row>
    <row r="431" ht="14.25" customHeight="1">
      <c r="C431" s="1"/>
    </row>
    <row r="432" ht="14.25" customHeight="1">
      <c r="C432" s="1"/>
    </row>
    <row r="433" ht="14.25" customHeight="1">
      <c r="C433" s="1"/>
    </row>
    <row r="434" ht="14.25" customHeight="1">
      <c r="C434" s="1"/>
    </row>
    <row r="435" ht="14.25" customHeight="1">
      <c r="C435" s="1"/>
    </row>
    <row r="436" ht="14.25" customHeight="1">
      <c r="C436" s="1"/>
    </row>
    <row r="437" ht="14.25" customHeight="1">
      <c r="C437" s="1"/>
    </row>
    <row r="438" ht="14.25" customHeight="1">
      <c r="C438" s="1"/>
    </row>
    <row r="439" ht="14.25" customHeight="1">
      <c r="C439" s="1"/>
    </row>
    <row r="440" ht="14.25" customHeight="1">
      <c r="C440" s="1"/>
    </row>
    <row r="441" ht="14.25" customHeight="1">
      <c r="C441" s="1"/>
    </row>
    <row r="442" ht="14.25" customHeight="1">
      <c r="C442" s="1"/>
    </row>
    <row r="443" ht="14.25" customHeight="1">
      <c r="C443" s="1"/>
    </row>
    <row r="444" ht="14.25" customHeight="1">
      <c r="C444" s="1"/>
    </row>
    <row r="445" ht="14.25" customHeight="1">
      <c r="C445" s="1"/>
    </row>
    <row r="446" ht="14.25" customHeight="1">
      <c r="C446" s="1"/>
    </row>
    <row r="447" ht="14.25" customHeight="1">
      <c r="C447" s="1"/>
    </row>
    <row r="448" ht="14.25" customHeight="1">
      <c r="C448" s="1"/>
    </row>
    <row r="449" ht="14.25" customHeight="1">
      <c r="C449" s="1"/>
    </row>
    <row r="450" ht="14.25" customHeight="1">
      <c r="C450" s="1"/>
    </row>
    <row r="451" ht="14.25" customHeight="1">
      <c r="C451" s="1"/>
    </row>
    <row r="452" ht="14.25" customHeight="1">
      <c r="C452" s="1"/>
    </row>
    <row r="453" ht="14.25" customHeight="1">
      <c r="C453" s="1"/>
    </row>
    <row r="454" ht="14.25" customHeight="1">
      <c r="C454" s="1"/>
    </row>
    <row r="455" ht="14.25" customHeight="1">
      <c r="C455" s="1"/>
    </row>
    <row r="456" ht="14.25" customHeight="1">
      <c r="C456" s="1"/>
    </row>
    <row r="457" ht="14.25" customHeight="1">
      <c r="C457" s="1"/>
    </row>
    <row r="458" ht="14.25" customHeight="1">
      <c r="C458" s="1"/>
    </row>
    <row r="459" ht="14.25" customHeight="1">
      <c r="C459" s="1"/>
    </row>
    <row r="460" ht="14.25" customHeight="1">
      <c r="C460" s="1"/>
    </row>
    <row r="461" ht="14.25" customHeight="1">
      <c r="C461" s="1"/>
    </row>
    <row r="462" ht="14.25" customHeight="1">
      <c r="C462" s="1"/>
    </row>
    <row r="463" ht="14.25" customHeight="1">
      <c r="C463" s="1"/>
    </row>
    <row r="464" ht="14.25" customHeight="1">
      <c r="C464" s="1"/>
    </row>
    <row r="465" ht="14.25" customHeight="1">
      <c r="C465" s="1"/>
    </row>
    <row r="466" ht="14.25" customHeight="1">
      <c r="C466" s="1"/>
    </row>
    <row r="467" ht="14.25" customHeight="1">
      <c r="C467" s="1"/>
    </row>
    <row r="468" ht="14.25" customHeight="1">
      <c r="C468" s="1"/>
    </row>
    <row r="469" ht="14.25" customHeight="1">
      <c r="C469" s="1"/>
    </row>
    <row r="470" ht="14.25" customHeight="1">
      <c r="C470" s="1"/>
    </row>
    <row r="471" ht="14.25" customHeight="1">
      <c r="C471" s="1"/>
    </row>
    <row r="472" ht="14.25" customHeight="1">
      <c r="C472" s="1"/>
    </row>
    <row r="473" ht="14.25" customHeight="1">
      <c r="C473" s="1"/>
    </row>
    <row r="474" ht="14.25" customHeight="1">
      <c r="C474" s="1"/>
    </row>
    <row r="475" ht="14.25" customHeight="1">
      <c r="C475" s="1"/>
    </row>
    <row r="476" ht="14.25" customHeight="1">
      <c r="C476" s="1"/>
    </row>
    <row r="477" ht="14.25" customHeight="1">
      <c r="C477" s="1"/>
    </row>
    <row r="478" ht="14.25" customHeight="1">
      <c r="C478" s="1"/>
    </row>
    <row r="479" ht="14.25" customHeight="1">
      <c r="C479" s="1"/>
    </row>
    <row r="480" ht="14.25" customHeight="1">
      <c r="C480" s="1"/>
    </row>
    <row r="481" ht="14.25" customHeight="1">
      <c r="C481" s="1"/>
    </row>
    <row r="482" ht="14.25" customHeight="1">
      <c r="C482" s="1"/>
    </row>
    <row r="483" ht="14.25" customHeight="1">
      <c r="C483" s="1"/>
    </row>
    <row r="484" ht="14.25" customHeight="1">
      <c r="C484" s="1"/>
    </row>
    <row r="485" ht="14.25" customHeight="1">
      <c r="C485" s="1"/>
    </row>
    <row r="486" ht="14.25" customHeight="1">
      <c r="C486" s="1"/>
    </row>
    <row r="487" ht="14.25" customHeight="1">
      <c r="C487" s="1"/>
    </row>
    <row r="488" ht="14.25" customHeight="1">
      <c r="C488" s="1"/>
    </row>
    <row r="489" ht="14.25" customHeight="1">
      <c r="C489" s="1"/>
    </row>
    <row r="490" ht="14.25" customHeight="1">
      <c r="C490" s="1"/>
    </row>
    <row r="491" ht="14.25" customHeight="1">
      <c r="C491" s="1"/>
    </row>
    <row r="492" ht="14.25" customHeight="1">
      <c r="C492" s="1"/>
    </row>
    <row r="493" ht="14.25" customHeight="1">
      <c r="C493" s="1"/>
    </row>
    <row r="494" ht="14.25" customHeight="1">
      <c r="C494" s="1"/>
    </row>
    <row r="495" ht="14.25" customHeight="1">
      <c r="C495" s="1"/>
    </row>
    <row r="496" ht="14.25" customHeight="1">
      <c r="C496" s="1"/>
    </row>
    <row r="497" ht="14.25" customHeight="1">
      <c r="C497" s="1"/>
    </row>
    <row r="498" ht="14.25" customHeight="1">
      <c r="C498" s="1"/>
    </row>
    <row r="499" ht="14.25" customHeight="1">
      <c r="C499" s="1"/>
    </row>
    <row r="500" ht="14.25" customHeight="1">
      <c r="C500" s="1"/>
    </row>
    <row r="501" ht="14.25" customHeight="1">
      <c r="C501" s="1"/>
    </row>
    <row r="502" ht="14.25" customHeight="1">
      <c r="C502" s="1"/>
    </row>
    <row r="503" ht="14.25" customHeight="1">
      <c r="C503" s="1"/>
    </row>
    <row r="504" ht="14.25" customHeight="1">
      <c r="C504" s="1"/>
    </row>
    <row r="505" ht="14.25" customHeight="1">
      <c r="C505" s="1"/>
    </row>
    <row r="506" ht="14.25" customHeight="1">
      <c r="C506" s="1"/>
    </row>
    <row r="507" ht="14.25" customHeight="1">
      <c r="C507" s="1"/>
    </row>
    <row r="508" ht="14.25" customHeight="1">
      <c r="C508" s="1"/>
    </row>
    <row r="509" ht="14.25" customHeight="1">
      <c r="C509" s="1"/>
    </row>
    <row r="510" ht="14.25" customHeight="1">
      <c r="C510" s="1"/>
    </row>
    <row r="511" ht="14.25" customHeight="1">
      <c r="C511" s="1"/>
    </row>
    <row r="512" ht="14.25" customHeight="1">
      <c r="C512" s="1"/>
    </row>
    <row r="513" ht="14.25" customHeight="1">
      <c r="C513" s="1"/>
    </row>
    <row r="514" ht="14.25" customHeight="1">
      <c r="C514" s="1"/>
    </row>
    <row r="515" ht="14.25" customHeight="1">
      <c r="C515" s="1"/>
    </row>
    <row r="516" ht="14.25" customHeight="1">
      <c r="C516" s="1"/>
    </row>
    <row r="517" ht="14.25" customHeight="1">
      <c r="C517" s="1"/>
    </row>
    <row r="518" ht="14.25" customHeight="1">
      <c r="C518" s="1"/>
    </row>
    <row r="519" ht="14.25" customHeight="1">
      <c r="C519" s="1"/>
    </row>
    <row r="520" ht="14.25" customHeight="1">
      <c r="C520" s="1"/>
    </row>
    <row r="521" ht="14.25" customHeight="1">
      <c r="C521" s="1"/>
    </row>
    <row r="522" ht="14.25" customHeight="1">
      <c r="C522" s="1"/>
    </row>
    <row r="523" ht="14.25" customHeight="1">
      <c r="C523" s="1"/>
    </row>
    <row r="524" ht="14.25" customHeight="1">
      <c r="C524" s="1"/>
    </row>
    <row r="525" ht="14.25" customHeight="1">
      <c r="C525" s="1"/>
    </row>
    <row r="526" ht="14.25" customHeight="1">
      <c r="C526" s="1"/>
    </row>
    <row r="527" ht="14.25" customHeight="1">
      <c r="C527" s="1"/>
    </row>
    <row r="528" ht="14.25" customHeight="1">
      <c r="C528" s="1"/>
    </row>
    <row r="529" ht="14.25" customHeight="1">
      <c r="C529" s="1"/>
    </row>
    <row r="530" ht="14.25" customHeight="1">
      <c r="C530" s="1"/>
    </row>
    <row r="531" ht="14.25" customHeight="1">
      <c r="C531" s="1"/>
    </row>
    <row r="532" ht="14.25" customHeight="1">
      <c r="C532" s="1"/>
    </row>
    <row r="533" ht="14.25" customHeight="1">
      <c r="C533" s="1"/>
    </row>
    <row r="534" ht="14.25" customHeight="1">
      <c r="C534" s="1"/>
    </row>
    <row r="535" ht="14.25" customHeight="1">
      <c r="C535" s="1"/>
    </row>
    <row r="536" ht="14.25" customHeight="1">
      <c r="C536" s="1"/>
    </row>
    <row r="537" ht="14.25" customHeight="1">
      <c r="C537" s="1"/>
    </row>
    <row r="538" ht="14.25" customHeight="1">
      <c r="C538" s="1"/>
    </row>
    <row r="539" ht="14.25" customHeight="1">
      <c r="C539" s="1"/>
    </row>
    <row r="540" ht="14.25" customHeight="1">
      <c r="C540" s="1"/>
    </row>
    <row r="541" ht="14.25" customHeight="1">
      <c r="C541" s="1"/>
    </row>
    <row r="542" ht="14.25" customHeight="1">
      <c r="C542" s="1"/>
    </row>
    <row r="543" ht="14.25" customHeight="1">
      <c r="C543" s="1"/>
    </row>
    <row r="544" ht="14.25" customHeight="1">
      <c r="C544" s="1"/>
    </row>
    <row r="545" ht="14.25" customHeight="1">
      <c r="C545" s="1"/>
    </row>
    <row r="546" ht="14.25" customHeight="1">
      <c r="C546" s="1"/>
    </row>
    <row r="547" ht="14.25" customHeight="1">
      <c r="C547" s="1"/>
    </row>
    <row r="548" ht="14.25" customHeight="1">
      <c r="C548" s="1"/>
    </row>
    <row r="549" ht="14.25" customHeight="1">
      <c r="C549" s="1"/>
    </row>
    <row r="550" ht="14.25" customHeight="1">
      <c r="C550" s="1"/>
    </row>
    <row r="551" ht="14.25" customHeight="1">
      <c r="C551" s="1"/>
    </row>
    <row r="552" ht="14.25" customHeight="1">
      <c r="C552" s="1"/>
    </row>
    <row r="553" ht="14.25" customHeight="1">
      <c r="C553" s="1"/>
    </row>
    <row r="554" ht="14.25" customHeight="1">
      <c r="C554" s="1"/>
    </row>
    <row r="555" ht="14.25" customHeight="1">
      <c r="C555" s="1"/>
    </row>
    <row r="556" ht="14.25" customHeight="1">
      <c r="C556" s="1"/>
    </row>
    <row r="557" ht="14.25" customHeight="1">
      <c r="C557" s="1"/>
    </row>
    <row r="558" ht="14.25" customHeight="1">
      <c r="C558" s="1"/>
    </row>
    <row r="559" ht="14.25" customHeight="1">
      <c r="C559" s="1"/>
    </row>
    <row r="560" ht="14.25" customHeight="1">
      <c r="C560" s="1"/>
    </row>
    <row r="561" ht="14.25" customHeight="1">
      <c r="C561" s="1"/>
    </row>
    <row r="562" ht="14.25" customHeight="1">
      <c r="C562" s="1"/>
    </row>
    <row r="563" ht="14.25" customHeight="1">
      <c r="C563" s="1"/>
    </row>
    <row r="564" ht="14.25" customHeight="1">
      <c r="C564" s="1"/>
    </row>
    <row r="565" ht="14.25" customHeight="1">
      <c r="C565" s="1"/>
    </row>
    <row r="566" ht="14.25" customHeight="1">
      <c r="C566" s="1"/>
    </row>
    <row r="567" ht="14.25" customHeight="1">
      <c r="C567" s="1"/>
    </row>
    <row r="568" ht="14.25" customHeight="1">
      <c r="C568" s="1"/>
    </row>
    <row r="569" ht="14.25" customHeight="1">
      <c r="C569" s="1"/>
    </row>
    <row r="570" ht="14.25" customHeight="1">
      <c r="C570" s="1"/>
    </row>
    <row r="571" ht="14.25" customHeight="1">
      <c r="C571" s="1"/>
    </row>
    <row r="572" ht="14.25" customHeight="1">
      <c r="C572" s="1"/>
    </row>
    <row r="573" ht="14.25" customHeight="1">
      <c r="C573" s="1"/>
    </row>
    <row r="574" ht="14.25" customHeight="1">
      <c r="C574" s="1"/>
    </row>
    <row r="575" ht="14.25" customHeight="1">
      <c r="C575" s="1"/>
    </row>
    <row r="576" ht="14.25" customHeight="1">
      <c r="C576" s="1"/>
    </row>
    <row r="577" ht="14.25" customHeight="1">
      <c r="C577" s="1"/>
    </row>
    <row r="578" ht="14.25" customHeight="1">
      <c r="C578" s="1"/>
    </row>
    <row r="579" ht="14.25" customHeight="1">
      <c r="C579" s="1"/>
    </row>
    <row r="580" ht="14.25" customHeight="1">
      <c r="C580" s="1"/>
    </row>
    <row r="581" ht="14.25" customHeight="1">
      <c r="C581" s="1"/>
    </row>
    <row r="582" ht="14.25" customHeight="1">
      <c r="C582" s="1"/>
    </row>
    <row r="583" ht="14.25" customHeight="1">
      <c r="C583" s="1"/>
    </row>
    <row r="584" ht="14.25" customHeight="1">
      <c r="C584" s="1"/>
    </row>
    <row r="585" ht="14.25" customHeight="1">
      <c r="C585" s="1"/>
    </row>
    <row r="586" ht="14.25" customHeight="1">
      <c r="C586" s="1"/>
    </row>
    <row r="587" ht="14.25" customHeight="1">
      <c r="C587" s="1"/>
    </row>
    <row r="588" ht="14.25" customHeight="1">
      <c r="C588" s="1"/>
    </row>
    <row r="589" ht="14.25" customHeight="1">
      <c r="C589" s="1"/>
    </row>
    <row r="590" ht="14.25" customHeight="1">
      <c r="C590" s="1"/>
    </row>
    <row r="591" ht="14.25" customHeight="1">
      <c r="C591" s="1"/>
    </row>
    <row r="592" ht="14.25" customHeight="1">
      <c r="C592" s="1"/>
    </row>
    <row r="593" ht="14.25" customHeight="1">
      <c r="C593" s="1"/>
    </row>
    <row r="594" ht="14.25" customHeight="1">
      <c r="C594" s="1"/>
    </row>
    <row r="595" ht="14.25" customHeight="1">
      <c r="C595" s="1"/>
    </row>
    <row r="596" ht="14.25" customHeight="1">
      <c r="C596" s="1"/>
    </row>
    <row r="597" ht="14.25" customHeight="1">
      <c r="C597" s="1"/>
    </row>
    <row r="598" ht="14.25" customHeight="1">
      <c r="C598" s="1"/>
    </row>
    <row r="599" ht="14.25" customHeight="1">
      <c r="C599" s="1"/>
    </row>
    <row r="600" ht="14.25" customHeight="1">
      <c r="C600" s="1"/>
    </row>
    <row r="601" ht="14.25" customHeight="1">
      <c r="C601" s="1"/>
    </row>
    <row r="602" ht="14.25" customHeight="1">
      <c r="C602" s="1"/>
    </row>
    <row r="603" ht="14.25" customHeight="1">
      <c r="C603" s="1"/>
    </row>
    <row r="604" ht="14.25" customHeight="1">
      <c r="C604" s="1"/>
    </row>
    <row r="605" ht="14.25" customHeight="1">
      <c r="C605" s="1"/>
    </row>
    <row r="606" ht="14.25" customHeight="1">
      <c r="C606" s="1"/>
    </row>
    <row r="607" ht="14.25" customHeight="1">
      <c r="C607" s="1"/>
    </row>
    <row r="608" ht="14.25" customHeight="1">
      <c r="C608" s="1"/>
    </row>
    <row r="609" ht="14.25" customHeight="1">
      <c r="C609" s="1"/>
    </row>
    <row r="610" ht="14.25" customHeight="1">
      <c r="C610" s="1"/>
    </row>
    <row r="611" ht="14.25" customHeight="1">
      <c r="C611" s="1"/>
    </row>
    <row r="612" ht="14.25" customHeight="1">
      <c r="C612" s="1"/>
    </row>
    <row r="613" ht="14.25" customHeight="1">
      <c r="C613" s="1"/>
    </row>
    <row r="614" ht="14.25" customHeight="1">
      <c r="C614" s="1"/>
    </row>
    <row r="615" ht="14.25" customHeight="1">
      <c r="C615" s="1"/>
    </row>
    <row r="616" ht="14.25" customHeight="1">
      <c r="C616" s="1"/>
    </row>
    <row r="617" ht="14.25" customHeight="1">
      <c r="C617" s="1"/>
    </row>
    <row r="618" ht="14.25" customHeight="1">
      <c r="C618" s="1"/>
    </row>
    <row r="619" ht="14.25" customHeight="1">
      <c r="C619" s="1"/>
    </row>
    <row r="620" ht="14.25" customHeight="1">
      <c r="C620" s="1"/>
    </row>
    <row r="621" ht="14.25" customHeight="1">
      <c r="C621" s="1"/>
    </row>
    <row r="622" ht="14.25" customHeight="1">
      <c r="C622" s="1"/>
    </row>
    <row r="623" ht="14.25" customHeight="1">
      <c r="C623" s="1"/>
    </row>
    <row r="624" ht="14.25" customHeight="1">
      <c r="C624" s="1"/>
    </row>
    <row r="625" ht="14.25" customHeight="1">
      <c r="C625" s="1"/>
    </row>
    <row r="626" ht="14.25" customHeight="1">
      <c r="C626" s="1"/>
    </row>
    <row r="627" ht="14.25" customHeight="1">
      <c r="C627" s="1"/>
    </row>
    <row r="628" ht="14.25" customHeight="1">
      <c r="C628" s="1"/>
    </row>
    <row r="629" ht="14.25" customHeight="1">
      <c r="C629" s="1"/>
    </row>
    <row r="630" ht="14.25" customHeight="1">
      <c r="C630" s="1"/>
    </row>
    <row r="631" ht="14.25" customHeight="1">
      <c r="C631" s="1"/>
    </row>
    <row r="632" ht="14.25" customHeight="1">
      <c r="C632" s="1"/>
    </row>
    <row r="633" ht="14.25" customHeight="1">
      <c r="C633" s="1"/>
    </row>
    <row r="634" ht="14.25" customHeight="1">
      <c r="C634" s="1"/>
    </row>
    <row r="635" ht="14.25" customHeight="1">
      <c r="C635" s="1"/>
    </row>
    <row r="636" ht="14.25" customHeight="1">
      <c r="C636" s="1"/>
    </row>
    <row r="637" ht="14.25" customHeight="1">
      <c r="C637" s="1"/>
    </row>
    <row r="638" ht="14.25" customHeight="1">
      <c r="C638" s="1"/>
    </row>
    <row r="639" ht="14.25" customHeight="1">
      <c r="C639" s="1"/>
    </row>
    <row r="640" ht="14.25" customHeight="1">
      <c r="C640" s="1"/>
    </row>
    <row r="641" ht="14.25" customHeight="1">
      <c r="C641" s="1"/>
    </row>
    <row r="642" ht="14.25" customHeight="1">
      <c r="C642" s="1"/>
    </row>
    <row r="643" ht="14.25" customHeight="1">
      <c r="C643" s="1"/>
    </row>
    <row r="644" ht="14.25" customHeight="1">
      <c r="C644" s="1"/>
    </row>
    <row r="645" ht="14.25" customHeight="1">
      <c r="C645" s="1"/>
    </row>
    <row r="646" ht="14.25" customHeight="1">
      <c r="C646" s="1"/>
    </row>
    <row r="647" ht="14.25" customHeight="1">
      <c r="C647" s="1"/>
    </row>
    <row r="648" ht="14.25" customHeight="1">
      <c r="C648" s="1"/>
    </row>
    <row r="649" ht="14.25" customHeight="1">
      <c r="C649" s="1"/>
    </row>
    <row r="650" ht="14.25" customHeight="1">
      <c r="C650" s="1"/>
    </row>
    <row r="651" ht="14.25" customHeight="1">
      <c r="C651" s="1"/>
    </row>
    <row r="652" ht="14.25" customHeight="1">
      <c r="C652" s="1"/>
    </row>
    <row r="653" ht="14.25" customHeight="1">
      <c r="C653" s="1"/>
    </row>
    <row r="654" ht="14.25" customHeight="1">
      <c r="C654" s="1"/>
    </row>
    <row r="655" ht="14.25" customHeight="1">
      <c r="C655" s="1"/>
    </row>
    <row r="656" ht="14.25" customHeight="1">
      <c r="C656" s="1"/>
    </row>
    <row r="657" ht="14.25" customHeight="1">
      <c r="C657" s="1"/>
    </row>
    <row r="658" ht="14.25" customHeight="1">
      <c r="C658" s="1"/>
    </row>
    <row r="659" ht="14.25" customHeight="1">
      <c r="C659" s="1"/>
    </row>
    <row r="660" ht="14.25" customHeight="1">
      <c r="C660" s="1"/>
    </row>
    <row r="661" ht="14.25" customHeight="1">
      <c r="C661" s="1"/>
    </row>
    <row r="662" ht="14.25" customHeight="1">
      <c r="C662" s="1"/>
    </row>
    <row r="663" ht="14.25" customHeight="1">
      <c r="C663" s="1"/>
    </row>
    <row r="664" ht="14.25" customHeight="1">
      <c r="C664" s="1"/>
    </row>
    <row r="665" ht="14.25" customHeight="1">
      <c r="C665" s="1"/>
    </row>
    <row r="666" ht="14.25" customHeight="1">
      <c r="C666" s="1"/>
    </row>
    <row r="667" ht="14.25" customHeight="1">
      <c r="C667" s="1"/>
    </row>
    <row r="668" ht="14.25" customHeight="1">
      <c r="C668" s="1"/>
    </row>
    <row r="669" ht="14.25" customHeight="1">
      <c r="C669" s="1"/>
    </row>
    <row r="670" ht="14.25" customHeight="1">
      <c r="C670" s="1"/>
    </row>
    <row r="671" ht="14.25" customHeight="1">
      <c r="C671" s="1"/>
    </row>
    <row r="672" ht="14.25" customHeight="1">
      <c r="C672" s="1"/>
    </row>
    <row r="673" ht="14.25" customHeight="1">
      <c r="C673" s="1"/>
    </row>
    <row r="674" ht="14.25" customHeight="1">
      <c r="C674" s="1"/>
    </row>
    <row r="675" ht="14.25" customHeight="1">
      <c r="C675" s="1"/>
    </row>
    <row r="676" ht="14.25" customHeight="1">
      <c r="C676" s="1"/>
    </row>
    <row r="677" ht="14.25" customHeight="1">
      <c r="C677" s="1"/>
    </row>
    <row r="678" ht="14.25" customHeight="1">
      <c r="C678" s="1"/>
    </row>
    <row r="679" ht="14.25" customHeight="1">
      <c r="C679" s="1"/>
    </row>
    <row r="680" ht="14.25" customHeight="1">
      <c r="C680" s="1"/>
    </row>
    <row r="681" ht="14.25" customHeight="1">
      <c r="C681" s="1"/>
    </row>
    <row r="682" ht="14.25" customHeight="1">
      <c r="C682" s="1"/>
    </row>
    <row r="683" ht="14.25" customHeight="1">
      <c r="C683" s="1"/>
    </row>
    <row r="684" ht="14.25" customHeight="1">
      <c r="C684" s="1"/>
    </row>
    <row r="685" ht="14.25" customHeight="1">
      <c r="C685" s="1"/>
    </row>
    <row r="686" ht="14.25" customHeight="1">
      <c r="C686" s="1"/>
    </row>
    <row r="687" ht="14.25" customHeight="1">
      <c r="C687" s="1"/>
    </row>
    <row r="688" ht="14.25" customHeight="1">
      <c r="C688" s="1"/>
    </row>
    <row r="689" ht="14.25" customHeight="1">
      <c r="C689" s="1"/>
    </row>
    <row r="690" ht="14.25" customHeight="1">
      <c r="C690" s="1"/>
    </row>
    <row r="691" ht="14.25" customHeight="1">
      <c r="C691" s="1"/>
    </row>
    <row r="692" ht="14.25" customHeight="1">
      <c r="C692" s="1"/>
    </row>
    <row r="693" ht="14.25" customHeight="1">
      <c r="C693" s="1"/>
    </row>
    <row r="694" ht="14.25" customHeight="1">
      <c r="C694" s="1"/>
    </row>
    <row r="695" ht="14.25" customHeight="1">
      <c r="C695" s="1"/>
    </row>
    <row r="696" ht="14.25" customHeight="1">
      <c r="C696" s="1"/>
    </row>
    <row r="697" ht="14.25" customHeight="1">
      <c r="C697" s="1"/>
    </row>
    <row r="698" ht="14.25" customHeight="1">
      <c r="C698" s="1"/>
    </row>
    <row r="699" ht="14.25" customHeight="1">
      <c r="C699" s="1"/>
    </row>
    <row r="700" ht="14.25" customHeight="1">
      <c r="C700" s="1"/>
    </row>
    <row r="701" ht="14.25" customHeight="1">
      <c r="C701" s="1"/>
    </row>
    <row r="702" ht="14.25" customHeight="1">
      <c r="C702" s="1"/>
    </row>
    <row r="703" ht="14.25" customHeight="1">
      <c r="C703" s="1"/>
    </row>
    <row r="704" ht="14.25" customHeight="1">
      <c r="C704" s="1"/>
    </row>
    <row r="705" ht="14.25" customHeight="1">
      <c r="C705" s="1"/>
    </row>
    <row r="706" ht="14.25" customHeight="1">
      <c r="C706" s="1"/>
    </row>
    <row r="707" ht="14.25" customHeight="1">
      <c r="C707" s="1"/>
    </row>
    <row r="708" ht="14.25" customHeight="1">
      <c r="C708" s="1"/>
    </row>
    <row r="709" ht="14.25" customHeight="1">
      <c r="C709" s="1"/>
    </row>
    <row r="710" ht="14.25" customHeight="1">
      <c r="C710" s="1"/>
    </row>
    <row r="711" ht="14.25" customHeight="1">
      <c r="C711" s="1"/>
    </row>
    <row r="712" ht="14.25" customHeight="1">
      <c r="C712" s="1"/>
    </row>
    <row r="713" ht="14.25" customHeight="1">
      <c r="C713" s="1"/>
    </row>
    <row r="714" ht="14.25" customHeight="1">
      <c r="C714" s="1"/>
    </row>
    <row r="715" ht="14.25" customHeight="1">
      <c r="C715" s="1"/>
    </row>
    <row r="716" ht="14.25" customHeight="1">
      <c r="C716" s="1"/>
    </row>
    <row r="717" ht="14.25" customHeight="1">
      <c r="C717" s="1"/>
    </row>
    <row r="718" ht="14.25" customHeight="1">
      <c r="C718" s="1"/>
    </row>
    <row r="719" ht="14.25" customHeight="1">
      <c r="C719" s="1"/>
    </row>
    <row r="720" ht="14.25" customHeight="1">
      <c r="C720" s="1"/>
    </row>
    <row r="721" ht="14.25" customHeight="1">
      <c r="C721" s="1"/>
    </row>
    <row r="722" ht="14.25" customHeight="1">
      <c r="C722" s="1"/>
    </row>
    <row r="723" ht="14.25" customHeight="1">
      <c r="C723" s="1"/>
    </row>
    <row r="724" ht="14.25" customHeight="1">
      <c r="C724" s="1"/>
    </row>
    <row r="725" ht="14.25" customHeight="1">
      <c r="C725" s="1"/>
    </row>
    <row r="726" ht="14.25" customHeight="1">
      <c r="C726" s="1"/>
    </row>
    <row r="727" ht="14.25" customHeight="1">
      <c r="C727" s="1"/>
    </row>
    <row r="728" ht="14.25" customHeight="1">
      <c r="C728" s="1"/>
    </row>
    <row r="729" ht="14.25" customHeight="1">
      <c r="C729" s="1"/>
    </row>
    <row r="730" ht="14.25" customHeight="1">
      <c r="C730" s="1"/>
    </row>
    <row r="731" ht="14.25" customHeight="1">
      <c r="C731" s="1"/>
    </row>
    <row r="732" ht="14.25" customHeight="1">
      <c r="C732" s="1"/>
    </row>
    <row r="733" ht="14.25" customHeight="1">
      <c r="C733" s="1"/>
    </row>
    <row r="734" ht="14.25" customHeight="1">
      <c r="C734" s="1"/>
    </row>
    <row r="735" ht="14.25" customHeight="1">
      <c r="C735" s="1"/>
    </row>
    <row r="736" ht="14.25" customHeight="1">
      <c r="C736" s="1"/>
    </row>
    <row r="737" ht="14.25" customHeight="1">
      <c r="C737" s="1"/>
    </row>
    <row r="738" ht="14.25" customHeight="1">
      <c r="C738" s="1"/>
    </row>
    <row r="739" ht="14.25" customHeight="1">
      <c r="C739" s="1"/>
    </row>
    <row r="740" ht="14.25" customHeight="1">
      <c r="C740" s="1"/>
    </row>
    <row r="741" ht="14.25" customHeight="1">
      <c r="C741" s="1"/>
    </row>
    <row r="742" ht="14.25" customHeight="1">
      <c r="C742" s="1"/>
    </row>
    <row r="743" ht="14.25" customHeight="1">
      <c r="C743" s="1"/>
    </row>
    <row r="744" ht="14.25" customHeight="1">
      <c r="C744" s="1"/>
    </row>
    <row r="745" ht="14.25" customHeight="1">
      <c r="C745" s="1"/>
    </row>
    <row r="746" ht="14.25" customHeight="1">
      <c r="C746" s="1"/>
    </row>
    <row r="747" ht="14.25" customHeight="1">
      <c r="C747" s="1"/>
    </row>
    <row r="748" ht="14.25" customHeight="1">
      <c r="C748" s="1"/>
    </row>
    <row r="749" ht="14.25" customHeight="1">
      <c r="C749" s="1"/>
    </row>
    <row r="750" ht="14.25" customHeight="1">
      <c r="C750" s="1"/>
    </row>
    <row r="751" ht="14.25" customHeight="1">
      <c r="C751" s="1"/>
    </row>
    <row r="752" ht="14.25" customHeight="1">
      <c r="C752" s="1"/>
    </row>
    <row r="753" ht="14.25" customHeight="1">
      <c r="C753" s="1"/>
    </row>
    <row r="754" ht="14.25" customHeight="1">
      <c r="C754" s="1"/>
    </row>
    <row r="755" ht="14.25" customHeight="1">
      <c r="C755" s="1"/>
    </row>
    <row r="756" ht="14.25" customHeight="1">
      <c r="C756" s="1"/>
    </row>
    <row r="757" ht="14.25" customHeight="1">
      <c r="C757" s="1"/>
    </row>
    <row r="758" ht="14.25" customHeight="1">
      <c r="C758" s="1"/>
    </row>
    <row r="759" ht="14.25" customHeight="1">
      <c r="C759" s="1"/>
    </row>
    <row r="760" ht="14.25" customHeight="1">
      <c r="C760" s="1"/>
    </row>
    <row r="761" ht="14.25" customHeight="1">
      <c r="C761" s="1"/>
    </row>
    <row r="762" ht="14.25" customHeight="1">
      <c r="C762" s="1"/>
    </row>
    <row r="763" ht="14.25" customHeight="1">
      <c r="C763" s="1"/>
    </row>
    <row r="764" ht="14.25" customHeight="1">
      <c r="C764" s="1"/>
    </row>
    <row r="765" ht="14.25" customHeight="1">
      <c r="C765" s="1"/>
    </row>
    <row r="766" ht="14.25" customHeight="1">
      <c r="C766" s="1"/>
    </row>
    <row r="767" ht="14.25" customHeight="1">
      <c r="C767" s="1"/>
    </row>
    <row r="768" ht="14.25" customHeight="1">
      <c r="C768" s="1"/>
    </row>
    <row r="769" ht="14.25" customHeight="1">
      <c r="C769" s="1"/>
    </row>
    <row r="770" ht="14.25" customHeight="1">
      <c r="C770" s="1"/>
    </row>
    <row r="771" ht="14.25" customHeight="1">
      <c r="C771" s="1"/>
    </row>
    <row r="772" ht="14.25" customHeight="1">
      <c r="C772" s="1"/>
    </row>
    <row r="773" ht="14.25" customHeight="1">
      <c r="C773" s="1"/>
    </row>
    <row r="774" ht="14.25" customHeight="1">
      <c r="C774" s="1"/>
    </row>
    <row r="775" ht="14.25" customHeight="1">
      <c r="C775" s="1"/>
    </row>
    <row r="776" ht="14.25" customHeight="1">
      <c r="C776" s="1"/>
    </row>
    <row r="777" ht="14.25" customHeight="1">
      <c r="C777" s="1"/>
    </row>
    <row r="778" ht="14.25" customHeight="1">
      <c r="C778" s="1"/>
    </row>
    <row r="779" ht="14.25" customHeight="1">
      <c r="C779" s="1"/>
    </row>
    <row r="780" ht="14.25" customHeight="1">
      <c r="C780" s="1"/>
    </row>
    <row r="781" ht="14.25" customHeight="1">
      <c r="C781" s="1"/>
    </row>
    <row r="782" ht="14.25" customHeight="1">
      <c r="C782" s="1"/>
    </row>
    <row r="783" ht="14.25" customHeight="1">
      <c r="C783" s="1"/>
    </row>
    <row r="784" ht="14.25" customHeight="1">
      <c r="C784" s="1"/>
    </row>
    <row r="785" ht="14.25" customHeight="1">
      <c r="C785" s="1"/>
    </row>
    <row r="786" ht="14.25" customHeight="1">
      <c r="C786" s="1"/>
    </row>
    <row r="787" ht="14.25" customHeight="1">
      <c r="C787" s="1"/>
    </row>
    <row r="788" ht="14.25" customHeight="1">
      <c r="C788" s="1"/>
    </row>
    <row r="789" ht="14.25" customHeight="1">
      <c r="C789" s="1"/>
    </row>
    <row r="790" ht="14.25" customHeight="1">
      <c r="C790" s="1"/>
    </row>
    <row r="791" ht="14.25" customHeight="1">
      <c r="C791" s="1"/>
    </row>
    <row r="792" ht="14.25" customHeight="1">
      <c r="C792" s="1"/>
    </row>
    <row r="793" ht="14.25" customHeight="1">
      <c r="C793" s="1"/>
    </row>
    <row r="794" ht="14.25" customHeight="1">
      <c r="C794" s="1"/>
    </row>
    <row r="795" ht="14.25" customHeight="1">
      <c r="C795" s="1"/>
    </row>
    <row r="796" ht="14.25" customHeight="1">
      <c r="C796" s="1"/>
    </row>
    <row r="797" ht="14.25" customHeight="1">
      <c r="C797" s="1"/>
    </row>
    <row r="798" ht="14.25" customHeight="1">
      <c r="C798" s="1"/>
    </row>
    <row r="799" ht="14.25" customHeight="1">
      <c r="C799" s="1"/>
    </row>
    <row r="800" ht="14.25" customHeight="1">
      <c r="C800" s="1"/>
    </row>
    <row r="801" ht="14.25" customHeight="1">
      <c r="C801" s="1"/>
    </row>
    <row r="802" ht="14.25" customHeight="1">
      <c r="C802" s="1"/>
    </row>
    <row r="803" ht="14.25" customHeight="1">
      <c r="C803" s="1"/>
    </row>
    <row r="804" ht="14.25" customHeight="1">
      <c r="C804" s="1"/>
    </row>
    <row r="805" ht="14.25" customHeight="1">
      <c r="C805" s="1"/>
    </row>
    <row r="806" ht="14.25" customHeight="1">
      <c r="C806" s="1"/>
    </row>
    <row r="807" ht="14.25" customHeight="1">
      <c r="C807" s="1"/>
    </row>
    <row r="808" ht="14.25" customHeight="1">
      <c r="C808" s="1"/>
    </row>
    <row r="809" ht="14.25" customHeight="1">
      <c r="C809" s="1"/>
    </row>
    <row r="810" ht="14.25" customHeight="1">
      <c r="C810" s="1"/>
    </row>
    <row r="811" ht="14.25" customHeight="1">
      <c r="C811" s="1"/>
    </row>
    <row r="812" ht="14.25" customHeight="1">
      <c r="C812" s="1"/>
    </row>
    <row r="813" ht="14.25" customHeight="1">
      <c r="C813" s="1"/>
    </row>
    <row r="814" ht="14.25" customHeight="1">
      <c r="C814" s="1"/>
    </row>
    <row r="815" ht="14.25" customHeight="1">
      <c r="C815" s="1"/>
    </row>
    <row r="816" ht="14.25" customHeight="1">
      <c r="C816" s="1"/>
    </row>
    <row r="817" ht="14.25" customHeight="1">
      <c r="C817" s="1"/>
    </row>
    <row r="818" ht="14.25" customHeight="1">
      <c r="C818" s="1"/>
    </row>
    <row r="819" ht="14.25" customHeight="1">
      <c r="C819" s="1"/>
    </row>
    <row r="820" ht="14.25" customHeight="1">
      <c r="C820" s="1"/>
    </row>
    <row r="821" ht="14.25" customHeight="1">
      <c r="C821" s="1"/>
    </row>
    <row r="822" ht="14.25" customHeight="1">
      <c r="C822" s="1"/>
    </row>
    <row r="823" ht="14.25" customHeight="1">
      <c r="C823" s="1"/>
    </row>
    <row r="824" ht="14.25" customHeight="1">
      <c r="C824" s="1"/>
    </row>
    <row r="825" ht="14.25" customHeight="1">
      <c r="C825" s="1"/>
    </row>
    <row r="826" ht="14.25" customHeight="1">
      <c r="C826" s="1"/>
    </row>
    <row r="827" ht="14.25" customHeight="1">
      <c r="C827" s="1"/>
    </row>
    <row r="828" ht="14.25" customHeight="1">
      <c r="C828" s="1"/>
    </row>
    <row r="829" ht="14.25" customHeight="1">
      <c r="C829" s="1"/>
    </row>
    <row r="830" ht="14.25" customHeight="1">
      <c r="C830" s="1"/>
    </row>
    <row r="831" ht="14.25" customHeight="1">
      <c r="C831" s="1"/>
    </row>
    <row r="832" ht="14.25" customHeight="1">
      <c r="C832" s="1"/>
    </row>
    <row r="833" ht="14.25" customHeight="1">
      <c r="C833" s="1"/>
    </row>
    <row r="834" ht="14.25" customHeight="1">
      <c r="C834" s="1"/>
    </row>
    <row r="835" ht="14.25" customHeight="1">
      <c r="C835" s="1"/>
    </row>
    <row r="836" ht="14.25" customHeight="1">
      <c r="C836" s="1"/>
    </row>
    <row r="837" ht="14.25" customHeight="1">
      <c r="C837" s="1"/>
    </row>
    <row r="838" ht="14.25" customHeight="1">
      <c r="C838" s="1"/>
    </row>
    <row r="839" ht="14.25" customHeight="1">
      <c r="C839" s="1"/>
    </row>
    <row r="840" ht="14.25" customHeight="1">
      <c r="C840" s="1"/>
    </row>
    <row r="841" ht="14.25" customHeight="1">
      <c r="C841" s="1"/>
    </row>
    <row r="842" ht="14.25" customHeight="1">
      <c r="C842" s="1"/>
    </row>
    <row r="843" ht="14.25" customHeight="1">
      <c r="C843" s="1"/>
    </row>
    <row r="844" ht="14.25" customHeight="1">
      <c r="C844" s="1"/>
    </row>
    <row r="845" ht="14.25" customHeight="1">
      <c r="C845" s="1"/>
    </row>
    <row r="846" ht="14.25" customHeight="1">
      <c r="C846" s="1"/>
    </row>
    <row r="847" ht="14.25" customHeight="1">
      <c r="C847" s="1"/>
    </row>
    <row r="848" ht="14.25" customHeight="1">
      <c r="C848" s="1"/>
    </row>
    <row r="849" ht="14.25" customHeight="1">
      <c r="C849" s="1"/>
    </row>
    <row r="850" ht="14.25" customHeight="1">
      <c r="C850" s="1"/>
    </row>
    <row r="851" ht="14.25" customHeight="1">
      <c r="C851" s="1"/>
    </row>
    <row r="852" ht="14.25" customHeight="1">
      <c r="C852" s="1"/>
    </row>
    <row r="853" ht="14.25" customHeight="1">
      <c r="C853" s="1"/>
    </row>
    <row r="854" ht="14.25" customHeight="1">
      <c r="C854" s="1"/>
    </row>
    <row r="855" ht="14.25" customHeight="1">
      <c r="C855" s="1"/>
    </row>
    <row r="856" ht="14.25" customHeight="1">
      <c r="C856" s="1"/>
    </row>
    <row r="857" ht="14.25" customHeight="1">
      <c r="C857" s="1"/>
    </row>
    <row r="858" ht="14.25" customHeight="1">
      <c r="C858" s="1"/>
    </row>
    <row r="859" ht="14.25" customHeight="1">
      <c r="C859" s="1"/>
    </row>
    <row r="860" ht="14.25" customHeight="1">
      <c r="C860" s="1"/>
    </row>
    <row r="861" ht="14.25" customHeight="1">
      <c r="C861" s="1"/>
    </row>
    <row r="862" ht="14.25" customHeight="1">
      <c r="C862" s="1"/>
    </row>
    <row r="863" ht="14.25" customHeight="1">
      <c r="C863" s="1"/>
    </row>
    <row r="864" ht="14.25" customHeight="1">
      <c r="C864" s="1"/>
    </row>
    <row r="865" ht="14.25" customHeight="1">
      <c r="C865" s="1"/>
    </row>
    <row r="866" ht="14.25" customHeight="1">
      <c r="C866" s="1"/>
    </row>
    <row r="867" ht="14.25" customHeight="1">
      <c r="C867" s="1"/>
    </row>
    <row r="868" ht="14.25" customHeight="1">
      <c r="C868" s="1"/>
    </row>
    <row r="869" ht="14.25" customHeight="1">
      <c r="C869" s="1"/>
    </row>
    <row r="870" ht="14.25" customHeight="1">
      <c r="C870" s="1"/>
    </row>
    <row r="871" ht="14.25" customHeight="1">
      <c r="C871" s="1"/>
    </row>
    <row r="872" ht="14.25" customHeight="1">
      <c r="C872" s="1"/>
    </row>
    <row r="873" ht="14.25" customHeight="1">
      <c r="C873" s="1"/>
    </row>
    <row r="874" ht="14.25" customHeight="1">
      <c r="C874" s="1"/>
    </row>
    <row r="875" ht="14.25" customHeight="1">
      <c r="C875" s="1"/>
    </row>
    <row r="876" ht="14.25" customHeight="1">
      <c r="C876" s="1"/>
    </row>
    <row r="877" ht="14.25" customHeight="1">
      <c r="C877" s="1"/>
    </row>
    <row r="878" ht="14.25" customHeight="1">
      <c r="C878" s="1"/>
    </row>
    <row r="879" ht="14.25" customHeight="1">
      <c r="C879" s="1"/>
    </row>
    <row r="880" ht="14.25" customHeight="1">
      <c r="C880" s="1"/>
    </row>
    <row r="881" ht="14.25" customHeight="1">
      <c r="C881" s="1"/>
    </row>
    <row r="882" ht="14.25" customHeight="1">
      <c r="C882" s="1"/>
    </row>
    <row r="883" ht="14.25" customHeight="1">
      <c r="C883" s="1"/>
    </row>
    <row r="884" ht="14.25" customHeight="1">
      <c r="C884" s="1"/>
    </row>
    <row r="885" ht="14.25" customHeight="1">
      <c r="C885" s="1"/>
    </row>
    <row r="886" ht="14.25" customHeight="1">
      <c r="C886" s="1"/>
    </row>
    <row r="887" ht="14.25" customHeight="1">
      <c r="C887" s="1"/>
    </row>
    <row r="888" ht="14.25" customHeight="1">
      <c r="C888" s="1"/>
    </row>
    <row r="889" ht="14.25" customHeight="1">
      <c r="C889" s="1"/>
    </row>
    <row r="890" ht="14.25" customHeight="1">
      <c r="C890" s="1"/>
    </row>
    <row r="891" ht="14.25" customHeight="1">
      <c r="C891" s="1"/>
    </row>
    <row r="892" ht="14.25" customHeight="1">
      <c r="C892" s="1"/>
    </row>
    <row r="893" ht="14.25" customHeight="1">
      <c r="C893" s="1"/>
    </row>
    <row r="894" ht="14.25" customHeight="1">
      <c r="C894" s="1"/>
    </row>
    <row r="895" ht="14.25" customHeight="1">
      <c r="C895" s="1"/>
    </row>
    <row r="896" ht="14.25" customHeight="1">
      <c r="C896" s="1"/>
    </row>
    <row r="897" ht="14.25" customHeight="1">
      <c r="C897" s="1"/>
    </row>
    <row r="898" ht="14.25" customHeight="1">
      <c r="C898" s="1"/>
    </row>
    <row r="899" ht="14.25" customHeight="1">
      <c r="C899" s="1"/>
    </row>
    <row r="900" ht="14.25" customHeight="1">
      <c r="C900" s="1"/>
    </row>
    <row r="901" ht="14.25" customHeight="1">
      <c r="C901" s="1"/>
    </row>
    <row r="902" ht="14.25" customHeight="1">
      <c r="C902" s="1"/>
    </row>
    <row r="903" ht="14.25" customHeight="1">
      <c r="C903" s="1"/>
    </row>
    <row r="904" ht="14.25" customHeight="1">
      <c r="C904" s="1"/>
    </row>
    <row r="905" ht="14.25" customHeight="1">
      <c r="C905" s="1"/>
    </row>
    <row r="906" ht="14.25" customHeight="1">
      <c r="C906" s="1"/>
    </row>
    <row r="907" ht="14.25" customHeight="1">
      <c r="C907" s="1"/>
    </row>
    <row r="908" ht="14.25" customHeight="1">
      <c r="C908" s="1"/>
    </row>
    <row r="909" ht="14.25" customHeight="1">
      <c r="C909" s="1"/>
    </row>
    <row r="910" ht="14.25" customHeight="1">
      <c r="C910" s="1"/>
    </row>
    <row r="911" ht="14.25" customHeight="1">
      <c r="C911" s="1"/>
    </row>
    <row r="912" ht="14.25" customHeight="1">
      <c r="C912" s="1"/>
    </row>
    <row r="913" ht="14.25" customHeight="1">
      <c r="C913" s="1"/>
    </row>
    <row r="914" ht="14.25" customHeight="1">
      <c r="C914" s="1"/>
    </row>
    <row r="915" ht="14.25" customHeight="1">
      <c r="C915" s="1"/>
    </row>
    <row r="916" ht="14.25" customHeight="1">
      <c r="C916" s="1"/>
    </row>
    <row r="917" ht="14.25" customHeight="1">
      <c r="C917" s="1"/>
    </row>
    <row r="918" ht="14.25" customHeight="1">
      <c r="C918" s="1"/>
    </row>
    <row r="919" ht="14.25" customHeight="1">
      <c r="C919" s="1"/>
    </row>
    <row r="920" ht="14.25" customHeight="1">
      <c r="C920" s="1"/>
    </row>
    <row r="921" ht="14.25" customHeight="1">
      <c r="C921" s="1"/>
    </row>
    <row r="922" ht="14.25" customHeight="1">
      <c r="C922" s="1"/>
    </row>
    <row r="923" ht="14.25" customHeight="1">
      <c r="C923" s="1"/>
    </row>
    <row r="924" ht="14.25" customHeight="1">
      <c r="C924" s="1"/>
    </row>
    <row r="925" ht="14.25" customHeight="1">
      <c r="C925" s="1"/>
    </row>
    <row r="926" ht="14.25" customHeight="1">
      <c r="C926" s="1"/>
    </row>
    <row r="927" ht="14.25" customHeight="1">
      <c r="C927" s="1"/>
    </row>
    <row r="928" ht="14.25" customHeight="1">
      <c r="C928" s="1"/>
    </row>
    <row r="929" ht="14.25" customHeight="1">
      <c r="C929" s="1"/>
    </row>
    <row r="930" ht="14.25" customHeight="1">
      <c r="C930" s="1"/>
    </row>
    <row r="931" ht="14.25" customHeight="1">
      <c r="C931" s="1"/>
    </row>
    <row r="932" ht="14.25" customHeight="1">
      <c r="C932" s="1"/>
    </row>
    <row r="933" ht="14.25" customHeight="1">
      <c r="C933" s="1"/>
    </row>
    <row r="934" ht="14.25" customHeight="1">
      <c r="C934" s="1"/>
    </row>
    <row r="935" ht="14.25" customHeight="1">
      <c r="C935" s="1"/>
    </row>
    <row r="936" ht="14.25" customHeight="1">
      <c r="C936" s="1"/>
    </row>
    <row r="937" ht="14.25" customHeight="1">
      <c r="C937" s="1"/>
    </row>
    <row r="938" ht="14.25" customHeight="1">
      <c r="C938" s="1"/>
    </row>
    <row r="939" ht="14.25" customHeight="1">
      <c r="C939" s="1"/>
    </row>
    <row r="940" ht="14.25" customHeight="1">
      <c r="C940" s="1"/>
    </row>
    <row r="941" ht="14.25" customHeight="1">
      <c r="C941" s="1"/>
    </row>
    <row r="942" ht="14.25" customHeight="1">
      <c r="C942" s="1"/>
    </row>
    <row r="943" ht="14.25" customHeight="1">
      <c r="C943" s="1"/>
    </row>
    <row r="944" ht="14.25" customHeight="1">
      <c r="C944" s="1"/>
    </row>
    <row r="945" ht="14.25" customHeight="1">
      <c r="C945" s="1"/>
    </row>
    <row r="946" ht="14.25" customHeight="1">
      <c r="C946" s="1"/>
    </row>
    <row r="947" ht="14.25" customHeight="1">
      <c r="C947" s="1"/>
    </row>
    <row r="948" ht="14.25" customHeight="1">
      <c r="C948" s="1"/>
    </row>
    <row r="949" ht="14.25" customHeight="1">
      <c r="C949" s="1"/>
    </row>
    <row r="950" ht="14.25" customHeight="1">
      <c r="C950" s="1"/>
    </row>
    <row r="951" ht="14.25" customHeight="1">
      <c r="C951" s="1"/>
    </row>
    <row r="952" ht="14.25" customHeight="1">
      <c r="C952" s="1"/>
    </row>
    <row r="953" ht="14.25" customHeight="1">
      <c r="C953" s="1"/>
    </row>
    <row r="954" ht="14.25" customHeight="1">
      <c r="C954" s="1"/>
    </row>
    <row r="955" ht="14.25" customHeight="1">
      <c r="C955" s="1"/>
    </row>
    <row r="956" ht="14.25" customHeight="1">
      <c r="C956" s="1"/>
    </row>
    <row r="957" ht="14.25" customHeight="1">
      <c r="C957" s="1"/>
    </row>
    <row r="958" ht="14.25" customHeight="1">
      <c r="C958" s="1"/>
    </row>
    <row r="959" ht="14.25" customHeight="1">
      <c r="C959" s="1"/>
    </row>
    <row r="960" ht="14.25" customHeight="1">
      <c r="C960" s="1"/>
    </row>
    <row r="961" ht="14.25" customHeight="1">
      <c r="C961" s="1"/>
    </row>
    <row r="962" ht="14.25" customHeight="1">
      <c r="C962" s="1"/>
    </row>
    <row r="963" ht="14.25" customHeight="1">
      <c r="C963" s="1"/>
    </row>
    <row r="964" ht="14.25" customHeight="1">
      <c r="C964" s="1"/>
    </row>
    <row r="965" ht="14.25" customHeight="1">
      <c r="C965" s="1"/>
    </row>
    <row r="966" ht="14.25" customHeight="1">
      <c r="C966" s="1"/>
    </row>
    <row r="967" ht="14.25" customHeight="1">
      <c r="C967" s="1"/>
    </row>
    <row r="968" ht="14.25" customHeight="1">
      <c r="C968" s="1"/>
    </row>
    <row r="969" ht="14.25" customHeight="1">
      <c r="C969" s="1"/>
    </row>
    <row r="970" ht="14.25" customHeight="1">
      <c r="C970" s="1"/>
    </row>
    <row r="971" ht="14.25" customHeight="1">
      <c r="C971" s="1"/>
    </row>
    <row r="972" ht="14.25" customHeight="1">
      <c r="C972" s="1"/>
    </row>
    <row r="973" ht="14.25" customHeight="1">
      <c r="C973" s="1"/>
    </row>
    <row r="974" ht="14.25" customHeight="1">
      <c r="C974" s="1"/>
    </row>
    <row r="975" ht="14.25" customHeight="1">
      <c r="C975" s="1"/>
    </row>
    <row r="976" ht="14.25" customHeight="1">
      <c r="C976" s="1"/>
    </row>
    <row r="977" ht="14.25" customHeight="1">
      <c r="C977" s="1"/>
    </row>
    <row r="978" ht="14.25" customHeight="1">
      <c r="C978" s="1"/>
    </row>
    <row r="979" ht="14.25" customHeight="1">
      <c r="C979" s="1"/>
    </row>
    <row r="980" ht="14.25" customHeight="1">
      <c r="C980" s="1"/>
    </row>
    <row r="981" ht="14.25" customHeight="1">
      <c r="C981" s="1"/>
    </row>
    <row r="982" ht="14.25" customHeight="1">
      <c r="C982" s="1"/>
    </row>
    <row r="983" ht="14.25" customHeight="1">
      <c r="C983" s="1"/>
    </row>
    <row r="984" ht="14.25" customHeight="1">
      <c r="C984" s="1"/>
    </row>
    <row r="985" ht="14.25" customHeight="1">
      <c r="C985" s="1"/>
    </row>
    <row r="986" ht="14.25" customHeight="1">
      <c r="C986" s="1"/>
    </row>
    <row r="987" ht="14.25" customHeight="1">
      <c r="C987" s="1"/>
    </row>
    <row r="988" ht="14.25" customHeight="1">
      <c r="C988" s="1"/>
    </row>
    <row r="989" ht="14.25" customHeight="1">
      <c r="C989" s="1"/>
    </row>
    <row r="990" ht="14.25" customHeight="1">
      <c r="C990" s="1"/>
    </row>
    <row r="991" ht="14.25" customHeight="1">
      <c r="C991" s="1"/>
    </row>
    <row r="992" ht="14.25" customHeight="1">
      <c r="C992" s="1"/>
    </row>
    <row r="993" ht="14.25" customHeight="1">
      <c r="C993" s="1"/>
    </row>
    <row r="994" ht="14.25" customHeight="1">
      <c r="C994" s="1"/>
    </row>
    <row r="995" ht="14.25" customHeight="1">
      <c r="C995" s="1"/>
    </row>
    <row r="996" ht="14.25" customHeight="1">
      <c r="C996" s="1"/>
    </row>
    <row r="997" ht="14.25" customHeight="1">
      <c r="C997" s="1"/>
    </row>
    <row r="998" ht="14.25" customHeight="1">
      <c r="C998" s="1"/>
    </row>
    <row r="999" ht="14.25" customHeight="1">
      <c r="C999" s="1"/>
    </row>
    <row r="1000" ht="14.25" customHeight="1">
      <c r="C1000" s="1"/>
    </row>
    <row r="1001" ht="14.25" customHeight="1">
      <c r="C1001" s="1"/>
    </row>
    <row r="1002" ht="14.25" customHeight="1">
      <c r="C1002" s="1"/>
    </row>
    <row r="1003" ht="14.25" customHeight="1">
      <c r="C1003" s="1"/>
    </row>
  </sheetData>
  <mergeCells count="10">
    <mergeCell ref="C4:E4"/>
    <mergeCell ref="D54:D55"/>
    <mergeCell ref="E54:O54"/>
    <mergeCell ref="C3:E3"/>
    <mergeCell ref="Y3:Z3"/>
    <mergeCell ref="O21:Q21"/>
    <mergeCell ref="O22:P22"/>
    <mergeCell ref="P26:Q26"/>
    <mergeCell ref="O27:Q27"/>
    <mergeCell ref="O28:Q28"/>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29"/>
    <col customWidth="1" min="2" max="2" width="0.86"/>
    <col customWidth="1" min="3" max="3" width="29.29"/>
    <col customWidth="1" min="4" max="4" width="11.43"/>
    <col customWidth="1" min="5" max="5" width="3.14"/>
    <col customWidth="1" min="6" max="6" width="7.57"/>
    <col customWidth="1" min="7" max="7" width="4.14"/>
    <col customWidth="1" min="8" max="8" width="8.57"/>
    <col customWidth="1" min="9" max="9" width="30.14"/>
    <col customWidth="1" min="10" max="10" width="10.57"/>
    <col customWidth="1" min="11" max="11" width="15.43"/>
    <col customWidth="1" min="12" max="12" width="7.29"/>
    <col customWidth="1" min="13" max="13" width="11.14"/>
    <col customWidth="1" min="14" max="14" width="29.86"/>
    <col customWidth="1" min="15" max="15" width="26.86"/>
    <col customWidth="1" min="16" max="16" width="16.57"/>
    <col customWidth="1" min="17" max="17" width="11.43"/>
    <col customWidth="1" min="18" max="18" width="1.71"/>
    <col customWidth="1" min="19" max="20" width="10.71"/>
    <col customWidth="1" min="21" max="21" width="1.86"/>
    <col customWidth="1" min="22" max="22" width="11.71"/>
    <col customWidth="1" min="23" max="23" width="10.71"/>
    <col customWidth="1" min="24" max="24" width="17.29"/>
    <col customWidth="1" min="25" max="25" width="2.57"/>
    <col customWidth="1" min="26" max="26" width="10.71"/>
    <col customWidth="1" min="27" max="27" width="17.29"/>
    <col customWidth="1" min="28" max="28" width="2.14"/>
    <col customWidth="1" min="30" max="30" width="17.29"/>
    <col customWidth="1" min="46" max="46" width="1.43"/>
    <col customWidth="1" min="47" max="47" width="12.29"/>
    <col customWidth="1" min="48" max="48" width="17.86"/>
    <col customWidth="1" min="49" max="49" width="123.14"/>
  </cols>
  <sheetData>
    <row r="1" ht="15.0" customHeight="1">
      <c r="A1" s="2"/>
      <c r="I1" s="6">
        <f>TODAY()</f>
        <v>46262</v>
      </c>
      <c r="J1" s="8"/>
      <c r="K1" s="9"/>
      <c r="L1" s="12"/>
      <c r="M1" s="12"/>
    </row>
    <row r="2">
      <c r="C2" s="15" t="s">
        <v>6</v>
      </c>
      <c r="D2" s="16">
        <f>'SIMULACION '!C4</f>
        <v>306</v>
      </c>
      <c r="E2" s="4"/>
      <c r="I2" s="17" t="s">
        <v>19</v>
      </c>
      <c r="J2" s="19" t="s">
        <v>20</v>
      </c>
      <c r="K2" s="17" t="s">
        <v>22</v>
      </c>
      <c r="L2" s="20"/>
      <c r="M2" s="20"/>
      <c r="N2" s="22" t="s">
        <v>24</v>
      </c>
      <c r="O2" s="26">
        <f>I1</f>
        <v>46262</v>
      </c>
    </row>
    <row r="3">
      <c r="C3" s="29" t="s">
        <v>29</v>
      </c>
      <c r="D3" s="33">
        <f>'SIMULACION '!D7</f>
        <v>0.8458333333</v>
      </c>
      <c r="E3" s="4"/>
      <c r="I3" s="35" t="s">
        <v>31</v>
      </c>
      <c r="J3" s="36"/>
      <c r="K3" s="38">
        <v>30.0</v>
      </c>
      <c r="L3" s="39"/>
      <c r="M3" s="39"/>
      <c r="N3" s="40" t="s">
        <v>32</v>
      </c>
      <c r="O3" s="40" t="s">
        <v>33</v>
      </c>
    </row>
    <row r="4">
      <c r="C4" s="29" t="s">
        <v>34</v>
      </c>
      <c r="D4" s="33">
        <v>0.9166666666666666</v>
      </c>
      <c r="E4" s="4"/>
      <c r="F4" s="41" t="s">
        <v>35</v>
      </c>
      <c r="G4" s="1"/>
      <c r="I4" s="35" t="s">
        <v>36</v>
      </c>
      <c r="J4" s="36"/>
      <c r="K4" s="46">
        <f t="shared" ref="K4:K6" si="1">D2</f>
        <v>306</v>
      </c>
      <c r="L4" s="47"/>
      <c r="M4" s="47"/>
      <c r="N4" s="49" t="s">
        <v>37</v>
      </c>
      <c r="O4" s="49" t="s">
        <v>38</v>
      </c>
    </row>
    <row r="5" ht="13.5" customHeight="1">
      <c r="C5" s="29" t="s">
        <v>39</v>
      </c>
      <c r="D5" s="53">
        <f>(D4-D3)*24*60</f>
        <v>102</v>
      </c>
      <c r="E5" s="4"/>
      <c r="F5" s="55">
        <f>D5/60</f>
        <v>1.7</v>
      </c>
      <c r="G5" s="63"/>
      <c r="I5" s="35" t="s">
        <v>43</v>
      </c>
      <c r="J5" s="36"/>
      <c r="K5" s="64">
        <f t="shared" si="1"/>
        <v>0.8458333333</v>
      </c>
      <c r="L5" s="47"/>
      <c r="M5" s="47"/>
      <c r="N5" s="49" t="s">
        <v>44</v>
      </c>
      <c r="O5" s="49" t="s">
        <v>45</v>
      </c>
    </row>
    <row r="6" ht="15.0" customHeight="1">
      <c r="C6" s="29" t="s">
        <v>46</v>
      </c>
      <c r="D6" s="67">
        <f>F10</f>
        <v>0</v>
      </c>
      <c r="E6" s="4"/>
      <c r="F6" s="71"/>
      <c r="I6" s="35" t="s">
        <v>49</v>
      </c>
      <c r="J6" s="36"/>
      <c r="K6" s="64">
        <f t="shared" si="1"/>
        <v>0.9166666667</v>
      </c>
      <c r="L6" s="39"/>
      <c r="M6" s="39"/>
      <c r="N6" s="49" t="s">
        <v>50</v>
      </c>
      <c r="O6" s="49" t="s">
        <v>51</v>
      </c>
    </row>
    <row r="7">
      <c r="C7" s="29" t="s">
        <v>52</v>
      </c>
      <c r="D7" s="76">
        <v>30.0</v>
      </c>
      <c r="E7" s="4"/>
      <c r="F7" s="71"/>
      <c r="I7" s="35" t="s">
        <v>54</v>
      </c>
      <c r="J7" s="36"/>
      <c r="K7" s="81">
        <f>F10</f>
        <v>0</v>
      </c>
      <c r="L7" s="47"/>
      <c r="M7" s="47"/>
      <c r="N7" s="49" t="s">
        <v>59</v>
      </c>
      <c r="O7" s="49" t="s">
        <v>60</v>
      </c>
    </row>
    <row r="8" ht="14.25" customHeight="1">
      <c r="C8" s="29" t="s">
        <v>61</v>
      </c>
      <c r="D8" s="84">
        <f>D2/((D5-D7)/60)</f>
        <v>255</v>
      </c>
      <c r="E8" s="85">
        <v>75.0</v>
      </c>
      <c r="F8" s="88"/>
      <c r="I8" s="35" t="s">
        <v>64</v>
      </c>
      <c r="J8" s="36"/>
      <c r="K8" s="81">
        <f>D7</f>
        <v>30</v>
      </c>
      <c r="L8" s="47"/>
      <c r="M8" s="47"/>
      <c r="N8" s="92" t="s">
        <v>66</v>
      </c>
      <c r="O8" s="49" t="s">
        <v>67</v>
      </c>
    </row>
    <row r="9">
      <c r="C9" s="29" t="s">
        <v>68</v>
      </c>
      <c r="D9" s="102">
        <f>D2/((D5-(D6+D7))/60)</f>
        <v>255</v>
      </c>
      <c r="E9" s="105">
        <v>75.0</v>
      </c>
      <c r="F9" s="108"/>
      <c r="I9" s="35" t="s">
        <v>73</v>
      </c>
      <c r="J9" s="36"/>
      <c r="K9" s="81">
        <f>K13</f>
        <v>255</v>
      </c>
      <c r="L9" s="39"/>
      <c r="M9" s="39"/>
      <c r="N9" s="3"/>
    </row>
    <row r="10">
      <c r="C10" s="117" t="s">
        <v>76</v>
      </c>
      <c r="D10" s="123">
        <f>D2/F5</f>
        <v>180</v>
      </c>
      <c r="E10" s="125">
        <v>75.0</v>
      </c>
      <c r="F10" s="130">
        <f>SUM(F6:F9)</f>
        <v>0</v>
      </c>
      <c r="I10" s="35" t="s">
        <v>81</v>
      </c>
      <c r="J10" s="36"/>
      <c r="K10" s="141">
        <f>F5</f>
        <v>1.7</v>
      </c>
      <c r="L10" s="143"/>
      <c r="M10" s="12"/>
      <c r="N10" s="3" t="s">
        <v>27</v>
      </c>
      <c r="O10" s="145"/>
    </row>
    <row r="11">
      <c r="I11" s="35" t="s">
        <v>89</v>
      </c>
      <c r="J11" s="36"/>
      <c r="K11" s="81">
        <v>0.0</v>
      </c>
      <c r="L11" s="143"/>
      <c r="M11" s="12"/>
      <c r="N11" s="3"/>
      <c r="O11" s="145"/>
    </row>
    <row r="12">
      <c r="C12" s="4"/>
      <c r="D12" s="148"/>
      <c r="E12" s="68"/>
      <c r="F12" s="4"/>
      <c r="I12" s="35" t="s">
        <v>90</v>
      </c>
      <c r="J12" s="35">
        <v>55.0</v>
      </c>
      <c r="K12" s="150">
        <f t="shared" ref="K12:K14" si="2">D8</f>
        <v>255</v>
      </c>
      <c r="L12" s="143"/>
      <c r="M12" s="12"/>
    </row>
    <row r="13" ht="16.5" customHeight="1">
      <c r="I13" s="35" t="s">
        <v>92</v>
      </c>
      <c r="J13" s="151">
        <v>74.55</v>
      </c>
      <c r="K13" s="150">
        <f t="shared" si="2"/>
        <v>255</v>
      </c>
      <c r="L13" s="12"/>
      <c r="M13" s="12"/>
      <c r="N13" s="12"/>
      <c r="O13" s="12"/>
      <c r="P13" s="12"/>
      <c r="Q13" s="12"/>
      <c r="R13" s="12"/>
      <c r="S13" s="12"/>
      <c r="T13" s="12"/>
      <c r="U13" s="12"/>
      <c r="V13" s="12"/>
      <c r="W13" s="12"/>
      <c r="X13" s="12"/>
    </row>
    <row r="14" ht="15.75" customHeight="1">
      <c r="C14" s="154" t="s">
        <v>96</v>
      </c>
      <c r="D14" s="155">
        <v>0.01875</v>
      </c>
      <c r="I14" s="35" t="s">
        <v>97</v>
      </c>
      <c r="J14" s="35">
        <v>55.0</v>
      </c>
      <c r="K14" s="150">
        <f t="shared" si="2"/>
        <v>180</v>
      </c>
      <c r="L14" s="156"/>
      <c r="M14" s="156"/>
      <c r="N14" s="156"/>
      <c r="O14" s="156"/>
      <c r="P14" s="156"/>
      <c r="Q14" s="156"/>
      <c r="R14" s="156"/>
      <c r="S14" s="156"/>
      <c r="T14" s="156"/>
      <c r="U14" s="156"/>
      <c r="V14" s="156"/>
      <c r="W14" s="156"/>
      <c r="X14" s="156"/>
    </row>
    <row r="15">
      <c r="B15" s="4"/>
      <c r="C15" s="159" t="s">
        <v>100</v>
      </c>
      <c r="D15" s="161">
        <f>(D4-D14)</f>
        <v>0.8979166667</v>
      </c>
      <c r="E15" s="4"/>
      <c r="F15" s="4"/>
      <c r="G15" s="4"/>
      <c r="H15" s="4"/>
      <c r="I15" s="35" t="s">
        <v>105</v>
      </c>
      <c r="J15" s="163">
        <v>0.01</v>
      </c>
      <c r="K15" s="165">
        <v>0.0032</v>
      </c>
      <c r="L15" s="166"/>
      <c r="M15" s="166"/>
      <c r="N15" s="166"/>
      <c r="O15" s="166"/>
      <c r="P15" s="166"/>
      <c r="Q15" s="166"/>
      <c r="R15" s="166"/>
      <c r="S15" s="166"/>
      <c r="T15" s="166"/>
      <c r="U15" s="166"/>
      <c r="V15" s="166"/>
      <c r="W15" s="166"/>
      <c r="X15" s="166"/>
    </row>
    <row r="16" ht="14.25" customHeight="1">
      <c r="B16" s="4"/>
      <c r="C16" s="168" t="s">
        <v>114</v>
      </c>
      <c r="D16" s="170">
        <f>D4</f>
        <v>0.9166666667</v>
      </c>
      <c r="E16" s="4"/>
      <c r="F16" s="4"/>
      <c r="G16" s="4"/>
      <c r="H16" s="4"/>
      <c r="I16" s="35" t="s">
        <v>116</v>
      </c>
      <c r="J16" s="173">
        <v>0.031</v>
      </c>
      <c r="K16" s="176">
        <f>'CIERRE DE PIELES '!D14/D2</f>
        <v>0.08169934641</v>
      </c>
      <c r="L16" s="166"/>
      <c r="M16" s="166"/>
      <c r="N16" s="166"/>
      <c r="O16" s="166"/>
      <c r="P16" s="166"/>
      <c r="Q16" s="166"/>
      <c r="R16" s="166"/>
      <c r="S16" s="166"/>
      <c r="T16" s="166"/>
      <c r="U16" s="166"/>
      <c r="V16" s="166"/>
      <c r="W16" s="166"/>
      <c r="X16" s="166"/>
    </row>
    <row r="17">
      <c r="B17" s="37"/>
      <c r="C17" s="179"/>
      <c r="D17" s="184">
        <f>D16-0.01875</f>
        <v>0.8979166667</v>
      </c>
      <c r="E17" s="4"/>
      <c r="F17" s="4"/>
      <c r="G17" s="4"/>
      <c r="H17" s="4"/>
      <c r="I17" s="35" t="s">
        <v>121</v>
      </c>
      <c r="J17" s="163">
        <v>0.01</v>
      </c>
      <c r="K17" s="186" t="str">
        <f>IFERROR(VLOOKUP($I$1,'LIBERACION DE CANALES'!B:K,9,FALSE),"DOM")</f>
        <v>DOM</v>
      </c>
      <c r="L17" s="12"/>
      <c r="M17" s="166"/>
      <c r="N17" s="166"/>
      <c r="O17" s="166"/>
      <c r="P17" s="166"/>
      <c r="Q17" s="166"/>
      <c r="R17" s="166"/>
      <c r="S17" s="166"/>
      <c r="T17" s="166"/>
      <c r="U17" s="166"/>
      <c r="V17" s="166"/>
      <c r="W17" s="166"/>
      <c r="X17" s="166"/>
    </row>
    <row r="18">
      <c r="B18" s="4"/>
      <c r="C18" s="4"/>
      <c r="E18" s="4"/>
      <c r="F18" s="4"/>
      <c r="G18" s="4"/>
      <c r="H18" s="4"/>
      <c r="I18" s="35" t="s">
        <v>124</v>
      </c>
      <c r="J18" s="163">
        <v>0.01</v>
      </c>
      <c r="K18" s="186" t="str">
        <f>IFERROR(VLOOKUP($I$1,'LIBERACION DE CANALES'!B:K,10,FALSE),"DOM")</f>
        <v>DOM</v>
      </c>
      <c r="L18" s="12"/>
      <c r="M18" s="166"/>
      <c r="N18" s="166"/>
      <c r="O18" s="166"/>
      <c r="P18" s="166"/>
      <c r="Q18" s="166"/>
      <c r="R18" s="166"/>
      <c r="S18" s="166"/>
      <c r="T18" s="166"/>
      <c r="U18" s="166"/>
      <c r="V18" s="166"/>
      <c r="W18" s="166"/>
      <c r="X18" s="166"/>
    </row>
    <row r="19">
      <c r="D19" s="190"/>
      <c r="E19" s="4"/>
      <c r="F19" s="4"/>
      <c r="G19" s="4"/>
      <c r="H19" s="4"/>
      <c r="I19" s="35" t="s">
        <v>126</v>
      </c>
      <c r="J19" s="163">
        <v>0.015</v>
      </c>
      <c r="K19" s="186" t="str">
        <f>IFERROR(VLOOKUP($I$1,'LIBERACION DE CANALES'!B:K,7,FALSE),"DOM")</f>
        <v>DOM</v>
      </c>
      <c r="L19" s="192"/>
      <c r="M19" s="166"/>
      <c r="N19" s="166"/>
      <c r="O19" s="166"/>
      <c r="P19" s="166"/>
      <c r="Q19" s="166"/>
      <c r="R19" s="166"/>
      <c r="S19" s="166"/>
      <c r="T19" s="166"/>
      <c r="U19" s="166"/>
      <c r="V19" s="166"/>
      <c r="W19" s="166"/>
      <c r="X19" s="166"/>
    </row>
    <row r="20" ht="15.75" customHeight="1">
      <c r="B20" s="4"/>
      <c r="C20" s="4"/>
      <c r="D20" s="197"/>
      <c r="G20" s="4"/>
      <c r="H20" s="4"/>
      <c r="I20" s="35" t="s">
        <v>128</v>
      </c>
      <c r="J20" s="35">
        <v>60.0</v>
      </c>
      <c r="K20" s="150">
        <v>0.0</v>
      </c>
      <c r="L20" s="200"/>
      <c r="M20" s="166"/>
      <c r="N20" s="166"/>
      <c r="O20" s="166"/>
      <c r="P20" s="166"/>
      <c r="Q20" s="166"/>
      <c r="R20" s="166"/>
      <c r="S20" s="166"/>
      <c r="T20" s="166"/>
      <c r="U20" s="166"/>
      <c r="V20" s="166"/>
      <c r="W20" s="166"/>
      <c r="X20" s="166"/>
    </row>
    <row r="21" ht="15.0" customHeight="1">
      <c r="B21" s="1"/>
      <c r="D21" s="203"/>
      <c r="E21" s="4"/>
      <c r="F21" s="204"/>
      <c r="G21" s="4"/>
      <c r="H21" s="4"/>
      <c r="I21" s="4"/>
      <c r="J21" s="1"/>
      <c r="K21" s="4"/>
      <c r="L21" s="206"/>
      <c r="M21" s="166"/>
    </row>
    <row r="22" ht="15.0" customHeight="1">
      <c r="B22" s="73"/>
      <c r="C22" s="4"/>
      <c r="D22" s="207"/>
      <c r="F22" s="203"/>
      <c r="G22" s="4"/>
      <c r="H22" s="4"/>
      <c r="J22" s="1"/>
      <c r="L22" s="206"/>
      <c r="M22" s="166"/>
    </row>
    <row r="23" ht="12.75" customHeight="1">
      <c r="B23" s="4"/>
      <c r="D23" s="207"/>
      <c r="E23" s="208"/>
      <c r="F23" s="209"/>
      <c r="G23" s="4"/>
      <c r="H23" s="208"/>
      <c r="I23" s="210"/>
      <c r="J23" s="1"/>
      <c r="L23" s="206"/>
      <c r="M23" s="143"/>
    </row>
    <row r="24" ht="16.5" customHeight="1">
      <c r="D24" s="211"/>
      <c r="E24" s="178"/>
      <c r="F24" s="207"/>
      <c r="J24" s="1"/>
      <c r="L24" s="12"/>
      <c r="M24" s="12"/>
    </row>
    <row r="25" ht="24.0" customHeight="1">
      <c r="D25" s="211"/>
      <c r="F25" s="211"/>
      <c r="L25" s="12"/>
      <c r="M25" s="12"/>
    </row>
    <row r="26" ht="15.75" customHeight="1">
      <c r="D26" s="211"/>
      <c r="F26" s="211"/>
      <c r="L26" s="12"/>
      <c r="M26" s="12"/>
    </row>
    <row r="27" ht="15.75" customHeight="1">
      <c r="D27" s="214"/>
      <c r="F27" s="214"/>
      <c r="L27" s="12"/>
      <c r="M27" s="12"/>
    </row>
    <row r="28" ht="15.75" customHeight="1">
      <c r="D28" s="211"/>
      <c r="F28" s="211"/>
      <c r="L28" s="12"/>
      <c r="M28" s="12"/>
      <c r="N28" s="112" t="s">
        <v>27</v>
      </c>
      <c r="P28" s="1"/>
    </row>
    <row r="29" ht="15.75" customHeight="1">
      <c r="D29" s="211"/>
      <c r="F29" s="211"/>
      <c r="L29" s="12"/>
      <c r="M29" s="12"/>
      <c r="P29" s="1"/>
    </row>
    <row r="30" ht="15.75" customHeight="1">
      <c r="D30" s="211"/>
      <c r="F30" s="211"/>
      <c r="L30" s="12"/>
      <c r="M30" s="12"/>
      <c r="P30" s="1"/>
    </row>
    <row r="31" ht="15.75" customHeight="1">
      <c r="D31" s="211"/>
      <c r="F31" s="211"/>
      <c r="L31" s="12"/>
      <c r="M31" s="12"/>
      <c r="P31" s="1"/>
    </row>
    <row r="32" ht="15.0" customHeight="1">
      <c r="D32" s="215"/>
      <c r="F32" s="215"/>
      <c r="L32" s="12"/>
      <c r="M32" s="12"/>
      <c r="P32" s="1"/>
    </row>
    <row r="33" ht="15.75" customHeight="1">
      <c r="D33" s="217"/>
      <c r="F33" s="217"/>
      <c r="J33" s="1"/>
      <c r="L33" s="12"/>
      <c r="M33" s="12"/>
      <c r="P33" s="1"/>
    </row>
    <row r="34" ht="15.75" customHeight="1">
      <c r="J34" s="1"/>
      <c r="L34" s="12"/>
      <c r="M34" s="12"/>
      <c r="P34" s="1"/>
    </row>
    <row r="35" ht="15.75" customHeight="1">
      <c r="J35" s="1"/>
      <c r="L35" s="12"/>
      <c r="M35" s="12"/>
      <c r="P35" s="1"/>
    </row>
    <row r="36" ht="15.75" customHeight="1">
      <c r="J36" s="1"/>
      <c r="L36" s="221"/>
      <c r="M36" s="221"/>
      <c r="P36" s="1"/>
    </row>
    <row r="37" ht="4.5" customHeight="1">
      <c r="J37" s="1"/>
      <c r="L37" s="221"/>
      <c r="M37" s="221"/>
    </row>
    <row r="38" ht="15.75" customHeight="1">
      <c r="J38" s="1"/>
      <c r="L38" s="221"/>
      <c r="M38" s="221"/>
    </row>
    <row r="39" ht="15.75" customHeight="1">
      <c r="J39" s="1"/>
      <c r="L39" s="221"/>
      <c r="M39" s="221"/>
    </row>
    <row r="40" ht="15.75" customHeight="1">
      <c r="J40" s="1"/>
      <c r="L40" s="221"/>
      <c r="M40" s="221"/>
    </row>
    <row r="41" ht="15.75" customHeight="1">
      <c r="J41" s="1"/>
      <c r="L41" s="221"/>
      <c r="M41" s="221"/>
    </row>
    <row r="42" ht="15.75" customHeight="1">
      <c r="J42" s="1"/>
      <c r="L42" s="221"/>
      <c r="M42" s="221"/>
    </row>
    <row r="43" ht="15.75" customHeight="1">
      <c r="J43" s="1"/>
      <c r="K43" s="222"/>
      <c r="L43" s="221"/>
      <c r="M43" s="221"/>
    </row>
    <row r="44" ht="15.75" customHeight="1">
      <c r="J44" s="1"/>
      <c r="K44" s="222"/>
      <c r="L44" s="221"/>
      <c r="M44" s="221"/>
    </row>
    <row r="45" ht="15.75" customHeight="1">
      <c r="J45" s="1"/>
      <c r="K45" s="222"/>
      <c r="L45" s="221"/>
      <c r="M45" s="221"/>
    </row>
    <row r="46" ht="15.75" customHeight="1">
      <c r="J46" s="1"/>
      <c r="K46" s="222"/>
      <c r="L46" s="221"/>
      <c r="M46" s="221"/>
    </row>
    <row r="47" ht="15.75" customHeight="1">
      <c r="J47" s="1"/>
      <c r="K47" s="222"/>
      <c r="L47" s="221"/>
      <c r="M47" s="221"/>
    </row>
    <row r="48" ht="15.75" customHeight="1">
      <c r="J48" s="1"/>
      <c r="K48" s="222"/>
      <c r="L48" s="221"/>
      <c r="M48" s="221"/>
    </row>
    <row r="49" ht="15.75" customHeight="1">
      <c r="J49" s="1"/>
      <c r="K49" s="222"/>
      <c r="L49" s="221"/>
      <c r="M49" s="221"/>
    </row>
    <row r="50" ht="15.75" customHeight="1">
      <c r="J50" s="1"/>
      <c r="K50" s="222"/>
      <c r="L50" s="221"/>
      <c r="M50" s="221"/>
    </row>
    <row r="51" ht="15.75" customHeight="1">
      <c r="J51" s="1"/>
      <c r="K51" s="222"/>
      <c r="L51" s="221"/>
      <c r="M51" s="221"/>
    </row>
    <row r="52" ht="15.75" customHeight="1">
      <c r="J52" s="1"/>
      <c r="K52" s="222"/>
      <c r="L52" s="221"/>
      <c r="M52" s="221"/>
    </row>
    <row r="53" ht="15.75" customHeight="1">
      <c r="J53" s="1"/>
      <c r="K53" s="222"/>
      <c r="L53" s="12"/>
      <c r="M53" s="12"/>
    </row>
    <row r="54" ht="15.75" customHeight="1">
      <c r="J54" s="1"/>
      <c r="K54" s="222"/>
      <c r="L54" s="12"/>
      <c r="M54" s="12"/>
    </row>
    <row r="55" ht="15.75" customHeight="1">
      <c r="J55" s="1"/>
      <c r="K55" s="222"/>
      <c r="L55" s="12"/>
      <c r="M55" s="12"/>
    </row>
    <row r="56" ht="15.75" customHeight="1">
      <c r="C56" s="4"/>
      <c r="J56" s="1"/>
      <c r="K56" s="222"/>
      <c r="L56" s="12"/>
      <c r="M56" s="12"/>
    </row>
    <row r="57" ht="15.75" customHeight="1">
      <c r="J57" s="1"/>
      <c r="K57" s="222"/>
      <c r="L57" s="12"/>
      <c r="M57" s="12"/>
    </row>
    <row r="58" ht="15.75" customHeight="1">
      <c r="J58" s="1"/>
      <c r="K58" s="222"/>
      <c r="L58" s="12"/>
      <c r="M58" s="12"/>
    </row>
    <row r="59" ht="15.75" customHeight="1">
      <c r="J59" s="1"/>
      <c r="K59" s="222"/>
      <c r="L59" s="12"/>
      <c r="M59" s="12"/>
    </row>
    <row r="60" ht="51.0" customHeight="1">
      <c r="J60" s="1"/>
      <c r="L60" s="12"/>
      <c r="M60" s="12"/>
    </row>
    <row r="61" ht="15.75" customHeight="1">
      <c r="C61" s="231"/>
      <c r="D61" s="231"/>
      <c r="J61" s="1"/>
      <c r="L61" s="12"/>
      <c r="M61" s="12"/>
    </row>
    <row r="62" ht="15.75" customHeight="1">
      <c r="A62" s="231"/>
      <c r="B62" s="231"/>
      <c r="C62" s="231"/>
      <c r="D62" s="231"/>
      <c r="E62" s="231"/>
      <c r="F62" s="231"/>
      <c r="G62" s="231"/>
      <c r="H62" s="231"/>
      <c r="J62" s="1"/>
      <c r="L62" s="234"/>
      <c r="M62" s="234"/>
      <c r="N62" s="235"/>
      <c r="O62" s="231"/>
      <c r="P62" s="231"/>
      <c r="Q62" s="231"/>
      <c r="R62" s="231"/>
      <c r="S62" s="231"/>
      <c r="T62" s="231"/>
      <c r="U62" s="231"/>
      <c r="V62" s="231"/>
      <c r="W62" s="231"/>
      <c r="X62" s="231"/>
      <c r="Y62" s="231"/>
      <c r="Z62" s="231"/>
      <c r="AA62" s="231"/>
      <c r="AB62" s="231"/>
      <c r="AC62" s="231"/>
      <c r="AD62" s="231"/>
      <c r="AE62" s="231"/>
      <c r="AF62" s="231"/>
      <c r="AG62" s="231"/>
      <c r="AH62" s="231"/>
      <c r="AI62" s="231"/>
      <c r="AJ62" s="231"/>
      <c r="AK62" s="231"/>
      <c r="AL62" s="231"/>
      <c r="AM62" s="231"/>
      <c r="AN62" s="231"/>
      <c r="AO62" s="231"/>
      <c r="AP62" s="231"/>
      <c r="AQ62" s="231"/>
      <c r="AR62" s="231"/>
      <c r="AS62" s="231"/>
      <c r="AT62" s="231"/>
      <c r="AU62" s="231"/>
      <c r="AV62" s="231"/>
      <c r="AW62" s="231"/>
    </row>
    <row r="63" ht="6.0" customHeight="1">
      <c r="A63" s="231"/>
      <c r="B63" s="231"/>
      <c r="C63" s="145"/>
      <c r="D63" s="145"/>
      <c r="E63" s="231"/>
      <c r="F63" s="231"/>
      <c r="G63" s="231"/>
      <c r="H63" s="231"/>
      <c r="J63" s="1"/>
      <c r="L63" s="234"/>
      <c r="M63" s="234"/>
      <c r="N63" s="235"/>
      <c r="O63" s="231"/>
      <c r="P63" s="231"/>
      <c r="Q63" s="231"/>
      <c r="R63" s="231"/>
      <c r="S63" s="231"/>
      <c r="T63" s="231"/>
      <c r="U63" s="231"/>
      <c r="V63" s="231"/>
      <c r="W63" s="231"/>
      <c r="X63" s="231"/>
      <c r="Y63" s="231"/>
      <c r="Z63" s="231"/>
      <c r="AA63" s="231"/>
      <c r="AB63" s="231"/>
      <c r="AC63" s="231"/>
      <c r="AD63" s="231"/>
      <c r="AE63" s="231"/>
      <c r="AF63" s="231"/>
      <c r="AG63" s="231"/>
      <c r="AH63" s="231"/>
      <c r="AI63" s="231"/>
      <c r="AJ63" s="231"/>
      <c r="AK63" s="231"/>
      <c r="AL63" s="231"/>
      <c r="AM63" s="231"/>
      <c r="AN63" s="231"/>
      <c r="AO63" s="231"/>
      <c r="AP63" s="231"/>
      <c r="AQ63" s="231"/>
      <c r="AR63" s="231"/>
      <c r="AS63" s="231"/>
      <c r="AT63" s="231"/>
      <c r="AU63" s="231"/>
      <c r="AV63" s="231"/>
      <c r="AW63" s="231"/>
    </row>
    <row r="64" ht="15.75" customHeight="1">
      <c r="A64" s="145"/>
      <c r="B64" s="145"/>
      <c r="C64" s="145"/>
      <c r="D64" s="145"/>
      <c r="E64" s="145"/>
      <c r="F64" s="145"/>
      <c r="G64" s="145"/>
      <c r="H64" s="145"/>
      <c r="J64" s="1"/>
      <c r="L64" s="234"/>
      <c r="M64" s="166"/>
      <c r="N64" s="237"/>
      <c r="O64" s="145"/>
      <c r="P64" s="145"/>
      <c r="Q64" s="231"/>
      <c r="R64" s="231"/>
      <c r="S64" s="231"/>
      <c r="T64" s="231"/>
      <c r="U64" s="231"/>
      <c r="V64" s="231"/>
      <c r="W64" s="231"/>
      <c r="X64" s="231"/>
      <c r="Y64" s="231"/>
      <c r="Z64" s="231"/>
      <c r="AA64" s="231"/>
      <c r="AB64" s="231"/>
      <c r="AC64" s="231"/>
      <c r="AD64" s="231"/>
      <c r="AE64" s="231"/>
      <c r="AF64" s="231"/>
      <c r="AG64" s="231"/>
      <c r="AH64" s="231"/>
      <c r="AI64" s="231"/>
      <c r="AJ64" s="231"/>
      <c r="AK64" s="231"/>
      <c r="AL64" s="231"/>
      <c r="AM64" s="231"/>
      <c r="AN64" s="231"/>
      <c r="AO64" s="231"/>
      <c r="AP64" s="231"/>
      <c r="AQ64" s="231"/>
      <c r="AR64" s="231"/>
      <c r="AS64" s="231"/>
      <c r="AT64" s="231"/>
      <c r="AU64" s="240" t="s">
        <v>143</v>
      </c>
      <c r="AV64" s="240" t="s">
        <v>144</v>
      </c>
      <c r="AW64" s="240" t="s">
        <v>145</v>
      </c>
    </row>
    <row r="65" ht="15.75" customHeight="1">
      <c r="A65" s="145"/>
      <c r="B65" s="145"/>
      <c r="C65" s="145"/>
      <c r="D65" s="145"/>
      <c r="E65" s="145"/>
      <c r="F65" s="145"/>
      <c r="G65" s="145"/>
      <c r="H65" s="145"/>
      <c r="J65" s="1"/>
      <c r="L65" s="234"/>
      <c r="M65" s="166"/>
      <c r="N65" s="237"/>
      <c r="O65" s="145"/>
      <c r="P65" s="145"/>
      <c r="Q65" s="231"/>
      <c r="R65" s="231"/>
      <c r="S65" s="231"/>
      <c r="T65" s="231"/>
      <c r="U65" s="231"/>
      <c r="V65" s="231"/>
      <c r="W65" s="231"/>
      <c r="X65" s="231"/>
      <c r="Y65" s="231"/>
      <c r="Z65" s="231"/>
      <c r="AA65" s="231"/>
      <c r="AB65" s="231"/>
      <c r="AC65" s="231"/>
      <c r="AD65" s="231"/>
      <c r="AE65" s="231"/>
      <c r="AF65" s="231"/>
      <c r="AG65" s="231"/>
      <c r="AH65" s="231"/>
      <c r="AI65" s="231"/>
      <c r="AJ65" s="231"/>
      <c r="AK65" s="231"/>
      <c r="AL65" s="231"/>
      <c r="AM65" s="231"/>
      <c r="AN65" s="231"/>
      <c r="AO65" s="231"/>
      <c r="AP65" s="231"/>
      <c r="AQ65" s="231"/>
      <c r="AR65" s="231"/>
      <c r="AS65" s="231"/>
      <c r="AT65" s="231"/>
      <c r="AU65" s="242" t="s">
        <v>147</v>
      </c>
      <c r="AV65" s="242">
        <v>44.0</v>
      </c>
      <c r="AW65" s="242" t="s">
        <v>149</v>
      </c>
    </row>
    <row r="66" ht="15.75" customHeight="1">
      <c r="A66" s="145"/>
      <c r="B66" s="145"/>
      <c r="C66" s="145"/>
      <c r="D66" s="145"/>
      <c r="E66" s="145"/>
      <c r="F66" s="145"/>
      <c r="G66" s="145"/>
      <c r="H66" s="145"/>
      <c r="J66" s="1"/>
      <c r="L66" s="234"/>
      <c r="M66" s="166"/>
      <c r="N66" s="237"/>
      <c r="O66" s="145"/>
      <c r="P66" s="145"/>
      <c r="Q66" s="231"/>
      <c r="R66" s="231"/>
      <c r="S66" s="231"/>
      <c r="T66" s="231"/>
      <c r="U66" s="231"/>
      <c r="V66" s="231"/>
      <c r="W66" s="231"/>
      <c r="X66" s="231"/>
      <c r="Y66" s="231"/>
      <c r="Z66" s="231"/>
      <c r="AA66" s="231"/>
      <c r="AB66" s="231"/>
      <c r="AC66" s="231"/>
      <c r="AD66" s="231"/>
      <c r="AE66" s="231"/>
      <c r="AF66" s="231"/>
      <c r="AG66" s="231"/>
      <c r="AH66" s="231"/>
      <c r="AI66" s="231"/>
      <c r="AJ66" s="231"/>
      <c r="AK66" s="231"/>
      <c r="AL66" s="231"/>
      <c r="AM66" s="231"/>
      <c r="AN66" s="231"/>
      <c r="AO66" s="231"/>
      <c r="AP66" s="231"/>
      <c r="AQ66" s="231"/>
      <c r="AR66" s="231"/>
      <c r="AS66" s="231"/>
      <c r="AT66" s="231"/>
      <c r="AU66" s="242" t="s">
        <v>151</v>
      </c>
      <c r="AV66" s="242">
        <v>53.0</v>
      </c>
      <c r="AW66" s="242" t="s">
        <v>152</v>
      </c>
    </row>
    <row r="67" ht="15.75" customHeight="1">
      <c r="A67" s="145"/>
      <c r="B67" s="145"/>
      <c r="C67" s="145"/>
      <c r="D67" s="145"/>
      <c r="E67" s="145"/>
      <c r="F67" s="145"/>
      <c r="G67" s="145"/>
      <c r="H67" s="145"/>
      <c r="J67" s="1"/>
      <c r="L67" s="234"/>
      <c r="M67" s="166"/>
      <c r="N67" s="237"/>
      <c r="O67" s="145"/>
      <c r="P67" s="145"/>
      <c r="Q67" s="231"/>
      <c r="R67" s="231"/>
      <c r="S67" s="231"/>
      <c r="T67" s="231"/>
      <c r="U67" s="231"/>
      <c r="V67" s="231"/>
      <c r="W67" s="231"/>
      <c r="X67" s="231"/>
      <c r="Y67" s="231"/>
      <c r="Z67" s="231"/>
      <c r="AA67" s="231"/>
      <c r="AB67" s="231"/>
      <c r="AC67" s="231"/>
      <c r="AD67" s="231"/>
      <c r="AE67" s="231"/>
      <c r="AF67" s="231"/>
      <c r="AG67" s="231"/>
      <c r="AH67" s="231"/>
      <c r="AI67" s="231"/>
      <c r="AJ67" s="231"/>
      <c r="AK67" s="231"/>
      <c r="AL67" s="231"/>
      <c r="AM67" s="231"/>
      <c r="AN67" s="231"/>
      <c r="AO67" s="231"/>
      <c r="AP67" s="231"/>
      <c r="AQ67" s="231"/>
      <c r="AR67" s="231"/>
      <c r="AS67" s="231"/>
      <c r="AT67" s="231"/>
      <c r="AU67" s="242" t="s">
        <v>154</v>
      </c>
      <c r="AV67" s="242">
        <v>53.0</v>
      </c>
      <c r="AW67" s="242" t="s">
        <v>155</v>
      </c>
    </row>
    <row r="68" ht="15.75" customHeight="1">
      <c r="A68" s="145"/>
      <c r="B68" s="145"/>
      <c r="C68" s="145"/>
      <c r="D68" s="145"/>
      <c r="E68" s="145"/>
      <c r="F68" s="145"/>
      <c r="G68" s="145"/>
      <c r="H68" s="145"/>
      <c r="J68" s="1"/>
      <c r="L68" s="234"/>
      <c r="M68" s="166"/>
      <c r="N68" s="237"/>
      <c r="O68" s="145"/>
      <c r="P68" s="145"/>
      <c r="Q68" s="231"/>
      <c r="R68" s="231"/>
      <c r="S68" s="231"/>
      <c r="T68" s="231"/>
      <c r="U68" s="231"/>
      <c r="V68" s="231"/>
      <c r="W68" s="231"/>
      <c r="X68" s="231"/>
      <c r="Y68" s="231"/>
      <c r="Z68" s="231"/>
      <c r="AA68" s="231"/>
      <c r="AB68" s="231"/>
      <c r="AC68" s="231"/>
      <c r="AD68" s="231"/>
      <c r="AE68" s="231"/>
      <c r="AF68" s="231"/>
      <c r="AG68" s="231"/>
      <c r="AH68" s="231"/>
      <c r="AI68" s="231"/>
      <c r="AJ68" s="231"/>
      <c r="AK68" s="231"/>
      <c r="AL68" s="231"/>
      <c r="AM68" s="231"/>
      <c r="AN68" s="231"/>
      <c r="AO68" s="231"/>
      <c r="AP68" s="231"/>
      <c r="AQ68" s="231"/>
      <c r="AR68" s="231"/>
      <c r="AS68" s="231"/>
      <c r="AT68" s="231"/>
      <c r="AU68" s="242" t="s">
        <v>157</v>
      </c>
      <c r="AV68" s="242">
        <v>52.0</v>
      </c>
      <c r="AW68" s="242" t="s">
        <v>158</v>
      </c>
    </row>
    <row r="69" ht="15.75" customHeight="1">
      <c r="A69" s="145"/>
      <c r="B69" s="145"/>
      <c r="C69" s="145"/>
      <c r="D69" s="145"/>
      <c r="E69" s="145"/>
      <c r="F69" s="145"/>
      <c r="G69" s="145"/>
      <c r="H69" s="145"/>
      <c r="I69" s="231"/>
      <c r="J69" s="250"/>
      <c r="K69" s="253"/>
      <c r="L69" s="234"/>
      <c r="M69" s="166"/>
      <c r="N69" s="237"/>
      <c r="O69" s="145"/>
      <c r="P69" s="145"/>
      <c r="Q69" s="231"/>
      <c r="R69" s="231"/>
      <c r="S69" s="231"/>
      <c r="T69" s="231"/>
      <c r="U69" s="231"/>
      <c r="V69" s="231"/>
      <c r="W69" s="231"/>
      <c r="X69" s="231"/>
      <c r="Y69" s="231"/>
      <c r="Z69" s="231"/>
      <c r="AA69" s="231"/>
      <c r="AB69" s="231"/>
      <c r="AC69" s="231"/>
      <c r="AD69" s="231"/>
      <c r="AE69" s="231"/>
      <c r="AF69" s="231"/>
      <c r="AG69" s="231"/>
      <c r="AH69" s="231"/>
      <c r="AI69" s="231"/>
      <c r="AJ69" s="231"/>
      <c r="AK69" s="231"/>
      <c r="AL69" s="231"/>
      <c r="AM69" s="231"/>
      <c r="AN69" s="231"/>
      <c r="AO69" s="231"/>
      <c r="AP69" s="231"/>
      <c r="AQ69" s="231"/>
      <c r="AR69" s="231"/>
      <c r="AS69" s="231"/>
      <c r="AT69" s="231"/>
      <c r="AU69" s="242" t="s">
        <v>160</v>
      </c>
      <c r="AV69" s="242">
        <v>53.0</v>
      </c>
      <c r="AW69" s="242" t="s">
        <v>161</v>
      </c>
    </row>
    <row r="70" ht="4.5" customHeight="1">
      <c r="A70" s="145"/>
      <c r="B70" s="145"/>
      <c r="E70" s="145"/>
      <c r="F70" s="145"/>
      <c r="G70" s="145"/>
      <c r="H70" s="145"/>
      <c r="I70" s="231"/>
      <c r="J70" s="250"/>
      <c r="K70" s="253"/>
      <c r="L70" s="234"/>
      <c r="M70" s="166"/>
      <c r="N70" s="237"/>
      <c r="O70" s="145"/>
      <c r="P70" s="145"/>
      <c r="Q70" s="231"/>
      <c r="R70" s="231"/>
      <c r="S70" s="231"/>
      <c r="T70" s="231"/>
      <c r="U70" s="231"/>
      <c r="V70" s="231"/>
      <c r="W70" s="231"/>
      <c r="X70" s="231"/>
      <c r="Y70" s="231"/>
      <c r="Z70" s="231"/>
      <c r="AA70" s="231"/>
      <c r="AB70" s="231"/>
      <c r="AC70" s="231"/>
      <c r="AD70" s="231"/>
      <c r="AE70" s="231"/>
      <c r="AF70" s="231"/>
      <c r="AG70" s="231"/>
      <c r="AH70" s="231"/>
      <c r="AI70" s="231"/>
      <c r="AJ70" s="231"/>
      <c r="AK70" s="231"/>
      <c r="AL70" s="231"/>
      <c r="AM70" s="231"/>
      <c r="AN70" s="231"/>
      <c r="AO70" s="231"/>
      <c r="AP70" s="231"/>
      <c r="AQ70" s="231"/>
      <c r="AR70" s="231"/>
      <c r="AS70" s="231"/>
      <c r="AT70" s="231"/>
      <c r="AU70" s="231"/>
      <c r="AV70" s="231"/>
      <c r="AW70" s="231"/>
    </row>
    <row r="71" ht="15.75" customHeight="1">
      <c r="I71" s="145"/>
      <c r="J71" s="145"/>
      <c r="K71" s="259"/>
      <c r="L71" s="12"/>
      <c r="M71" s="12"/>
    </row>
    <row r="72" ht="15.75" customHeight="1">
      <c r="I72" s="145"/>
      <c r="J72" s="145"/>
      <c r="K72" s="259"/>
      <c r="L72" s="12"/>
      <c r="M72" s="12"/>
    </row>
    <row r="73" ht="15.75" customHeight="1">
      <c r="I73" s="145"/>
      <c r="J73" s="145"/>
      <c r="K73" s="259"/>
      <c r="L73" s="12"/>
      <c r="M73" s="12"/>
    </row>
    <row r="74" ht="15.75" customHeight="1">
      <c r="I74" s="145"/>
      <c r="J74" s="145"/>
      <c r="K74" s="259"/>
      <c r="L74" s="12"/>
      <c r="M74" s="12"/>
    </row>
    <row r="75" ht="15.75" customHeight="1">
      <c r="I75" s="145"/>
      <c r="J75" s="145"/>
      <c r="K75" s="259"/>
      <c r="L75" s="12"/>
      <c r="M75" s="12"/>
    </row>
    <row r="76" ht="15.75" customHeight="1">
      <c r="I76" s="145"/>
      <c r="J76" s="145"/>
      <c r="K76" s="259"/>
      <c r="L76" s="12"/>
      <c r="M76" s="12"/>
    </row>
    <row r="77" ht="15.75" customHeight="1">
      <c r="I77" s="145"/>
      <c r="J77" s="145"/>
      <c r="K77" s="259"/>
      <c r="L77" s="12"/>
      <c r="M77" s="12"/>
    </row>
    <row r="78" ht="15.75" customHeight="1">
      <c r="J78" s="1"/>
      <c r="L78" s="12"/>
      <c r="M78" s="12"/>
    </row>
    <row r="79" ht="15.75" customHeight="1">
      <c r="J79" s="1"/>
      <c r="L79" s="12"/>
      <c r="M79" s="12"/>
    </row>
    <row r="80" ht="4.5" customHeight="1">
      <c r="J80" s="1"/>
      <c r="L80" s="12"/>
      <c r="M80" s="12"/>
    </row>
    <row r="81" ht="15.75" hidden="1" customHeight="1">
      <c r="J81" s="1"/>
      <c r="L81" s="263"/>
      <c r="M81" s="12"/>
    </row>
    <row r="82" ht="15.75" hidden="1" customHeight="1">
      <c r="J82" s="1"/>
      <c r="L82" s="20"/>
      <c r="M82" s="12"/>
    </row>
    <row r="83" ht="15.75" hidden="1" customHeight="1">
      <c r="J83" s="1"/>
      <c r="L83" s="143"/>
      <c r="M83" s="12"/>
    </row>
    <row r="84" ht="15.75" hidden="1" customHeight="1">
      <c r="J84" s="1"/>
      <c r="L84" s="39"/>
      <c r="M84" s="12"/>
    </row>
    <row r="85" ht="15.75" hidden="1" customHeight="1">
      <c r="J85" s="1"/>
      <c r="L85" s="39"/>
      <c r="M85" s="12"/>
    </row>
    <row r="86" ht="15.75" hidden="1" customHeight="1">
      <c r="J86" s="1"/>
      <c r="L86" s="39"/>
      <c r="M86" s="12"/>
    </row>
    <row r="87" ht="15.75" hidden="1" customHeight="1">
      <c r="J87" s="1"/>
      <c r="L87" s="143"/>
      <c r="M87" s="12"/>
    </row>
    <row r="88" ht="15.75" hidden="1" customHeight="1">
      <c r="I88" s="265" t="s">
        <v>166</v>
      </c>
      <c r="J88" s="7"/>
      <c r="K88" s="10"/>
      <c r="L88" s="143"/>
      <c r="M88" s="12"/>
    </row>
    <row r="89" ht="15.75" hidden="1" customHeight="1">
      <c r="I89" s="266" t="s">
        <v>19</v>
      </c>
      <c r="J89" s="266" t="s">
        <v>20</v>
      </c>
      <c r="K89" s="268" t="s">
        <v>167</v>
      </c>
      <c r="L89" s="143"/>
      <c r="M89" s="12"/>
    </row>
    <row r="90" ht="15.75" hidden="1" customHeight="1">
      <c r="I90" s="270" t="s">
        <v>168</v>
      </c>
      <c r="J90" s="271">
        <v>0.95</v>
      </c>
      <c r="K90" s="272">
        <v>0.923</v>
      </c>
      <c r="L90" s="143"/>
      <c r="M90" s="12"/>
    </row>
    <row r="91" ht="15.75" hidden="1" customHeight="1">
      <c r="I91" s="274" t="s">
        <v>90</v>
      </c>
      <c r="J91" s="274">
        <v>55.0</v>
      </c>
      <c r="K91" s="275">
        <v>57.0</v>
      </c>
      <c r="L91" s="143"/>
      <c r="M91" s="12"/>
    </row>
    <row r="92" ht="15.75" hidden="1" customHeight="1">
      <c r="I92" s="276" t="s">
        <v>92</v>
      </c>
      <c r="J92" s="277">
        <v>75.0</v>
      </c>
      <c r="K92" s="279">
        <v>75.0</v>
      </c>
      <c r="L92" s="143"/>
      <c r="M92" s="12"/>
    </row>
    <row r="93" ht="15.75" hidden="1" customHeight="1">
      <c r="I93" s="281" t="s">
        <v>97</v>
      </c>
      <c r="J93" s="282">
        <v>55.0</v>
      </c>
      <c r="K93" s="284">
        <v>54.0</v>
      </c>
      <c r="L93" s="39"/>
      <c r="M93" s="12"/>
    </row>
    <row r="94" ht="3.0" hidden="1" customHeight="1">
      <c r="I94" s="276" t="s">
        <v>105</v>
      </c>
      <c r="J94" s="286">
        <v>0.01</v>
      </c>
      <c r="K94" s="287">
        <v>0.006</v>
      </c>
      <c r="L94" s="12"/>
      <c r="M94" s="12"/>
    </row>
    <row r="95" ht="15.75" hidden="1" customHeight="1">
      <c r="I95" s="276" t="s">
        <v>116</v>
      </c>
      <c r="J95" s="289">
        <v>0.03</v>
      </c>
      <c r="K95" s="287">
        <v>0.0223</v>
      </c>
      <c r="L95" s="12"/>
      <c r="M95" s="12"/>
    </row>
    <row r="96" ht="15.75" customHeight="1">
      <c r="I96" s="276" t="s">
        <v>121</v>
      </c>
      <c r="J96" s="286">
        <v>0.01</v>
      </c>
      <c r="K96" s="287">
        <v>0.004</v>
      </c>
      <c r="L96" s="12"/>
      <c r="M96" s="12"/>
    </row>
    <row r="97" ht="15.75" customHeight="1">
      <c r="I97" s="276" t="s">
        <v>124</v>
      </c>
      <c r="J97" s="286">
        <v>0.01</v>
      </c>
      <c r="K97" s="287">
        <v>0.005</v>
      </c>
      <c r="L97" s="12"/>
      <c r="M97" s="12"/>
    </row>
    <row r="98" ht="15.75" customHeight="1">
      <c r="I98" s="276" t="s">
        <v>176</v>
      </c>
      <c r="J98" s="286">
        <v>0.005</v>
      </c>
      <c r="K98" s="287">
        <v>0.001</v>
      </c>
      <c r="L98" s="12"/>
      <c r="M98" s="12"/>
    </row>
    <row r="99" ht="15.75" customHeight="1">
      <c r="I99" s="292" t="s">
        <v>126</v>
      </c>
      <c r="J99" s="293">
        <v>0.015</v>
      </c>
      <c r="K99" s="294">
        <v>0.004</v>
      </c>
      <c r="L99" s="12"/>
      <c r="M99" s="12"/>
    </row>
    <row r="100" ht="15.75" customHeight="1">
      <c r="I100" s="292" t="s">
        <v>128</v>
      </c>
      <c r="J100" s="296">
        <v>0.0</v>
      </c>
      <c r="K100" s="279" t="s">
        <v>180</v>
      </c>
      <c r="L100" s="12"/>
      <c r="M100" s="12"/>
    </row>
    <row r="101" ht="15.75" customHeight="1">
      <c r="J101" s="1"/>
      <c r="L101" s="12"/>
      <c r="M101" s="12"/>
    </row>
    <row r="102" ht="15.75" customHeight="1">
      <c r="J102" s="1"/>
      <c r="L102" s="12"/>
      <c r="M102" s="12"/>
    </row>
    <row r="103" ht="15.75" customHeight="1">
      <c r="J103" s="1"/>
      <c r="L103" s="12"/>
      <c r="M103" s="12"/>
    </row>
    <row r="104" ht="15.75" customHeight="1">
      <c r="J104" s="1"/>
      <c r="L104" s="12"/>
      <c r="M104" s="12"/>
    </row>
    <row r="105" ht="15.75" customHeight="1">
      <c r="J105" s="1"/>
      <c r="L105" s="12"/>
      <c r="M105" s="12"/>
    </row>
    <row r="106" ht="15.75" customHeight="1">
      <c r="J106" s="1"/>
      <c r="L106" s="12"/>
      <c r="M106" s="12"/>
    </row>
    <row r="107" ht="15.75" customHeight="1">
      <c r="J107" s="1"/>
      <c r="L107" s="12"/>
      <c r="M107" s="12"/>
    </row>
    <row r="108" ht="15.75" customHeight="1">
      <c r="J108" s="1"/>
      <c r="L108" s="12"/>
      <c r="M108" s="12"/>
    </row>
    <row r="109" ht="15.75" customHeight="1">
      <c r="J109" s="1"/>
      <c r="L109" s="12"/>
      <c r="M109" s="12"/>
    </row>
    <row r="110" ht="15.75" customHeight="1">
      <c r="J110" s="1"/>
      <c r="L110" s="12"/>
      <c r="M110" s="12"/>
    </row>
    <row r="111" ht="15.75" customHeight="1">
      <c r="J111" s="1"/>
      <c r="L111" s="12"/>
      <c r="M111" s="12"/>
    </row>
    <row r="112" ht="15.75" customHeight="1">
      <c r="J112" s="1"/>
      <c r="L112" s="12"/>
      <c r="M112" s="12"/>
    </row>
    <row r="113" ht="15.75" customHeight="1">
      <c r="J113" s="1"/>
      <c r="L113" s="12"/>
      <c r="M113" s="12"/>
    </row>
    <row r="114" ht="15.75" customHeight="1">
      <c r="J114" s="1"/>
      <c r="L114" s="12"/>
      <c r="M114" s="12"/>
    </row>
    <row r="115" ht="15.75" customHeight="1">
      <c r="J115" s="1"/>
      <c r="L115" s="12"/>
      <c r="M115" s="12"/>
    </row>
    <row r="116" ht="15.75" customHeight="1">
      <c r="J116" s="1"/>
      <c r="L116" s="12"/>
      <c r="M116" s="12"/>
    </row>
    <row r="117" ht="15.75" customHeight="1">
      <c r="J117" s="1"/>
      <c r="L117" s="12"/>
      <c r="M117" s="12"/>
    </row>
    <row r="118" ht="15.75" customHeight="1">
      <c r="J118" s="1"/>
      <c r="L118" s="12"/>
      <c r="M118" s="12"/>
    </row>
    <row r="119" ht="15.75" customHeight="1">
      <c r="J119" s="1"/>
      <c r="L119" s="12"/>
      <c r="M119" s="12"/>
    </row>
    <row r="120" ht="15.75" customHeight="1">
      <c r="J120" s="1"/>
      <c r="L120" s="12"/>
      <c r="M120" s="12"/>
    </row>
    <row r="121" ht="15.75" customHeight="1">
      <c r="J121" s="1"/>
      <c r="L121" s="12"/>
      <c r="M121" s="12"/>
    </row>
    <row r="122" ht="15.75" customHeight="1">
      <c r="J122" s="1"/>
      <c r="L122" s="12"/>
      <c r="M122" s="12"/>
    </row>
    <row r="123" ht="15.75" customHeight="1">
      <c r="J123" s="1"/>
      <c r="L123" s="12"/>
      <c r="M123" s="12"/>
    </row>
    <row r="124" ht="15.75" customHeight="1">
      <c r="J124" s="1"/>
      <c r="L124" s="12"/>
      <c r="M124" s="12"/>
    </row>
    <row r="125" ht="15.75" customHeight="1">
      <c r="J125" s="1"/>
      <c r="L125" s="12"/>
      <c r="M125" s="12"/>
    </row>
    <row r="126" ht="15.75" customHeight="1">
      <c r="J126" s="1"/>
      <c r="L126" s="12"/>
      <c r="M126" s="12"/>
    </row>
    <row r="127" ht="15.75" customHeight="1">
      <c r="J127" s="1"/>
      <c r="L127" s="12"/>
      <c r="M127" s="12"/>
    </row>
    <row r="128" ht="15.75" customHeight="1">
      <c r="J128" s="1"/>
      <c r="L128" s="12"/>
      <c r="M128" s="12"/>
    </row>
    <row r="129" ht="15.75" customHeight="1">
      <c r="J129" s="1"/>
      <c r="L129" s="12"/>
      <c r="M129" s="12"/>
    </row>
    <row r="130" ht="15.75" customHeight="1">
      <c r="J130" s="1"/>
      <c r="L130" s="12"/>
      <c r="M130" s="12"/>
    </row>
    <row r="131" ht="15.75" customHeight="1">
      <c r="J131" s="1"/>
      <c r="L131" s="12"/>
      <c r="M131" s="12"/>
    </row>
    <row r="132" ht="15.75" customHeight="1">
      <c r="J132" s="1"/>
      <c r="L132" s="12"/>
      <c r="M132" s="12"/>
    </row>
    <row r="133" ht="15.75" customHeight="1">
      <c r="J133" s="1"/>
      <c r="L133" s="12"/>
      <c r="M133" s="12"/>
    </row>
    <row r="134" ht="15.75" customHeight="1">
      <c r="J134" s="1"/>
      <c r="L134" s="12"/>
      <c r="M134" s="12"/>
    </row>
    <row r="135" ht="15.75" customHeight="1">
      <c r="J135" s="1"/>
      <c r="L135" s="12"/>
      <c r="M135" s="12"/>
    </row>
    <row r="136" ht="15.75" customHeight="1">
      <c r="J136" s="1"/>
      <c r="L136" s="12"/>
      <c r="M136" s="12"/>
    </row>
    <row r="137" ht="15.75" customHeight="1">
      <c r="J137" s="1"/>
      <c r="L137" s="12"/>
      <c r="M137" s="12"/>
    </row>
    <row r="138" ht="15.75" customHeight="1">
      <c r="J138" s="1"/>
      <c r="L138" s="12"/>
      <c r="M138" s="12"/>
    </row>
    <row r="139" ht="15.75" customHeight="1">
      <c r="J139" s="1"/>
      <c r="L139" s="12"/>
      <c r="M139" s="12"/>
    </row>
    <row r="140" ht="15.75" customHeight="1">
      <c r="J140" s="1"/>
      <c r="L140" s="12"/>
      <c r="M140" s="12"/>
    </row>
    <row r="141" ht="15.75" customHeight="1">
      <c r="J141" s="1"/>
      <c r="L141" s="12"/>
      <c r="M141" s="12"/>
    </row>
    <row r="142" ht="15.75" customHeight="1">
      <c r="J142" s="1"/>
      <c r="L142" s="12"/>
      <c r="M142" s="12"/>
    </row>
    <row r="143" ht="15.75" customHeight="1">
      <c r="J143" s="1"/>
      <c r="L143" s="12"/>
      <c r="M143" s="12"/>
    </row>
    <row r="144" ht="15.75" customHeight="1">
      <c r="J144" s="1"/>
      <c r="L144" s="12"/>
      <c r="M144" s="12"/>
    </row>
    <row r="145" ht="15.75" customHeight="1">
      <c r="J145" s="1"/>
      <c r="L145" s="12"/>
      <c r="M145" s="12"/>
    </row>
    <row r="146" ht="15.75" customHeight="1">
      <c r="J146" s="1"/>
      <c r="L146" s="12"/>
      <c r="M146" s="12"/>
    </row>
    <row r="147" ht="15.75" customHeight="1">
      <c r="J147" s="1"/>
      <c r="L147" s="12"/>
      <c r="M147" s="12"/>
    </row>
    <row r="148" ht="15.75" customHeight="1">
      <c r="J148" s="1"/>
      <c r="L148" s="12"/>
      <c r="M148" s="12"/>
    </row>
    <row r="149" ht="15.75" customHeight="1">
      <c r="J149" s="1"/>
      <c r="L149" s="12"/>
      <c r="M149" s="12"/>
    </row>
    <row r="150" ht="15.75" customHeight="1">
      <c r="J150" s="1"/>
      <c r="L150" s="12"/>
      <c r="M150" s="12"/>
    </row>
    <row r="151" ht="15.75" customHeight="1">
      <c r="J151" s="1"/>
      <c r="L151" s="12"/>
      <c r="M151" s="12"/>
    </row>
    <row r="152" ht="15.75" customHeight="1">
      <c r="J152" s="1"/>
      <c r="L152" s="12"/>
      <c r="M152" s="12"/>
    </row>
    <row r="153" ht="15.75" customHeight="1">
      <c r="J153" s="1"/>
      <c r="L153" s="12"/>
      <c r="M153" s="12"/>
    </row>
    <row r="154" ht="15.75" customHeight="1">
      <c r="J154" s="1"/>
      <c r="L154" s="12"/>
      <c r="M154" s="12"/>
    </row>
    <row r="155" ht="15.75" customHeight="1">
      <c r="J155" s="1"/>
      <c r="L155" s="12"/>
      <c r="M155" s="12"/>
    </row>
    <row r="156" ht="15.75" customHeight="1">
      <c r="J156" s="1"/>
      <c r="L156" s="12"/>
      <c r="M156" s="12"/>
    </row>
    <row r="157" ht="15.75" customHeight="1">
      <c r="J157" s="1"/>
      <c r="L157" s="12"/>
      <c r="M157" s="12"/>
    </row>
    <row r="158" ht="15.75" customHeight="1">
      <c r="J158" s="1"/>
      <c r="L158" s="12"/>
      <c r="M158" s="12"/>
    </row>
    <row r="159" ht="15.75" customHeight="1">
      <c r="J159" s="1"/>
      <c r="L159" s="12"/>
      <c r="M159" s="12"/>
    </row>
    <row r="160" ht="15.75" customHeight="1">
      <c r="J160" s="1"/>
      <c r="L160" s="12"/>
      <c r="M160" s="12"/>
    </row>
    <row r="161" ht="15.75" customHeight="1">
      <c r="J161" s="1"/>
      <c r="L161" s="12"/>
      <c r="M161" s="12"/>
    </row>
    <row r="162" ht="15.75" customHeight="1">
      <c r="J162" s="1"/>
      <c r="L162" s="12"/>
      <c r="M162" s="12"/>
    </row>
    <row r="163" ht="15.75" customHeight="1">
      <c r="J163" s="1"/>
      <c r="L163" s="12"/>
      <c r="M163" s="12"/>
    </row>
    <row r="164" ht="15.75" customHeight="1">
      <c r="J164" s="1"/>
      <c r="L164" s="12"/>
      <c r="M164" s="12"/>
    </row>
    <row r="165" ht="15.75" customHeight="1">
      <c r="J165" s="1"/>
      <c r="L165" s="12"/>
      <c r="M165" s="12"/>
    </row>
    <row r="166" ht="15.75" customHeight="1">
      <c r="J166" s="1"/>
      <c r="L166" s="12"/>
      <c r="M166" s="12"/>
    </row>
    <row r="167" ht="15.75" customHeight="1">
      <c r="J167" s="1"/>
      <c r="L167" s="12"/>
      <c r="M167" s="12"/>
    </row>
    <row r="168" ht="15.75" customHeight="1">
      <c r="J168" s="1"/>
      <c r="L168" s="12"/>
      <c r="M168" s="12"/>
    </row>
    <row r="169" ht="15.75" customHeight="1">
      <c r="J169" s="1"/>
      <c r="L169" s="12"/>
      <c r="M169" s="12"/>
    </row>
    <row r="170" ht="15.75" customHeight="1">
      <c r="J170" s="1"/>
      <c r="L170" s="12"/>
      <c r="M170" s="12"/>
    </row>
    <row r="171" ht="15.75" customHeight="1">
      <c r="J171" s="1"/>
      <c r="L171" s="12"/>
      <c r="M171" s="12"/>
    </row>
    <row r="172" ht="15.75" customHeight="1">
      <c r="J172" s="1"/>
      <c r="L172" s="12"/>
      <c r="M172" s="12"/>
    </row>
    <row r="173" ht="15.75" customHeight="1">
      <c r="J173" s="1"/>
      <c r="L173" s="12"/>
      <c r="M173" s="12"/>
    </row>
    <row r="174" ht="15.75" customHeight="1">
      <c r="J174" s="1"/>
      <c r="L174" s="12"/>
      <c r="M174" s="12"/>
    </row>
    <row r="175" ht="15.75" customHeight="1">
      <c r="J175" s="1"/>
      <c r="L175" s="12"/>
      <c r="M175" s="12"/>
    </row>
    <row r="176" ht="15.75" customHeight="1">
      <c r="J176" s="1"/>
      <c r="L176" s="12"/>
      <c r="M176" s="12"/>
    </row>
    <row r="177" ht="15.75" customHeight="1">
      <c r="J177" s="1"/>
      <c r="L177" s="12"/>
      <c r="M177" s="12"/>
    </row>
    <row r="178" ht="15.75" customHeight="1">
      <c r="J178" s="1"/>
      <c r="L178" s="12"/>
      <c r="M178" s="12"/>
    </row>
    <row r="179" ht="15.75" customHeight="1">
      <c r="J179" s="1"/>
      <c r="L179" s="12"/>
      <c r="M179" s="12"/>
    </row>
    <row r="180" ht="15.75" customHeight="1">
      <c r="J180" s="1"/>
      <c r="L180" s="12"/>
      <c r="M180" s="12"/>
    </row>
    <row r="181" ht="15.75" customHeight="1">
      <c r="J181" s="1"/>
      <c r="L181" s="12"/>
      <c r="M181" s="12"/>
    </row>
    <row r="182" ht="15.75" customHeight="1">
      <c r="J182" s="1"/>
      <c r="L182" s="12"/>
      <c r="M182" s="12"/>
    </row>
    <row r="183" ht="15.75" customHeight="1">
      <c r="J183" s="1"/>
      <c r="L183" s="12"/>
      <c r="M183" s="12"/>
    </row>
    <row r="184" ht="15.75" customHeight="1">
      <c r="J184" s="1"/>
      <c r="L184" s="12"/>
      <c r="M184" s="12"/>
    </row>
    <row r="185" ht="15.75" customHeight="1">
      <c r="J185" s="1"/>
      <c r="L185" s="12"/>
      <c r="M185" s="12"/>
    </row>
    <row r="186" ht="15.75" customHeight="1">
      <c r="J186" s="1"/>
      <c r="L186" s="12"/>
      <c r="M186" s="12"/>
    </row>
    <row r="187" ht="15.75" customHeight="1">
      <c r="J187" s="1"/>
      <c r="L187" s="12"/>
      <c r="M187" s="12"/>
    </row>
    <row r="188" ht="15.75" customHeight="1">
      <c r="J188" s="1"/>
      <c r="L188" s="12"/>
      <c r="M188" s="12"/>
    </row>
    <row r="189" ht="15.75" customHeight="1">
      <c r="J189" s="1"/>
      <c r="L189" s="12"/>
      <c r="M189" s="12"/>
    </row>
    <row r="190" ht="15.75" customHeight="1">
      <c r="J190" s="1"/>
      <c r="L190" s="12"/>
      <c r="M190" s="12"/>
    </row>
    <row r="191" ht="15.75" customHeight="1">
      <c r="J191" s="1"/>
      <c r="L191" s="12"/>
      <c r="M191" s="12"/>
    </row>
    <row r="192" ht="15.75" customHeight="1">
      <c r="J192" s="1"/>
      <c r="L192" s="12"/>
      <c r="M192" s="12"/>
    </row>
    <row r="193" ht="15.75" customHeight="1">
      <c r="J193" s="1"/>
      <c r="L193" s="12"/>
      <c r="M193" s="12"/>
    </row>
    <row r="194" ht="15.75" customHeight="1">
      <c r="J194" s="1"/>
      <c r="L194" s="12"/>
      <c r="M194" s="12"/>
    </row>
    <row r="195" ht="15.75" customHeight="1">
      <c r="J195" s="1"/>
      <c r="L195" s="12"/>
      <c r="M195" s="12"/>
    </row>
    <row r="196" ht="15.75" customHeight="1">
      <c r="J196" s="1"/>
      <c r="L196" s="12"/>
      <c r="M196" s="12"/>
    </row>
    <row r="197" ht="15.75" customHeight="1">
      <c r="J197" s="1"/>
      <c r="L197" s="12"/>
      <c r="M197" s="12"/>
    </row>
    <row r="198" ht="15.75" customHeight="1">
      <c r="J198" s="1"/>
      <c r="L198" s="12"/>
      <c r="M198" s="12"/>
    </row>
    <row r="199" ht="15.75" customHeight="1">
      <c r="J199" s="1"/>
      <c r="L199" s="12"/>
      <c r="M199" s="12"/>
    </row>
    <row r="200" ht="15.75" customHeight="1">
      <c r="J200" s="1"/>
      <c r="L200" s="12"/>
      <c r="M200" s="12"/>
    </row>
    <row r="201" ht="15.75" customHeight="1">
      <c r="J201" s="1"/>
      <c r="L201" s="12"/>
      <c r="M201" s="12"/>
    </row>
    <row r="202" ht="15.75" customHeight="1">
      <c r="J202" s="1"/>
      <c r="L202" s="12"/>
      <c r="M202" s="12"/>
    </row>
    <row r="203" ht="15.75" customHeight="1">
      <c r="J203" s="1"/>
      <c r="L203" s="12"/>
      <c r="M203" s="12"/>
    </row>
    <row r="204" ht="15.75" customHeight="1">
      <c r="J204" s="1"/>
      <c r="L204" s="12"/>
      <c r="M204" s="12"/>
    </row>
    <row r="205" ht="15.75" customHeight="1">
      <c r="J205" s="1"/>
      <c r="L205" s="12"/>
      <c r="M205" s="12"/>
    </row>
    <row r="206" ht="15.75" customHeight="1">
      <c r="J206" s="1"/>
      <c r="L206" s="12"/>
      <c r="M206" s="12"/>
    </row>
    <row r="207" ht="15.75" customHeight="1">
      <c r="J207" s="1"/>
      <c r="L207" s="12"/>
      <c r="M207" s="12"/>
    </row>
    <row r="208" ht="15.75" customHeight="1">
      <c r="J208" s="1"/>
      <c r="L208" s="12"/>
      <c r="M208" s="12"/>
    </row>
    <row r="209" ht="15.75" customHeight="1">
      <c r="J209" s="1"/>
      <c r="L209" s="12"/>
      <c r="M209" s="12"/>
    </row>
    <row r="210" ht="15.75" customHeight="1">
      <c r="J210" s="1"/>
      <c r="L210" s="12"/>
      <c r="M210" s="12"/>
    </row>
    <row r="211" ht="15.75" hidden="1" customHeight="1">
      <c r="J211" s="1"/>
      <c r="L211" s="12"/>
      <c r="M211" s="12"/>
    </row>
    <row r="212" ht="15.75" hidden="1" customHeight="1">
      <c r="J212" s="1"/>
      <c r="L212" s="12"/>
      <c r="M212" s="12"/>
    </row>
    <row r="213" ht="15.75" hidden="1" customHeight="1">
      <c r="J213" s="1"/>
      <c r="L213" s="12"/>
      <c r="M213" s="12"/>
    </row>
    <row r="214" ht="15.75" hidden="1" customHeight="1">
      <c r="J214" s="1"/>
      <c r="L214" s="12"/>
      <c r="M214" s="12"/>
    </row>
    <row r="215" ht="15.75" customHeight="1">
      <c r="J215" s="1"/>
      <c r="L215" s="12"/>
      <c r="M215" s="12"/>
    </row>
    <row r="216" ht="15.75" customHeight="1">
      <c r="J216" s="1"/>
      <c r="L216" s="12"/>
      <c r="M216" s="12"/>
    </row>
    <row r="217" ht="15.75" customHeight="1">
      <c r="J217" s="1"/>
      <c r="L217" s="12"/>
      <c r="M217" s="12"/>
    </row>
    <row r="218" ht="15.75" customHeight="1">
      <c r="J218" s="1"/>
      <c r="L218" s="12"/>
      <c r="M218" s="12"/>
    </row>
    <row r="219" ht="15.75" customHeight="1">
      <c r="J219" s="1"/>
      <c r="L219" s="12"/>
      <c r="M219" s="12"/>
    </row>
    <row r="220" ht="15.75" customHeight="1">
      <c r="J220" s="1"/>
      <c r="L220" s="12"/>
      <c r="M220" s="12"/>
    </row>
    <row r="221" ht="15.75" customHeight="1">
      <c r="J221" s="1"/>
      <c r="L221" s="12"/>
      <c r="M221" s="12"/>
    </row>
    <row r="222" ht="15.75" customHeight="1">
      <c r="J222" s="1"/>
      <c r="L222" s="12"/>
      <c r="M222" s="12"/>
    </row>
    <row r="223" ht="15.75" customHeight="1">
      <c r="J223" s="1"/>
      <c r="L223" s="12"/>
      <c r="M223" s="12"/>
    </row>
    <row r="224" ht="15.75" customHeight="1">
      <c r="J224" s="1"/>
      <c r="L224" s="12"/>
      <c r="M224" s="12"/>
    </row>
    <row r="225" ht="15.75" customHeight="1">
      <c r="J225" s="1"/>
      <c r="L225" s="12"/>
      <c r="M225" s="12"/>
    </row>
    <row r="226" ht="15.75" customHeight="1">
      <c r="J226" s="1"/>
      <c r="L226" s="12"/>
      <c r="M226" s="12"/>
    </row>
    <row r="227" ht="15.75" customHeight="1">
      <c r="J227" s="1"/>
      <c r="L227" s="12"/>
      <c r="M227" s="12"/>
    </row>
    <row r="228" ht="15.75" customHeight="1">
      <c r="J228" s="1"/>
      <c r="L228" s="12"/>
      <c r="M228" s="12"/>
    </row>
    <row r="229" ht="15.75" customHeight="1">
      <c r="J229" s="1"/>
      <c r="L229" s="12"/>
      <c r="M229" s="12"/>
    </row>
    <row r="230" ht="15.75" customHeight="1">
      <c r="J230" s="1"/>
      <c r="L230" s="12"/>
      <c r="M230" s="12"/>
    </row>
    <row r="231" ht="15.75" customHeight="1">
      <c r="J231" s="1"/>
      <c r="L231" s="12"/>
      <c r="M231" s="12"/>
    </row>
    <row r="232" ht="15.75" customHeight="1">
      <c r="J232" s="1"/>
      <c r="L232" s="12"/>
      <c r="M232" s="12"/>
    </row>
    <row r="233" ht="15.75" customHeight="1">
      <c r="J233" s="1"/>
      <c r="L233" s="12"/>
      <c r="M233" s="12"/>
    </row>
    <row r="234" ht="15.75" customHeight="1">
      <c r="J234" s="1"/>
      <c r="L234" s="12"/>
      <c r="M234" s="12"/>
    </row>
    <row r="235" ht="15.75" customHeight="1">
      <c r="J235" s="1"/>
      <c r="L235" s="12"/>
      <c r="M235" s="12"/>
    </row>
    <row r="236" ht="15.75" customHeight="1">
      <c r="J236" s="1"/>
      <c r="L236" s="12"/>
      <c r="M236" s="12"/>
    </row>
    <row r="237" ht="15.75" customHeight="1">
      <c r="J237" s="1"/>
      <c r="L237" s="12"/>
      <c r="M237" s="12"/>
    </row>
    <row r="238" ht="15.75" customHeight="1">
      <c r="J238" s="1"/>
      <c r="L238" s="12"/>
      <c r="M238" s="12"/>
    </row>
    <row r="239" ht="15.75" customHeight="1">
      <c r="J239" s="1"/>
      <c r="L239" s="12"/>
      <c r="M239" s="12"/>
    </row>
    <row r="240" ht="15.75" customHeight="1">
      <c r="J240" s="1"/>
      <c r="L240" s="12"/>
      <c r="M240" s="12"/>
    </row>
    <row r="241" ht="15.75" customHeight="1">
      <c r="J241" s="1"/>
      <c r="L241" s="12"/>
      <c r="M241" s="12"/>
    </row>
    <row r="242" ht="15.75" customHeight="1">
      <c r="J242" s="1"/>
      <c r="L242" s="12"/>
      <c r="M242" s="12"/>
    </row>
    <row r="243" ht="15.75" customHeight="1">
      <c r="J243" s="1"/>
      <c r="L243" s="12"/>
      <c r="M243" s="12"/>
    </row>
    <row r="244" ht="15.75" customHeight="1">
      <c r="J244" s="1"/>
      <c r="L244" s="12"/>
      <c r="M244" s="12"/>
    </row>
    <row r="245" ht="15.75" customHeight="1">
      <c r="J245" s="1"/>
      <c r="L245" s="12"/>
      <c r="M245" s="12"/>
    </row>
    <row r="246" ht="15.75" customHeight="1">
      <c r="J246" s="1"/>
      <c r="L246" s="12"/>
      <c r="M246" s="12"/>
    </row>
    <row r="247" ht="15.75" customHeight="1">
      <c r="J247" s="1"/>
      <c r="L247" s="12"/>
      <c r="M247" s="12"/>
    </row>
    <row r="248" ht="15.75" customHeight="1">
      <c r="J248" s="1"/>
      <c r="L248" s="12"/>
      <c r="M248" s="12"/>
    </row>
    <row r="249" ht="15.75" customHeight="1">
      <c r="J249" s="1"/>
      <c r="L249" s="12"/>
      <c r="M249" s="12"/>
    </row>
    <row r="250" ht="15.75" customHeight="1">
      <c r="J250" s="1"/>
      <c r="L250" s="12"/>
      <c r="M250" s="12"/>
    </row>
    <row r="251" ht="15.75" customHeight="1">
      <c r="J251" s="1"/>
      <c r="L251" s="12"/>
      <c r="M251" s="12"/>
    </row>
    <row r="252" ht="15.75" customHeight="1">
      <c r="J252" s="1"/>
      <c r="L252" s="12"/>
      <c r="M252" s="12"/>
    </row>
    <row r="253" ht="15.75" customHeight="1">
      <c r="J253" s="1"/>
      <c r="L253" s="12"/>
      <c r="M253" s="12"/>
    </row>
    <row r="254" ht="15.75" customHeight="1">
      <c r="J254" s="1"/>
      <c r="L254" s="12"/>
      <c r="M254" s="12"/>
    </row>
    <row r="255" ht="15.75" customHeight="1">
      <c r="J255" s="1"/>
      <c r="L255" s="12"/>
      <c r="M255" s="12"/>
    </row>
    <row r="256" ht="15.75" customHeight="1">
      <c r="J256" s="1"/>
      <c r="L256" s="12"/>
      <c r="M256" s="12"/>
    </row>
    <row r="257" ht="15.75" customHeight="1">
      <c r="J257" s="1"/>
      <c r="L257" s="12"/>
      <c r="M257" s="12"/>
    </row>
    <row r="258" ht="15.75" customHeight="1">
      <c r="J258" s="1"/>
      <c r="L258" s="12"/>
      <c r="M258" s="12"/>
    </row>
    <row r="259" ht="15.75" customHeight="1">
      <c r="J259" s="1"/>
      <c r="L259" s="12"/>
      <c r="M259" s="12"/>
    </row>
    <row r="260" ht="15.75" customHeight="1">
      <c r="J260" s="1"/>
      <c r="L260" s="12"/>
      <c r="M260" s="12"/>
    </row>
    <row r="261" ht="15.75" customHeight="1">
      <c r="J261" s="1"/>
      <c r="L261" s="12"/>
      <c r="M261" s="12"/>
    </row>
    <row r="262" ht="15.75" customHeight="1">
      <c r="J262" s="1"/>
      <c r="L262" s="12"/>
      <c r="M262" s="12"/>
    </row>
    <row r="263" ht="15.75" customHeight="1">
      <c r="J263" s="1"/>
      <c r="L263" s="12"/>
      <c r="M263" s="12"/>
    </row>
    <row r="264" ht="15.75" customHeight="1">
      <c r="J264" s="1"/>
      <c r="L264" s="12"/>
      <c r="M264" s="12"/>
    </row>
    <row r="265" ht="15.75" customHeight="1">
      <c r="J265" s="1"/>
      <c r="L265" s="12"/>
      <c r="M265" s="12"/>
    </row>
    <row r="266" ht="15.75" customHeight="1">
      <c r="J266" s="1"/>
      <c r="L266" s="12"/>
      <c r="M266" s="12"/>
    </row>
    <row r="267" ht="15.75" customHeight="1">
      <c r="J267" s="1"/>
      <c r="L267" s="12"/>
      <c r="M267" s="12"/>
    </row>
    <row r="268" ht="15.75" customHeight="1">
      <c r="J268" s="1"/>
      <c r="L268" s="12"/>
      <c r="M268" s="12"/>
    </row>
    <row r="269" ht="15.75" customHeight="1">
      <c r="J269" s="1"/>
      <c r="L269" s="12"/>
      <c r="M269" s="12"/>
    </row>
    <row r="270" ht="15.75" customHeight="1">
      <c r="J270" s="1"/>
      <c r="L270" s="12"/>
      <c r="M270" s="12"/>
    </row>
    <row r="271" ht="15.75" customHeight="1">
      <c r="J271" s="1"/>
      <c r="L271" s="12"/>
      <c r="M271" s="12"/>
    </row>
    <row r="272" ht="15.75" customHeight="1">
      <c r="J272" s="1"/>
      <c r="L272" s="12"/>
      <c r="M272" s="12"/>
    </row>
    <row r="273" ht="15.75" customHeight="1">
      <c r="J273" s="1"/>
      <c r="L273" s="12"/>
      <c r="M273" s="12"/>
    </row>
    <row r="274" ht="15.75" customHeight="1">
      <c r="J274" s="1"/>
      <c r="L274" s="12"/>
      <c r="M274" s="12"/>
    </row>
    <row r="275" ht="15.75" customHeight="1">
      <c r="J275" s="1"/>
      <c r="L275" s="12"/>
      <c r="M275" s="12"/>
    </row>
    <row r="276" ht="15.75" customHeight="1">
      <c r="J276" s="1"/>
      <c r="L276" s="12"/>
      <c r="M276" s="12"/>
    </row>
    <row r="277" ht="15.75" customHeight="1">
      <c r="J277" s="1"/>
      <c r="L277" s="12"/>
      <c r="M277" s="12"/>
    </row>
    <row r="278" ht="15.75" customHeight="1">
      <c r="J278" s="1"/>
      <c r="L278" s="12"/>
      <c r="M278" s="12"/>
    </row>
    <row r="279" ht="15.75" customHeight="1">
      <c r="J279" s="1"/>
      <c r="L279" s="12"/>
      <c r="M279" s="12"/>
    </row>
    <row r="280" ht="15.75" customHeight="1">
      <c r="J280" s="1"/>
      <c r="L280" s="12"/>
      <c r="M280" s="12"/>
    </row>
    <row r="281" ht="15.75" customHeight="1">
      <c r="J281" s="1"/>
      <c r="L281" s="12"/>
      <c r="M281" s="12"/>
    </row>
    <row r="282" ht="15.75" customHeight="1">
      <c r="J282" s="1"/>
      <c r="L282" s="12"/>
      <c r="M282" s="12"/>
    </row>
    <row r="283" ht="15.75" customHeight="1">
      <c r="J283" s="1"/>
      <c r="L283" s="12"/>
      <c r="M283" s="12"/>
    </row>
    <row r="284" ht="15.75" customHeight="1">
      <c r="J284" s="1"/>
      <c r="L284" s="12"/>
      <c r="M284" s="12"/>
    </row>
    <row r="285" ht="15.75" customHeight="1">
      <c r="J285" s="1"/>
      <c r="L285" s="12"/>
      <c r="M285" s="12"/>
    </row>
    <row r="286" ht="15.75" customHeight="1">
      <c r="J286" s="1"/>
      <c r="L286" s="12"/>
      <c r="M286" s="12"/>
    </row>
    <row r="287" ht="15.75" customHeight="1">
      <c r="J287" s="1"/>
      <c r="L287" s="12"/>
      <c r="M287" s="12"/>
    </row>
    <row r="288" ht="15.75" customHeight="1">
      <c r="J288" s="1"/>
      <c r="L288" s="12"/>
      <c r="M288" s="12"/>
    </row>
    <row r="289" ht="15.75" customHeight="1">
      <c r="J289" s="1"/>
      <c r="L289" s="12"/>
      <c r="M289" s="12"/>
    </row>
    <row r="290" ht="15.75" customHeight="1">
      <c r="J290" s="1"/>
      <c r="L290" s="12"/>
      <c r="M290" s="12"/>
    </row>
    <row r="291" ht="15.75" customHeight="1">
      <c r="J291" s="1"/>
      <c r="L291" s="12"/>
      <c r="M291" s="12"/>
    </row>
    <row r="292" ht="15.75" customHeight="1">
      <c r="J292" s="1"/>
      <c r="L292" s="12"/>
      <c r="M292" s="12"/>
    </row>
    <row r="293" ht="15.75" customHeight="1">
      <c r="J293" s="1"/>
      <c r="L293" s="12"/>
      <c r="M293" s="12"/>
    </row>
    <row r="294" ht="15.75" customHeight="1">
      <c r="J294" s="1"/>
      <c r="L294" s="12"/>
      <c r="M294" s="12"/>
    </row>
    <row r="295" ht="15.75" customHeight="1">
      <c r="J295" s="1"/>
      <c r="L295" s="12"/>
      <c r="M295" s="12"/>
    </row>
    <row r="296" ht="15.75" customHeight="1">
      <c r="J296" s="1"/>
      <c r="L296" s="12"/>
      <c r="M296" s="12"/>
    </row>
    <row r="297" ht="15.75" customHeight="1">
      <c r="J297" s="1"/>
      <c r="L297" s="12"/>
      <c r="M297" s="12"/>
    </row>
    <row r="298" ht="15.75" customHeight="1">
      <c r="J298" s="1"/>
      <c r="L298" s="12"/>
      <c r="M298" s="12"/>
    </row>
    <row r="299" ht="15.75" customHeight="1">
      <c r="J299" s="1"/>
      <c r="L299" s="12"/>
      <c r="M299" s="12"/>
    </row>
    <row r="300" ht="15.75" customHeight="1">
      <c r="J300" s="1"/>
      <c r="L300" s="12"/>
      <c r="M300" s="12"/>
    </row>
    <row r="301" ht="15.75" customHeight="1">
      <c r="J301" s="1"/>
      <c r="L301" s="12"/>
      <c r="M301" s="12"/>
    </row>
    <row r="302" ht="15.75" customHeight="1">
      <c r="J302" s="1"/>
      <c r="L302" s="12"/>
      <c r="M302" s="12"/>
    </row>
    <row r="303" ht="15.75" customHeight="1">
      <c r="J303" s="1"/>
      <c r="L303" s="12"/>
      <c r="M303" s="12"/>
    </row>
    <row r="304" ht="15.75" customHeight="1">
      <c r="J304" s="1"/>
      <c r="L304" s="12"/>
      <c r="M304" s="12"/>
    </row>
    <row r="305" ht="15.75" customHeight="1">
      <c r="J305" s="1"/>
      <c r="L305" s="12"/>
      <c r="M305" s="12"/>
    </row>
    <row r="306" ht="15.75" customHeight="1">
      <c r="J306" s="1"/>
      <c r="L306" s="12"/>
      <c r="M306" s="12"/>
    </row>
    <row r="307" ht="15.75" customHeight="1">
      <c r="J307" s="1"/>
      <c r="L307" s="12"/>
      <c r="M307" s="12"/>
    </row>
    <row r="308" ht="15.75" customHeight="1">
      <c r="J308" s="1"/>
      <c r="L308" s="12"/>
      <c r="M308" s="12"/>
    </row>
    <row r="309" ht="15.75" customHeight="1">
      <c r="J309" s="1"/>
      <c r="L309" s="12"/>
      <c r="M309" s="12"/>
    </row>
    <row r="310" ht="15.75" customHeight="1">
      <c r="J310" s="1"/>
      <c r="L310" s="12"/>
      <c r="M310" s="12"/>
    </row>
    <row r="311" ht="15.75" customHeight="1">
      <c r="J311" s="1"/>
      <c r="L311" s="12"/>
      <c r="M311" s="12"/>
    </row>
    <row r="312" ht="15.75" customHeight="1">
      <c r="J312" s="1"/>
      <c r="L312" s="12"/>
      <c r="M312" s="12"/>
    </row>
    <row r="313" ht="15.75" customHeight="1">
      <c r="J313" s="1"/>
      <c r="L313" s="12"/>
      <c r="M313" s="12"/>
    </row>
    <row r="314" ht="15.75" customHeight="1">
      <c r="J314" s="1"/>
      <c r="L314" s="12"/>
      <c r="M314" s="12"/>
    </row>
    <row r="315" ht="15.75" customHeight="1">
      <c r="J315" s="1"/>
      <c r="L315" s="12"/>
      <c r="M315" s="12"/>
    </row>
    <row r="316" ht="15.75" customHeight="1">
      <c r="J316" s="1"/>
      <c r="L316" s="12"/>
      <c r="M316" s="12"/>
    </row>
    <row r="317" ht="15.75" customHeight="1">
      <c r="J317" s="1"/>
      <c r="L317" s="12"/>
      <c r="M317" s="12"/>
    </row>
    <row r="318" ht="15.75" customHeight="1">
      <c r="J318" s="1"/>
      <c r="L318" s="12"/>
      <c r="M318" s="12"/>
    </row>
    <row r="319" ht="15.75" customHeight="1">
      <c r="J319" s="1"/>
      <c r="L319" s="12"/>
      <c r="M319" s="12"/>
    </row>
    <row r="320" ht="15.75" customHeight="1">
      <c r="J320" s="1"/>
      <c r="L320" s="12"/>
      <c r="M320" s="12"/>
    </row>
    <row r="321" ht="15.75" customHeight="1">
      <c r="J321" s="1"/>
      <c r="L321" s="12"/>
      <c r="M321" s="12"/>
    </row>
    <row r="322" ht="15.75" customHeight="1">
      <c r="J322" s="1"/>
      <c r="L322" s="12"/>
      <c r="M322" s="12"/>
    </row>
    <row r="323" ht="15.75" customHeight="1">
      <c r="J323" s="1"/>
      <c r="L323" s="12"/>
      <c r="M323" s="12"/>
    </row>
    <row r="324" ht="15.75" customHeight="1">
      <c r="J324" s="1"/>
      <c r="L324" s="12"/>
      <c r="M324" s="12"/>
    </row>
    <row r="325" ht="15.75" customHeight="1">
      <c r="J325" s="1"/>
      <c r="L325" s="12"/>
      <c r="M325" s="12"/>
    </row>
    <row r="326" ht="15.75" customHeight="1">
      <c r="J326" s="1"/>
      <c r="L326" s="12"/>
      <c r="M326" s="12"/>
    </row>
    <row r="327" ht="15.75" customHeight="1">
      <c r="J327" s="1"/>
      <c r="L327" s="12"/>
      <c r="M327" s="12"/>
    </row>
    <row r="328" ht="15.75" customHeight="1">
      <c r="J328" s="1"/>
      <c r="L328" s="12"/>
      <c r="M328" s="12"/>
    </row>
    <row r="329" ht="15.75" customHeight="1">
      <c r="J329" s="1"/>
      <c r="L329" s="12"/>
      <c r="M329" s="12"/>
    </row>
    <row r="330" ht="15.75" customHeight="1">
      <c r="J330" s="1"/>
      <c r="L330" s="12"/>
      <c r="M330" s="12"/>
    </row>
    <row r="331" ht="15.75" customHeight="1">
      <c r="J331" s="1"/>
      <c r="L331" s="12"/>
      <c r="M331" s="12"/>
    </row>
    <row r="332" ht="15.75" customHeight="1">
      <c r="J332" s="1"/>
      <c r="L332" s="12"/>
      <c r="M332" s="12"/>
    </row>
    <row r="333" ht="15.75" customHeight="1">
      <c r="J333" s="1"/>
      <c r="L333" s="12"/>
      <c r="M333" s="12"/>
    </row>
    <row r="334" ht="15.75" customHeight="1">
      <c r="J334" s="1"/>
      <c r="L334" s="12"/>
      <c r="M334" s="12"/>
    </row>
    <row r="335" ht="15.75" customHeight="1">
      <c r="J335" s="1"/>
      <c r="L335" s="12"/>
      <c r="M335" s="12"/>
    </row>
    <row r="336" ht="15.75" customHeight="1">
      <c r="J336" s="1"/>
      <c r="L336" s="12"/>
      <c r="M336" s="12"/>
    </row>
    <row r="337" ht="15.75" customHeight="1">
      <c r="J337" s="1"/>
      <c r="L337" s="12"/>
      <c r="M337" s="12"/>
    </row>
    <row r="338" ht="15.75" customHeight="1">
      <c r="J338" s="1"/>
      <c r="L338" s="12"/>
      <c r="M338" s="12"/>
    </row>
    <row r="339" ht="15.75" customHeight="1">
      <c r="J339" s="1"/>
      <c r="L339" s="12"/>
      <c r="M339" s="12"/>
    </row>
    <row r="340" ht="15.75" customHeight="1">
      <c r="J340" s="1"/>
      <c r="L340" s="12"/>
      <c r="M340" s="12"/>
    </row>
    <row r="341" ht="15.75" customHeight="1">
      <c r="J341" s="1"/>
      <c r="L341" s="12"/>
      <c r="M341" s="12"/>
    </row>
    <row r="342" ht="15.75" customHeight="1">
      <c r="J342" s="1"/>
      <c r="L342" s="12"/>
      <c r="M342" s="12"/>
    </row>
    <row r="343" ht="15.75" customHeight="1">
      <c r="J343" s="1"/>
      <c r="L343" s="12"/>
      <c r="M343" s="12"/>
    </row>
    <row r="344" ht="15.75" customHeight="1">
      <c r="J344" s="1"/>
      <c r="L344" s="12"/>
      <c r="M344" s="12"/>
    </row>
    <row r="345" ht="15.75" customHeight="1">
      <c r="J345" s="1"/>
      <c r="L345" s="12"/>
      <c r="M345" s="12"/>
    </row>
    <row r="346" ht="15.75" customHeight="1">
      <c r="J346" s="1"/>
      <c r="L346" s="12"/>
      <c r="M346" s="12"/>
    </row>
    <row r="347" ht="15.75" customHeight="1">
      <c r="J347" s="1"/>
      <c r="L347" s="12"/>
      <c r="M347" s="12"/>
    </row>
    <row r="348" ht="15.75" customHeight="1">
      <c r="J348" s="1"/>
      <c r="L348" s="12"/>
      <c r="M348" s="12"/>
    </row>
    <row r="349" ht="15.75" customHeight="1">
      <c r="J349" s="1"/>
      <c r="L349" s="12"/>
      <c r="M349" s="12"/>
    </row>
    <row r="350" ht="15.75" customHeight="1">
      <c r="J350" s="1"/>
      <c r="L350" s="12"/>
      <c r="M350" s="12"/>
    </row>
    <row r="351" ht="15.75" customHeight="1">
      <c r="J351" s="1"/>
      <c r="L351" s="12"/>
      <c r="M351" s="12"/>
    </row>
    <row r="352" ht="15.75" customHeight="1">
      <c r="J352" s="1"/>
      <c r="L352" s="12"/>
      <c r="M352" s="12"/>
    </row>
    <row r="353" ht="15.75" customHeight="1">
      <c r="J353" s="1"/>
      <c r="L353" s="12"/>
      <c r="M353" s="12"/>
    </row>
    <row r="354" ht="15.75" customHeight="1">
      <c r="J354" s="1"/>
      <c r="L354" s="12"/>
      <c r="M354" s="12"/>
    </row>
    <row r="355" ht="15.75" customHeight="1">
      <c r="J355" s="1"/>
      <c r="L355" s="12"/>
      <c r="M355" s="12"/>
    </row>
    <row r="356" ht="15.75" customHeight="1">
      <c r="J356" s="1"/>
      <c r="L356" s="12"/>
      <c r="M356" s="12"/>
    </row>
    <row r="357" ht="15.75" customHeight="1">
      <c r="J357" s="1"/>
      <c r="L357" s="12"/>
      <c r="M357" s="12"/>
    </row>
    <row r="358" ht="15.75" customHeight="1">
      <c r="J358" s="1"/>
      <c r="L358" s="12"/>
      <c r="M358" s="12"/>
    </row>
    <row r="359" ht="15.75" customHeight="1">
      <c r="J359" s="1"/>
      <c r="L359" s="12"/>
      <c r="M359" s="12"/>
    </row>
    <row r="360" ht="15.75" customHeight="1">
      <c r="J360" s="1"/>
      <c r="L360" s="12"/>
      <c r="M360" s="12"/>
    </row>
    <row r="361" ht="15.75" customHeight="1">
      <c r="J361" s="1"/>
      <c r="L361" s="12"/>
      <c r="M361" s="12"/>
    </row>
    <row r="362" ht="15.75" customHeight="1">
      <c r="J362" s="1"/>
      <c r="L362" s="12"/>
      <c r="M362" s="12"/>
    </row>
    <row r="363" ht="15.75" customHeight="1">
      <c r="J363" s="1"/>
      <c r="L363" s="12"/>
      <c r="M363" s="12"/>
    </row>
    <row r="364" ht="15.75" customHeight="1">
      <c r="J364" s="1"/>
      <c r="L364" s="12"/>
      <c r="M364" s="12"/>
    </row>
    <row r="365" ht="15.75" customHeight="1">
      <c r="J365" s="1"/>
      <c r="L365" s="12"/>
      <c r="M365" s="12"/>
    </row>
    <row r="366" ht="15.75" customHeight="1">
      <c r="J366" s="1"/>
      <c r="L366" s="12"/>
      <c r="M366" s="12"/>
    </row>
    <row r="367" ht="15.75" customHeight="1">
      <c r="J367" s="1"/>
      <c r="L367" s="12"/>
      <c r="M367" s="12"/>
    </row>
    <row r="368" ht="15.75" customHeight="1">
      <c r="J368" s="1"/>
      <c r="L368" s="12"/>
      <c r="M368" s="12"/>
    </row>
    <row r="369" ht="15.75" customHeight="1">
      <c r="J369" s="1"/>
      <c r="L369" s="12"/>
      <c r="M369" s="12"/>
    </row>
    <row r="370" ht="15.75" customHeight="1">
      <c r="J370" s="1"/>
      <c r="L370" s="12"/>
      <c r="M370" s="12"/>
    </row>
    <row r="371" ht="15.75" customHeight="1">
      <c r="J371" s="1"/>
      <c r="L371" s="12"/>
      <c r="M371" s="12"/>
    </row>
    <row r="372" ht="15.75" customHeight="1">
      <c r="J372" s="1"/>
      <c r="L372" s="12"/>
      <c r="M372" s="12"/>
    </row>
    <row r="373" ht="15.75" customHeight="1">
      <c r="J373" s="1"/>
      <c r="L373" s="12"/>
      <c r="M373" s="12"/>
    </row>
    <row r="374" ht="15.75" customHeight="1">
      <c r="J374" s="1"/>
      <c r="L374" s="12"/>
      <c r="M374" s="12"/>
    </row>
    <row r="375" ht="15.75" customHeight="1">
      <c r="J375" s="1"/>
      <c r="L375" s="12"/>
      <c r="M375" s="12"/>
    </row>
    <row r="376" ht="15.75" customHeight="1">
      <c r="J376" s="1"/>
      <c r="L376" s="12"/>
      <c r="M376" s="12"/>
    </row>
    <row r="377" ht="15.75" customHeight="1">
      <c r="J377" s="1"/>
      <c r="L377" s="12"/>
      <c r="M377" s="12"/>
    </row>
    <row r="378" ht="15.75" customHeight="1">
      <c r="J378" s="1"/>
      <c r="L378" s="12"/>
      <c r="M378" s="12"/>
    </row>
    <row r="379" ht="15.75" customHeight="1">
      <c r="J379" s="1"/>
      <c r="L379" s="12"/>
      <c r="M379" s="12"/>
    </row>
    <row r="380" ht="15.75" customHeight="1">
      <c r="J380" s="1"/>
      <c r="L380" s="12"/>
      <c r="M380" s="12"/>
    </row>
    <row r="381" ht="15.75" customHeight="1">
      <c r="J381" s="1"/>
      <c r="L381" s="12"/>
      <c r="M381" s="12"/>
    </row>
    <row r="382" ht="15.75" customHeight="1">
      <c r="J382" s="1"/>
      <c r="L382" s="12"/>
      <c r="M382" s="12"/>
    </row>
    <row r="383" ht="15.75" customHeight="1">
      <c r="J383" s="1"/>
      <c r="L383" s="12"/>
      <c r="M383" s="12"/>
    </row>
    <row r="384" ht="15.75" customHeight="1">
      <c r="J384" s="1"/>
      <c r="L384" s="12"/>
      <c r="M384" s="12"/>
    </row>
    <row r="385" ht="15.75" customHeight="1">
      <c r="J385" s="1"/>
      <c r="L385" s="12"/>
      <c r="M385" s="12"/>
    </row>
    <row r="386" ht="15.75" customHeight="1">
      <c r="J386" s="1"/>
      <c r="L386" s="12"/>
      <c r="M386" s="12"/>
    </row>
    <row r="387" ht="15.75" customHeight="1">
      <c r="J387" s="1"/>
      <c r="L387" s="12"/>
      <c r="M387" s="12"/>
    </row>
    <row r="388" ht="15.75" customHeight="1">
      <c r="J388" s="1"/>
      <c r="L388" s="12"/>
      <c r="M388" s="12"/>
    </row>
    <row r="389" ht="15.75" customHeight="1">
      <c r="J389" s="1"/>
      <c r="L389" s="12"/>
      <c r="M389" s="12"/>
    </row>
    <row r="390" ht="15.75" customHeight="1">
      <c r="J390" s="1"/>
      <c r="L390" s="12"/>
      <c r="M390" s="12"/>
    </row>
    <row r="391" ht="15.75" customHeight="1">
      <c r="J391" s="1"/>
      <c r="L391" s="12"/>
      <c r="M391" s="12"/>
    </row>
    <row r="392" ht="15.75" customHeight="1">
      <c r="J392" s="1"/>
      <c r="L392" s="12"/>
      <c r="M392" s="12"/>
    </row>
    <row r="393" ht="15.75" customHeight="1">
      <c r="J393" s="1"/>
      <c r="L393" s="12"/>
      <c r="M393" s="12"/>
    </row>
    <row r="394" ht="15.75" customHeight="1">
      <c r="J394" s="1"/>
      <c r="L394" s="12"/>
      <c r="M394" s="12"/>
    </row>
    <row r="395" ht="15.75" customHeight="1">
      <c r="J395" s="1"/>
      <c r="L395" s="12"/>
      <c r="M395" s="12"/>
    </row>
    <row r="396" ht="15.75" customHeight="1">
      <c r="J396" s="1"/>
      <c r="L396" s="12"/>
      <c r="M396" s="12"/>
    </row>
    <row r="397" ht="15.75" customHeight="1">
      <c r="J397" s="1"/>
      <c r="L397" s="12"/>
      <c r="M397" s="12"/>
    </row>
    <row r="398" ht="15.75" customHeight="1">
      <c r="J398" s="1"/>
      <c r="L398" s="12"/>
      <c r="M398" s="12"/>
    </row>
    <row r="399" ht="15.75" customHeight="1">
      <c r="J399" s="1"/>
      <c r="L399" s="12"/>
      <c r="M399" s="12"/>
    </row>
    <row r="400" ht="15.75" customHeight="1">
      <c r="J400" s="1"/>
      <c r="L400" s="12"/>
      <c r="M400" s="12"/>
    </row>
    <row r="401" ht="15.75" customHeight="1">
      <c r="J401" s="1"/>
      <c r="L401" s="12"/>
      <c r="M401" s="12"/>
    </row>
    <row r="402" ht="15.75" customHeight="1">
      <c r="J402" s="1"/>
      <c r="L402" s="12"/>
      <c r="M402" s="12"/>
    </row>
    <row r="403" ht="15.75" customHeight="1">
      <c r="J403" s="1"/>
      <c r="L403" s="12"/>
      <c r="M403" s="12"/>
    </row>
    <row r="404" ht="15.75" customHeight="1">
      <c r="J404" s="1"/>
      <c r="L404" s="12"/>
      <c r="M404" s="12"/>
    </row>
    <row r="405" ht="15.75" customHeight="1">
      <c r="J405" s="1"/>
      <c r="L405" s="12"/>
      <c r="M405" s="12"/>
    </row>
    <row r="406" ht="15.75" customHeight="1">
      <c r="J406" s="1"/>
      <c r="L406" s="12"/>
      <c r="M406" s="12"/>
    </row>
    <row r="407" ht="15.75" customHeight="1">
      <c r="J407" s="1"/>
      <c r="L407" s="12"/>
      <c r="M407" s="12"/>
    </row>
    <row r="408" ht="15.75" customHeight="1">
      <c r="J408" s="1"/>
      <c r="L408" s="12"/>
      <c r="M408" s="12"/>
    </row>
    <row r="409" ht="15.75" customHeight="1">
      <c r="J409" s="1"/>
      <c r="L409" s="12"/>
      <c r="M409" s="12"/>
    </row>
    <row r="410" ht="15.75" customHeight="1">
      <c r="J410" s="1"/>
      <c r="L410" s="12"/>
      <c r="M410" s="12"/>
    </row>
    <row r="411" ht="15.75" customHeight="1">
      <c r="J411" s="1"/>
      <c r="L411" s="12"/>
      <c r="M411" s="12"/>
    </row>
    <row r="412" ht="15.75" customHeight="1">
      <c r="J412" s="1"/>
      <c r="L412" s="12"/>
      <c r="M412" s="12"/>
    </row>
    <row r="413" ht="15.75" customHeight="1">
      <c r="J413" s="1"/>
      <c r="L413" s="12"/>
      <c r="M413" s="12"/>
    </row>
    <row r="414" ht="15.75" customHeight="1">
      <c r="J414" s="1"/>
      <c r="L414" s="12"/>
      <c r="M414" s="12"/>
    </row>
    <row r="415" ht="15.75" customHeight="1">
      <c r="J415" s="1"/>
      <c r="L415" s="12"/>
      <c r="M415" s="12"/>
    </row>
    <row r="416" ht="15.75" customHeight="1">
      <c r="J416" s="1"/>
      <c r="L416" s="12"/>
      <c r="M416" s="12"/>
    </row>
    <row r="417" ht="15.75" customHeight="1">
      <c r="J417" s="1"/>
      <c r="L417" s="12"/>
      <c r="M417" s="12"/>
    </row>
    <row r="418" ht="15.75" customHeight="1">
      <c r="J418" s="1"/>
      <c r="L418" s="12"/>
      <c r="M418" s="12"/>
    </row>
    <row r="419" ht="15.75" customHeight="1">
      <c r="J419" s="1"/>
      <c r="L419" s="12"/>
      <c r="M419" s="12"/>
    </row>
    <row r="420" ht="15.75" customHeight="1">
      <c r="J420" s="1"/>
      <c r="L420" s="12"/>
      <c r="M420" s="12"/>
    </row>
    <row r="421" ht="15.75" customHeight="1">
      <c r="J421" s="1"/>
      <c r="L421" s="12"/>
      <c r="M421" s="12"/>
    </row>
    <row r="422" ht="15.75" customHeight="1">
      <c r="J422" s="1"/>
      <c r="L422" s="12"/>
      <c r="M422" s="12"/>
    </row>
    <row r="423" ht="15.75" customHeight="1">
      <c r="J423" s="1"/>
      <c r="L423" s="12"/>
      <c r="M423" s="12"/>
    </row>
    <row r="424" ht="15.75" customHeight="1">
      <c r="J424" s="1"/>
      <c r="L424" s="12"/>
      <c r="M424" s="12"/>
    </row>
    <row r="425" ht="15.75" customHeight="1">
      <c r="J425" s="1"/>
      <c r="L425" s="12"/>
      <c r="M425" s="12"/>
    </row>
    <row r="426" ht="15.75" customHeight="1">
      <c r="J426" s="1"/>
      <c r="L426" s="12"/>
      <c r="M426" s="12"/>
    </row>
    <row r="427" ht="15.75" customHeight="1">
      <c r="J427" s="1"/>
      <c r="L427" s="12"/>
      <c r="M427" s="12"/>
    </row>
    <row r="428" ht="15.75" customHeight="1">
      <c r="J428" s="1"/>
      <c r="L428" s="12"/>
      <c r="M428" s="12"/>
    </row>
    <row r="429" ht="15.75" customHeight="1">
      <c r="J429" s="1"/>
      <c r="L429" s="12"/>
      <c r="M429" s="12"/>
    </row>
    <row r="430" ht="15.75" customHeight="1">
      <c r="J430" s="1"/>
      <c r="L430" s="12"/>
      <c r="M430" s="12"/>
    </row>
    <row r="431" ht="15.75" customHeight="1">
      <c r="J431" s="1"/>
      <c r="L431" s="12"/>
      <c r="M431" s="12"/>
    </row>
    <row r="432" ht="15.75" customHeight="1">
      <c r="J432" s="1"/>
      <c r="L432" s="12"/>
      <c r="M432" s="12"/>
    </row>
    <row r="433" ht="15.75" customHeight="1">
      <c r="J433" s="1"/>
      <c r="L433" s="12"/>
      <c r="M433" s="12"/>
    </row>
    <row r="434" ht="15.75" customHeight="1">
      <c r="J434" s="1"/>
      <c r="L434" s="12"/>
      <c r="M434" s="12"/>
    </row>
    <row r="435" ht="15.75" customHeight="1">
      <c r="J435" s="1"/>
      <c r="L435" s="12"/>
      <c r="M435" s="12"/>
    </row>
    <row r="436" ht="15.75" customHeight="1">
      <c r="J436" s="1"/>
      <c r="L436" s="12"/>
      <c r="M436" s="12"/>
    </row>
    <row r="437" ht="15.75" customHeight="1">
      <c r="J437" s="1"/>
      <c r="L437" s="12"/>
      <c r="M437" s="12"/>
    </row>
    <row r="438" ht="15.75" customHeight="1">
      <c r="J438" s="1"/>
      <c r="L438" s="12"/>
      <c r="M438" s="12"/>
    </row>
    <row r="439" ht="15.75" customHeight="1">
      <c r="J439" s="1"/>
      <c r="L439" s="12"/>
      <c r="M439" s="12"/>
    </row>
    <row r="440" ht="15.75" customHeight="1">
      <c r="J440" s="1"/>
      <c r="L440" s="12"/>
      <c r="M440" s="12"/>
    </row>
    <row r="441" ht="15.75" customHeight="1">
      <c r="J441" s="1"/>
      <c r="L441" s="12"/>
      <c r="M441" s="12"/>
    </row>
    <row r="442" ht="15.75" customHeight="1">
      <c r="J442" s="1"/>
      <c r="L442" s="12"/>
      <c r="M442" s="12"/>
    </row>
    <row r="443" ht="15.75" customHeight="1">
      <c r="J443" s="1"/>
      <c r="L443" s="12"/>
      <c r="M443" s="12"/>
    </row>
    <row r="444" ht="15.75" customHeight="1">
      <c r="J444" s="1"/>
      <c r="L444" s="12"/>
      <c r="M444" s="12"/>
    </row>
    <row r="445" ht="15.75" customHeight="1">
      <c r="J445" s="1"/>
      <c r="L445" s="12"/>
      <c r="M445" s="12"/>
    </row>
    <row r="446" ht="15.75" customHeight="1">
      <c r="J446" s="1"/>
      <c r="L446" s="12"/>
      <c r="M446" s="12"/>
    </row>
    <row r="447" ht="15.75" customHeight="1">
      <c r="J447" s="1"/>
      <c r="L447" s="12"/>
      <c r="M447" s="12"/>
    </row>
    <row r="448" ht="15.75" customHeight="1">
      <c r="J448" s="1"/>
      <c r="L448" s="12"/>
      <c r="M448" s="12"/>
    </row>
    <row r="449" ht="15.75" customHeight="1">
      <c r="J449" s="1"/>
      <c r="L449" s="12"/>
      <c r="M449" s="12"/>
    </row>
    <row r="450" ht="15.75" customHeight="1">
      <c r="J450" s="1"/>
      <c r="L450" s="12"/>
      <c r="M450" s="12"/>
    </row>
    <row r="451" ht="15.75" customHeight="1">
      <c r="J451" s="1"/>
      <c r="L451" s="12"/>
      <c r="M451" s="12"/>
    </row>
    <row r="452" ht="15.75" customHeight="1">
      <c r="J452" s="1"/>
      <c r="L452" s="12"/>
      <c r="M452" s="12"/>
    </row>
    <row r="453" ht="15.75" customHeight="1">
      <c r="J453" s="1"/>
      <c r="L453" s="12"/>
      <c r="M453" s="12"/>
    </row>
    <row r="454" ht="15.75" customHeight="1">
      <c r="J454" s="1"/>
      <c r="L454" s="12"/>
      <c r="M454" s="12"/>
    </row>
    <row r="455" ht="15.75" customHeight="1">
      <c r="J455" s="1"/>
      <c r="L455" s="12"/>
      <c r="M455" s="12"/>
    </row>
    <row r="456" ht="15.75" customHeight="1">
      <c r="J456" s="1"/>
      <c r="L456" s="12"/>
      <c r="M456" s="12"/>
    </row>
    <row r="457" ht="15.75" customHeight="1">
      <c r="J457" s="1"/>
      <c r="L457" s="12"/>
      <c r="M457" s="12"/>
    </row>
    <row r="458" ht="15.75" customHeight="1">
      <c r="J458" s="1"/>
      <c r="L458" s="12"/>
      <c r="M458" s="12"/>
    </row>
    <row r="459" ht="15.75" customHeight="1">
      <c r="J459" s="1"/>
      <c r="L459" s="12"/>
      <c r="M459" s="12"/>
    </row>
    <row r="460" ht="15.75" customHeight="1">
      <c r="J460" s="1"/>
      <c r="L460" s="12"/>
      <c r="M460" s="12"/>
    </row>
    <row r="461" ht="15.75" customHeight="1">
      <c r="J461" s="1"/>
      <c r="L461" s="12"/>
      <c r="M461" s="12"/>
    </row>
    <row r="462" ht="15.75" customHeight="1">
      <c r="J462" s="1"/>
      <c r="L462" s="12"/>
      <c r="M462" s="12"/>
    </row>
    <row r="463" ht="15.75" customHeight="1">
      <c r="J463" s="1"/>
      <c r="L463" s="12"/>
      <c r="M463" s="12"/>
    </row>
    <row r="464" ht="15.75" customHeight="1">
      <c r="J464" s="1"/>
      <c r="L464" s="12"/>
      <c r="M464" s="12"/>
    </row>
    <row r="465" ht="15.75" customHeight="1">
      <c r="J465" s="1"/>
      <c r="L465" s="12"/>
      <c r="M465" s="12"/>
    </row>
    <row r="466" ht="15.75" customHeight="1">
      <c r="J466" s="1"/>
      <c r="L466" s="12"/>
      <c r="M466" s="12"/>
    </row>
    <row r="467" ht="15.75" customHeight="1">
      <c r="J467" s="1"/>
      <c r="L467" s="12"/>
      <c r="M467" s="12"/>
    </row>
    <row r="468" ht="15.75" customHeight="1">
      <c r="J468" s="1"/>
      <c r="L468" s="12"/>
      <c r="M468" s="12"/>
    </row>
    <row r="469" ht="15.75" customHeight="1">
      <c r="J469" s="1"/>
      <c r="L469" s="12"/>
      <c r="M469" s="12"/>
    </row>
    <row r="470" ht="15.75" customHeight="1">
      <c r="J470" s="1"/>
      <c r="L470" s="12"/>
      <c r="M470" s="12"/>
    </row>
    <row r="471" ht="15.75" customHeight="1">
      <c r="J471" s="1"/>
      <c r="L471" s="12"/>
      <c r="M471" s="12"/>
    </row>
    <row r="472" ht="15.75" customHeight="1">
      <c r="J472" s="1"/>
      <c r="L472" s="12"/>
      <c r="M472" s="12"/>
    </row>
    <row r="473" ht="15.75" customHeight="1">
      <c r="J473" s="1"/>
      <c r="L473" s="12"/>
      <c r="M473" s="12"/>
    </row>
    <row r="474" ht="15.75" customHeight="1">
      <c r="J474" s="1"/>
      <c r="L474" s="12"/>
      <c r="M474" s="12"/>
    </row>
    <row r="475" ht="15.75" customHeight="1">
      <c r="J475" s="1"/>
      <c r="L475" s="12"/>
      <c r="M475" s="12"/>
    </row>
    <row r="476" ht="15.75" customHeight="1">
      <c r="J476" s="1"/>
      <c r="L476" s="12"/>
      <c r="M476" s="12"/>
    </row>
    <row r="477" ht="15.75" customHeight="1">
      <c r="J477" s="1"/>
      <c r="L477" s="12"/>
      <c r="M477" s="12"/>
    </row>
    <row r="478" ht="15.75" customHeight="1">
      <c r="J478" s="1"/>
      <c r="L478" s="12"/>
      <c r="M478" s="12"/>
    </row>
    <row r="479" ht="15.75" customHeight="1">
      <c r="J479" s="1"/>
      <c r="L479" s="12"/>
      <c r="M479" s="12"/>
    </row>
    <row r="480" ht="15.75" customHeight="1">
      <c r="J480" s="1"/>
      <c r="L480" s="12"/>
      <c r="M480" s="12"/>
    </row>
    <row r="481" ht="15.75" customHeight="1">
      <c r="J481" s="1"/>
      <c r="L481" s="12"/>
      <c r="M481" s="12"/>
    </row>
    <row r="482" ht="15.75" customHeight="1">
      <c r="J482" s="1"/>
      <c r="L482" s="12"/>
      <c r="M482" s="12"/>
    </row>
    <row r="483" ht="15.75" customHeight="1">
      <c r="J483" s="1"/>
      <c r="L483" s="12"/>
      <c r="M483" s="12"/>
    </row>
    <row r="484" ht="15.75" customHeight="1">
      <c r="J484" s="1"/>
      <c r="L484" s="12"/>
      <c r="M484" s="12"/>
    </row>
    <row r="485" ht="15.75" customHeight="1">
      <c r="J485" s="1"/>
      <c r="L485" s="12"/>
      <c r="M485" s="12"/>
    </row>
    <row r="486" ht="15.75" customHeight="1">
      <c r="J486" s="1"/>
      <c r="L486" s="12"/>
      <c r="M486" s="12"/>
    </row>
    <row r="487" ht="15.75" customHeight="1">
      <c r="J487" s="1"/>
      <c r="L487" s="12"/>
      <c r="M487" s="12"/>
    </row>
    <row r="488" ht="15.75" customHeight="1">
      <c r="J488" s="1"/>
      <c r="L488" s="12"/>
      <c r="M488" s="12"/>
    </row>
    <row r="489" ht="15.75" customHeight="1">
      <c r="J489" s="1"/>
      <c r="L489" s="12"/>
      <c r="M489" s="12"/>
    </row>
    <row r="490" ht="15.75" customHeight="1">
      <c r="J490" s="1"/>
      <c r="L490" s="12"/>
      <c r="M490" s="12"/>
    </row>
    <row r="491" ht="15.75" customHeight="1">
      <c r="J491" s="1"/>
      <c r="L491" s="12"/>
      <c r="M491" s="12"/>
    </row>
    <row r="492" ht="15.75" customHeight="1">
      <c r="J492" s="1"/>
      <c r="L492" s="12"/>
      <c r="M492" s="12"/>
    </row>
    <row r="493" ht="15.75" customHeight="1">
      <c r="J493" s="1"/>
      <c r="L493" s="12"/>
      <c r="M493" s="12"/>
    </row>
    <row r="494" ht="15.75" customHeight="1">
      <c r="J494" s="1"/>
      <c r="L494" s="12"/>
      <c r="M494" s="12"/>
    </row>
    <row r="495" ht="15.75" customHeight="1">
      <c r="J495" s="1"/>
      <c r="L495" s="12"/>
      <c r="M495" s="12"/>
    </row>
    <row r="496" ht="15.75" customHeight="1">
      <c r="J496" s="1"/>
      <c r="L496" s="12"/>
      <c r="M496" s="12"/>
    </row>
    <row r="497" ht="15.75" customHeight="1">
      <c r="J497" s="1"/>
      <c r="L497" s="12"/>
      <c r="M497" s="12"/>
    </row>
    <row r="498" ht="15.75" customHeight="1">
      <c r="J498" s="1"/>
      <c r="L498" s="12"/>
      <c r="M498" s="12"/>
    </row>
    <row r="499" ht="15.75" customHeight="1">
      <c r="J499" s="1"/>
      <c r="L499" s="12"/>
      <c r="M499" s="12"/>
    </row>
    <row r="500" ht="15.75" customHeight="1">
      <c r="J500" s="1"/>
      <c r="L500" s="12"/>
      <c r="M500" s="12"/>
    </row>
    <row r="501" ht="15.75" customHeight="1">
      <c r="J501" s="1"/>
      <c r="L501" s="12"/>
      <c r="M501" s="12"/>
    </row>
    <row r="502" ht="15.75" customHeight="1">
      <c r="J502" s="1"/>
      <c r="L502" s="12"/>
      <c r="M502" s="12"/>
    </row>
    <row r="503" ht="15.75" customHeight="1">
      <c r="J503" s="1"/>
      <c r="L503" s="12"/>
      <c r="M503" s="12"/>
    </row>
    <row r="504" ht="15.75" customHeight="1">
      <c r="J504" s="1"/>
      <c r="L504" s="12"/>
      <c r="M504" s="12"/>
    </row>
    <row r="505" ht="15.75" customHeight="1">
      <c r="J505" s="1"/>
      <c r="L505" s="12"/>
      <c r="M505" s="12"/>
    </row>
    <row r="506" ht="15.75" customHeight="1">
      <c r="J506" s="1"/>
      <c r="L506" s="12"/>
      <c r="M506" s="12"/>
    </row>
    <row r="507" ht="15.75" customHeight="1">
      <c r="J507" s="1"/>
      <c r="L507" s="12"/>
      <c r="M507" s="12"/>
    </row>
    <row r="508" ht="15.75" customHeight="1">
      <c r="J508" s="1"/>
      <c r="L508" s="12"/>
      <c r="M508" s="12"/>
    </row>
    <row r="509" ht="15.75" customHeight="1">
      <c r="J509" s="1"/>
      <c r="L509" s="12"/>
      <c r="M509" s="12"/>
    </row>
    <row r="510" ht="15.75" customHeight="1">
      <c r="J510" s="1"/>
      <c r="L510" s="12"/>
      <c r="M510" s="12"/>
    </row>
    <row r="511" ht="15.75" customHeight="1">
      <c r="J511" s="1"/>
      <c r="L511" s="12"/>
      <c r="M511" s="12"/>
    </row>
    <row r="512" ht="15.75" customHeight="1">
      <c r="J512" s="1"/>
      <c r="L512" s="12"/>
      <c r="M512" s="12"/>
    </row>
    <row r="513" ht="15.75" customHeight="1">
      <c r="J513" s="1"/>
      <c r="L513" s="12"/>
      <c r="M513" s="12"/>
    </row>
    <row r="514" ht="15.75" customHeight="1">
      <c r="J514" s="1"/>
      <c r="L514" s="12"/>
      <c r="M514" s="12"/>
    </row>
    <row r="515" ht="15.75" customHeight="1">
      <c r="J515" s="1"/>
      <c r="L515" s="12"/>
      <c r="M515" s="12"/>
    </row>
    <row r="516" ht="15.75" customHeight="1">
      <c r="J516" s="1"/>
      <c r="L516" s="12"/>
      <c r="M516" s="12"/>
    </row>
    <row r="517" ht="15.75" customHeight="1">
      <c r="J517" s="1"/>
      <c r="L517" s="12"/>
      <c r="M517" s="12"/>
    </row>
    <row r="518" ht="15.75" customHeight="1">
      <c r="J518" s="1"/>
      <c r="L518" s="12"/>
      <c r="M518" s="12"/>
    </row>
    <row r="519" ht="15.75" customHeight="1">
      <c r="J519" s="1"/>
      <c r="L519" s="12"/>
      <c r="M519" s="12"/>
    </row>
    <row r="520" ht="15.75" customHeight="1">
      <c r="J520" s="1"/>
      <c r="L520" s="12"/>
      <c r="M520" s="12"/>
    </row>
    <row r="521" ht="15.75" customHeight="1">
      <c r="J521" s="1"/>
      <c r="L521" s="12"/>
      <c r="M521" s="12"/>
    </row>
    <row r="522" ht="15.75" customHeight="1">
      <c r="J522" s="1"/>
      <c r="L522" s="12"/>
      <c r="M522" s="12"/>
    </row>
    <row r="523" ht="15.75" customHeight="1">
      <c r="J523" s="1"/>
      <c r="L523" s="12"/>
      <c r="M523" s="12"/>
    </row>
    <row r="524" ht="15.75" customHeight="1">
      <c r="J524" s="1"/>
      <c r="L524" s="12"/>
      <c r="M524" s="12"/>
    </row>
    <row r="525" ht="15.75" customHeight="1">
      <c r="J525" s="1"/>
      <c r="L525" s="12"/>
      <c r="M525" s="12"/>
    </row>
    <row r="526" ht="15.75" customHeight="1">
      <c r="J526" s="1"/>
      <c r="L526" s="12"/>
      <c r="M526" s="12"/>
    </row>
    <row r="527" ht="15.75" customHeight="1">
      <c r="J527" s="1"/>
      <c r="L527" s="12"/>
      <c r="M527" s="12"/>
    </row>
    <row r="528" ht="15.75" customHeight="1">
      <c r="J528" s="1"/>
      <c r="L528" s="12"/>
      <c r="M528" s="12"/>
    </row>
    <row r="529" ht="15.75" customHeight="1">
      <c r="J529" s="1"/>
      <c r="L529" s="12"/>
      <c r="M529" s="12"/>
    </row>
    <row r="530" ht="15.75" customHeight="1">
      <c r="J530" s="1"/>
      <c r="L530" s="12"/>
      <c r="M530" s="12"/>
    </row>
    <row r="531" ht="15.75" customHeight="1">
      <c r="J531" s="1"/>
      <c r="L531" s="12"/>
      <c r="M531" s="12"/>
    </row>
    <row r="532" ht="15.75" customHeight="1">
      <c r="J532" s="1"/>
      <c r="L532" s="12"/>
      <c r="M532" s="12"/>
    </row>
    <row r="533" ht="15.75" customHeight="1">
      <c r="J533" s="1"/>
      <c r="L533" s="12"/>
      <c r="M533" s="12"/>
    </row>
    <row r="534" ht="15.75" customHeight="1">
      <c r="J534" s="1"/>
      <c r="L534" s="12"/>
      <c r="M534" s="12"/>
    </row>
    <row r="535" ht="15.75" customHeight="1">
      <c r="J535" s="1"/>
      <c r="L535" s="12"/>
      <c r="M535" s="12"/>
    </row>
    <row r="536" ht="15.75" customHeight="1">
      <c r="J536" s="1"/>
      <c r="L536" s="12"/>
      <c r="M536" s="12"/>
    </row>
    <row r="537" ht="15.75" customHeight="1">
      <c r="J537" s="1"/>
      <c r="L537" s="12"/>
      <c r="M537" s="12"/>
    </row>
    <row r="538" ht="15.75" customHeight="1">
      <c r="J538" s="1"/>
      <c r="L538" s="12"/>
      <c r="M538" s="12"/>
    </row>
    <row r="539" ht="15.75" customHeight="1">
      <c r="J539" s="1"/>
      <c r="L539" s="12"/>
      <c r="M539" s="12"/>
    </row>
    <row r="540" ht="15.75" customHeight="1">
      <c r="J540" s="1"/>
      <c r="L540" s="12"/>
      <c r="M540" s="12"/>
    </row>
    <row r="541" ht="15.75" customHeight="1">
      <c r="J541" s="1"/>
      <c r="L541" s="12"/>
      <c r="M541" s="12"/>
    </row>
    <row r="542" ht="15.75" customHeight="1">
      <c r="J542" s="1"/>
      <c r="L542" s="12"/>
      <c r="M542" s="12"/>
    </row>
    <row r="543" ht="15.75" customHeight="1">
      <c r="J543" s="1"/>
      <c r="L543" s="12"/>
      <c r="M543" s="12"/>
    </row>
    <row r="544" ht="15.75" customHeight="1">
      <c r="J544" s="1"/>
      <c r="L544" s="12"/>
      <c r="M544" s="12"/>
    </row>
    <row r="545" ht="15.75" customHeight="1">
      <c r="J545" s="1"/>
      <c r="L545" s="12"/>
      <c r="M545" s="12"/>
    </row>
    <row r="546" ht="15.75" customHeight="1">
      <c r="J546" s="1"/>
      <c r="L546" s="12"/>
      <c r="M546" s="12"/>
    </row>
    <row r="547" ht="15.75" customHeight="1">
      <c r="J547" s="1"/>
      <c r="L547" s="12"/>
      <c r="M547" s="12"/>
    </row>
    <row r="548" ht="15.75" customHeight="1">
      <c r="J548" s="1"/>
      <c r="L548" s="12"/>
      <c r="M548" s="12"/>
    </row>
    <row r="549" ht="15.75" customHeight="1">
      <c r="J549" s="1"/>
      <c r="L549" s="12"/>
      <c r="M549" s="12"/>
    </row>
    <row r="550" ht="15.75" customHeight="1">
      <c r="J550" s="1"/>
      <c r="L550" s="12"/>
      <c r="M550" s="12"/>
    </row>
    <row r="551" ht="15.75" customHeight="1">
      <c r="J551" s="1"/>
      <c r="L551" s="12"/>
      <c r="M551" s="12"/>
    </row>
    <row r="552" ht="15.75" customHeight="1">
      <c r="J552" s="1"/>
      <c r="L552" s="12"/>
      <c r="M552" s="12"/>
    </row>
    <row r="553" ht="15.75" customHeight="1">
      <c r="J553" s="1"/>
      <c r="L553" s="12"/>
      <c r="M553" s="12"/>
    </row>
    <row r="554" ht="15.75" customHeight="1">
      <c r="J554" s="1"/>
      <c r="L554" s="12"/>
      <c r="M554" s="12"/>
    </row>
    <row r="555" ht="15.75" customHeight="1">
      <c r="J555" s="1"/>
      <c r="L555" s="12"/>
      <c r="M555" s="12"/>
    </row>
    <row r="556" ht="15.75" customHeight="1">
      <c r="J556" s="1"/>
      <c r="L556" s="12"/>
      <c r="M556" s="12"/>
    </row>
    <row r="557" ht="15.75" customHeight="1">
      <c r="J557" s="1"/>
      <c r="L557" s="12"/>
      <c r="M557" s="12"/>
    </row>
    <row r="558" ht="15.75" customHeight="1">
      <c r="J558" s="1"/>
      <c r="L558" s="12"/>
      <c r="M558" s="12"/>
    </row>
    <row r="559" ht="15.75" customHeight="1">
      <c r="J559" s="1"/>
      <c r="L559" s="12"/>
      <c r="M559" s="12"/>
    </row>
    <row r="560" ht="15.75" customHeight="1">
      <c r="J560" s="1"/>
      <c r="L560" s="12"/>
      <c r="M560" s="12"/>
    </row>
    <row r="561" ht="15.75" customHeight="1">
      <c r="J561" s="1"/>
      <c r="L561" s="12"/>
      <c r="M561" s="12"/>
    </row>
    <row r="562" ht="15.75" customHeight="1">
      <c r="J562" s="1"/>
      <c r="L562" s="12"/>
      <c r="M562" s="12"/>
    </row>
    <row r="563" ht="15.75" customHeight="1">
      <c r="J563" s="1"/>
      <c r="L563" s="12"/>
      <c r="M563" s="12"/>
    </row>
    <row r="564" ht="15.75" customHeight="1">
      <c r="J564" s="1"/>
      <c r="L564" s="12"/>
      <c r="M564" s="12"/>
    </row>
    <row r="565" ht="15.75" customHeight="1">
      <c r="J565" s="1"/>
      <c r="L565" s="12"/>
      <c r="M565" s="12"/>
    </row>
    <row r="566" ht="15.75" customHeight="1">
      <c r="J566" s="1"/>
      <c r="L566" s="12"/>
      <c r="M566" s="12"/>
    </row>
    <row r="567" ht="15.75" customHeight="1">
      <c r="J567" s="1"/>
      <c r="L567" s="12"/>
      <c r="M567" s="12"/>
    </row>
    <row r="568" ht="15.75" customHeight="1">
      <c r="J568" s="1"/>
      <c r="L568" s="12"/>
      <c r="M568" s="12"/>
    </row>
    <row r="569" ht="15.75" customHeight="1">
      <c r="J569" s="1"/>
      <c r="L569" s="12"/>
      <c r="M569" s="12"/>
    </row>
    <row r="570" ht="15.75" customHeight="1">
      <c r="J570" s="1"/>
      <c r="L570" s="12"/>
      <c r="M570" s="12"/>
    </row>
    <row r="571" ht="15.75" customHeight="1">
      <c r="J571" s="1"/>
      <c r="L571" s="12"/>
      <c r="M571" s="12"/>
    </row>
    <row r="572" ht="15.75" customHeight="1">
      <c r="J572" s="1"/>
      <c r="L572" s="12"/>
      <c r="M572" s="12"/>
    </row>
    <row r="573" ht="15.75" customHeight="1">
      <c r="J573" s="1"/>
      <c r="L573" s="12"/>
      <c r="M573" s="12"/>
    </row>
    <row r="574" ht="15.75" customHeight="1">
      <c r="J574" s="1"/>
      <c r="L574" s="12"/>
      <c r="M574" s="12"/>
    </row>
    <row r="575" ht="15.75" customHeight="1">
      <c r="J575" s="1"/>
      <c r="L575" s="12"/>
      <c r="M575" s="12"/>
    </row>
    <row r="576" ht="15.75" customHeight="1">
      <c r="J576" s="1"/>
      <c r="L576" s="12"/>
      <c r="M576" s="12"/>
    </row>
    <row r="577" ht="15.75" customHeight="1">
      <c r="J577" s="1"/>
      <c r="L577" s="12"/>
      <c r="M577" s="12"/>
    </row>
    <row r="578" ht="15.75" customHeight="1">
      <c r="J578" s="1"/>
      <c r="L578" s="12"/>
      <c r="M578" s="12"/>
    </row>
    <row r="579" ht="15.75" customHeight="1">
      <c r="J579" s="1"/>
      <c r="L579" s="12"/>
      <c r="M579" s="12"/>
    </row>
    <row r="580" ht="15.75" customHeight="1">
      <c r="J580" s="1"/>
      <c r="L580" s="12"/>
      <c r="M580" s="12"/>
    </row>
    <row r="581" ht="15.75" customHeight="1">
      <c r="J581" s="1"/>
      <c r="L581" s="12"/>
      <c r="M581" s="12"/>
    </row>
    <row r="582" ht="15.75" customHeight="1">
      <c r="J582" s="1"/>
      <c r="L582" s="12"/>
      <c r="M582" s="12"/>
    </row>
    <row r="583" ht="15.75" customHeight="1">
      <c r="J583" s="1"/>
      <c r="L583" s="12"/>
      <c r="M583" s="12"/>
    </row>
    <row r="584" ht="15.75" customHeight="1">
      <c r="J584" s="1"/>
      <c r="L584" s="12"/>
      <c r="M584" s="12"/>
    </row>
    <row r="585" ht="15.75" customHeight="1">
      <c r="J585" s="1"/>
      <c r="L585" s="12"/>
      <c r="M585" s="12"/>
    </row>
    <row r="586" ht="15.75" customHeight="1">
      <c r="J586" s="1"/>
      <c r="L586" s="12"/>
      <c r="M586" s="12"/>
    </row>
    <row r="587" ht="15.75" customHeight="1">
      <c r="J587" s="1"/>
      <c r="L587" s="12"/>
      <c r="M587" s="12"/>
    </row>
    <row r="588" ht="15.75" customHeight="1">
      <c r="J588" s="1"/>
      <c r="L588" s="12"/>
      <c r="M588" s="12"/>
    </row>
    <row r="589" ht="15.75" customHeight="1">
      <c r="J589" s="1"/>
      <c r="L589" s="12"/>
      <c r="M589" s="12"/>
    </row>
    <row r="590" ht="15.75" customHeight="1">
      <c r="J590" s="1"/>
      <c r="L590" s="12"/>
      <c r="M590" s="12"/>
    </row>
    <row r="591" ht="15.75" customHeight="1">
      <c r="J591" s="1"/>
      <c r="L591" s="12"/>
      <c r="M591" s="12"/>
    </row>
    <row r="592" ht="15.75" customHeight="1">
      <c r="J592" s="1"/>
      <c r="L592" s="12"/>
      <c r="M592" s="12"/>
    </row>
    <row r="593" ht="15.75" customHeight="1">
      <c r="J593" s="1"/>
      <c r="L593" s="12"/>
      <c r="M593" s="12"/>
    </row>
    <row r="594" ht="15.75" customHeight="1">
      <c r="J594" s="1"/>
      <c r="L594" s="12"/>
      <c r="M594" s="12"/>
    </row>
    <row r="595" ht="15.75" customHeight="1">
      <c r="J595" s="1"/>
      <c r="L595" s="12"/>
      <c r="M595" s="12"/>
    </row>
    <row r="596" ht="15.75" customHeight="1">
      <c r="J596" s="1"/>
      <c r="L596" s="12"/>
      <c r="M596" s="12"/>
    </row>
    <row r="597" ht="15.75" customHeight="1">
      <c r="J597" s="1"/>
      <c r="L597" s="12"/>
      <c r="M597" s="12"/>
    </row>
    <row r="598" ht="15.75" customHeight="1">
      <c r="J598" s="1"/>
      <c r="L598" s="12"/>
      <c r="M598" s="12"/>
    </row>
    <row r="599" ht="15.75" customHeight="1">
      <c r="J599" s="1"/>
      <c r="L599" s="12"/>
      <c r="M599" s="12"/>
    </row>
    <row r="600" ht="15.75" customHeight="1">
      <c r="J600" s="1"/>
      <c r="L600" s="12"/>
      <c r="M600" s="12"/>
    </row>
    <row r="601" ht="15.75" customHeight="1">
      <c r="J601" s="1"/>
      <c r="L601" s="12"/>
      <c r="M601" s="12"/>
    </row>
    <row r="602" ht="15.75" customHeight="1">
      <c r="J602" s="1"/>
      <c r="L602" s="12"/>
      <c r="M602" s="12"/>
    </row>
    <row r="603" ht="15.75" customHeight="1">
      <c r="J603" s="1"/>
      <c r="L603" s="12"/>
      <c r="M603" s="12"/>
    </row>
    <row r="604" ht="15.75" customHeight="1">
      <c r="J604" s="1"/>
      <c r="L604" s="12"/>
      <c r="M604" s="12"/>
    </row>
    <row r="605" ht="15.75" customHeight="1">
      <c r="J605" s="1"/>
      <c r="L605" s="12"/>
      <c r="M605" s="12"/>
    </row>
    <row r="606" ht="15.75" customHeight="1">
      <c r="J606" s="1"/>
      <c r="L606" s="12"/>
      <c r="M606" s="12"/>
    </row>
    <row r="607" ht="15.75" customHeight="1">
      <c r="J607" s="1"/>
      <c r="L607" s="12"/>
      <c r="M607" s="12"/>
    </row>
    <row r="608" ht="15.75" customHeight="1">
      <c r="J608" s="1"/>
      <c r="L608" s="12"/>
      <c r="M608" s="12"/>
    </row>
    <row r="609" ht="15.75" customHeight="1">
      <c r="J609" s="1"/>
      <c r="L609" s="12"/>
      <c r="M609" s="12"/>
    </row>
    <row r="610" ht="15.75" customHeight="1">
      <c r="J610" s="1"/>
      <c r="L610" s="12"/>
      <c r="M610" s="12"/>
    </row>
    <row r="611" ht="15.75" customHeight="1">
      <c r="J611" s="1"/>
      <c r="L611" s="12"/>
      <c r="M611" s="12"/>
    </row>
    <row r="612" ht="15.75" customHeight="1">
      <c r="J612" s="1"/>
      <c r="L612" s="12"/>
      <c r="M612" s="12"/>
    </row>
    <row r="613" ht="15.75" customHeight="1">
      <c r="J613" s="1"/>
      <c r="L613" s="12"/>
      <c r="M613" s="12"/>
    </row>
    <row r="614" ht="15.75" customHeight="1">
      <c r="J614" s="1"/>
      <c r="L614" s="12"/>
      <c r="M614" s="12"/>
    </row>
    <row r="615" ht="15.75" customHeight="1">
      <c r="J615" s="1"/>
      <c r="L615" s="12"/>
      <c r="M615" s="12"/>
    </row>
    <row r="616" ht="15.75" customHeight="1">
      <c r="J616" s="1"/>
      <c r="L616" s="12"/>
      <c r="M616" s="12"/>
    </row>
    <row r="617" ht="15.75" customHeight="1">
      <c r="J617" s="1"/>
      <c r="L617" s="12"/>
      <c r="M617" s="12"/>
    </row>
    <row r="618" ht="15.75" customHeight="1">
      <c r="J618" s="1"/>
      <c r="L618" s="12"/>
      <c r="M618" s="12"/>
    </row>
    <row r="619" ht="15.75" customHeight="1">
      <c r="J619" s="1"/>
      <c r="L619" s="12"/>
      <c r="M619" s="12"/>
    </row>
    <row r="620" ht="15.75" customHeight="1">
      <c r="J620" s="1"/>
      <c r="L620" s="12"/>
      <c r="M620" s="12"/>
    </row>
    <row r="621" ht="15.75" customHeight="1">
      <c r="J621" s="1"/>
      <c r="L621" s="12"/>
      <c r="M621" s="12"/>
    </row>
    <row r="622" ht="15.75" customHeight="1">
      <c r="J622" s="1"/>
      <c r="L622" s="12"/>
      <c r="M622" s="12"/>
    </row>
    <row r="623" ht="15.75" customHeight="1">
      <c r="J623" s="1"/>
      <c r="L623" s="12"/>
      <c r="M623" s="12"/>
    </row>
    <row r="624" ht="15.75" customHeight="1">
      <c r="J624" s="1"/>
      <c r="L624" s="12"/>
      <c r="M624" s="12"/>
    </row>
    <row r="625" ht="15.75" customHeight="1">
      <c r="J625" s="1"/>
      <c r="L625" s="12"/>
      <c r="M625" s="12"/>
    </row>
    <row r="626" ht="15.75" customHeight="1">
      <c r="J626" s="1"/>
      <c r="L626" s="12"/>
      <c r="M626" s="12"/>
    </row>
    <row r="627" ht="15.75" customHeight="1">
      <c r="J627" s="1"/>
      <c r="L627" s="12"/>
      <c r="M627" s="12"/>
    </row>
    <row r="628" ht="15.75" customHeight="1">
      <c r="J628" s="1"/>
      <c r="L628" s="12"/>
      <c r="M628" s="12"/>
    </row>
    <row r="629" ht="15.75" customHeight="1">
      <c r="J629" s="1"/>
      <c r="L629" s="12"/>
      <c r="M629" s="12"/>
    </row>
    <row r="630" ht="15.75" customHeight="1">
      <c r="J630" s="1"/>
      <c r="L630" s="12"/>
      <c r="M630" s="12"/>
    </row>
    <row r="631" ht="15.75" customHeight="1">
      <c r="J631" s="1"/>
      <c r="L631" s="12"/>
      <c r="M631" s="12"/>
    </row>
    <row r="632" ht="15.75" customHeight="1">
      <c r="J632" s="1"/>
      <c r="L632" s="12"/>
      <c r="M632" s="12"/>
    </row>
    <row r="633" ht="15.75" customHeight="1">
      <c r="J633" s="1"/>
      <c r="L633" s="12"/>
      <c r="M633" s="12"/>
    </row>
    <row r="634" ht="15.75" customHeight="1">
      <c r="J634" s="1"/>
      <c r="L634" s="12"/>
      <c r="M634" s="12"/>
    </row>
    <row r="635" ht="15.75" customHeight="1">
      <c r="J635" s="1"/>
      <c r="L635" s="12"/>
      <c r="M635" s="12"/>
    </row>
    <row r="636" ht="15.75" customHeight="1">
      <c r="J636" s="1"/>
      <c r="L636" s="12"/>
      <c r="M636" s="12"/>
    </row>
    <row r="637" ht="15.75" customHeight="1">
      <c r="J637" s="1"/>
      <c r="L637" s="12"/>
      <c r="M637" s="12"/>
    </row>
    <row r="638" ht="15.75" customHeight="1">
      <c r="J638" s="1"/>
      <c r="L638" s="12"/>
      <c r="M638" s="12"/>
    </row>
    <row r="639" ht="15.75" customHeight="1">
      <c r="J639" s="1"/>
      <c r="L639" s="12"/>
      <c r="M639" s="12"/>
    </row>
    <row r="640" ht="15.75" customHeight="1">
      <c r="J640" s="1"/>
      <c r="L640" s="12"/>
      <c r="M640" s="12"/>
    </row>
    <row r="641" ht="15.75" customHeight="1">
      <c r="J641" s="1"/>
      <c r="L641" s="12"/>
      <c r="M641" s="12"/>
    </row>
    <row r="642" ht="15.75" customHeight="1">
      <c r="J642" s="1"/>
      <c r="L642" s="12"/>
      <c r="M642" s="12"/>
    </row>
    <row r="643" ht="15.75" customHeight="1">
      <c r="J643" s="1"/>
      <c r="L643" s="12"/>
      <c r="M643" s="12"/>
    </row>
    <row r="644" ht="15.75" customHeight="1">
      <c r="J644" s="1"/>
      <c r="L644" s="12"/>
      <c r="M644" s="12"/>
    </row>
    <row r="645" ht="15.75" customHeight="1">
      <c r="J645" s="1"/>
      <c r="L645" s="12"/>
      <c r="M645" s="12"/>
    </row>
    <row r="646" ht="15.75" customHeight="1">
      <c r="J646" s="1"/>
      <c r="L646" s="12"/>
      <c r="M646" s="12"/>
    </row>
    <row r="647" ht="15.75" customHeight="1">
      <c r="J647" s="1"/>
      <c r="L647" s="12"/>
      <c r="M647" s="12"/>
    </row>
    <row r="648" ht="15.75" customHeight="1">
      <c r="J648" s="1"/>
      <c r="L648" s="12"/>
      <c r="M648" s="12"/>
    </row>
    <row r="649" ht="15.75" customHeight="1">
      <c r="J649" s="1"/>
      <c r="L649" s="12"/>
      <c r="M649" s="12"/>
    </row>
    <row r="650" ht="15.75" customHeight="1">
      <c r="J650" s="1"/>
      <c r="L650" s="12"/>
      <c r="M650" s="12"/>
    </row>
    <row r="651" ht="15.75" customHeight="1">
      <c r="J651" s="1"/>
      <c r="L651" s="12"/>
      <c r="M651" s="12"/>
    </row>
    <row r="652" ht="15.75" customHeight="1">
      <c r="J652" s="1"/>
      <c r="L652" s="12"/>
      <c r="M652" s="12"/>
    </row>
    <row r="653" ht="15.75" customHeight="1">
      <c r="J653" s="1"/>
      <c r="L653" s="12"/>
      <c r="M653" s="12"/>
    </row>
    <row r="654" ht="15.75" customHeight="1">
      <c r="J654" s="1"/>
      <c r="L654" s="12"/>
      <c r="M654" s="12"/>
    </row>
    <row r="655" ht="15.75" customHeight="1">
      <c r="J655" s="1"/>
      <c r="L655" s="12"/>
      <c r="M655" s="12"/>
    </row>
    <row r="656" ht="15.75" customHeight="1">
      <c r="J656" s="1"/>
      <c r="L656" s="12"/>
      <c r="M656" s="12"/>
    </row>
    <row r="657" ht="15.75" customHeight="1">
      <c r="J657" s="1"/>
      <c r="L657" s="12"/>
      <c r="M657" s="12"/>
    </row>
    <row r="658" ht="15.75" customHeight="1">
      <c r="J658" s="1"/>
      <c r="L658" s="12"/>
      <c r="M658" s="12"/>
    </row>
    <row r="659" ht="15.75" customHeight="1">
      <c r="J659" s="1"/>
      <c r="L659" s="12"/>
      <c r="M659" s="12"/>
    </row>
    <row r="660" ht="15.75" customHeight="1">
      <c r="J660" s="1"/>
      <c r="L660" s="12"/>
      <c r="M660" s="12"/>
    </row>
    <row r="661" ht="15.75" customHeight="1">
      <c r="J661" s="1"/>
      <c r="L661" s="12"/>
      <c r="M661" s="12"/>
    </row>
    <row r="662" ht="15.75" customHeight="1">
      <c r="J662" s="1"/>
      <c r="L662" s="12"/>
      <c r="M662" s="12"/>
    </row>
    <row r="663" ht="15.75" customHeight="1">
      <c r="J663" s="1"/>
      <c r="L663" s="12"/>
      <c r="M663" s="12"/>
    </row>
    <row r="664" ht="15.75" customHeight="1">
      <c r="J664" s="1"/>
      <c r="L664" s="12"/>
      <c r="M664" s="12"/>
    </row>
    <row r="665" ht="15.75" customHeight="1">
      <c r="J665" s="1"/>
      <c r="L665" s="12"/>
      <c r="M665" s="12"/>
    </row>
    <row r="666" ht="15.75" customHeight="1">
      <c r="J666" s="1"/>
      <c r="L666" s="12"/>
      <c r="M666" s="12"/>
    </row>
    <row r="667" ht="15.75" customHeight="1">
      <c r="J667" s="1"/>
      <c r="L667" s="12"/>
      <c r="M667" s="12"/>
    </row>
    <row r="668" ht="15.75" customHeight="1">
      <c r="J668" s="1"/>
      <c r="L668" s="12"/>
      <c r="M668" s="12"/>
    </row>
    <row r="669" ht="15.75" customHeight="1">
      <c r="J669" s="1"/>
      <c r="L669" s="12"/>
      <c r="M669" s="12"/>
    </row>
    <row r="670" ht="15.75" customHeight="1">
      <c r="J670" s="1"/>
      <c r="L670" s="12"/>
      <c r="M670" s="12"/>
    </row>
    <row r="671" ht="15.75" customHeight="1">
      <c r="J671" s="1"/>
      <c r="L671" s="12"/>
      <c r="M671" s="12"/>
    </row>
    <row r="672" ht="15.75" customHeight="1">
      <c r="J672" s="1"/>
      <c r="L672" s="12"/>
      <c r="M672" s="12"/>
    </row>
    <row r="673" ht="15.75" customHeight="1">
      <c r="J673" s="1"/>
      <c r="L673" s="12"/>
      <c r="M673" s="12"/>
    </row>
    <row r="674" ht="15.75" customHeight="1">
      <c r="J674" s="1"/>
      <c r="L674" s="12"/>
      <c r="M674" s="12"/>
    </row>
    <row r="675" ht="15.75" customHeight="1">
      <c r="J675" s="1"/>
      <c r="L675" s="12"/>
      <c r="M675" s="12"/>
    </row>
    <row r="676" ht="15.75" customHeight="1">
      <c r="J676" s="1"/>
      <c r="L676" s="12"/>
      <c r="M676" s="12"/>
    </row>
    <row r="677" ht="15.75" customHeight="1">
      <c r="J677" s="1"/>
      <c r="L677" s="12"/>
      <c r="M677" s="12"/>
    </row>
    <row r="678" ht="15.75" customHeight="1">
      <c r="J678" s="1"/>
      <c r="L678" s="12"/>
      <c r="M678" s="12"/>
    </row>
    <row r="679" ht="15.75" customHeight="1">
      <c r="J679" s="1"/>
      <c r="L679" s="12"/>
      <c r="M679" s="12"/>
    </row>
    <row r="680" ht="15.75" customHeight="1">
      <c r="J680" s="1"/>
      <c r="L680" s="12"/>
      <c r="M680" s="12"/>
    </row>
    <row r="681" ht="15.75" customHeight="1">
      <c r="J681" s="1"/>
      <c r="L681" s="12"/>
      <c r="M681" s="12"/>
    </row>
    <row r="682" ht="15.75" customHeight="1">
      <c r="J682" s="1"/>
      <c r="L682" s="12"/>
      <c r="M682" s="12"/>
    </row>
    <row r="683" ht="15.75" customHeight="1">
      <c r="J683" s="1"/>
      <c r="L683" s="12"/>
      <c r="M683" s="12"/>
    </row>
    <row r="684" ht="15.75" customHeight="1">
      <c r="J684" s="1"/>
      <c r="L684" s="12"/>
      <c r="M684" s="12"/>
    </row>
    <row r="685" ht="15.75" customHeight="1">
      <c r="J685" s="1"/>
      <c r="L685" s="12"/>
      <c r="M685" s="12"/>
    </row>
    <row r="686" ht="15.75" customHeight="1">
      <c r="J686" s="1"/>
      <c r="L686" s="12"/>
      <c r="M686" s="12"/>
    </row>
    <row r="687" ht="15.75" customHeight="1">
      <c r="J687" s="1"/>
      <c r="L687" s="12"/>
      <c r="M687" s="12"/>
    </row>
    <row r="688" ht="15.75" customHeight="1">
      <c r="J688" s="1"/>
      <c r="L688" s="12"/>
      <c r="M688" s="12"/>
    </row>
    <row r="689" ht="15.75" customHeight="1">
      <c r="J689" s="1"/>
      <c r="L689" s="12"/>
      <c r="M689" s="12"/>
    </row>
    <row r="690" ht="15.75" customHeight="1">
      <c r="J690" s="1"/>
      <c r="L690" s="12"/>
      <c r="M690" s="12"/>
    </row>
    <row r="691" ht="15.75" customHeight="1">
      <c r="J691" s="1"/>
      <c r="L691" s="12"/>
      <c r="M691" s="12"/>
    </row>
    <row r="692" ht="15.75" customHeight="1">
      <c r="J692" s="1"/>
      <c r="L692" s="12"/>
      <c r="M692" s="12"/>
    </row>
    <row r="693" ht="15.75" customHeight="1">
      <c r="J693" s="1"/>
      <c r="L693" s="12"/>
      <c r="M693" s="12"/>
    </row>
    <row r="694" ht="15.75" customHeight="1">
      <c r="J694" s="1"/>
      <c r="L694" s="12"/>
      <c r="M694" s="12"/>
    </row>
    <row r="695" ht="15.75" customHeight="1">
      <c r="J695" s="1"/>
      <c r="L695" s="12"/>
      <c r="M695" s="12"/>
    </row>
    <row r="696" ht="15.75" customHeight="1">
      <c r="J696" s="1"/>
      <c r="L696" s="12"/>
      <c r="M696" s="12"/>
    </row>
    <row r="697" ht="15.75" customHeight="1">
      <c r="J697" s="1"/>
      <c r="L697" s="12"/>
      <c r="M697" s="12"/>
    </row>
    <row r="698" ht="15.75" customHeight="1">
      <c r="J698" s="1"/>
      <c r="L698" s="12"/>
      <c r="M698" s="12"/>
    </row>
    <row r="699" ht="15.75" customHeight="1">
      <c r="J699" s="1"/>
      <c r="L699" s="12"/>
      <c r="M699" s="12"/>
    </row>
    <row r="700" ht="15.75" customHeight="1">
      <c r="J700" s="1"/>
      <c r="L700" s="12"/>
      <c r="M700" s="12"/>
    </row>
    <row r="701" ht="15.75" customHeight="1">
      <c r="J701" s="1"/>
      <c r="L701" s="12"/>
      <c r="M701" s="12"/>
    </row>
    <row r="702" ht="15.75" customHeight="1">
      <c r="J702" s="1"/>
      <c r="L702" s="12"/>
      <c r="M702" s="12"/>
    </row>
    <row r="703" ht="15.75" customHeight="1">
      <c r="J703" s="1"/>
      <c r="L703" s="12"/>
      <c r="M703" s="12"/>
    </row>
    <row r="704" ht="15.75" customHeight="1">
      <c r="J704" s="1"/>
      <c r="L704" s="12"/>
      <c r="M704" s="12"/>
    </row>
    <row r="705" ht="15.75" customHeight="1">
      <c r="J705" s="1"/>
      <c r="L705" s="12"/>
      <c r="M705" s="12"/>
    </row>
    <row r="706" ht="15.75" customHeight="1">
      <c r="J706" s="1"/>
      <c r="L706" s="12"/>
      <c r="M706" s="12"/>
    </row>
    <row r="707" ht="15.75" customHeight="1">
      <c r="J707" s="1"/>
      <c r="L707" s="12"/>
      <c r="M707" s="12"/>
    </row>
    <row r="708" ht="15.75" customHeight="1">
      <c r="J708" s="1"/>
      <c r="L708" s="12"/>
      <c r="M708" s="12"/>
    </row>
    <row r="709" ht="15.75" customHeight="1">
      <c r="J709" s="1"/>
      <c r="L709" s="12"/>
      <c r="M709" s="12"/>
    </row>
    <row r="710" ht="15.75" customHeight="1">
      <c r="J710" s="1"/>
      <c r="L710" s="12"/>
      <c r="M710" s="12"/>
    </row>
    <row r="711" ht="15.75" customHeight="1">
      <c r="J711" s="1"/>
      <c r="L711" s="12"/>
      <c r="M711" s="12"/>
    </row>
    <row r="712" ht="15.75" customHeight="1">
      <c r="J712" s="1"/>
      <c r="L712" s="12"/>
      <c r="M712" s="12"/>
    </row>
    <row r="713" ht="15.75" customHeight="1">
      <c r="J713" s="1"/>
      <c r="L713" s="12"/>
      <c r="M713" s="12"/>
    </row>
    <row r="714" ht="15.75" customHeight="1">
      <c r="J714" s="1"/>
      <c r="L714" s="12"/>
      <c r="M714" s="12"/>
    </row>
    <row r="715" ht="15.75" customHeight="1">
      <c r="J715" s="1"/>
      <c r="L715" s="12"/>
      <c r="M715" s="12"/>
    </row>
    <row r="716" ht="15.75" customHeight="1">
      <c r="J716" s="1"/>
      <c r="L716" s="12"/>
      <c r="M716" s="12"/>
    </row>
    <row r="717" ht="15.75" customHeight="1">
      <c r="J717" s="1"/>
      <c r="L717" s="12"/>
      <c r="M717" s="12"/>
    </row>
    <row r="718" ht="15.75" customHeight="1">
      <c r="J718" s="1"/>
      <c r="L718" s="12"/>
      <c r="M718" s="12"/>
    </row>
    <row r="719" ht="15.75" customHeight="1">
      <c r="J719" s="1"/>
      <c r="L719" s="12"/>
      <c r="M719" s="12"/>
    </row>
    <row r="720" ht="15.75" customHeight="1">
      <c r="J720" s="1"/>
      <c r="L720" s="12"/>
      <c r="M720" s="12"/>
    </row>
    <row r="721" ht="15.75" customHeight="1">
      <c r="J721" s="1"/>
      <c r="L721" s="12"/>
      <c r="M721" s="12"/>
    </row>
    <row r="722" ht="15.75" customHeight="1">
      <c r="J722" s="1"/>
      <c r="L722" s="12"/>
      <c r="M722" s="12"/>
    </row>
    <row r="723" ht="15.75" customHeight="1">
      <c r="J723" s="1"/>
      <c r="L723" s="12"/>
      <c r="M723" s="12"/>
    </row>
    <row r="724" ht="15.75" customHeight="1">
      <c r="J724" s="1"/>
      <c r="L724" s="12"/>
      <c r="M724" s="12"/>
    </row>
    <row r="725" ht="15.75" customHeight="1">
      <c r="J725" s="1"/>
      <c r="L725" s="12"/>
      <c r="M725" s="12"/>
    </row>
    <row r="726" ht="15.75" customHeight="1">
      <c r="J726" s="1"/>
      <c r="L726" s="12"/>
      <c r="M726" s="12"/>
    </row>
    <row r="727" ht="15.75" customHeight="1">
      <c r="J727" s="1"/>
      <c r="L727" s="12"/>
      <c r="M727" s="12"/>
    </row>
    <row r="728" ht="15.75" customHeight="1">
      <c r="J728" s="1"/>
      <c r="L728" s="12"/>
      <c r="M728" s="12"/>
    </row>
    <row r="729" ht="15.75" customHeight="1">
      <c r="J729" s="1"/>
      <c r="L729" s="12"/>
      <c r="M729" s="12"/>
    </row>
    <row r="730" ht="15.75" customHeight="1">
      <c r="J730" s="1"/>
      <c r="L730" s="12"/>
      <c r="M730" s="12"/>
    </row>
    <row r="731" ht="15.75" customHeight="1">
      <c r="J731" s="1"/>
      <c r="L731" s="12"/>
      <c r="M731" s="12"/>
    </row>
    <row r="732" ht="15.75" customHeight="1">
      <c r="J732" s="1"/>
      <c r="L732" s="12"/>
      <c r="M732" s="12"/>
    </row>
    <row r="733" ht="15.75" customHeight="1">
      <c r="J733" s="1"/>
      <c r="L733" s="12"/>
      <c r="M733" s="12"/>
    </row>
    <row r="734" ht="15.75" customHeight="1">
      <c r="J734" s="1"/>
      <c r="L734" s="12"/>
      <c r="M734" s="12"/>
    </row>
    <row r="735" ht="15.75" customHeight="1">
      <c r="J735" s="1"/>
      <c r="L735" s="12"/>
      <c r="M735" s="12"/>
    </row>
    <row r="736" ht="15.75" customHeight="1">
      <c r="J736" s="1"/>
      <c r="L736" s="12"/>
      <c r="M736" s="12"/>
    </row>
    <row r="737" ht="15.75" customHeight="1">
      <c r="J737" s="1"/>
      <c r="L737" s="12"/>
      <c r="M737" s="12"/>
    </row>
    <row r="738" ht="15.75" customHeight="1">
      <c r="J738" s="1"/>
      <c r="L738" s="12"/>
      <c r="M738" s="12"/>
    </row>
    <row r="739" ht="15.75" customHeight="1">
      <c r="J739" s="1"/>
      <c r="L739" s="12"/>
      <c r="M739" s="12"/>
    </row>
    <row r="740" ht="15.75" customHeight="1">
      <c r="J740" s="1"/>
      <c r="L740" s="12"/>
      <c r="M740" s="12"/>
    </row>
    <row r="741" ht="15.75" customHeight="1">
      <c r="J741" s="1"/>
      <c r="L741" s="12"/>
      <c r="M741" s="12"/>
    </row>
    <row r="742" ht="15.75" customHeight="1">
      <c r="J742" s="1"/>
      <c r="L742" s="12"/>
      <c r="M742" s="12"/>
    </row>
    <row r="743" ht="15.75" customHeight="1">
      <c r="J743" s="1"/>
      <c r="L743" s="12"/>
      <c r="M743" s="12"/>
    </row>
    <row r="744" ht="15.75" customHeight="1">
      <c r="J744" s="1"/>
      <c r="L744" s="12"/>
      <c r="M744" s="12"/>
    </row>
    <row r="745" ht="15.75" customHeight="1">
      <c r="J745" s="1"/>
      <c r="L745" s="12"/>
      <c r="M745" s="12"/>
    </row>
    <row r="746" ht="15.75" customHeight="1">
      <c r="J746" s="1"/>
      <c r="L746" s="12"/>
      <c r="M746" s="12"/>
    </row>
    <row r="747" ht="15.75" customHeight="1">
      <c r="J747" s="1"/>
      <c r="L747" s="12"/>
      <c r="M747" s="12"/>
    </row>
    <row r="748" ht="15.75" customHeight="1">
      <c r="J748" s="1"/>
      <c r="L748" s="12"/>
      <c r="M748" s="12"/>
    </row>
    <row r="749" ht="15.75" customHeight="1">
      <c r="J749" s="1"/>
      <c r="L749" s="12"/>
      <c r="M749" s="12"/>
    </row>
    <row r="750" ht="15.75" customHeight="1">
      <c r="J750" s="1"/>
      <c r="L750" s="12"/>
      <c r="M750" s="12"/>
    </row>
    <row r="751" ht="15.75" customHeight="1">
      <c r="J751" s="1"/>
      <c r="L751" s="12"/>
      <c r="M751" s="12"/>
    </row>
    <row r="752" ht="15.75" customHeight="1">
      <c r="J752" s="1"/>
      <c r="L752" s="12"/>
      <c r="M752" s="12"/>
    </row>
    <row r="753" ht="15.75" customHeight="1">
      <c r="J753" s="1"/>
      <c r="L753" s="12"/>
      <c r="M753" s="12"/>
    </row>
    <row r="754" ht="15.75" customHeight="1">
      <c r="J754" s="1"/>
      <c r="L754" s="12"/>
      <c r="M754" s="12"/>
    </row>
    <row r="755" ht="15.75" customHeight="1">
      <c r="J755" s="1"/>
      <c r="L755" s="12"/>
      <c r="M755" s="12"/>
    </row>
    <row r="756" ht="15.75" customHeight="1">
      <c r="J756" s="1"/>
      <c r="L756" s="12"/>
      <c r="M756" s="12"/>
    </row>
    <row r="757" ht="15.75" customHeight="1">
      <c r="J757" s="1"/>
      <c r="L757" s="12"/>
      <c r="M757" s="12"/>
    </row>
    <row r="758" ht="15.75" customHeight="1">
      <c r="J758" s="1"/>
      <c r="L758" s="12"/>
      <c r="M758" s="12"/>
    </row>
    <row r="759" ht="15.75" customHeight="1">
      <c r="J759" s="1"/>
      <c r="L759" s="12"/>
      <c r="M759" s="12"/>
    </row>
    <row r="760" ht="15.75" customHeight="1">
      <c r="J760" s="1"/>
      <c r="L760" s="12"/>
      <c r="M760" s="12"/>
    </row>
    <row r="761" ht="15.75" customHeight="1">
      <c r="J761" s="1"/>
      <c r="L761" s="12"/>
      <c r="M761" s="12"/>
    </row>
    <row r="762" ht="15.75" customHeight="1">
      <c r="J762" s="1"/>
      <c r="L762" s="12"/>
      <c r="M762" s="12"/>
    </row>
    <row r="763" ht="15.75" customHeight="1">
      <c r="J763" s="1"/>
      <c r="L763" s="12"/>
      <c r="M763" s="12"/>
    </row>
    <row r="764" ht="15.75" customHeight="1">
      <c r="J764" s="1"/>
      <c r="L764" s="12"/>
      <c r="M764" s="12"/>
    </row>
    <row r="765" ht="15.75" customHeight="1">
      <c r="J765" s="1"/>
      <c r="L765" s="12"/>
      <c r="M765" s="12"/>
    </row>
    <row r="766" ht="15.75" customHeight="1">
      <c r="J766" s="1"/>
      <c r="L766" s="12"/>
      <c r="M766" s="12"/>
    </row>
    <row r="767" ht="15.75" customHeight="1">
      <c r="J767" s="1"/>
      <c r="L767" s="12"/>
      <c r="M767" s="12"/>
    </row>
    <row r="768" ht="15.75" customHeight="1">
      <c r="J768" s="1"/>
      <c r="L768" s="12"/>
      <c r="M768" s="12"/>
    </row>
    <row r="769" ht="15.75" customHeight="1">
      <c r="J769" s="1"/>
      <c r="L769" s="12"/>
      <c r="M769" s="12"/>
    </row>
    <row r="770" ht="15.75" customHeight="1">
      <c r="J770" s="1"/>
      <c r="L770" s="12"/>
      <c r="M770" s="12"/>
    </row>
    <row r="771" ht="15.75" customHeight="1">
      <c r="J771" s="1"/>
      <c r="L771" s="12"/>
      <c r="M771" s="12"/>
    </row>
    <row r="772" ht="15.75" customHeight="1">
      <c r="J772" s="1"/>
      <c r="L772" s="12"/>
      <c r="M772" s="12"/>
    </row>
    <row r="773" ht="15.75" customHeight="1">
      <c r="J773" s="1"/>
      <c r="L773" s="12"/>
      <c r="M773" s="12"/>
    </row>
    <row r="774" ht="15.75" customHeight="1">
      <c r="J774" s="1"/>
      <c r="L774" s="12"/>
      <c r="M774" s="12"/>
    </row>
    <row r="775" ht="15.75" customHeight="1">
      <c r="J775" s="1"/>
      <c r="L775" s="12"/>
      <c r="M775" s="12"/>
    </row>
    <row r="776" ht="15.75" customHeight="1">
      <c r="J776" s="1"/>
      <c r="L776" s="12"/>
      <c r="M776" s="12"/>
    </row>
    <row r="777" ht="15.75" customHeight="1">
      <c r="J777" s="1"/>
      <c r="L777" s="12"/>
      <c r="M777" s="12"/>
    </row>
    <row r="778" ht="15.75" customHeight="1">
      <c r="J778" s="1"/>
      <c r="L778" s="12"/>
      <c r="M778" s="12"/>
    </row>
    <row r="779" ht="15.75" customHeight="1">
      <c r="J779" s="1"/>
      <c r="L779" s="12"/>
      <c r="M779" s="12"/>
    </row>
    <row r="780" ht="15.75" customHeight="1">
      <c r="J780" s="1"/>
      <c r="L780" s="12"/>
      <c r="M780" s="12"/>
    </row>
    <row r="781" ht="15.75" customHeight="1">
      <c r="J781" s="1"/>
      <c r="L781" s="12"/>
      <c r="M781" s="12"/>
    </row>
    <row r="782" ht="15.75" customHeight="1">
      <c r="J782" s="1"/>
      <c r="L782" s="12"/>
      <c r="M782" s="12"/>
    </row>
    <row r="783" ht="15.75" customHeight="1">
      <c r="J783" s="1"/>
      <c r="L783" s="12"/>
      <c r="M783" s="12"/>
    </row>
    <row r="784" ht="15.75" customHeight="1">
      <c r="J784" s="1"/>
      <c r="L784" s="12"/>
      <c r="M784" s="12"/>
    </row>
    <row r="785" ht="15.75" customHeight="1">
      <c r="J785" s="1"/>
      <c r="L785" s="12"/>
      <c r="M785" s="12"/>
    </row>
    <row r="786" ht="15.75" customHeight="1">
      <c r="J786" s="1"/>
      <c r="L786" s="12"/>
      <c r="M786" s="12"/>
    </row>
    <row r="787" ht="15.75" customHeight="1">
      <c r="J787" s="1"/>
      <c r="L787" s="12"/>
      <c r="M787" s="12"/>
    </row>
    <row r="788" ht="15.75" customHeight="1">
      <c r="J788" s="1"/>
      <c r="L788" s="12"/>
      <c r="M788" s="12"/>
    </row>
    <row r="789" ht="15.75" customHeight="1">
      <c r="J789" s="1"/>
      <c r="L789" s="12"/>
      <c r="M789" s="12"/>
    </row>
    <row r="790" ht="15.75" customHeight="1">
      <c r="J790" s="1"/>
      <c r="L790" s="12"/>
      <c r="M790" s="12"/>
    </row>
    <row r="791" ht="15.75" customHeight="1">
      <c r="J791" s="1"/>
      <c r="L791" s="12"/>
      <c r="M791" s="12"/>
    </row>
    <row r="792" ht="15.75" customHeight="1">
      <c r="J792" s="1"/>
      <c r="L792" s="12"/>
      <c r="M792" s="12"/>
    </row>
    <row r="793" ht="15.75" customHeight="1">
      <c r="J793" s="1"/>
      <c r="L793" s="12"/>
      <c r="M793" s="12"/>
    </row>
    <row r="794" ht="15.75" customHeight="1">
      <c r="J794" s="1"/>
      <c r="L794" s="12"/>
      <c r="M794" s="12"/>
    </row>
    <row r="795" ht="15.75" customHeight="1">
      <c r="J795" s="1"/>
      <c r="L795" s="12"/>
      <c r="M795" s="12"/>
    </row>
    <row r="796" ht="15.75" customHeight="1">
      <c r="J796" s="1"/>
      <c r="L796" s="12"/>
      <c r="M796" s="12"/>
    </row>
    <row r="797" ht="15.75" customHeight="1">
      <c r="J797" s="1"/>
      <c r="L797" s="12"/>
      <c r="M797" s="12"/>
    </row>
    <row r="798" ht="15.75" customHeight="1">
      <c r="J798" s="1"/>
      <c r="L798" s="12"/>
      <c r="M798" s="12"/>
    </row>
    <row r="799" ht="15.75" customHeight="1">
      <c r="J799" s="1"/>
      <c r="L799" s="12"/>
      <c r="M799" s="12"/>
    </row>
    <row r="800" ht="15.75" customHeight="1">
      <c r="J800" s="1"/>
      <c r="L800" s="12"/>
      <c r="M800" s="12"/>
    </row>
    <row r="801" ht="15.75" customHeight="1">
      <c r="J801" s="1"/>
      <c r="L801" s="12"/>
      <c r="M801" s="12"/>
    </row>
    <row r="802" ht="15.75" customHeight="1">
      <c r="J802" s="1"/>
      <c r="L802" s="12"/>
      <c r="M802" s="12"/>
    </row>
    <row r="803" ht="15.75" customHeight="1">
      <c r="J803" s="1"/>
      <c r="L803" s="12"/>
      <c r="M803" s="12"/>
    </row>
    <row r="804" ht="15.75" customHeight="1">
      <c r="J804" s="1"/>
      <c r="L804" s="12"/>
      <c r="M804" s="12"/>
    </row>
    <row r="805" ht="15.75" customHeight="1">
      <c r="J805" s="1"/>
      <c r="L805" s="12"/>
      <c r="M805" s="12"/>
    </row>
    <row r="806" ht="15.75" customHeight="1">
      <c r="J806" s="1"/>
      <c r="L806" s="12"/>
      <c r="M806" s="12"/>
    </row>
    <row r="807" ht="15.75" customHeight="1">
      <c r="J807" s="1"/>
      <c r="L807" s="12"/>
      <c r="M807" s="12"/>
    </row>
    <row r="808" ht="15.75" customHeight="1">
      <c r="J808" s="1"/>
      <c r="L808" s="12"/>
      <c r="M808" s="12"/>
    </row>
    <row r="809" ht="15.75" customHeight="1">
      <c r="J809" s="1"/>
      <c r="L809" s="12"/>
      <c r="M809" s="12"/>
    </row>
    <row r="810" ht="15.75" customHeight="1">
      <c r="J810" s="1"/>
      <c r="L810" s="12"/>
      <c r="M810" s="12"/>
    </row>
    <row r="811" ht="15.75" customHeight="1">
      <c r="J811" s="1"/>
      <c r="L811" s="12"/>
      <c r="M811" s="12"/>
    </row>
    <row r="812" ht="15.75" customHeight="1">
      <c r="J812" s="1"/>
      <c r="L812" s="12"/>
      <c r="M812" s="12"/>
    </row>
    <row r="813" ht="15.75" customHeight="1">
      <c r="J813" s="1"/>
      <c r="L813" s="12"/>
      <c r="M813" s="12"/>
    </row>
    <row r="814" ht="15.75" customHeight="1">
      <c r="J814" s="1"/>
      <c r="L814" s="12"/>
      <c r="M814" s="12"/>
    </row>
    <row r="815" ht="15.75" customHeight="1">
      <c r="J815" s="1"/>
      <c r="L815" s="12"/>
      <c r="M815" s="12"/>
    </row>
    <row r="816" ht="15.75" customHeight="1">
      <c r="J816" s="1"/>
      <c r="L816" s="12"/>
      <c r="M816" s="12"/>
    </row>
    <row r="817" ht="15.75" customHeight="1">
      <c r="J817" s="1"/>
      <c r="L817" s="12"/>
      <c r="M817" s="12"/>
    </row>
    <row r="818" ht="15.75" customHeight="1">
      <c r="J818" s="1"/>
      <c r="L818" s="12"/>
      <c r="M818" s="12"/>
    </row>
    <row r="819" ht="15.75" customHeight="1">
      <c r="J819" s="1"/>
      <c r="L819" s="12"/>
      <c r="M819" s="12"/>
    </row>
    <row r="820" ht="15.75" customHeight="1">
      <c r="J820" s="1"/>
      <c r="L820" s="12"/>
      <c r="M820" s="12"/>
    </row>
    <row r="821" ht="15.75" customHeight="1">
      <c r="J821" s="1"/>
      <c r="L821" s="12"/>
      <c r="M821" s="12"/>
    </row>
    <row r="822" ht="15.75" customHeight="1">
      <c r="J822" s="1"/>
      <c r="L822" s="12"/>
      <c r="M822" s="12"/>
    </row>
    <row r="823" ht="15.75" customHeight="1">
      <c r="J823" s="1"/>
      <c r="L823" s="12"/>
      <c r="M823" s="12"/>
    </row>
    <row r="824" ht="15.75" customHeight="1">
      <c r="J824" s="1"/>
      <c r="L824" s="12"/>
      <c r="M824" s="12"/>
    </row>
    <row r="825" ht="15.75" customHeight="1">
      <c r="J825" s="1"/>
      <c r="L825" s="12"/>
      <c r="M825" s="12"/>
    </row>
    <row r="826" ht="15.75" customHeight="1">
      <c r="J826" s="1"/>
      <c r="L826" s="12"/>
      <c r="M826" s="12"/>
    </row>
    <row r="827" ht="15.75" customHeight="1">
      <c r="J827" s="1"/>
      <c r="L827" s="12"/>
      <c r="M827" s="12"/>
    </row>
    <row r="828" ht="15.75" customHeight="1">
      <c r="J828" s="1"/>
      <c r="L828" s="12"/>
      <c r="M828" s="12"/>
    </row>
    <row r="829" ht="15.75" customHeight="1">
      <c r="J829" s="1"/>
      <c r="L829" s="12"/>
      <c r="M829" s="12"/>
    </row>
    <row r="830" ht="15.75" customHeight="1">
      <c r="J830" s="1"/>
      <c r="L830" s="12"/>
      <c r="M830" s="12"/>
    </row>
    <row r="831" ht="15.75" customHeight="1">
      <c r="J831" s="1"/>
      <c r="L831" s="12"/>
      <c r="M831" s="12"/>
    </row>
    <row r="832" ht="15.75" customHeight="1">
      <c r="J832" s="1"/>
      <c r="L832" s="12"/>
      <c r="M832" s="12"/>
    </row>
    <row r="833" ht="15.75" customHeight="1">
      <c r="J833" s="1"/>
      <c r="L833" s="12"/>
      <c r="M833" s="12"/>
    </row>
    <row r="834" ht="15.75" customHeight="1">
      <c r="J834" s="1"/>
      <c r="L834" s="12"/>
      <c r="M834" s="12"/>
    </row>
    <row r="835" ht="15.75" customHeight="1">
      <c r="J835" s="1"/>
      <c r="L835" s="12"/>
      <c r="M835" s="12"/>
    </row>
    <row r="836" ht="15.75" customHeight="1">
      <c r="J836" s="1"/>
      <c r="L836" s="12"/>
      <c r="M836" s="12"/>
    </row>
    <row r="837" ht="15.75" customHeight="1">
      <c r="J837" s="1"/>
      <c r="L837" s="12"/>
      <c r="M837" s="12"/>
    </row>
    <row r="838" ht="15.75" customHeight="1">
      <c r="J838" s="1"/>
      <c r="L838" s="12"/>
      <c r="M838" s="12"/>
    </row>
    <row r="839" ht="15.75" customHeight="1">
      <c r="J839" s="1"/>
      <c r="L839" s="12"/>
      <c r="M839" s="12"/>
    </row>
    <row r="840" ht="15.75" customHeight="1">
      <c r="J840" s="1"/>
      <c r="L840" s="12"/>
      <c r="M840" s="12"/>
    </row>
    <row r="841" ht="15.75" customHeight="1">
      <c r="J841" s="1"/>
      <c r="L841" s="12"/>
      <c r="M841" s="12"/>
    </row>
    <row r="842" ht="15.75" customHeight="1">
      <c r="J842" s="1"/>
      <c r="L842" s="12"/>
      <c r="M842" s="12"/>
    </row>
    <row r="843" ht="15.75" customHeight="1">
      <c r="J843" s="1"/>
      <c r="L843" s="12"/>
      <c r="M843" s="12"/>
    </row>
    <row r="844" ht="15.75" customHeight="1">
      <c r="J844" s="1"/>
      <c r="L844" s="12"/>
      <c r="M844" s="12"/>
    </row>
    <row r="845" ht="15.75" customHeight="1">
      <c r="J845" s="1"/>
      <c r="L845" s="12"/>
      <c r="M845" s="12"/>
    </row>
    <row r="846" ht="15.75" customHeight="1">
      <c r="J846" s="1"/>
      <c r="L846" s="12"/>
      <c r="M846" s="12"/>
    </row>
    <row r="847" ht="15.75" customHeight="1">
      <c r="J847" s="1"/>
      <c r="L847" s="12"/>
      <c r="M847" s="12"/>
    </row>
    <row r="848" ht="15.75" customHeight="1">
      <c r="J848" s="1"/>
      <c r="L848" s="12"/>
      <c r="M848" s="12"/>
    </row>
    <row r="849" ht="15.75" customHeight="1">
      <c r="J849" s="1"/>
      <c r="L849" s="12"/>
      <c r="M849" s="12"/>
    </row>
    <row r="850" ht="15.75" customHeight="1">
      <c r="J850" s="1"/>
      <c r="L850" s="12"/>
      <c r="M850" s="12"/>
    </row>
    <row r="851" ht="15.75" customHeight="1">
      <c r="J851" s="1"/>
      <c r="L851" s="12"/>
      <c r="M851" s="12"/>
    </row>
    <row r="852" ht="15.75" customHeight="1">
      <c r="J852" s="1"/>
      <c r="L852" s="12"/>
      <c r="M852" s="12"/>
    </row>
    <row r="853" ht="15.75" customHeight="1">
      <c r="J853" s="1"/>
      <c r="L853" s="12"/>
      <c r="M853" s="12"/>
    </row>
    <row r="854" ht="15.75" customHeight="1">
      <c r="J854" s="1"/>
      <c r="L854" s="12"/>
      <c r="M854" s="12"/>
    </row>
    <row r="855" ht="15.75" customHeight="1">
      <c r="J855" s="1"/>
      <c r="L855" s="12"/>
      <c r="M855" s="12"/>
    </row>
    <row r="856" ht="15.75" customHeight="1">
      <c r="J856" s="1"/>
      <c r="L856" s="12"/>
      <c r="M856" s="12"/>
    </row>
    <row r="857" ht="15.75" customHeight="1">
      <c r="J857" s="1"/>
      <c r="L857" s="12"/>
      <c r="M857" s="12"/>
    </row>
    <row r="858" ht="15.75" customHeight="1">
      <c r="J858" s="1"/>
      <c r="L858" s="12"/>
      <c r="M858" s="12"/>
    </row>
    <row r="859" ht="15.75" customHeight="1">
      <c r="J859" s="1"/>
      <c r="L859" s="12"/>
      <c r="M859" s="12"/>
    </row>
    <row r="860" ht="15.75" customHeight="1">
      <c r="J860" s="1"/>
      <c r="L860" s="12"/>
      <c r="M860" s="12"/>
    </row>
    <row r="861" ht="15.75" customHeight="1">
      <c r="J861" s="1"/>
      <c r="L861" s="12"/>
      <c r="M861" s="12"/>
    </row>
    <row r="862" ht="15.75" customHeight="1">
      <c r="J862" s="1"/>
      <c r="L862" s="12"/>
      <c r="M862" s="12"/>
    </row>
    <row r="863" ht="15.75" customHeight="1">
      <c r="J863" s="1"/>
      <c r="L863" s="12"/>
      <c r="M863" s="12"/>
    </row>
    <row r="864" ht="15.75" customHeight="1">
      <c r="J864" s="1"/>
      <c r="L864" s="12"/>
      <c r="M864" s="12"/>
    </row>
    <row r="865" ht="15.75" customHeight="1">
      <c r="J865" s="1"/>
      <c r="L865" s="12"/>
      <c r="M865" s="12"/>
    </row>
    <row r="866" ht="15.75" customHeight="1">
      <c r="J866" s="1"/>
      <c r="L866" s="12"/>
      <c r="M866" s="12"/>
    </row>
    <row r="867" ht="15.75" customHeight="1">
      <c r="J867" s="1"/>
      <c r="L867" s="12"/>
      <c r="M867" s="12"/>
    </row>
    <row r="868" ht="15.75" customHeight="1">
      <c r="J868" s="1"/>
      <c r="L868" s="12"/>
      <c r="M868" s="12"/>
    </row>
    <row r="869" ht="15.75" customHeight="1">
      <c r="J869" s="1"/>
      <c r="L869" s="12"/>
      <c r="M869" s="12"/>
    </row>
    <row r="870" ht="15.75" customHeight="1">
      <c r="J870" s="1"/>
      <c r="L870" s="12"/>
      <c r="M870" s="12"/>
    </row>
    <row r="871" ht="15.75" customHeight="1">
      <c r="J871" s="1"/>
      <c r="L871" s="12"/>
      <c r="M871" s="12"/>
    </row>
    <row r="872" ht="15.75" customHeight="1">
      <c r="J872" s="1"/>
      <c r="L872" s="12"/>
      <c r="M872" s="12"/>
    </row>
    <row r="873" ht="15.75" customHeight="1">
      <c r="J873" s="1"/>
      <c r="L873" s="12"/>
      <c r="M873" s="12"/>
    </row>
    <row r="874" ht="15.75" customHeight="1">
      <c r="J874" s="1"/>
      <c r="L874" s="12"/>
      <c r="M874" s="12"/>
    </row>
    <row r="875" ht="15.75" customHeight="1">
      <c r="J875" s="1"/>
      <c r="L875" s="12"/>
      <c r="M875" s="12"/>
    </row>
    <row r="876" ht="15.75" customHeight="1">
      <c r="J876" s="1"/>
      <c r="L876" s="12"/>
      <c r="M876" s="12"/>
    </row>
    <row r="877" ht="15.75" customHeight="1">
      <c r="J877" s="1"/>
      <c r="L877" s="12"/>
      <c r="M877" s="12"/>
    </row>
    <row r="878" ht="15.75" customHeight="1">
      <c r="J878" s="1"/>
      <c r="L878" s="12"/>
      <c r="M878" s="12"/>
    </row>
    <row r="879" ht="15.75" customHeight="1">
      <c r="J879" s="1"/>
      <c r="L879" s="12"/>
      <c r="M879" s="12"/>
    </row>
    <row r="880" ht="15.75" customHeight="1">
      <c r="J880" s="1"/>
      <c r="L880" s="12"/>
      <c r="M880" s="12"/>
    </row>
    <row r="881" ht="15.75" customHeight="1">
      <c r="J881" s="1"/>
      <c r="L881" s="12"/>
      <c r="M881" s="12"/>
    </row>
    <row r="882" ht="15.75" customHeight="1">
      <c r="J882" s="1"/>
      <c r="L882" s="12"/>
      <c r="M882" s="12"/>
    </row>
    <row r="883" ht="15.75" customHeight="1">
      <c r="J883" s="1"/>
      <c r="L883" s="12"/>
      <c r="M883" s="12"/>
    </row>
    <row r="884" ht="15.75" customHeight="1">
      <c r="J884" s="1"/>
      <c r="L884" s="12"/>
      <c r="M884" s="12"/>
    </row>
    <row r="885" ht="15.75" customHeight="1">
      <c r="J885" s="1"/>
      <c r="L885" s="12"/>
      <c r="M885" s="12"/>
    </row>
    <row r="886" ht="15.75" customHeight="1">
      <c r="J886" s="1"/>
      <c r="L886" s="12"/>
      <c r="M886" s="12"/>
    </row>
    <row r="887" ht="15.75" customHeight="1">
      <c r="J887" s="1"/>
      <c r="L887" s="12"/>
      <c r="M887" s="12"/>
    </row>
    <row r="888" ht="15.75" customHeight="1">
      <c r="J888" s="1"/>
      <c r="L888" s="12"/>
      <c r="M888" s="12"/>
    </row>
    <row r="889" ht="15.75" customHeight="1">
      <c r="J889" s="1"/>
      <c r="L889" s="12"/>
      <c r="M889" s="12"/>
    </row>
    <row r="890" ht="15.75" customHeight="1">
      <c r="J890" s="1"/>
      <c r="L890" s="12"/>
      <c r="M890" s="12"/>
    </row>
    <row r="891" ht="15.75" customHeight="1">
      <c r="J891" s="1"/>
      <c r="L891" s="12"/>
      <c r="M891" s="12"/>
    </row>
    <row r="892" ht="15.75" customHeight="1">
      <c r="J892" s="1"/>
      <c r="L892" s="12"/>
      <c r="M892" s="12"/>
    </row>
    <row r="893" ht="15.75" customHeight="1">
      <c r="J893" s="1"/>
      <c r="L893" s="12"/>
      <c r="M893" s="12"/>
    </row>
    <row r="894" ht="15.75" customHeight="1">
      <c r="J894" s="1"/>
      <c r="L894" s="12"/>
      <c r="M894" s="12"/>
    </row>
    <row r="895" ht="15.75" customHeight="1">
      <c r="J895" s="1"/>
      <c r="L895" s="12"/>
      <c r="M895" s="12"/>
    </row>
    <row r="896" ht="15.75" customHeight="1">
      <c r="J896" s="1"/>
      <c r="L896" s="12"/>
      <c r="M896" s="12"/>
    </row>
    <row r="897" ht="15.75" customHeight="1">
      <c r="J897" s="1"/>
      <c r="L897" s="12"/>
      <c r="M897" s="12"/>
    </row>
    <row r="898" ht="15.75" customHeight="1">
      <c r="J898" s="1"/>
      <c r="L898" s="12"/>
      <c r="M898" s="12"/>
    </row>
    <row r="899" ht="15.75" customHeight="1">
      <c r="J899" s="1"/>
      <c r="L899" s="12"/>
      <c r="M899" s="12"/>
    </row>
    <row r="900" ht="15.75" customHeight="1">
      <c r="J900" s="1"/>
      <c r="L900" s="12"/>
      <c r="M900" s="12"/>
    </row>
    <row r="901" ht="15.75" customHeight="1">
      <c r="J901" s="1"/>
      <c r="L901" s="12"/>
      <c r="M901" s="12"/>
    </row>
    <row r="902" ht="15.75" customHeight="1">
      <c r="J902" s="1"/>
      <c r="L902" s="12"/>
      <c r="M902" s="12"/>
    </row>
    <row r="903" ht="15.75" customHeight="1">
      <c r="J903" s="1"/>
      <c r="L903" s="12"/>
      <c r="M903" s="12"/>
    </row>
    <row r="904" ht="15.75" customHeight="1">
      <c r="J904" s="1"/>
      <c r="L904" s="12"/>
      <c r="M904" s="12"/>
    </row>
    <row r="905" ht="15.75" customHeight="1">
      <c r="J905" s="1"/>
      <c r="L905" s="12"/>
      <c r="M905" s="12"/>
    </row>
    <row r="906" ht="15.75" customHeight="1">
      <c r="J906" s="1"/>
      <c r="L906" s="12"/>
      <c r="M906" s="12"/>
    </row>
    <row r="907" ht="15.75" customHeight="1">
      <c r="J907" s="1"/>
      <c r="L907" s="12"/>
      <c r="M907" s="12"/>
    </row>
    <row r="908" ht="15.75" customHeight="1">
      <c r="J908" s="1"/>
      <c r="L908" s="12"/>
      <c r="M908" s="12"/>
    </row>
    <row r="909" ht="15.75" customHeight="1">
      <c r="J909" s="1"/>
      <c r="L909" s="12"/>
      <c r="M909" s="12"/>
    </row>
    <row r="910" ht="15.75" customHeight="1">
      <c r="J910" s="1"/>
      <c r="L910" s="12"/>
      <c r="M910" s="12"/>
    </row>
    <row r="911" ht="15.75" customHeight="1">
      <c r="J911" s="1"/>
      <c r="L911" s="12"/>
      <c r="M911" s="12"/>
    </row>
    <row r="912" ht="15.75" customHeight="1">
      <c r="J912" s="1"/>
      <c r="L912" s="12"/>
      <c r="M912" s="12"/>
    </row>
    <row r="913" ht="15.75" customHeight="1">
      <c r="J913" s="1"/>
      <c r="L913" s="12"/>
      <c r="M913" s="12"/>
    </row>
    <row r="914" ht="15.75" customHeight="1">
      <c r="J914" s="1"/>
      <c r="L914" s="12"/>
      <c r="M914" s="12"/>
    </row>
    <row r="915" ht="15.75" customHeight="1">
      <c r="J915" s="1"/>
      <c r="L915" s="12"/>
      <c r="M915" s="12"/>
    </row>
    <row r="916" ht="15.75" customHeight="1">
      <c r="J916" s="1"/>
      <c r="L916" s="12"/>
      <c r="M916" s="12"/>
    </row>
    <row r="917" ht="15.75" customHeight="1">
      <c r="J917" s="1"/>
      <c r="L917" s="12"/>
      <c r="M917" s="12"/>
    </row>
    <row r="918" ht="15.75" customHeight="1">
      <c r="J918" s="1"/>
      <c r="L918" s="12"/>
      <c r="M918" s="12"/>
    </row>
    <row r="919" ht="15.75" customHeight="1">
      <c r="J919" s="1"/>
      <c r="L919" s="12"/>
      <c r="M919" s="12"/>
    </row>
    <row r="920" ht="15.75" customHeight="1">
      <c r="J920" s="1"/>
      <c r="L920" s="12"/>
      <c r="M920" s="12"/>
    </row>
    <row r="921" ht="15.75" customHeight="1">
      <c r="J921" s="1"/>
      <c r="L921" s="12"/>
      <c r="M921" s="12"/>
    </row>
    <row r="922" ht="15.75" customHeight="1">
      <c r="J922" s="1"/>
      <c r="L922" s="12"/>
      <c r="M922" s="12"/>
    </row>
    <row r="923" ht="15.75" customHeight="1">
      <c r="J923" s="1"/>
      <c r="L923" s="12"/>
      <c r="M923" s="12"/>
    </row>
    <row r="924" ht="15.75" customHeight="1">
      <c r="J924" s="1"/>
      <c r="L924" s="12"/>
      <c r="M924" s="12"/>
    </row>
    <row r="925" ht="15.75" customHeight="1">
      <c r="J925" s="1"/>
      <c r="L925" s="12"/>
      <c r="M925" s="12"/>
    </row>
    <row r="926" ht="15.75" customHeight="1">
      <c r="J926" s="1"/>
      <c r="L926" s="12"/>
      <c r="M926" s="12"/>
    </row>
    <row r="927" ht="15.75" customHeight="1">
      <c r="J927" s="1"/>
      <c r="L927" s="12"/>
      <c r="M927" s="12"/>
    </row>
    <row r="928" ht="15.75" customHeight="1">
      <c r="J928" s="1"/>
      <c r="L928" s="12"/>
      <c r="M928" s="12"/>
    </row>
    <row r="929" ht="15.75" customHeight="1">
      <c r="J929" s="1"/>
      <c r="L929" s="12"/>
      <c r="M929" s="12"/>
    </row>
    <row r="930" ht="15.75" customHeight="1">
      <c r="J930" s="1"/>
      <c r="L930" s="12"/>
      <c r="M930" s="12"/>
    </row>
    <row r="931" ht="15.75" customHeight="1">
      <c r="J931" s="1"/>
      <c r="L931" s="12"/>
      <c r="M931" s="12"/>
    </row>
    <row r="932" ht="15.75" customHeight="1">
      <c r="J932" s="1"/>
      <c r="L932" s="12"/>
      <c r="M932" s="12"/>
    </row>
    <row r="933" ht="15.75" customHeight="1">
      <c r="J933" s="1"/>
      <c r="L933" s="12"/>
      <c r="M933" s="12"/>
    </row>
    <row r="934" ht="15.75" customHeight="1">
      <c r="J934" s="1"/>
      <c r="L934" s="12"/>
      <c r="M934" s="12"/>
    </row>
    <row r="935" ht="15.75" customHeight="1">
      <c r="J935" s="1"/>
      <c r="L935" s="12"/>
      <c r="M935" s="12"/>
    </row>
    <row r="936" ht="15.75" customHeight="1">
      <c r="J936" s="1"/>
      <c r="L936" s="12"/>
      <c r="M936" s="12"/>
    </row>
    <row r="937" ht="15.75" customHeight="1">
      <c r="J937" s="1"/>
      <c r="L937" s="12"/>
      <c r="M937" s="12"/>
    </row>
    <row r="938" ht="15.75" customHeight="1">
      <c r="J938" s="1"/>
      <c r="L938" s="12"/>
      <c r="M938" s="12"/>
    </row>
    <row r="939" ht="15.75" customHeight="1">
      <c r="J939" s="1"/>
      <c r="L939" s="12"/>
      <c r="M939" s="12"/>
    </row>
    <row r="940" ht="15.75" customHeight="1">
      <c r="J940" s="1"/>
      <c r="L940" s="12"/>
      <c r="M940" s="12"/>
    </row>
    <row r="941" ht="15.75" customHeight="1">
      <c r="J941" s="1"/>
      <c r="L941" s="12"/>
      <c r="M941" s="12"/>
    </row>
    <row r="942" ht="15.75" customHeight="1">
      <c r="J942" s="1"/>
      <c r="L942" s="12"/>
      <c r="M942" s="12"/>
    </row>
    <row r="943" ht="15.75" customHeight="1">
      <c r="J943" s="1"/>
      <c r="L943" s="12"/>
      <c r="M943" s="12"/>
    </row>
    <row r="944" ht="15.75" customHeight="1">
      <c r="J944" s="1"/>
      <c r="L944" s="12"/>
      <c r="M944" s="12"/>
    </row>
    <row r="945" ht="15.75" customHeight="1">
      <c r="J945" s="1"/>
      <c r="L945" s="12"/>
      <c r="M945" s="12"/>
    </row>
    <row r="946" ht="15.75" customHeight="1">
      <c r="J946" s="1"/>
      <c r="L946" s="12"/>
      <c r="M946" s="12"/>
    </row>
    <row r="947" ht="15.75" customHeight="1">
      <c r="J947" s="1"/>
      <c r="L947" s="12"/>
      <c r="M947" s="12"/>
    </row>
    <row r="948" ht="15.75" customHeight="1">
      <c r="J948" s="1"/>
      <c r="L948" s="12"/>
      <c r="M948" s="12"/>
    </row>
    <row r="949" ht="15.75" customHeight="1">
      <c r="J949" s="1"/>
      <c r="L949" s="12"/>
      <c r="M949" s="12"/>
    </row>
    <row r="950" ht="15.75" customHeight="1">
      <c r="J950" s="1"/>
      <c r="L950" s="12"/>
      <c r="M950" s="12"/>
    </row>
    <row r="951" ht="15.75" customHeight="1">
      <c r="J951" s="1"/>
      <c r="L951" s="12"/>
      <c r="M951" s="12"/>
    </row>
    <row r="952" ht="15.75" customHeight="1">
      <c r="J952" s="1"/>
      <c r="L952" s="12"/>
      <c r="M952" s="12"/>
    </row>
    <row r="953" ht="15.75" customHeight="1">
      <c r="J953" s="1"/>
      <c r="L953" s="12"/>
      <c r="M953" s="12"/>
    </row>
    <row r="954" ht="15.75" customHeight="1">
      <c r="J954" s="1"/>
      <c r="L954" s="12"/>
      <c r="M954" s="12"/>
    </row>
    <row r="955" ht="15.75" customHeight="1">
      <c r="J955" s="1"/>
      <c r="L955" s="12"/>
      <c r="M955" s="12"/>
    </row>
    <row r="956" ht="15.75" customHeight="1">
      <c r="J956" s="1"/>
      <c r="L956" s="12"/>
      <c r="M956" s="12"/>
    </row>
    <row r="957" ht="15.75" customHeight="1">
      <c r="J957" s="1"/>
      <c r="L957" s="12"/>
      <c r="M957" s="12"/>
    </row>
    <row r="958" ht="15.75" customHeight="1">
      <c r="J958" s="1"/>
      <c r="L958" s="12"/>
      <c r="M958" s="12"/>
    </row>
    <row r="959" ht="15.75" customHeight="1">
      <c r="J959" s="1"/>
      <c r="L959" s="12"/>
      <c r="M959" s="12"/>
    </row>
    <row r="960" ht="15.75" customHeight="1">
      <c r="J960" s="1"/>
      <c r="L960" s="12"/>
      <c r="M960" s="12"/>
    </row>
    <row r="961" ht="15.75" customHeight="1">
      <c r="J961" s="1"/>
      <c r="L961" s="12"/>
      <c r="M961" s="12"/>
    </row>
    <row r="962" ht="15.75" customHeight="1">
      <c r="J962" s="1"/>
      <c r="L962" s="12"/>
      <c r="M962" s="12"/>
    </row>
    <row r="963" ht="15.75" customHeight="1">
      <c r="J963" s="1"/>
      <c r="L963" s="12"/>
      <c r="M963" s="12"/>
    </row>
    <row r="964" ht="15.75" customHeight="1">
      <c r="J964" s="1"/>
      <c r="L964" s="12"/>
      <c r="M964" s="12"/>
    </row>
    <row r="965" ht="15.75" customHeight="1">
      <c r="J965" s="1"/>
      <c r="L965" s="12"/>
      <c r="M965" s="12"/>
    </row>
    <row r="966" ht="15.75" customHeight="1">
      <c r="J966" s="1"/>
      <c r="L966" s="12"/>
      <c r="M966" s="12"/>
    </row>
    <row r="967" ht="15.75" customHeight="1">
      <c r="J967" s="1"/>
      <c r="L967" s="12"/>
      <c r="M967" s="12"/>
    </row>
    <row r="968" ht="15.75" customHeight="1">
      <c r="J968" s="1"/>
      <c r="L968" s="12"/>
      <c r="M968" s="12"/>
    </row>
    <row r="969" ht="15.75" customHeight="1">
      <c r="J969" s="1"/>
      <c r="L969" s="12"/>
      <c r="M969" s="12"/>
    </row>
    <row r="970" ht="15.75" customHeight="1">
      <c r="J970" s="1"/>
      <c r="L970" s="12"/>
      <c r="M970" s="12"/>
    </row>
    <row r="971" ht="15.75" customHeight="1">
      <c r="J971" s="1"/>
      <c r="L971" s="12"/>
      <c r="M971" s="12"/>
    </row>
    <row r="972" ht="15.75" customHeight="1">
      <c r="J972" s="1"/>
      <c r="L972" s="12"/>
      <c r="M972" s="12"/>
    </row>
    <row r="973" ht="15.75" customHeight="1">
      <c r="J973" s="1"/>
      <c r="L973" s="12"/>
      <c r="M973" s="12"/>
    </row>
    <row r="974" ht="15.75" customHeight="1">
      <c r="J974" s="1"/>
      <c r="L974" s="12"/>
      <c r="M974" s="12"/>
    </row>
    <row r="975" ht="15.75" customHeight="1">
      <c r="J975" s="1"/>
      <c r="L975" s="12"/>
      <c r="M975" s="12"/>
    </row>
    <row r="976" ht="15.75" customHeight="1">
      <c r="J976" s="1"/>
      <c r="L976" s="12"/>
      <c r="M976" s="12"/>
    </row>
    <row r="977" ht="15.75" customHeight="1">
      <c r="J977" s="1"/>
      <c r="L977" s="12"/>
      <c r="M977" s="12"/>
    </row>
    <row r="978" ht="15.75" customHeight="1">
      <c r="J978" s="1"/>
      <c r="L978" s="12"/>
      <c r="M978" s="12"/>
    </row>
    <row r="979" ht="15.75" customHeight="1">
      <c r="J979" s="1"/>
      <c r="L979" s="12"/>
      <c r="M979" s="12"/>
    </row>
    <row r="980" ht="15.75" customHeight="1">
      <c r="J980" s="1"/>
      <c r="L980" s="12"/>
      <c r="M980" s="12"/>
    </row>
    <row r="981" ht="15.75" customHeight="1">
      <c r="J981" s="1"/>
      <c r="L981" s="12"/>
      <c r="M981" s="12"/>
    </row>
    <row r="982" ht="15.75" customHeight="1">
      <c r="J982" s="1"/>
      <c r="L982" s="12"/>
      <c r="M982" s="12"/>
    </row>
    <row r="983" ht="15.75" customHeight="1">
      <c r="J983" s="1"/>
      <c r="L983" s="12"/>
      <c r="M983" s="12"/>
    </row>
    <row r="984" ht="15.75" customHeight="1">
      <c r="J984" s="1"/>
      <c r="L984" s="12"/>
      <c r="M984" s="12"/>
    </row>
    <row r="985" ht="15.75" customHeight="1">
      <c r="J985" s="1"/>
      <c r="L985" s="12"/>
      <c r="M985" s="12"/>
    </row>
    <row r="986" ht="15.75" customHeight="1">
      <c r="J986" s="1"/>
      <c r="L986" s="12"/>
      <c r="M986" s="12"/>
    </row>
    <row r="987" ht="15.75" customHeight="1">
      <c r="J987" s="1"/>
      <c r="L987" s="12"/>
      <c r="M987" s="12"/>
    </row>
    <row r="988" ht="15.75" customHeight="1">
      <c r="J988" s="1"/>
      <c r="L988" s="12"/>
      <c r="M988" s="12"/>
    </row>
    <row r="989" ht="15.75" customHeight="1">
      <c r="J989" s="1"/>
      <c r="L989" s="12"/>
      <c r="M989" s="12"/>
    </row>
    <row r="990" ht="15.75" customHeight="1">
      <c r="J990" s="1"/>
      <c r="L990" s="12"/>
      <c r="M990" s="12"/>
    </row>
    <row r="991" ht="15.75" customHeight="1">
      <c r="J991" s="1"/>
      <c r="L991" s="12"/>
      <c r="M991" s="12"/>
    </row>
    <row r="992" ht="15.75" customHeight="1">
      <c r="J992" s="1"/>
      <c r="L992" s="12"/>
      <c r="M992" s="12"/>
    </row>
    <row r="993" ht="15.75" customHeight="1">
      <c r="J993" s="1"/>
      <c r="L993" s="12"/>
      <c r="M993" s="12"/>
    </row>
    <row r="994" ht="15.75" customHeight="1">
      <c r="J994" s="1"/>
      <c r="L994" s="12"/>
      <c r="M994" s="12"/>
    </row>
    <row r="995" ht="15.75" customHeight="1">
      <c r="J995" s="1"/>
      <c r="L995" s="12"/>
      <c r="M995" s="12"/>
    </row>
    <row r="996" ht="15.75" customHeight="1">
      <c r="J996" s="1"/>
      <c r="L996" s="12"/>
      <c r="M996" s="12"/>
    </row>
    <row r="997" ht="15.75" customHeight="1">
      <c r="J997" s="1"/>
      <c r="L997" s="12"/>
      <c r="M997" s="12"/>
    </row>
    <row r="998" ht="15.75" customHeight="1">
      <c r="J998" s="1"/>
      <c r="L998" s="12"/>
      <c r="M998" s="12"/>
    </row>
    <row r="999" ht="15.75" customHeight="1">
      <c r="J999" s="1"/>
      <c r="L999" s="12"/>
      <c r="M999" s="12"/>
    </row>
    <row r="1000" ht="15.75" customHeight="1">
      <c r="J1000" s="1"/>
      <c r="L1000" s="12"/>
      <c r="M1000" s="12"/>
    </row>
    <row r="1001" ht="15.75" customHeight="1">
      <c r="J1001" s="1"/>
      <c r="L1001" s="12"/>
      <c r="M1001" s="12"/>
    </row>
    <row r="1002" ht="15.75" customHeight="1">
      <c r="J1002" s="1"/>
      <c r="L1002" s="12"/>
      <c r="M1002" s="12"/>
    </row>
    <row r="1003" ht="15.75" customHeight="1">
      <c r="J1003" s="1"/>
      <c r="L1003" s="12"/>
      <c r="M1003" s="12"/>
    </row>
    <row r="1004" ht="15.75" customHeight="1">
      <c r="J1004" s="1"/>
      <c r="L1004" s="12"/>
      <c r="M1004" s="12"/>
    </row>
    <row r="1005" ht="15.75" customHeight="1">
      <c r="J1005" s="1"/>
      <c r="L1005" s="12"/>
      <c r="M1005" s="12"/>
    </row>
    <row r="1006" ht="15.75" customHeight="1">
      <c r="L1006" s="12"/>
      <c r="M1006" s="12"/>
    </row>
    <row r="1007" ht="15.75" customHeight="1">
      <c r="L1007" s="12"/>
      <c r="M1007" s="12"/>
    </row>
    <row r="1008" ht="15.75" customHeight="1">
      <c r="L1008" s="12"/>
      <c r="M1008" s="12"/>
    </row>
    <row r="1009" ht="15.75" customHeight="1">
      <c r="L1009" s="12"/>
      <c r="M1009" s="12"/>
    </row>
    <row r="1010" ht="15.75" customHeight="1">
      <c r="L1010" s="12"/>
      <c r="M1010" s="12"/>
    </row>
    <row r="1011" ht="15.75" customHeight="1">
      <c r="L1011" s="12"/>
      <c r="M1011" s="12"/>
    </row>
    <row r="1012" ht="15.75" customHeight="1">
      <c r="L1012" s="12"/>
      <c r="M1012" s="12"/>
    </row>
    <row r="1013" ht="15.75" customHeight="1">
      <c r="L1013" s="12"/>
      <c r="M1013" s="12"/>
    </row>
    <row r="1014" ht="15.75" customHeight="1">
      <c r="L1014" s="12"/>
      <c r="M1014" s="12"/>
    </row>
    <row r="1015" ht="15.75" customHeight="1">
      <c r="L1015" s="12"/>
      <c r="M1015" s="12"/>
    </row>
    <row r="1016" ht="15.75" customHeight="1">
      <c r="L1016" s="12"/>
      <c r="M1016" s="12"/>
    </row>
    <row r="1017" ht="15.75" customHeight="1">
      <c r="L1017" s="12"/>
      <c r="M1017" s="12"/>
    </row>
    <row r="1018" ht="15.75" customHeight="1">
      <c r="L1018" s="12"/>
      <c r="M1018" s="12"/>
    </row>
    <row r="1019" ht="15.75" customHeight="1">
      <c r="L1019" s="12"/>
      <c r="M1019" s="12"/>
    </row>
    <row r="1020" ht="15.75" customHeight="1">
      <c r="L1020" s="12"/>
      <c r="M1020" s="12"/>
    </row>
  </sheetData>
  <mergeCells count="2">
    <mergeCell ref="I1:K1"/>
    <mergeCell ref="I88:K88"/>
  </mergeCells>
  <conditionalFormatting sqref="K12">
    <cfRule type="expression" dxfId="3" priority="1">
      <formula>K12&gt;=J12</formula>
    </cfRule>
  </conditionalFormatting>
  <conditionalFormatting sqref="K12">
    <cfRule type="expression" dxfId="4" priority="2">
      <formula>K12&lt;J12</formula>
    </cfRule>
  </conditionalFormatting>
  <conditionalFormatting sqref="K13">
    <cfRule type="expression" dxfId="5" priority="3">
      <formula>K13&lt;J13</formula>
    </cfRule>
  </conditionalFormatting>
  <conditionalFormatting sqref="K13">
    <cfRule type="expression" dxfId="6" priority="4">
      <formula>K13&gt;=J13</formula>
    </cfRule>
  </conditionalFormatting>
  <conditionalFormatting sqref="K14">
    <cfRule type="expression" dxfId="7" priority="5">
      <formula>J14&lt;=K14</formula>
    </cfRule>
  </conditionalFormatting>
  <conditionalFormatting sqref="K14">
    <cfRule type="expression" dxfId="4" priority="6">
      <formula>K14&gt;J14</formula>
    </cfRule>
  </conditionalFormatting>
  <conditionalFormatting sqref="K12:K16">
    <cfRule type="expression" dxfId="3" priority="7">
      <formula>J12&gt;=K12</formula>
    </cfRule>
  </conditionalFormatting>
  <conditionalFormatting sqref="K15:K19">
    <cfRule type="expression" dxfId="5" priority="8">
      <formula>K15&gt;J15</formula>
    </cfRule>
  </conditionalFormatting>
  <conditionalFormatting sqref="K17:K19">
    <cfRule type="expression" dxfId="7" priority="9">
      <formula>J17&gt;=K17</formula>
    </cfRule>
  </conditionalFormatting>
  <conditionalFormatting sqref="K20">
    <cfRule type="notContainsBlanks" dxfId="8" priority="10">
      <formula>LEN(TRIM(K20))&gt;0</formula>
    </cfRule>
  </conditionalFormatting>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3.14"/>
    <col customWidth="1" min="2" max="2" width="36.86"/>
    <col customWidth="1" min="3" max="3" width="12.43"/>
    <col customWidth="1" min="4" max="4" width="1.43"/>
    <col customWidth="1" min="5" max="5" width="5.86"/>
    <col customWidth="1" min="6" max="6" width="28.14"/>
    <col customWidth="1" min="7" max="7" width="9.29"/>
    <col customWidth="1" min="8" max="8" width="9.43"/>
    <col customWidth="1" min="9" max="9" width="119.57"/>
    <col customWidth="1" min="10" max="10" width="5.14"/>
    <col customWidth="1" min="11" max="11" width="3.0"/>
    <col customWidth="1" min="12" max="12" width="31.71"/>
    <col customWidth="1" min="13" max="13" width="8.71"/>
    <col customWidth="1" min="14" max="14" width="7.43"/>
    <col customWidth="1" min="15" max="15" width="11.29"/>
    <col customWidth="1" min="16" max="17" width="9.57"/>
    <col customWidth="1" min="20" max="20" width="20.57"/>
  </cols>
  <sheetData>
    <row r="1" ht="12.75" customHeight="1">
      <c r="A1" s="28" t="s">
        <v>27</v>
      </c>
      <c r="B1" s="30"/>
      <c r="C1" s="30" t="str">
        <f>UPPER(TEXT(B3,"MMMM"))</f>
        <v>AGOSTO</v>
      </c>
      <c r="D1" s="42"/>
      <c r="E1" s="45"/>
      <c r="F1" s="45"/>
      <c r="G1" s="45"/>
      <c r="H1" s="45"/>
      <c r="I1" s="45"/>
      <c r="J1" s="45"/>
      <c r="K1" s="52"/>
      <c r="L1" s="52"/>
      <c r="M1" s="52"/>
      <c r="N1" s="52"/>
      <c r="O1" s="52"/>
      <c r="P1" s="52"/>
      <c r="Q1" s="52"/>
      <c r="R1" s="52"/>
      <c r="X1" s="52"/>
      <c r="Y1" s="52"/>
    </row>
    <row r="2" ht="18.0" customHeight="1">
      <c r="A2" s="30"/>
      <c r="B2" s="57" t="s">
        <v>40</v>
      </c>
      <c r="C2" s="9"/>
      <c r="D2" s="42"/>
      <c r="E2" s="59" t="s">
        <v>41</v>
      </c>
      <c r="F2" s="9"/>
      <c r="G2" s="59" t="s">
        <v>42</v>
      </c>
      <c r="H2" s="8"/>
      <c r="I2" s="8"/>
      <c r="J2" s="9"/>
      <c r="K2" s="61"/>
      <c r="L2" s="65" t="str">
        <f>IFERROR(__xludf.DUMMYFUNCTION("IMPORTRANGE(""https://docs.google.com/spreadsheets/d/1OjTekbeLGM33cmRz9M_4nXVIyMrUrINjwBqTFNIG2fQ/edit?gid=440714860#gid=440714860"",""RESUMEN!H3:M12"")"),"OPERATIVIDAD DE LINEA")</f>
        <v>OPERATIVIDAD DE LINEA</v>
      </c>
      <c r="M2" s="69" t="str">
        <f>IFERROR(__xludf.DUMMYFUNCTION("""COMPUTED_VALUE"""),"REAL")</f>
        <v>REAL</v>
      </c>
      <c r="N2" s="69" t="str">
        <f>IFERROR(__xludf.DUMMYFUNCTION("""COMPUTED_VALUE"""),"%")</f>
        <v>%</v>
      </c>
      <c r="O2" s="74">
        <f>IFERROR(__xludf.DUMMYFUNCTION("""COMPUTED_VALUE"""),46261.0)</f>
        <v>46261</v>
      </c>
      <c r="P2" s="69"/>
      <c r="Q2" s="69" t="str">
        <f>IFERROR(__xludf.DUMMYFUNCTION("""COMPUTED_VALUE"""),"DIF")</f>
        <v>DIF</v>
      </c>
      <c r="R2" s="61"/>
      <c r="S2" s="78" t="s">
        <v>55</v>
      </c>
      <c r="T2" s="80"/>
      <c r="U2" s="80"/>
      <c r="V2" s="80"/>
      <c r="W2" s="82"/>
      <c r="Y2" s="61"/>
    </row>
    <row r="3" ht="24.75" customHeight="1">
      <c r="A3" s="83"/>
      <c r="B3" s="87">
        <v>46261.0</v>
      </c>
      <c r="C3" s="9"/>
      <c r="D3" s="42"/>
      <c r="E3" s="89" t="s">
        <v>62</v>
      </c>
      <c r="F3" s="91"/>
      <c r="G3" s="94" t="str">
        <f>VLOOKUP($B$3,'BASE DE DATOS CIERRE'!A:V,22,0)</f>
        <v>1. Se registra parada por tanque cañón ruminal tapado (20)</v>
      </c>
      <c r="H3" s="95"/>
      <c r="I3" s="95"/>
      <c r="J3" s="91"/>
      <c r="K3" s="61"/>
      <c r="L3" s="97" t="str">
        <f>IFERROR(__xludf.DUMMYFUNCTION("""COMPUTED_VALUE"""),"LIDER/APOYO")</f>
        <v>LIDER/APOYO</v>
      </c>
      <c r="M3" s="100">
        <f>IFERROR(__xludf.DUMMYFUNCTION("""COMPUTED_VALUE"""),1.0)</f>
        <v>1</v>
      </c>
      <c r="N3" s="104">
        <f>IFERROR(__xludf.DUMMYFUNCTION("""COMPUTED_VALUE"""),0.016666666666666666)</f>
        <v>0.01666666667</v>
      </c>
      <c r="O3" s="107">
        <f>IFERROR(__xludf.DUMMYFUNCTION("""COMPUTED_VALUE"""),0.0)</f>
        <v>0</v>
      </c>
      <c r="P3" s="110">
        <f>IFERROR(__xludf.DUMMYFUNCTION("""COMPUTED_VALUE"""),0.0)</f>
        <v>0</v>
      </c>
      <c r="Q3" s="104">
        <f>IFERROR(__xludf.DUMMYFUNCTION("""COMPUTED_VALUE"""),-0.016666666666666666)</f>
        <v>-0.01666666667</v>
      </c>
      <c r="R3" s="61"/>
      <c r="S3" s="113" t="s">
        <v>5</v>
      </c>
      <c r="T3" s="114" t="s">
        <v>74</v>
      </c>
      <c r="U3" s="114" t="s">
        <v>75</v>
      </c>
      <c r="V3" s="114" t="s">
        <v>77</v>
      </c>
      <c r="W3" s="118" t="s">
        <v>78</v>
      </c>
      <c r="Y3" s="61"/>
    </row>
    <row r="4">
      <c r="A4" s="30"/>
      <c r="B4" s="57" t="s">
        <v>19</v>
      </c>
      <c r="C4" s="9"/>
      <c r="D4" s="42"/>
      <c r="E4" s="121"/>
      <c r="F4" s="122"/>
      <c r="G4" s="121"/>
      <c r="J4" s="122"/>
      <c r="K4" s="61"/>
      <c r="L4" s="124" t="str">
        <f>IFERROR(__xludf.DUMMYFUNCTION("""COMPUTED_VALUE"""),"OPERACION")</f>
        <v>OPERACION</v>
      </c>
      <c r="M4" s="100">
        <f>IFERROR(__xludf.DUMMYFUNCTION("""COMPUTED_VALUE"""),45.0)</f>
        <v>45</v>
      </c>
      <c r="N4" s="104">
        <f>IFERROR(__xludf.DUMMYFUNCTION("""COMPUTED_VALUE"""),0.75)</f>
        <v>0.75</v>
      </c>
      <c r="O4" s="107">
        <f>IFERROR(__xludf.DUMMYFUNCTION("""COMPUTED_VALUE"""),48.0)</f>
        <v>48</v>
      </c>
      <c r="P4" s="110">
        <f>IFERROR(__xludf.DUMMYFUNCTION("""COMPUTED_VALUE"""),0.8)</f>
        <v>0.8</v>
      </c>
      <c r="Q4" s="104">
        <f>IFERROR(__xludf.DUMMYFUNCTION("""COMPUTED_VALUE"""),0.050000000000000044)</f>
        <v>0.05</v>
      </c>
      <c r="R4" s="61"/>
      <c r="S4" s="131">
        <v>1.0</v>
      </c>
      <c r="T4" s="134" t="s">
        <v>83</v>
      </c>
      <c r="U4" s="135">
        <v>12366.0</v>
      </c>
      <c r="V4" s="135">
        <v>11514.0</v>
      </c>
      <c r="W4" s="138">
        <f t="shared" ref="W4:W15" si="1">IF(V4="","",V4/U4)</f>
        <v>0.9311014071</v>
      </c>
      <c r="Y4" s="61"/>
    </row>
    <row r="5" ht="18.0" customHeight="1">
      <c r="A5" s="139"/>
      <c r="B5" s="140" t="s">
        <v>36</v>
      </c>
      <c r="C5" s="147">
        <f>VLOOKUP($B$3,'BASE DE DATOS CIERRE'!A:AA,3,0)</f>
        <v>440</v>
      </c>
      <c r="D5" s="42"/>
      <c r="E5" s="121"/>
      <c r="F5" s="122"/>
      <c r="G5" s="121"/>
      <c r="J5" s="122"/>
      <c r="K5" s="61"/>
      <c r="L5" s="97" t="str">
        <f>IFERROR(__xludf.DUMMYFUNCTION("""COMPUTED_VALUE"""),"VACACIONES")</f>
        <v>VACACIONES</v>
      </c>
      <c r="M5" s="100">
        <f>IFERROR(__xludf.DUMMYFUNCTION("""COMPUTED_VALUE"""),3.0)</f>
        <v>3</v>
      </c>
      <c r="N5" s="104">
        <f>IFERROR(__xludf.DUMMYFUNCTION("""COMPUTED_VALUE"""),0.05)</f>
        <v>0.05</v>
      </c>
      <c r="O5" s="107">
        <f>IFERROR(__xludf.DUMMYFUNCTION("""COMPUTED_VALUE"""),1.0)</f>
        <v>1</v>
      </c>
      <c r="P5" s="110">
        <f>IFERROR(__xludf.DUMMYFUNCTION("""COMPUTED_VALUE"""),0.016666666666666666)</f>
        <v>0.01666666667</v>
      </c>
      <c r="Q5" s="104">
        <f>IFERROR(__xludf.DUMMYFUNCTION("""COMPUTED_VALUE"""),0.03333333333333334)</f>
        <v>0.03333333333</v>
      </c>
      <c r="R5" s="61"/>
      <c r="S5" s="131">
        <v>2.0</v>
      </c>
      <c r="T5" s="134" t="s">
        <v>91</v>
      </c>
      <c r="U5" s="135">
        <v>11925.0</v>
      </c>
      <c r="V5" s="135">
        <v>10786.0</v>
      </c>
      <c r="W5" s="138">
        <f t="shared" si="1"/>
        <v>0.9044863732</v>
      </c>
      <c r="Y5" s="61"/>
    </row>
    <row r="6" ht="18.0" customHeight="1">
      <c r="A6" s="139"/>
      <c r="B6" s="140" t="s">
        <v>43</v>
      </c>
      <c r="C6" s="153">
        <f>VLOOKUP($B$3,'BASE DE DATOS CIERRE'!A:AA,4,0)</f>
        <v>0.6319444444</v>
      </c>
      <c r="D6" s="42"/>
      <c r="E6" s="121"/>
      <c r="F6" s="122"/>
      <c r="G6" s="121"/>
      <c r="J6" s="122"/>
      <c r="K6" s="61"/>
      <c r="L6" s="97" t="str">
        <f>IFERROR(__xludf.DUMMYFUNCTION("""COMPUTED_VALUE"""),"INC, DF, SUS, PER, PAT")</f>
        <v>INC, DF, SUS, PER, PAT</v>
      </c>
      <c r="M6" s="100">
        <f>IFERROR(__xludf.DUMMYFUNCTION("""COMPUTED_VALUE"""),4.0)</f>
        <v>4</v>
      </c>
      <c r="N6" s="104">
        <f>IFERROR(__xludf.DUMMYFUNCTION("""COMPUTED_VALUE"""),0.06666666666666667)</f>
        <v>0.06666666667</v>
      </c>
      <c r="O6" s="107">
        <f>IFERROR(__xludf.DUMMYFUNCTION("""COMPUTED_VALUE"""),6.0)</f>
        <v>6</v>
      </c>
      <c r="P6" s="110">
        <f>IFERROR(__xludf.DUMMYFUNCTION("""COMPUTED_VALUE"""),0.1)</f>
        <v>0.1</v>
      </c>
      <c r="Q6" s="104">
        <f>IFERROR(__xludf.DUMMYFUNCTION("""COMPUTED_VALUE"""),-0.03333333333333334)</f>
        <v>-0.03333333333</v>
      </c>
      <c r="R6" s="61"/>
      <c r="S6" s="131">
        <v>3.0</v>
      </c>
      <c r="T6" s="134" t="s">
        <v>98</v>
      </c>
      <c r="U6" s="135">
        <v>12157.0</v>
      </c>
      <c r="V6" s="135">
        <v>12094.0</v>
      </c>
      <c r="W6" s="138">
        <f t="shared" si="1"/>
        <v>0.9948178004</v>
      </c>
      <c r="Y6" s="61"/>
    </row>
    <row r="7" ht="18.0" customHeight="1">
      <c r="A7" s="139"/>
      <c r="B7" s="140" t="s">
        <v>49</v>
      </c>
      <c r="C7" s="153">
        <f>VLOOKUP($B$3,'BASE DE DATOS CIERRE'!A:AA,5,0)</f>
        <v>0.9118055556</v>
      </c>
      <c r="D7" s="42"/>
      <c r="E7" s="121"/>
      <c r="F7" s="122"/>
      <c r="G7" s="121"/>
      <c r="J7" s="122"/>
      <c r="K7" s="61"/>
      <c r="L7" s="97" t="str">
        <f>IFERROR(__xludf.DUMMYFUNCTION("""COMPUTED_VALUE"""),"POR CONTRATAR")</f>
        <v>POR CONTRATAR</v>
      </c>
      <c r="M7" s="100">
        <f>IFERROR(__xludf.DUMMYFUNCTION("""COMPUTED_VALUE"""),0.0)</f>
        <v>0</v>
      </c>
      <c r="N7" s="104">
        <f>IFERROR(__xludf.DUMMYFUNCTION("""COMPUTED_VALUE"""),0.0)</f>
        <v>0</v>
      </c>
      <c r="O7" s="107">
        <f>IFERROR(__xludf.DUMMYFUNCTION("""COMPUTED_VALUE"""),0.0)</f>
        <v>0</v>
      </c>
      <c r="P7" s="110">
        <f>IFERROR(__xludf.DUMMYFUNCTION("""COMPUTED_VALUE"""),0.0)</f>
        <v>0</v>
      </c>
      <c r="Q7" s="104">
        <f>IFERROR(__xludf.DUMMYFUNCTION("""COMPUTED_VALUE"""),0.0)</f>
        <v>0</v>
      </c>
      <c r="R7" s="61"/>
      <c r="S7" s="131">
        <v>4.0</v>
      </c>
      <c r="T7" s="134" t="s">
        <v>106</v>
      </c>
      <c r="U7" s="135">
        <v>11728.0</v>
      </c>
      <c r="V7" s="135">
        <f>SUMIF('BASE DE DATOS CIERRE'!AC:AC,T7,'BASE DE DATOS CIERRE'!C:C)</f>
        <v>10983</v>
      </c>
      <c r="W7" s="138">
        <f t="shared" si="1"/>
        <v>0.9364768076</v>
      </c>
      <c r="Y7" s="61"/>
    </row>
    <row r="8" ht="18.0" customHeight="1">
      <c r="A8" s="139"/>
      <c r="B8" s="167" t="s">
        <v>113</v>
      </c>
      <c r="C8" s="174">
        <f>VLOOKUP(C1,'CONSOLIDADO OEE'!B:O,13,0)</f>
        <v>0.8816312825</v>
      </c>
      <c r="D8" s="42"/>
      <c r="E8" s="121"/>
      <c r="F8" s="122"/>
      <c r="G8" s="121"/>
      <c r="J8" s="122"/>
      <c r="K8" s="61"/>
      <c r="L8" s="97" t="str">
        <f>IFERROR(__xludf.DUMMYFUNCTION("""COMPUTED_VALUE"""),"REUBICADO")</f>
        <v>REUBICADO</v>
      </c>
      <c r="M8" s="100">
        <f>IFERROR(__xludf.DUMMYFUNCTION("""COMPUTED_VALUE"""),1.0)</f>
        <v>1</v>
      </c>
      <c r="N8" s="104">
        <f>IFERROR(__xludf.DUMMYFUNCTION("""COMPUTED_VALUE"""),0.016666666666666666)</f>
        <v>0.01666666667</v>
      </c>
      <c r="O8" s="107">
        <f>IFERROR(__xludf.DUMMYFUNCTION("""COMPUTED_VALUE"""),2.0)</f>
        <v>2</v>
      </c>
      <c r="P8" s="110">
        <f>IFERROR(__xludf.DUMMYFUNCTION("""COMPUTED_VALUE"""),0.03333333333333333)</f>
        <v>0.03333333333</v>
      </c>
      <c r="Q8" s="104">
        <f>IFERROR(__xludf.DUMMYFUNCTION("""COMPUTED_VALUE"""),0.016666666666666666)</f>
        <v>0.01666666667</v>
      </c>
      <c r="R8" s="61"/>
      <c r="S8" s="131">
        <v>5.0</v>
      </c>
      <c r="T8" s="134" t="s">
        <v>117</v>
      </c>
      <c r="U8" s="135">
        <v>12554.0</v>
      </c>
      <c r="V8" s="135">
        <f>SUMIF('BASE DE DATOS CIERRE'!AC:AC,T8,'BASE DE DATOS CIERRE'!C:C)</f>
        <v>12904</v>
      </c>
      <c r="W8" s="181">
        <f t="shared" si="1"/>
        <v>1.02787956</v>
      </c>
      <c r="Y8" s="61"/>
    </row>
    <row r="9" ht="18.0" customHeight="1">
      <c r="A9" s="139"/>
      <c r="B9" s="167" t="s">
        <v>120</v>
      </c>
      <c r="C9" s="174">
        <f>VLOOKUP($B$3,'BASE DE DATOS CIERRE'!A:AA,2,0)</f>
        <v>0.9123314743</v>
      </c>
      <c r="D9" s="42"/>
      <c r="E9" s="121"/>
      <c r="F9" s="122"/>
      <c r="G9" s="121"/>
      <c r="J9" s="122"/>
      <c r="K9" s="61"/>
      <c r="L9" s="97" t="str">
        <f>IFERROR(__xludf.DUMMYFUNCTION("""COMPUTED_VALUE"""),"ENTRENAMIENTO")</f>
        <v>ENTRENAMIENTO</v>
      </c>
      <c r="M9" s="100">
        <f>IFERROR(__xludf.DUMMYFUNCTION("""COMPUTED_VALUE"""),3.0)</f>
        <v>3</v>
      </c>
      <c r="N9" s="104">
        <f>IFERROR(__xludf.DUMMYFUNCTION("""COMPUTED_VALUE"""),0.05)</f>
        <v>0.05</v>
      </c>
      <c r="O9" s="107">
        <f>IFERROR(__xludf.DUMMYFUNCTION("""COMPUTED_VALUE"""),3.0)</f>
        <v>3</v>
      </c>
      <c r="P9" s="110">
        <f>IFERROR(__xludf.DUMMYFUNCTION("""COMPUTED_VALUE"""),0.05)</f>
        <v>0.05</v>
      </c>
      <c r="Q9" s="104">
        <f>IFERROR(__xludf.DUMMYFUNCTION("""COMPUTED_VALUE"""),0.0)</f>
        <v>0</v>
      </c>
      <c r="R9" s="61"/>
      <c r="S9" s="131">
        <v>6.0</v>
      </c>
      <c r="T9" s="134" t="s">
        <v>122</v>
      </c>
      <c r="U9" s="135">
        <v>12635.0</v>
      </c>
      <c r="V9" s="135">
        <f>SUMIF('BASE DE DATOS CIERRE'!AC:AC,T9,'BASE DE DATOS CIERRE'!C:C)</f>
        <v>12920</v>
      </c>
      <c r="W9" s="181">
        <f t="shared" si="1"/>
        <v>1.022556391</v>
      </c>
      <c r="Y9" s="61"/>
    </row>
    <row r="10" ht="18.0" customHeight="1">
      <c r="A10" s="139"/>
      <c r="B10" s="187" t="s">
        <v>73</v>
      </c>
      <c r="C10" s="189">
        <f>VLOOKUP($B$3,'BASE DE DATOS CIERRE'!A:AA,9,0)</f>
        <v>74.78753541</v>
      </c>
      <c r="D10" s="42"/>
      <c r="E10" s="121"/>
      <c r="F10" s="122"/>
      <c r="G10" s="121"/>
      <c r="J10" s="122"/>
      <c r="K10" s="61"/>
      <c r="L10" s="97" t="str">
        <f>IFERROR(__xludf.DUMMYFUNCTION("""COMPUTED_VALUE"""),"INCAPACIDAD LARGAS")</f>
        <v>INCAPACIDAD LARGAS</v>
      </c>
      <c r="M10" s="100">
        <f>IFERROR(__xludf.DUMMYFUNCTION("""COMPUTED_VALUE"""),0.0)</f>
        <v>0</v>
      </c>
      <c r="N10" s="104">
        <f>IFERROR(__xludf.DUMMYFUNCTION("""COMPUTED_VALUE"""),0.0)</f>
        <v>0</v>
      </c>
      <c r="O10" s="107">
        <f>IFERROR(__xludf.DUMMYFUNCTION("""COMPUTED_VALUE"""),1.0)</f>
        <v>1</v>
      </c>
      <c r="P10" s="110">
        <f>IFERROR(__xludf.DUMMYFUNCTION("""COMPUTED_VALUE"""),0.0)</f>
        <v>0</v>
      </c>
      <c r="Q10" s="191"/>
      <c r="R10" s="61"/>
      <c r="S10" s="131">
        <v>7.0</v>
      </c>
      <c r="T10" s="134" t="s">
        <v>127</v>
      </c>
      <c r="U10" s="135">
        <v>12797.0</v>
      </c>
      <c r="V10" s="135">
        <f>SUMIF('BASE DE DATOS CIERRE'!AC:AC,T10,'BASE DE DATOS CIERRE'!C:C)</f>
        <v>13022</v>
      </c>
      <c r="W10" s="181">
        <f t="shared" si="1"/>
        <v>1.017582246</v>
      </c>
      <c r="Y10" s="61"/>
    </row>
    <row r="11">
      <c r="A11" s="139"/>
      <c r="B11" s="140" t="s">
        <v>81</v>
      </c>
      <c r="C11" s="193">
        <f>VLOOKUP($B$3,'BASE DE DATOS CIERRE'!A:AA,10,0)</f>
        <v>6.716666667</v>
      </c>
      <c r="D11" s="42"/>
      <c r="E11" s="195"/>
      <c r="F11" s="196"/>
      <c r="G11" s="195"/>
      <c r="H11" s="198"/>
      <c r="I11" s="198"/>
      <c r="J11" s="196"/>
      <c r="K11" s="61"/>
      <c r="L11" s="199"/>
      <c r="M11" s="201">
        <f>IFERROR(__xludf.DUMMYFUNCTION("""COMPUTED_VALUE"""),60.0)</f>
        <v>60</v>
      </c>
      <c r="N11" s="202"/>
      <c r="O11" s="201">
        <f>IFERROR(__xludf.DUMMYFUNCTION("""COMPUTED_VALUE"""),60.0)</f>
        <v>60</v>
      </c>
      <c r="P11" s="205"/>
      <c r="Q11" s="205"/>
      <c r="R11" s="61"/>
      <c r="S11" s="131">
        <v>8.0</v>
      </c>
      <c r="T11" s="134" t="s">
        <v>129</v>
      </c>
      <c r="U11" s="135">
        <v>12843.0</v>
      </c>
      <c r="V11" s="135">
        <f>SUMIF('BASE DE DATOS CIERRE'!AC:AC,T11,'BASE DE DATOS CIERRE'!C:C)</f>
        <v>10982</v>
      </c>
      <c r="W11" s="181">
        <f t="shared" si="1"/>
        <v>0.8550961613</v>
      </c>
      <c r="Y11" s="61"/>
    </row>
    <row r="12" ht="18.0" customHeight="1">
      <c r="A12" s="139"/>
      <c r="B12" s="140" t="s">
        <v>89</v>
      </c>
      <c r="C12" s="147">
        <f>VLOOKUP($B$3,'BASE DE DATOS CIERRE'!A:AA,11,0)</f>
        <v>0</v>
      </c>
      <c r="D12" s="42"/>
      <c r="E12" s="212" t="s">
        <v>131</v>
      </c>
      <c r="J12" s="213"/>
      <c r="K12" s="61"/>
      <c r="L12" s="61"/>
      <c r="M12" s="61"/>
      <c r="N12" s="61"/>
      <c r="O12" s="61"/>
      <c r="P12" s="61"/>
      <c r="Q12" s="61"/>
      <c r="R12" s="61"/>
      <c r="S12" s="131">
        <v>9.0</v>
      </c>
      <c r="T12" s="134" t="s">
        <v>132</v>
      </c>
      <c r="U12" s="135">
        <v>12905.0</v>
      </c>
      <c r="V12" s="135">
        <f>SUMIF('BASE DE DATOS CIERRE'!AC:AC,T12,'BASE DE DATOS CIERRE'!C:C)</f>
        <v>0</v>
      </c>
      <c r="W12" s="181">
        <f t="shared" si="1"/>
        <v>0</v>
      </c>
      <c r="Y12" s="61"/>
    </row>
    <row r="13" ht="30.75" customHeight="1">
      <c r="A13" s="30"/>
      <c r="B13" s="57" t="s">
        <v>19</v>
      </c>
      <c r="C13" s="9"/>
      <c r="D13" s="42"/>
      <c r="E13" s="216" t="s">
        <v>53</v>
      </c>
      <c r="F13" s="216" t="s">
        <v>133</v>
      </c>
      <c r="G13" s="218" t="s">
        <v>134</v>
      </c>
      <c r="H13" s="218" t="s">
        <v>135</v>
      </c>
      <c r="I13" s="219" t="s">
        <v>136</v>
      </c>
      <c r="J13" s="220"/>
      <c r="K13" s="61"/>
      <c r="L13" s="61"/>
      <c r="M13" s="61"/>
      <c r="N13" s="61"/>
      <c r="O13" s="61"/>
      <c r="P13" s="61"/>
      <c r="Q13" s="61"/>
      <c r="R13" s="61"/>
      <c r="S13" s="131">
        <v>10.0</v>
      </c>
      <c r="T13" s="134" t="s">
        <v>137</v>
      </c>
      <c r="U13" s="135">
        <v>13939.0</v>
      </c>
      <c r="V13" s="135">
        <f>SUMIF('BASE DE DATOS CIERRE'!AC:AC,T13,'BASE DE DATOS CIERRE'!C:C)</f>
        <v>0</v>
      </c>
      <c r="W13" s="181">
        <f t="shared" si="1"/>
        <v>0</v>
      </c>
      <c r="Y13" s="61"/>
    </row>
    <row r="14" ht="18.75" customHeight="1">
      <c r="A14" s="139"/>
      <c r="B14" s="140" t="s">
        <v>90</v>
      </c>
      <c r="C14" s="147">
        <f>VLOOKUP($B$3,'BASE DE DATOS CIERRE'!A:AA,12,0)</f>
        <v>70.77747989</v>
      </c>
      <c r="D14" s="42"/>
      <c r="E14" s="223">
        <v>1.0</v>
      </c>
      <c r="F14" s="224" t="str">
        <f>IFERROR(__xludf.DUMMYFUNCTION("IMPORTRANGE(""https://docs.google.com/spreadsheets/d/1OjTekbeLGM33cmRz9M_4nXVIyMrUrINjwBqTFNIG2fQ/edit?gid=440714860#gid=440714860"",""RESUMEN!C26:F34"")"),"LABORANDO")</f>
        <v>LABORANDO</v>
      </c>
      <c r="G14" s="226">
        <f>IFERROR(__xludf.DUMMYFUNCTION("""COMPUTED_VALUE"""),51.0)</f>
        <v>51</v>
      </c>
      <c r="H14" s="227">
        <f>IFERROR(__xludf.DUMMYFUNCTION("""COMPUTED_VALUE"""),0.85)</f>
        <v>0.85</v>
      </c>
      <c r="I14" s="229" t="str">
        <f>IFERROR(__xludf.DUMMYFUNCTION("""COMPUTED_VALUE"""),"")</f>
        <v/>
      </c>
      <c r="J14" s="9"/>
      <c r="K14" s="61"/>
      <c r="L14" s="230"/>
      <c r="M14" s="61"/>
      <c r="N14" s="61"/>
      <c r="O14" s="61"/>
      <c r="P14" s="61"/>
      <c r="Q14" s="61"/>
      <c r="R14" s="61"/>
      <c r="S14" s="131">
        <v>11.0</v>
      </c>
      <c r="T14" s="134" t="s">
        <v>140</v>
      </c>
      <c r="U14" s="135">
        <v>13909.0</v>
      </c>
      <c r="V14" s="135">
        <f>SUMIF('BASE DE DATOS CIERRE'!AC:AC,T14,'BASE DE DATOS CIERRE'!C:C)</f>
        <v>0</v>
      </c>
      <c r="W14" s="181">
        <f t="shared" si="1"/>
        <v>0</v>
      </c>
      <c r="Y14" s="61"/>
    </row>
    <row r="15" ht="18.75" customHeight="1">
      <c r="A15" s="139"/>
      <c r="B15" s="167" t="s">
        <v>142</v>
      </c>
      <c r="C15" s="147">
        <f>VLOOKUP($B$3,'BASE DE DATOS CIERRE'!A:AA,13,0)</f>
        <v>74.78753541</v>
      </c>
      <c r="D15" s="42"/>
      <c r="E15" s="236">
        <f t="shared" ref="E15:E22" si="2">IF(F15="","",E14+1)</f>
        <v>2</v>
      </c>
      <c r="F15" s="224" t="str">
        <f>IFERROR(__xludf.DUMMYFUNCTION("""COMPUTED_VALUE"""),"VACACIONES")</f>
        <v>VACACIONES</v>
      </c>
      <c r="G15" s="239">
        <f>IFERROR(__xludf.DUMMYFUNCTION("""COMPUTED_VALUE"""),1.0)</f>
        <v>1</v>
      </c>
      <c r="H15" s="227">
        <f>IFERROR(__xludf.DUMMYFUNCTION("""COMPUTED_VALUE"""),0.016666666666666666)</f>
        <v>0.01666666667</v>
      </c>
      <c r="I15" s="241" t="str">
        <f>IFERROR(__xludf.DUMMYFUNCTION("""COMPUTED_VALUE"""),"QUINTERO GERSON")</f>
        <v>QUINTERO GERSON</v>
      </c>
      <c r="J15" s="9"/>
      <c r="K15" s="61"/>
      <c r="L15" s="230"/>
      <c r="M15" s="61"/>
      <c r="N15" s="61"/>
      <c r="O15" s="61"/>
      <c r="P15" s="61"/>
      <c r="Q15" s="61"/>
      <c r="R15" s="61"/>
      <c r="S15" s="131">
        <v>12.0</v>
      </c>
      <c r="T15" s="134" t="s">
        <v>148</v>
      </c>
      <c r="U15" s="135">
        <v>14752.0</v>
      </c>
      <c r="V15" s="135">
        <f>SUMIF('BASE DE DATOS CIERRE'!AC:AC,T15,'BASE DE DATOS CIERRE'!C:C)</f>
        <v>0</v>
      </c>
      <c r="W15" s="181">
        <f t="shared" si="1"/>
        <v>0</v>
      </c>
      <c r="Y15" s="61"/>
    </row>
    <row r="16" ht="18.75" customHeight="1">
      <c r="A16" s="139"/>
      <c r="B16" s="167" t="s">
        <v>144</v>
      </c>
      <c r="C16" s="246">
        <f>VLOOKUP($B$3,'BASE DE DATOS CIERRE'!A:AA,14,0)</f>
        <v>65.50868486</v>
      </c>
      <c r="D16" s="42"/>
      <c r="E16" s="236">
        <f t="shared" si="2"/>
        <v>3</v>
      </c>
      <c r="F16" s="224" t="str">
        <f>IFERROR(__xludf.DUMMYFUNCTION("""COMPUTED_VALUE"""),"INCAPACIDAD")</f>
        <v>INCAPACIDAD</v>
      </c>
      <c r="G16" s="248">
        <f>IFERROR(__xludf.DUMMYFUNCTION("""COMPUTED_VALUE"""),3.0)</f>
        <v>3</v>
      </c>
      <c r="H16" s="227">
        <f>IFERROR(__xludf.DUMMYFUNCTION("""COMPUTED_VALUE"""),0.05)</f>
        <v>0.05</v>
      </c>
      <c r="I16" s="249" t="str">
        <f>IFERROR(__xludf.DUMMYFUNCTION("""COMPUTED_VALUE"""),"MANTILLA LUIS/ PADILLA MILEXANDE/ PAJARO YAIR")</f>
        <v>MANTILLA LUIS/ PADILLA MILEXANDE/ PAJARO YAIR</v>
      </c>
      <c r="J16" s="9"/>
      <c r="K16" s="61"/>
      <c r="L16" s="61"/>
      <c r="M16" s="251"/>
      <c r="N16" s="252"/>
      <c r="O16" s="61"/>
      <c r="P16" s="61"/>
      <c r="Q16" s="61"/>
      <c r="R16" s="61"/>
      <c r="S16" s="254" t="s">
        <v>159</v>
      </c>
      <c r="T16" s="255"/>
      <c r="U16" s="258">
        <f t="shared" ref="U16:V16" si="3">SUM(U4:U15)</f>
        <v>154510</v>
      </c>
      <c r="V16" s="258">
        <f t="shared" si="3"/>
        <v>95205</v>
      </c>
      <c r="W16" s="261">
        <f>V16/U16</f>
        <v>0.6161737104</v>
      </c>
      <c r="Y16" s="61"/>
    </row>
    <row r="17" ht="18.75" customHeight="1">
      <c r="A17" s="139"/>
      <c r="B17" s="140" t="s">
        <v>105</v>
      </c>
      <c r="C17" s="264">
        <f>VLOOKUP($B$3,'BASE DE DATOS CIERRE'!A:AA,15,0)</f>
        <v>0.0068</v>
      </c>
      <c r="D17" s="42"/>
      <c r="E17" s="236">
        <f t="shared" si="2"/>
        <v>4</v>
      </c>
      <c r="F17" s="224" t="str">
        <f>IFERROR(__xludf.DUMMYFUNCTION("""COMPUTED_VALUE"""),"AMORTIZAR EXTRAS")</f>
        <v>AMORTIZAR EXTRAS</v>
      </c>
      <c r="G17" s="239">
        <f>IFERROR(__xludf.DUMMYFUNCTION("""COMPUTED_VALUE"""),1.0)</f>
        <v>1</v>
      </c>
      <c r="H17" s="227">
        <f>IFERROR(__xludf.DUMMYFUNCTION("""COMPUTED_VALUE"""),0.016666666666666666)</f>
        <v>0.01666666667</v>
      </c>
      <c r="I17" s="241" t="str">
        <f>IFERROR(__xludf.DUMMYFUNCTION("""COMPUTED_VALUE"""),"JOSE BAUTISTA")</f>
        <v>JOSE BAUTISTA</v>
      </c>
      <c r="J17" s="9"/>
      <c r="K17" s="61"/>
      <c r="L17" s="61"/>
      <c r="M17" s="251"/>
      <c r="N17" s="252"/>
      <c r="O17" s="61"/>
      <c r="P17" s="61"/>
      <c r="Q17" s="61"/>
      <c r="R17" s="61"/>
      <c r="W17" s="61"/>
      <c r="X17" s="61"/>
      <c r="Y17" s="61"/>
    </row>
    <row r="18" ht="18.75" customHeight="1">
      <c r="A18" s="139"/>
      <c r="B18" s="140" t="s">
        <v>116</v>
      </c>
      <c r="C18" s="267">
        <f>VLOOKUP($B$3,'BASE DE DATOS CIERRE'!A:AA,16,0)</f>
        <v>0.05681818182</v>
      </c>
      <c r="D18" s="42"/>
      <c r="E18" s="236">
        <f t="shared" si="2"/>
        <v>5</v>
      </c>
      <c r="F18" s="224" t="str">
        <f>IFERROR(__xludf.DUMMYFUNCTION("""COMPUTED_VALUE"""),"REUBICADO")</f>
        <v>REUBICADO</v>
      </c>
      <c r="G18" s="239">
        <f>IFERROR(__xludf.DUMMYFUNCTION("""COMPUTED_VALUE"""),2.0)</f>
        <v>2</v>
      </c>
      <c r="H18" s="227">
        <f>IFERROR(__xludf.DUMMYFUNCTION("""COMPUTED_VALUE"""),0.03333333333333333)</f>
        <v>0.03333333333</v>
      </c>
      <c r="I18" s="273" t="str">
        <f>IFERROR(__xludf.DUMMYFUNCTION("""COMPUTED_VALUE"""),"CANCINO JAVIER/ MORALES EFRAIN")</f>
        <v>CANCINO JAVIER/ MORALES EFRAIN</v>
      </c>
      <c r="J18" s="9"/>
      <c r="K18" s="61"/>
      <c r="L18" s="230"/>
      <c r="M18" s="251"/>
      <c r="N18" s="252"/>
      <c r="O18" s="61"/>
      <c r="P18" s="61"/>
      <c r="Q18" s="61"/>
      <c r="R18" s="61"/>
      <c r="W18" s="61"/>
      <c r="X18" s="61"/>
      <c r="Y18" s="61"/>
    </row>
    <row r="19" ht="18.75" customHeight="1">
      <c r="A19" s="139"/>
      <c r="B19" s="140" t="s">
        <v>121</v>
      </c>
      <c r="C19" s="278">
        <f>VLOOKUP($B$3,'BASE DE DATOS CIERRE'!A:AA,17,0)</f>
        <v>0.008</v>
      </c>
      <c r="D19" s="42"/>
      <c r="E19" s="236">
        <f t="shared" si="2"/>
        <v>6</v>
      </c>
      <c r="F19" s="280" t="str">
        <f>IFERROR(__xludf.DUMMYFUNCTION("""COMPUTED_VALUE"""),"RENUNCIA")</f>
        <v>RENUNCIA</v>
      </c>
      <c r="G19" s="223">
        <f>IFERROR(__xludf.DUMMYFUNCTION("""COMPUTED_VALUE"""),1.0)</f>
        <v>1</v>
      </c>
      <c r="H19" s="227">
        <f>IFERROR(__xludf.DUMMYFUNCTION("""COMPUTED_VALUE"""),0.016666666666666666)</f>
        <v>0.01666666667</v>
      </c>
      <c r="I19" s="241" t="str">
        <f>IFERROR(__xludf.DUMMYFUNCTION("""COMPUTED_VALUE"""),"SUAREZ ANDREY")</f>
        <v>SUAREZ ANDREY</v>
      </c>
      <c r="J19" s="9"/>
      <c r="K19" s="61"/>
      <c r="L19" s="230"/>
      <c r="M19" s="61"/>
      <c r="N19" s="61"/>
      <c r="O19" s="61"/>
      <c r="P19" s="61"/>
      <c r="Q19" s="61"/>
      <c r="R19" s="61"/>
      <c r="W19" s="61"/>
      <c r="X19" s="61"/>
      <c r="Y19" s="61"/>
    </row>
    <row r="20" ht="18.75" customHeight="1">
      <c r="A20" s="139"/>
      <c r="B20" s="140" t="s">
        <v>124</v>
      </c>
      <c r="C20" s="267">
        <f>VLOOKUP($B$3,'BASE DE DATOS CIERRE'!A:AA,18,0)</f>
        <v>0.01</v>
      </c>
      <c r="D20" s="42"/>
      <c r="E20" s="236">
        <f t="shared" si="2"/>
        <v>7</v>
      </c>
      <c r="F20" s="280" t="str">
        <f>IFERROR(__xludf.DUMMYFUNCTION("""COMPUTED_VALUE"""),"DIA DE CERO A.T.")</f>
        <v>DIA DE CERO A.T.</v>
      </c>
      <c r="G20" s="223">
        <f>IFERROR(__xludf.DUMMYFUNCTION("""COMPUTED_VALUE"""),1.0)</f>
        <v>1</v>
      </c>
      <c r="H20" s="227">
        <f>IFERROR(__xludf.DUMMYFUNCTION("""COMPUTED_VALUE"""),0.016666666666666666)</f>
        <v>0.01666666667</v>
      </c>
      <c r="I20" s="241" t="str">
        <f>IFERROR(__xludf.DUMMYFUNCTION("""COMPUTED_VALUE"""),"BARAJAS EULISIS")</f>
        <v>BARAJAS EULISIS</v>
      </c>
      <c r="J20" s="9"/>
      <c r="K20" s="61"/>
      <c r="L20" s="61"/>
      <c r="M20" s="61"/>
      <c r="N20" s="61"/>
      <c r="O20" s="61"/>
      <c r="P20" s="61"/>
      <c r="Q20" s="61"/>
      <c r="R20" s="61"/>
      <c r="W20" s="61"/>
      <c r="X20" s="61"/>
      <c r="Y20" s="61"/>
    </row>
    <row r="21" ht="18.75" customHeight="1">
      <c r="A21" s="139"/>
      <c r="B21" s="140" t="s">
        <v>126</v>
      </c>
      <c r="C21" s="264">
        <f>VLOOKUP($B$3,'BASE DE DATOS CIERRE'!A:AA,19,0)</f>
        <v>0.0148</v>
      </c>
      <c r="D21" s="42"/>
      <c r="E21" s="236" t="str">
        <f t="shared" si="2"/>
        <v/>
      </c>
      <c r="F21" s="280"/>
      <c r="G21" s="223"/>
      <c r="H21" s="227"/>
      <c r="I21" s="241"/>
      <c r="J21" s="9"/>
      <c r="K21" s="61"/>
      <c r="L21" s="61"/>
      <c r="M21" s="61"/>
      <c r="N21" s="61"/>
      <c r="O21" s="61"/>
      <c r="P21" s="61"/>
      <c r="Q21" s="61"/>
      <c r="R21" s="61"/>
      <c r="W21" s="61"/>
      <c r="X21" s="61"/>
      <c r="Y21" s="61"/>
    </row>
    <row r="22" ht="19.5" customHeight="1">
      <c r="A22" s="139"/>
      <c r="B22" s="140" t="s">
        <v>64</v>
      </c>
      <c r="C22" s="189">
        <f>VLOOKUP($B$3,'BASE DE DATOS CIERRE'!A:AA,8,0)</f>
        <v>30</v>
      </c>
      <c r="D22" s="42"/>
      <c r="E22" s="236" t="str">
        <f t="shared" si="2"/>
        <v/>
      </c>
      <c r="F22" s="297"/>
      <c r="G22" s="298"/>
      <c r="H22" s="299"/>
      <c r="I22" s="300"/>
      <c r="J22" s="9"/>
      <c r="K22" s="61"/>
      <c r="L22" s="61"/>
      <c r="M22" s="61"/>
      <c r="N22" s="61"/>
      <c r="O22" s="61"/>
      <c r="P22" s="61"/>
      <c r="Q22" s="61"/>
      <c r="R22" s="61"/>
      <c r="W22" s="61"/>
      <c r="X22" s="61"/>
      <c r="Y22" s="61"/>
    </row>
    <row r="23" ht="19.5" customHeight="1">
      <c r="A23" s="139"/>
      <c r="B23" s="140" t="s">
        <v>182</v>
      </c>
      <c r="C23" s="301">
        <f>VLOOKUP($B$3,'BASE DE DATOS CIERRE'!A:AA,7,0)</f>
        <v>20</v>
      </c>
      <c r="D23" s="42"/>
      <c r="E23" s="302" t="s">
        <v>159</v>
      </c>
      <c r="F23" s="9"/>
      <c r="G23" s="303">
        <f t="shared" ref="G23:H23" si="4">SUM(G14:G22)</f>
        <v>60</v>
      </c>
      <c r="H23" s="304">
        <f t="shared" si="4"/>
        <v>1</v>
      </c>
      <c r="I23" s="305" t="s">
        <v>183</v>
      </c>
      <c r="J23" s="306">
        <f>H23-H14</f>
        <v>0.15</v>
      </c>
      <c r="K23" s="61"/>
      <c r="L23" s="61"/>
      <c r="M23" s="61"/>
      <c r="N23" s="61"/>
      <c r="O23" s="61"/>
      <c r="P23" s="61"/>
      <c r="Q23" s="61"/>
      <c r="R23" s="61"/>
      <c r="W23" s="61"/>
      <c r="X23" s="61"/>
      <c r="Y23" s="61"/>
    </row>
    <row r="24" ht="12.0" customHeight="1">
      <c r="A24" s="52"/>
      <c r="B24" s="61"/>
      <c r="C24" s="61"/>
      <c r="D24" s="52"/>
      <c r="E24" s="61"/>
      <c r="F24" s="61"/>
      <c r="G24" s="61"/>
      <c r="H24" s="61"/>
      <c r="I24" s="61"/>
      <c r="J24" s="61"/>
      <c r="K24" s="61"/>
      <c r="L24" s="61"/>
      <c r="M24" s="61"/>
      <c r="N24" s="61"/>
      <c r="O24" s="61"/>
      <c r="P24" s="61"/>
      <c r="Q24" s="61"/>
      <c r="R24" s="61"/>
      <c r="W24" s="61"/>
      <c r="X24" s="61"/>
      <c r="Y24" s="61"/>
    </row>
    <row r="25" ht="16.5" customHeight="1">
      <c r="A25" s="52"/>
      <c r="B25" s="307" t="s">
        <v>184</v>
      </c>
      <c r="C25" s="9"/>
      <c r="D25" s="308"/>
      <c r="E25" s="212" t="s">
        <v>185</v>
      </c>
      <c r="K25" s="61"/>
      <c r="L25" s="309" t="str">
        <f>IFERROR(__xludf.DUMMYFUNCTION("IMPORTRANGE(""https://docs.google.com/spreadsheets/d/1CNeKSHTeNNJnfn5EymHwGg5Mkuk6EcepW7_9QkJxalc/edit#gid=206977277"",""RESUMEN!H3:M11"")"),"OPERATIVIDAD DE PCCOM")</f>
        <v>OPERATIVIDAD DE PCCOM</v>
      </c>
      <c r="M25" s="309" t="str">
        <f>IFERROR(__xludf.DUMMYFUNCTION("""COMPUTED_VALUE"""),"REAL")</f>
        <v>REAL</v>
      </c>
      <c r="N25" s="309" t="str">
        <f>IFERROR(__xludf.DUMMYFUNCTION("""COMPUTED_VALUE"""),"%")</f>
        <v>%</v>
      </c>
      <c r="O25" s="310">
        <f>IFERROR(__xludf.DUMMYFUNCTION("""COMPUTED_VALUE"""),46261.0)</f>
        <v>46261</v>
      </c>
      <c r="P25" s="9"/>
      <c r="Q25" s="311" t="str">
        <f>IFERROR(__xludf.DUMMYFUNCTION("""COMPUTED_VALUE"""),"DIF")</f>
        <v>DIF</v>
      </c>
      <c r="R25" s="61"/>
      <c r="W25" s="61"/>
      <c r="X25" s="61"/>
      <c r="Y25" s="61"/>
    </row>
    <row r="26" ht="18.75" customHeight="1">
      <c r="A26" s="52"/>
      <c r="B26" s="312" t="str">
        <f>IFERROR(__xludf.DUMMYFUNCTION("TRANSPOSE(IMPORTRANGE(""https://docs.google.com/spreadsheets/d/1D9Gaq0vid86JLkis77sokTcYmnzylSayfOL-qSUIuis/edit#gid=1366970263"",""CONSOLIDADO DE CIERRE!A1:L1""))"),"FECHA ")</f>
        <v>FECHA </v>
      </c>
      <c r="C26" s="313">
        <f>$B$3</f>
        <v>46261</v>
      </c>
      <c r="D26" s="308"/>
      <c r="E26" s="314" t="s">
        <v>53</v>
      </c>
      <c r="F26" s="314" t="s">
        <v>133</v>
      </c>
      <c r="G26" s="314" t="s">
        <v>134</v>
      </c>
      <c r="H26" s="314" t="s">
        <v>135</v>
      </c>
      <c r="I26" s="315" t="s">
        <v>136</v>
      </c>
      <c r="J26" s="95"/>
      <c r="K26" s="61"/>
      <c r="L26" s="97" t="str">
        <f>IFERROR(__xludf.DUMMYFUNCTION("""COMPUTED_VALUE"""),"LIDER/APOYO")</f>
        <v>LIDER/APOYO</v>
      </c>
      <c r="M26" s="100">
        <f>IFERROR(__xludf.DUMMYFUNCTION("""COMPUTED_VALUE"""),2.0)</f>
        <v>2</v>
      </c>
      <c r="N26" s="316">
        <f>IFERROR(__xludf.DUMMYFUNCTION("""COMPUTED_VALUE"""),0.0392156862745098)</f>
        <v>0.03921568627</v>
      </c>
      <c r="O26" s="107">
        <f>IFERROR(__xludf.DUMMYFUNCTION("""COMPUTED_VALUE"""),2.0)</f>
        <v>2</v>
      </c>
      <c r="P26" s="316">
        <f>IFERROR(__xludf.DUMMYFUNCTION("""COMPUTED_VALUE"""),0.038461538461538464)</f>
        <v>0.03846153846</v>
      </c>
      <c r="Q26" s="317">
        <f>IFERROR(__xludf.DUMMYFUNCTION("""COMPUTED_VALUE"""),-7.541478129713397E-4)</f>
        <v>-0.000754147813</v>
      </c>
      <c r="R26" s="61"/>
      <c r="W26" s="61"/>
      <c r="X26" s="61"/>
      <c r="Y26" s="61"/>
    </row>
    <row r="27" ht="18.75" customHeight="1">
      <c r="A27" s="52"/>
      <c r="B27" s="140" t="str">
        <f>IFERROR(__xludf.DUMMYFUNCTION("""COMPUTED_VALUE"""),"TOTAL DE BENEFICO")</f>
        <v>TOTAL DE BENEFICO</v>
      </c>
      <c r="C27" s="318">
        <f>VLOOKUP($B$3,'CONSOLIDADO DE CIERRE'!$A:$L,2,0)</f>
        <v>440</v>
      </c>
      <c r="D27" s="308"/>
      <c r="E27" s="236">
        <v>1.0</v>
      </c>
      <c r="F27" s="319" t="str">
        <f>IFERROR(__xludf.DUMMYFUNCTION("IMPORTRANGE(""https://docs.google.com/spreadsheets/d/1CNeKSHTeNNJnfn5EymHwGg5Mkuk6EcepW7_9QkJxalc/edit#gid=206977277"",""RESUMEN!C26:F35"")"),"LABORANDO")</f>
        <v>LABORANDO</v>
      </c>
      <c r="G27" s="320">
        <f>IFERROR(__xludf.DUMMYFUNCTION("""COMPUTED_VALUE"""),48.0)</f>
        <v>48</v>
      </c>
      <c r="H27" s="321">
        <f>IFERROR(__xludf.DUMMYFUNCTION("""COMPUTED_VALUE"""),0.9230769230769231)</f>
        <v>0.9230769231</v>
      </c>
      <c r="I27" s="322" t="str">
        <f>IFERROR(__xludf.DUMMYFUNCTION("""COMPUTED_VALUE"""),"")</f>
        <v/>
      </c>
      <c r="J27" s="9"/>
      <c r="K27" s="61"/>
      <c r="L27" s="124" t="str">
        <f>IFERROR(__xludf.DUMMYFUNCTION("""COMPUTED_VALUE"""),"OPERACION")</f>
        <v>OPERACION</v>
      </c>
      <c r="M27" s="100">
        <f>IFERROR(__xludf.DUMMYFUNCTION("""COMPUTED_VALUE"""),41.0)</f>
        <v>41</v>
      </c>
      <c r="N27" s="316">
        <f>IFERROR(__xludf.DUMMYFUNCTION("""COMPUTED_VALUE"""),0.803921568627451)</f>
        <v>0.8039215686</v>
      </c>
      <c r="O27" s="107">
        <f>IFERROR(__xludf.DUMMYFUNCTION("""COMPUTED_VALUE"""),46.0)</f>
        <v>46</v>
      </c>
      <c r="P27" s="316">
        <f>IFERROR(__xludf.DUMMYFUNCTION("""COMPUTED_VALUE"""),0.8846153846153846)</f>
        <v>0.8846153846</v>
      </c>
      <c r="Q27" s="317">
        <f>IFERROR(__xludf.DUMMYFUNCTION("""COMPUTED_VALUE"""),0.08069381598793357)</f>
        <v>0.08069381599</v>
      </c>
      <c r="R27" s="61"/>
      <c r="S27" s="61"/>
      <c r="T27" s="61"/>
      <c r="U27" s="61"/>
      <c r="V27" s="61"/>
      <c r="W27" s="61"/>
      <c r="X27" s="61"/>
      <c r="Y27" s="61"/>
    </row>
    <row r="28" ht="18.75" customHeight="1">
      <c r="A28" s="52"/>
      <c r="B28" s="140" t="str">
        <f>IFERROR(__xludf.DUMMYFUNCTION("""COMPUTED_VALUE"""),"HORA INICIO CABEZAS")</f>
        <v>HORA INICIO CABEZAS</v>
      </c>
      <c r="C28" s="323">
        <f>VLOOKUP($B$3,'CONSOLIDADO DE CIERRE'!$A:$L,3,0)</f>
        <v>0.6319444444</v>
      </c>
      <c r="D28" s="308"/>
      <c r="E28" s="236">
        <f t="shared" ref="E28:E36" si="5">IF(F28="","",E27+1)</f>
        <v>2</v>
      </c>
      <c r="F28" s="319" t="str">
        <f>IFERROR(__xludf.DUMMYFUNCTION("""COMPUTED_VALUE"""),"INCAPACIDAD")</f>
        <v>INCAPACIDAD</v>
      </c>
      <c r="G28" s="320">
        <f>IFERROR(__xludf.DUMMYFUNCTION("""COMPUTED_VALUE"""),1.0)</f>
        <v>1</v>
      </c>
      <c r="H28" s="321">
        <f>IFERROR(__xludf.DUMMYFUNCTION("""COMPUTED_VALUE"""),0.019230769230769232)</f>
        <v>0.01923076923</v>
      </c>
      <c r="I28" s="324" t="str">
        <f>IFERROR(__xludf.DUMMYFUNCTION("""COMPUTED_VALUE"""),"AGUDELO DANIEL")</f>
        <v>AGUDELO DANIEL</v>
      </c>
      <c r="J28" s="9"/>
      <c r="K28" s="61"/>
      <c r="L28" s="97" t="str">
        <f>IFERROR(__xludf.DUMMYFUNCTION("""COMPUTED_VALUE"""),"VACACIONES")</f>
        <v>VACACIONES</v>
      </c>
      <c r="M28" s="100">
        <f>IFERROR(__xludf.DUMMYFUNCTION("""COMPUTED_VALUE"""),3.0)</f>
        <v>3</v>
      </c>
      <c r="N28" s="316">
        <f>IFERROR(__xludf.DUMMYFUNCTION("""COMPUTED_VALUE"""),0.058823529411764705)</f>
        <v>0.05882352941</v>
      </c>
      <c r="O28" s="107">
        <f>IFERROR(__xludf.DUMMYFUNCTION("""COMPUTED_VALUE"""),0.0)</f>
        <v>0</v>
      </c>
      <c r="P28" s="316">
        <f>IFERROR(__xludf.DUMMYFUNCTION("""COMPUTED_VALUE"""),0.0)</f>
        <v>0</v>
      </c>
      <c r="Q28" s="317">
        <f>IFERROR(__xludf.DUMMYFUNCTION("""COMPUTED_VALUE"""),0.058823529411764705)</f>
        <v>0.05882352941</v>
      </c>
      <c r="R28" s="61"/>
      <c r="S28" s="61"/>
      <c r="T28" s="61"/>
      <c r="U28" s="61"/>
      <c r="V28" s="61"/>
      <c r="W28" s="61"/>
      <c r="X28" s="61"/>
      <c r="Y28" s="61"/>
    </row>
    <row r="29" ht="18.75" customHeight="1">
      <c r="A29" s="52"/>
      <c r="B29" s="140" t="str">
        <f>IFERROR(__xludf.DUMMYFUNCTION("""COMPUTED_VALUE"""),"HORA ULTIMA VISCERA AMARRADA")</f>
        <v>HORA ULTIMA VISCERA AMARRADA</v>
      </c>
      <c r="C29" s="323">
        <f>VLOOKUP($B$3,'CONSOLIDADO DE CIERRE'!$A:$L,4,0)</f>
        <v>0.9395833333</v>
      </c>
      <c r="D29" s="308"/>
      <c r="E29" s="236">
        <f t="shared" si="5"/>
        <v>3</v>
      </c>
      <c r="F29" s="325" t="str">
        <f>IFERROR(__xludf.DUMMYFUNCTION("""COMPUTED_VALUE"""),"REUBICADO")</f>
        <v>REUBICADO</v>
      </c>
      <c r="G29" s="248">
        <f>IFERROR(__xludf.DUMMYFUNCTION("""COMPUTED_VALUE"""),1.0)</f>
        <v>1</v>
      </c>
      <c r="H29" s="326">
        <f>IFERROR(__xludf.DUMMYFUNCTION("""COMPUTED_VALUE"""),0.019230769230769232)</f>
        <v>0.01923076923</v>
      </c>
      <c r="I29" s="327" t="str">
        <f>IFERROR(__xludf.DUMMYFUNCTION("""COMPUTED_VALUE"""),"RENGIFO OSCAR")</f>
        <v>RENGIFO OSCAR</v>
      </c>
      <c r="J29" s="9"/>
      <c r="K29" s="61"/>
      <c r="L29" s="97" t="str">
        <f>IFERROR(__xludf.DUMMYFUNCTION("""COMPUTED_VALUE"""),"INC, DF, SUS, PER, PAT")</f>
        <v>INC, DF, SUS, PER, PAT</v>
      </c>
      <c r="M29" s="100">
        <f>IFERROR(__xludf.DUMMYFUNCTION("""COMPUTED_VALUE"""),4.0)</f>
        <v>4</v>
      </c>
      <c r="N29" s="316">
        <f>IFERROR(__xludf.DUMMYFUNCTION("""COMPUTED_VALUE"""),0.0784313725490196)</f>
        <v>0.07843137255</v>
      </c>
      <c r="O29" s="107">
        <f>IFERROR(__xludf.DUMMYFUNCTION("""COMPUTED_VALUE"""),1.0)</f>
        <v>1</v>
      </c>
      <c r="P29" s="316">
        <f>IFERROR(__xludf.DUMMYFUNCTION("""COMPUTED_VALUE"""),0.019230769230769232)</f>
        <v>0.01923076923</v>
      </c>
      <c r="Q29" s="328">
        <f>IFERROR(__xludf.DUMMYFUNCTION("""COMPUTED_VALUE"""),0.059200603318250375)</f>
        <v>0.05920060332</v>
      </c>
      <c r="R29" s="61"/>
      <c r="S29" s="61"/>
      <c r="T29" s="61"/>
      <c r="U29" s="61"/>
      <c r="V29" s="61"/>
      <c r="W29" s="61"/>
      <c r="X29" s="61"/>
      <c r="Y29" s="61"/>
    </row>
    <row r="30" ht="18.75" customHeight="1">
      <c r="A30" s="52"/>
      <c r="B30" s="140" t="str">
        <f>IFERROR(__xludf.DUMMYFUNCTION("""COMPUTED_VALUE"""),"TOTAL PAROS ")</f>
        <v>TOTAL PAROS </v>
      </c>
      <c r="C30" s="329">
        <f>VLOOKUP($B$3,'CONSOLIDADO DE CIERRE'!$A:$L,5,0)</f>
        <v>0.8333333333</v>
      </c>
      <c r="D30" s="308"/>
      <c r="E30" s="236">
        <f t="shared" si="5"/>
        <v>4</v>
      </c>
      <c r="F30" s="330" t="str">
        <f>IFERROR(__xludf.DUMMYFUNCTION("""COMPUTED_VALUE"""),"PDTE POR CONTRATAR")</f>
        <v>PDTE POR CONTRATAR</v>
      </c>
      <c r="G30" s="320">
        <f>IFERROR(__xludf.DUMMYFUNCTION("""COMPUTED_VALUE"""),2.0)</f>
        <v>2</v>
      </c>
      <c r="H30" s="326">
        <f>IFERROR(__xludf.DUMMYFUNCTION("""COMPUTED_VALUE"""),0.038461538461538464)</f>
        <v>0.03846153846</v>
      </c>
      <c r="I30" s="322"/>
      <c r="J30" s="9"/>
      <c r="K30" s="61"/>
      <c r="L30" s="97" t="str">
        <f>IFERROR(__xludf.DUMMYFUNCTION("""COMPUTED_VALUE"""),"POR CONTRATAR")</f>
        <v>POR CONTRATAR</v>
      </c>
      <c r="M30" s="100">
        <f>IFERROR(__xludf.DUMMYFUNCTION("""COMPUTED_VALUE"""),0.0)</f>
        <v>0</v>
      </c>
      <c r="N30" s="316">
        <f>IFERROR(__xludf.DUMMYFUNCTION("""COMPUTED_VALUE"""),0.0)</f>
        <v>0</v>
      </c>
      <c r="O30" s="107">
        <f>IFERROR(__xludf.DUMMYFUNCTION("""COMPUTED_VALUE"""),2.0)</f>
        <v>2</v>
      </c>
      <c r="P30" s="316">
        <f>IFERROR(__xludf.DUMMYFUNCTION("""COMPUTED_VALUE"""),0.038461538461538464)</f>
        <v>0.03846153846</v>
      </c>
      <c r="Q30" s="328">
        <f>IFERROR(__xludf.DUMMYFUNCTION("""COMPUTED_VALUE"""),0.038461538461538464)</f>
        <v>0.03846153846</v>
      </c>
      <c r="R30" s="61"/>
      <c r="S30" s="61"/>
      <c r="T30" s="61"/>
      <c r="U30" s="61"/>
      <c r="V30" s="61"/>
      <c r="W30" s="61"/>
      <c r="X30" s="61"/>
      <c r="Y30" s="61"/>
    </row>
    <row r="31" ht="18.75" customHeight="1">
      <c r="A31" s="52"/>
      <c r="B31" s="140" t="str">
        <f>IFERROR(__xludf.DUMMYFUNCTION("""COMPUTED_VALUE"""),"DURACIÓN PROCESO (Hrs)")</f>
        <v>DURACIÓN PROCESO (Hrs)</v>
      </c>
      <c r="C31" s="331">
        <f>VLOOKUP($B$3,'CONSOLIDADO DE CIERRE'!$A:$L,6,0)</f>
        <v>7.383333333</v>
      </c>
      <c r="D31" s="308"/>
      <c r="E31" s="236" t="str">
        <f t="shared" si="5"/>
        <v/>
      </c>
      <c r="F31" s="319"/>
      <c r="G31" s="332"/>
      <c r="H31" s="332"/>
      <c r="I31" s="322"/>
      <c r="J31" s="9"/>
      <c r="K31" s="61"/>
      <c r="L31" s="97" t="str">
        <f>IFERROR(__xludf.DUMMYFUNCTION("""COMPUTED_VALUE"""),"REUBICADO")</f>
        <v>REUBICADO</v>
      </c>
      <c r="M31" s="100">
        <f>IFERROR(__xludf.DUMMYFUNCTION("""COMPUTED_VALUE"""),1.0)</f>
        <v>1</v>
      </c>
      <c r="N31" s="316">
        <f>IFERROR(__xludf.DUMMYFUNCTION("""COMPUTED_VALUE"""),0.0196078431372549)</f>
        <v>0.01960784314</v>
      </c>
      <c r="O31" s="107">
        <f>IFERROR(__xludf.DUMMYFUNCTION("""COMPUTED_VALUE"""),1.0)</f>
        <v>1</v>
      </c>
      <c r="P31" s="316">
        <f>IFERROR(__xludf.DUMMYFUNCTION("""COMPUTED_VALUE"""),0.019230769230769232)</f>
        <v>0.01923076923</v>
      </c>
      <c r="Q31" s="328">
        <f>IFERROR(__xludf.DUMMYFUNCTION("""COMPUTED_VALUE"""),-3.7707390648566985E-4)</f>
        <v>-0.0003770739065</v>
      </c>
      <c r="R31" s="61"/>
      <c r="S31" s="61"/>
      <c r="T31" s="61"/>
      <c r="U31" s="61"/>
      <c r="V31" s="61"/>
      <c r="W31" s="61"/>
      <c r="X31" s="61"/>
      <c r="Y31" s="61"/>
    </row>
    <row r="32" ht="18.75" customHeight="1">
      <c r="A32" s="52"/>
      <c r="B32" s="333" t="str">
        <f>IFERROR(__xludf.DUMMYFUNCTION("""COMPUTED_VALUE"""),"RENDIMIENTO BRUTO (visceras/hora)")</f>
        <v>RENDIMIENTO BRUTO (visceras/hora)</v>
      </c>
      <c r="C32" s="334">
        <f>VLOOKUP($B$3,'CONSOLIDADO DE CIERRE'!$A:$L,7,0)</f>
        <v>59.59367946</v>
      </c>
      <c r="D32" s="308"/>
      <c r="E32" s="236" t="str">
        <f t="shared" si="5"/>
        <v/>
      </c>
      <c r="F32" s="330"/>
      <c r="G32" s="332"/>
      <c r="H32" s="332"/>
      <c r="I32" s="322"/>
      <c r="J32" s="9"/>
      <c r="K32" s="61"/>
      <c r="L32" s="97" t="str">
        <f>IFERROR(__xludf.DUMMYFUNCTION("""COMPUTED_VALUE"""),"INCAPACIDAD LARGAS")</f>
        <v>INCAPACIDAD LARGAS</v>
      </c>
      <c r="M32" s="100">
        <f>IFERROR(__xludf.DUMMYFUNCTION("""COMPUTED_VALUE"""),0.0)</f>
        <v>0</v>
      </c>
      <c r="N32" s="335"/>
      <c r="O32" s="107">
        <f>IFERROR(__xludf.DUMMYFUNCTION("""COMPUTED_VALUE"""),0.0)</f>
        <v>0</v>
      </c>
      <c r="P32" s="335"/>
      <c r="Q32" s="336"/>
      <c r="R32" s="61"/>
      <c r="S32" s="61"/>
      <c r="T32" s="61"/>
      <c r="U32" s="61"/>
      <c r="V32" s="61"/>
      <c r="W32" s="61"/>
      <c r="X32" s="61"/>
      <c r="Y32" s="61"/>
    </row>
    <row r="33" ht="18.75" customHeight="1">
      <c r="A33" s="52"/>
      <c r="B33" s="333" t="str">
        <f>IFERROR(__xludf.DUMMYFUNCTION("""COMPUTED_VALUE"""),"RENDIMIENTO NETO (visceras/hora)")</f>
        <v>RENDIMIENTO NETO (visceras/hora)</v>
      </c>
      <c r="C33" s="334">
        <f>VLOOKUP($B$3,'CONSOLIDADO DE CIERRE'!$A:$L,8,0)</f>
        <v>67.17557252</v>
      </c>
      <c r="D33" s="308"/>
      <c r="E33" s="236" t="str">
        <f t="shared" si="5"/>
        <v/>
      </c>
      <c r="F33" s="319"/>
      <c r="G33" s="332"/>
      <c r="H33" s="332"/>
      <c r="I33" s="322"/>
      <c r="J33" s="9"/>
      <c r="K33" s="61"/>
      <c r="L33" s="337"/>
      <c r="M33" s="338">
        <f>IFERROR(__xludf.DUMMYFUNCTION("""COMPUTED_VALUE"""),51.0)</f>
        <v>51</v>
      </c>
      <c r="N33" s="337"/>
      <c r="O33" s="338">
        <f>IFERROR(__xludf.DUMMYFUNCTION("""COMPUTED_VALUE"""),52.0)</f>
        <v>52</v>
      </c>
      <c r="P33" s="337"/>
      <c r="Q33" s="337"/>
      <c r="R33" s="61"/>
      <c r="S33" s="61"/>
      <c r="T33" s="61"/>
      <c r="U33" s="61"/>
      <c r="V33" s="61"/>
      <c r="W33" s="61"/>
      <c r="X33" s="61"/>
      <c r="Y33" s="61"/>
    </row>
    <row r="34" ht="18.75" customHeight="1">
      <c r="A34" s="52"/>
      <c r="B34" s="140" t="str">
        <f>IFERROR(__xludf.DUMMYFUNCTION("""COMPUTED_VALUE"""),"RENDIMIENTO (visceras/hr/hombre)")</f>
        <v>RENDIMIENTO (visceras/hr/hombre)</v>
      </c>
      <c r="C34" s="329">
        <f>VLOOKUP($B$3, 'CONSOLIDADO DE CIERRE'!$A:$L, 9, 0)</f>
        <v>1.241534989</v>
      </c>
      <c r="D34" s="308"/>
      <c r="E34" s="236" t="str">
        <f t="shared" si="5"/>
        <v/>
      </c>
      <c r="F34" s="330"/>
      <c r="G34" s="332"/>
      <c r="H34" s="332"/>
      <c r="I34" s="339"/>
      <c r="J34" s="9"/>
      <c r="K34" s="61"/>
      <c r="R34" s="61"/>
      <c r="S34" s="61"/>
      <c r="T34" s="61"/>
      <c r="U34" s="61"/>
      <c r="V34" s="61"/>
      <c r="W34" s="61"/>
      <c r="X34" s="61"/>
      <c r="Y34" s="61"/>
    </row>
    <row r="35" ht="18.75" customHeight="1">
      <c r="A35" s="52"/>
      <c r="B35" s="140" t="str">
        <f>IFERROR(__xludf.DUMMYFUNCTION("""COMPUTED_VALUE"""),"MINUTOS  PAROS PROGRAMADOS")</f>
        <v>MINUTOS  PAROS PROGRAMADOS</v>
      </c>
      <c r="C35" s="318">
        <f>VLOOKUP($B$3,'CONSOLIDADO DE CIERRE'!$A:$L,10,0)</f>
        <v>30</v>
      </c>
      <c r="D35" s="308"/>
      <c r="E35" s="236" t="str">
        <f t="shared" si="5"/>
        <v/>
      </c>
      <c r="F35" s="330"/>
      <c r="G35" s="332"/>
      <c r="H35" s="332"/>
      <c r="I35" s="322"/>
      <c r="J35" s="9"/>
      <c r="K35" s="61"/>
      <c r="R35" s="61"/>
      <c r="S35" s="61"/>
      <c r="T35" s="61"/>
      <c r="U35" s="61"/>
      <c r="V35" s="61"/>
      <c r="W35" s="61"/>
      <c r="X35" s="61"/>
      <c r="Y35" s="61"/>
    </row>
    <row r="36" ht="18.75" customHeight="1">
      <c r="A36" s="52"/>
      <c r="B36" s="140" t="str">
        <f>IFERROR(__xludf.DUMMYFUNCTION("""COMPUTED_VALUE"""),"MINUTOS PAROS NO PROGRAMADOS")</f>
        <v>MINUTOS PAROS NO PROGRAMADOS</v>
      </c>
      <c r="C36" s="318">
        <f>VLOOKUP($B$3,'CONSOLIDADO DE CIERRE'!$A:$L,11,0)</f>
        <v>20</v>
      </c>
      <c r="D36" s="308"/>
      <c r="E36" s="236" t="str">
        <f t="shared" si="5"/>
        <v/>
      </c>
      <c r="F36" s="330"/>
      <c r="G36" s="332"/>
      <c r="H36" s="332"/>
      <c r="I36" s="322"/>
      <c r="J36" s="9"/>
      <c r="K36" s="61"/>
      <c r="L36" s="61"/>
      <c r="M36" s="61"/>
      <c r="N36" s="61"/>
      <c r="O36" s="61"/>
      <c r="P36" s="61"/>
      <c r="Q36" s="61"/>
      <c r="R36" s="61"/>
      <c r="S36" s="61"/>
      <c r="T36" s="61"/>
      <c r="U36" s="61"/>
      <c r="V36" s="61"/>
      <c r="W36" s="61"/>
      <c r="X36" s="61"/>
      <c r="Y36" s="61"/>
    </row>
    <row r="37" ht="37.5" customHeight="1">
      <c r="A37" s="52"/>
      <c r="B37" s="140" t="str">
        <f>IFERROR(__xludf.DUMMYFUNCTION("""COMPUTED_VALUE"""),"NOVEDADES:")</f>
        <v>NOVEDADES:</v>
      </c>
      <c r="C37" s="340" t="str">
        <f>VLOOKUP($B$3,'CONSOLIDADO DE CIERRE'!$A:$L,12,0)</f>
        <v/>
      </c>
      <c r="D37" s="308"/>
      <c r="E37" s="302" t="s">
        <v>159</v>
      </c>
      <c r="F37" s="9"/>
      <c r="G37" s="303">
        <f t="shared" ref="G37:H37" si="6">SUM(G27:G36)</f>
        <v>52</v>
      </c>
      <c r="H37" s="304">
        <f t="shared" si="6"/>
        <v>1</v>
      </c>
      <c r="I37" s="305" t="s">
        <v>183</v>
      </c>
      <c r="J37" s="306">
        <f>H37-H27</f>
        <v>0.07692307692</v>
      </c>
      <c r="K37" s="61"/>
      <c r="L37" s="61"/>
      <c r="M37" s="61"/>
      <c r="N37" s="61"/>
      <c r="O37" s="61"/>
      <c r="P37" s="61"/>
      <c r="Q37" s="61"/>
      <c r="R37" s="61"/>
      <c r="S37" s="61"/>
      <c r="T37" s="61"/>
      <c r="U37" s="61"/>
      <c r="V37" s="61"/>
      <c r="W37" s="61"/>
      <c r="X37" s="61"/>
      <c r="Y37" s="61"/>
    </row>
    <row r="38">
      <c r="A38" s="52"/>
      <c r="B38" s="341"/>
      <c r="C38" s="341"/>
      <c r="D38" s="308"/>
      <c r="E38" s="341"/>
      <c r="F38" s="341"/>
      <c r="G38" s="341"/>
      <c r="H38" s="341"/>
      <c r="I38" s="341"/>
      <c r="J38" s="61"/>
      <c r="K38" s="61"/>
      <c r="L38" s="61"/>
      <c r="M38" s="61"/>
      <c r="N38" s="61"/>
      <c r="O38" s="61"/>
      <c r="P38" s="61"/>
      <c r="Q38" s="61"/>
      <c r="R38" s="61"/>
      <c r="S38" s="61"/>
      <c r="T38" s="61"/>
      <c r="U38" s="61"/>
      <c r="V38" s="61"/>
      <c r="W38" s="61"/>
      <c r="X38" s="61"/>
      <c r="Y38" s="61"/>
    </row>
    <row r="39">
      <c r="A39" s="52"/>
      <c r="B39" s="61"/>
      <c r="C39" s="61"/>
      <c r="D39" s="52"/>
      <c r="E39" s="61"/>
      <c r="F39" s="61"/>
      <c r="G39" s="61"/>
      <c r="H39" s="61"/>
      <c r="I39" s="61"/>
      <c r="J39" s="61"/>
      <c r="K39" s="61"/>
      <c r="L39" s="61"/>
      <c r="M39" s="61"/>
      <c r="N39" s="61"/>
      <c r="O39" s="61"/>
      <c r="P39" s="61"/>
      <c r="Q39" s="61"/>
      <c r="R39" s="61"/>
      <c r="S39" s="61"/>
      <c r="T39" s="61"/>
      <c r="U39" s="61"/>
      <c r="V39" s="61"/>
      <c r="W39" s="61"/>
      <c r="X39" s="61"/>
      <c r="Y39" s="61"/>
    </row>
    <row r="40">
      <c r="A40" s="52"/>
      <c r="B40" s="342" t="s">
        <v>186</v>
      </c>
      <c r="C40" s="95"/>
      <c r="D40" s="95"/>
      <c r="E40" s="95"/>
      <c r="F40" s="95"/>
      <c r="G40" s="95"/>
      <c r="H40" s="91"/>
      <c r="I40" s="61"/>
      <c r="J40" s="61"/>
      <c r="K40" s="61"/>
      <c r="L40" s="61"/>
      <c r="M40" s="61"/>
      <c r="N40" s="61"/>
      <c r="O40" s="61"/>
      <c r="P40" s="61"/>
      <c r="Q40" s="61"/>
      <c r="R40" s="61"/>
      <c r="S40" s="61"/>
      <c r="T40" s="61"/>
      <c r="U40" s="61"/>
      <c r="V40" s="61"/>
      <c r="W40" s="61"/>
      <c r="X40" s="61"/>
      <c r="Y40" s="61"/>
    </row>
    <row r="41">
      <c r="A41" s="52"/>
      <c r="B41" s="121"/>
      <c r="H41" s="122"/>
      <c r="I41" s="61"/>
      <c r="J41" s="61"/>
      <c r="K41" s="61"/>
      <c r="L41" s="61"/>
      <c r="M41" s="61"/>
      <c r="N41" s="61"/>
      <c r="O41" s="61"/>
      <c r="P41" s="61"/>
      <c r="Q41" s="61"/>
      <c r="R41" s="61"/>
      <c r="S41" s="61"/>
      <c r="T41" s="61"/>
      <c r="U41" s="61"/>
      <c r="V41" s="61"/>
      <c r="W41" s="61"/>
      <c r="X41" s="61"/>
      <c r="Y41" s="61"/>
    </row>
    <row r="42">
      <c r="A42" s="52"/>
      <c r="B42" s="343" t="s">
        <v>187</v>
      </c>
      <c r="C42" s="9"/>
      <c r="D42" s="52"/>
      <c r="E42" s="61"/>
      <c r="F42" s="343" t="s">
        <v>188</v>
      </c>
      <c r="G42" s="8"/>
      <c r="H42" s="9"/>
      <c r="I42" s="344">
        <f>B3</f>
        <v>46261</v>
      </c>
      <c r="J42" s="61"/>
      <c r="K42" s="61"/>
      <c r="L42" s="61"/>
      <c r="M42" s="61"/>
      <c r="N42" s="61"/>
      <c r="O42" s="61"/>
      <c r="P42" s="61"/>
      <c r="Q42" s="61"/>
      <c r="R42" s="61"/>
      <c r="S42" s="61"/>
      <c r="T42" s="61"/>
      <c r="U42" s="61"/>
      <c r="V42" s="61"/>
      <c r="W42" s="61"/>
      <c r="X42" s="61"/>
      <c r="Y42" s="61"/>
    </row>
    <row r="43">
      <c r="A43" s="52"/>
      <c r="B43" s="345" t="s">
        <v>189</v>
      </c>
      <c r="C43" s="346"/>
      <c r="D43" s="52"/>
      <c r="E43" s="61"/>
      <c r="F43" s="347" t="s">
        <v>189</v>
      </c>
      <c r="G43" s="9"/>
      <c r="H43" s="346"/>
      <c r="I43" s="348" t="str">
        <f>CONCATENATE("Hora de Inicio proceso: *",TEXT("00:00",C6),"*")</f>
        <v>Hora de Inicio proceso: *15:10*</v>
      </c>
      <c r="J43" s="61"/>
      <c r="K43" s="61"/>
      <c r="L43" s="61"/>
      <c r="M43" s="61"/>
      <c r="N43" s="61"/>
      <c r="O43" s="61"/>
      <c r="P43" s="61"/>
      <c r="Q43" s="61"/>
      <c r="R43" s="61"/>
      <c r="S43" s="61"/>
      <c r="T43" s="61"/>
      <c r="U43" s="61"/>
      <c r="V43" s="61"/>
      <c r="W43" s="61"/>
      <c r="X43" s="61"/>
      <c r="Y43" s="61"/>
    </row>
    <row r="44">
      <c r="A44" s="52"/>
      <c r="B44" s="349" t="s">
        <v>190</v>
      </c>
      <c r="C44" s="350">
        <v>1.0</v>
      </c>
      <c r="D44" s="52"/>
      <c r="E44" s="61"/>
      <c r="F44" s="351" t="s">
        <v>191</v>
      </c>
      <c r="G44" s="9"/>
      <c r="H44" s="352">
        <v>1.0</v>
      </c>
      <c r="I44" s="348" t="str">
        <f> CONCATENATE("Hora fin proceso: *",TEXT("00:00",C7),"*")</f>
        <v>Hora fin proceso: *21:53*</v>
      </c>
      <c r="J44" s="61"/>
      <c r="K44" s="61"/>
      <c r="L44" s="61"/>
      <c r="M44" s="61"/>
      <c r="N44" s="61"/>
      <c r="O44" s="61"/>
      <c r="P44" s="61"/>
      <c r="Q44" s="61"/>
      <c r="R44" s="61"/>
      <c r="S44" s="61"/>
      <c r="T44" s="61"/>
      <c r="U44" s="61"/>
      <c r="V44" s="61"/>
      <c r="W44" s="61"/>
      <c r="X44" s="61"/>
      <c r="Y44" s="61"/>
    </row>
    <row r="45">
      <c r="A45" s="52"/>
      <c r="B45" s="349" t="s">
        <v>192</v>
      </c>
      <c r="C45" s="350">
        <v>1.0</v>
      </c>
      <c r="D45" s="52"/>
      <c r="E45" s="61"/>
      <c r="F45" s="351" t="s">
        <v>193</v>
      </c>
      <c r="G45" s="9"/>
      <c r="H45" s="352">
        <v>1.0</v>
      </c>
      <c r="I45" s="348" t="str">
        <f>CONCATENATE("Parada programada: *",C22, "* Min")</f>
        <v>Parada programada: *30* Min</v>
      </c>
      <c r="J45" s="61"/>
      <c r="K45" s="61"/>
      <c r="L45" s="61"/>
      <c r="M45" s="61"/>
      <c r="N45" s="61"/>
      <c r="O45" s="61"/>
      <c r="P45" s="61"/>
      <c r="Q45" s="61"/>
      <c r="R45" s="61"/>
      <c r="S45" s="61"/>
      <c r="T45" s="61"/>
      <c r="U45" s="61"/>
      <c r="V45" s="61"/>
      <c r="W45" s="61"/>
      <c r="X45" s="61"/>
      <c r="Y45" s="61"/>
    </row>
    <row r="46" ht="18.0" customHeight="1">
      <c r="A46" s="52"/>
      <c r="B46" s="349" t="s">
        <v>194</v>
      </c>
      <c r="C46" s="350">
        <v>1.0</v>
      </c>
      <c r="D46" s="52"/>
      <c r="E46" s="61"/>
      <c r="F46" s="351" t="s">
        <v>195</v>
      </c>
      <c r="G46" s="9"/>
      <c r="H46" s="352">
        <v>1.0</v>
      </c>
      <c r="I46" s="348" t="str">
        <f>CONCATENATE("Tiempos improductivos y causas: ",C23, " Min
",
G3)</f>
        <v>Tiempos improductivos y causas: 20 Min
1. Se registra parada por tanque cañón ruminal tapado (20)</v>
      </c>
      <c r="J46" s="61"/>
      <c r="K46" s="61"/>
      <c r="L46" s="230"/>
      <c r="M46" s="61"/>
      <c r="N46" s="61"/>
      <c r="O46" s="61"/>
      <c r="P46" s="61"/>
      <c r="Q46" s="61"/>
      <c r="R46" s="61"/>
      <c r="S46" s="61"/>
      <c r="T46" s="61"/>
      <c r="U46" s="61"/>
      <c r="V46" s="61"/>
      <c r="W46" s="61"/>
      <c r="X46" s="61"/>
      <c r="Y46" s="61"/>
    </row>
    <row r="47">
      <c r="A47" s="52"/>
      <c r="B47" s="349" t="s">
        <v>196</v>
      </c>
      <c r="C47" s="350">
        <v>1.0</v>
      </c>
      <c r="D47" s="52"/>
      <c r="E47" s="61"/>
      <c r="F47" s="351" t="s">
        <v>197</v>
      </c>
      <c r="G47" s="9"/>
      <c r="H47" s="352">
        <v>1.0</v>
      </c>
      <c r="J47" s="61"/>
      <c r="K47" s="61"/>
      <c r="L47" s="61"/>
      <c r="M47" s="61"/>
      <c r="N47" s="61"/>
      <c r="O47" s="61"/>
      <c r="P47" s="61"/>
      <c r="Q47" s="61"/>
      <c r="R47" s="61"/>
      <c r="S47" s="61"/>
      <c r="T47" s="61"/>
      <c r="U47" s="61"/>
      <c r="V47" s="61"/>
      <c r="W47" s="61"/>
      <c r="X47" s="61"/>
      <c r="Y47" s="61"/>
    </row>
    <row r="48">
      <c r="A48" s="52"/>
      <c r="B48" s="353" t="s">
        <v>198</v>
      </c>
      <c r="C48" s="350">
        <v>1.0</v>
      </c>
      <c r="D48" s="52"/>
      <c r="E48" s="61"/>
      <c r="F48" s="351" t="s">
        <v>199</v>
      </c>
      <c r="G48" s="9"/>
      <c r="H48" s="352">
        <v>1.0</v>
      </c>
      <c r="I48" s="348" t="str">
        <f>CONCATENATE("Número de personas en proceso: *",O4+O9,"* Beneficio, *" ,O27 ,"* PCCOM")</f>
        <v>Número de personas en proceso: *51* Beneficio, *46* PCCOM</v>
      </c>
      <c r="J48" s="61"/>
      <c r="K48" s="61"/>
      <c r="L48" s="61"/>
      <c r="M48" s="61"/>
      <c r="N48" s="61"/>
      <c r="O48" s="61"/>
      <c r="P48" s="61"/>
      <c r="Q48" s="61"/>
      <c r="R48" s="61"/>
      <c r="S48" s="61"/>
      <c r="T48" s="61"/>
      <c r="U48" s="61"/>
      <c r="V48" s="61"/>
      <c r="W48" s="61"/>
      <c r="X48" s="61"/>
      <c r="Y48" s="61"/>
    </row>
    <row r="49">
      <c r="A49" s="52"/>
      <c r="B49" s="353" t="s">
        <v>200</v>
      </c>
      <c r="C49" s="350">
        <v>1.0</v>
      </c>
      <c r="D49" s="52"/>
      <c r="E49" s="61"/>
      <c r="F49" s="351" t="s">
        <v>201</v>
      </c>
      <c r="G49" s="9"/>
      <c r="H49" s="352">
        <v>1.0</v>
      </c>
      <c r="I49" s="348" t="str">
        <f>CONCATENATE("Número de animales en beneficio: *" , C5 ,"*")</f>
        <v>Número de animales en beneficio: *440*</v>
      </c>
      <c r="J49" s="61"/>
      <c r="K49" s="61"/>
      <c r="L49" s="61"/>
      <c r="M49" s="61"/>
      <c r="N49" s="61"/>
      <c r="O49" s="61"/>
      <c r="P49" s="61"/>
      <c r="Q49" s="61"/>
      <c r="R49" s="61"/>
      <c r="S49" s="61"/>
      <c r="T49" s="61"/>
      <c r="U49" s="61"/>
      <c r="V49" s="61"/>
      <c r="W49" s="61"/>
      <c r="X49" s="61"/>
      <c r="Y49" s="61"/>
    </row>
    <row r="50">
      <c r="A50" s="52"/>
      <c r="B50" s="353" t="s">
        <v>202</v>
      </c>
      <c r="C50" s="350">
        <v>1.0</v>
      </c>
      <c r="D50" s="52"/>
      <c r="E50" s="61"/>
      <c r="F50" s="351" t="s">
        <v>203</v>
      </c>
      <c r="G50" s="9"/>
      <c r="H50" s="352">
        <v>1.0</v>
      </c>
      <c r="I50" s="61"/>
      <c r="J50" s="61"/>
      <c r="K50" s="61"/>
      <c r="L50" s="61"/>
      <c r="M50" s="61"/>
      <c r="N50" s="61"/>
      <c r="O50" s="61"/>
      <c r="P50" s="61"/>
      <c r="Q50" s="61"/>
      <c r="R50" s="61"/>
      <c r="S50" s="61"/>
      <c r="T50" s="61"/>
      <c r="U50" s="61"/>
      <c r="V50" s="61"/>
      <c r="W50" s="61"/>
      <c r="X50" s="61"/>
      <c r="Y50" s="61"/>
    </row>
    <row r="51">
      <c r="A51" s="52"/>
      <c r="B51" s="349" t="s">
        <v>204</v>
      </c>
      <c r="C51" s="350">
        <v>1.0</v>
      </c>
      <c r="D51" s="52"/>
      <c r="E51" s="61"/>
      <c r="F51" s="351" t="s">
        <v>205</v>
      </c>
      <c r="G51" s="9"/>
      <c r="H51" s="352">
        <v>1.0</v>
      </c>
      <c r="I51" s="61"/>
      <c r="J51" s="61"/>
      <c r="K51" s="61"/>
      <c r="L51" s="61"/>
      <c r="M51" s="61"/>
      <c r="N51" s="61"/>
      <c r="O51" s="61"/>
      <c r="P51" s="61"/>
      <c r="Q51" s="61"/>
      <c r="R51" s="61"/>
      <c r="S51" s="61"/>
      <c r="T51" s="61"/>
      <c r="U51" s="61"/>
      <c r="V51" s="61"/>
      <c r="W51" s="61"/>
      <c r="X51" s="61"/>
      <c r="Y51" s="61"/>
    </row>
    <row r="52">
      <c r="A52" s="52"/>
      <c r="B52" s="353" t="s">
        <v>38</v>
      </c>
      <c r="C52" s="350">
        <v>1.0</v>
      </c>
      <c r="D52" s="52"/>
      <c r="E52" s="61"/>
      <c r="F52" s="351" t="s">
        <v>206</v>
      </c>
      <c r="G52" s="9"/>
      <c r="H52" s="352">
        <v>1.0</v>
      </c>
      <c r="I52" s="61"/>
      <c r="J52" s="61"/>
      <c r="K52" s="61"/>
      <c r="L52" s="61"/>
      <c r="M52" s="61"/>
      <c r="N52" s="61"/>
      <c r="O52" s="61"/>
      <c r="P52" s="61"/>
      <c r="Q52" s="61"/>
      <c r="R52" s="61"/>
      <c r="S52" s="61"/>
      <c r="T52" s="61"/>
      <c r="U52" s="61"/>
      <c r="V52" s="61"/>
      <c r="W52" s="61"/>
      <c r="X52" s="61"/>
      <c r="Y52" s="61"/>
    </row>
    <row r="53">
      <c r="A53" s="52"/>
      <c r="B53" s="349" t="s">
        <v>45</v>
      </c>
      <c r="C53" s="350">
        <v>1.0</v>
      </c>
      <c r="D53" s="52"/>
      <c r="E53" s="61"/>
      <c r="F53" s="351" t="s">
        <v>208</v>
      </c>
      <c r="G53" s="9"/>
      <c r="H53" s="352">
        <v>1.0</v>
      </c>
      <c r="I53" s="61"/>
      <c r="J53" s="61"/>
      <c r="K53" s="61"/>
      <c r="L53" s="61"/>
      <c r="M53" s="61"/>
      <c r="N53" s="61"/>
      <c r="O53" s="61"/>
      <c r="P53" s="61"/>
      <c r="Q53" s="61"/>
      <c r="R53" s="61"/>
      <c r="S53" s="61"/>
      <c r="T53" s="61"/>
      <c r="U53" s="61"/>
      <c r="V53" s="61"/>
      <c r="W53" s="61"/>
      <c r="X53" s="61"/>
      <c r="Y53" s="61"/>
    </row>
    <row r="54">
      <c r="A54" s="52"/>
      <c r="B54" s="356" t="s">
        <v>210</v>
      </c>
      <c r="C54" s="350">
        <v>1.0</v>
      </c>
      <c r="D54" s="52"/>
      <c r="E54" s="61"/>
      <c r="F54" s="351" t="s">
        <v>211</v>
      </c>
      <c r="G54" s="9"/>
      <c r="H54" s="352">
        <v>1.0</v>
      </c>
      <c r="I54" s="61"/>
      <c r="J54" s="61"/>
      <c r="K54" s="61"/>
      <c r="L54" s="61"/>
      <c r="M54" s="61"/>
      <c r="N54" s="61"/>
      <c r="O54" s="61"/>
      <c r="P54" s="61"/>
      <c r="Q54" s="61"/>
      <c r="R54" s="61"/>
      <c r="S54" s="61"/>
      <c r="T54" s="61"/>
      <c r="U54" s="61"/>
      <c r="V54" s="61"/>
      <c r="W54" s="61"/>
      <c r="X54" s="61"/>
      <c r="Y54" s="61"/>
    </row>
    <row r="55">
      <c r="A55" s="52"/>
      <c r="B55" s="356" t="s">
        <v>213</v>
      </c>
      <c r="C55" s="350">
        <v>1.0</v>
      </c>
      <c r="D55" s="52"/>
      <c r="E55" s="61"/>
      <c r="F55" s="351" t="s">
        <v>214</v>
      </c>
      <c r="G55" s="9"/>
      <c r="H55" s="352">
        <v>1.0</v>
      </c>
      <c r="I55" s="61"/>
      <c r="J55" s="61"/>
      <c r="K55" s="61"/>
      <c r="L55" s="61"/>
      <c r="M55" s="61"/>
      <c r="N55" s="61"/>
      <c r="O55" s="61"/>
      <c r="P55" s="61"/>
      <c r="Q55" s="61"/>
      <c r="R55" s="61"/>
      <c r="S55" s="61"/>
      <c r="T55" s="61"/>
      <c r="U55" s="61"/>
      <c r="V55" s="61"/>
      <c r="W55" s="61"/>
      <c r="X55" s="61"/>
      <c r="Y55" s="61"/>
    </row>
    <row r="56">
      <c r="A56" s="52"/>
      <c r="B56" s="356" t="s">
        <v>216</v>
      </c>
      <c r="C56" s="350">
        <v>1.0</v>
      </c>
      <c r="D56" s="52"/>
      <c r="E56" s="61"/>
      <c r="F56" s="351" t="s">
        <v>217</v>
      </c>
      <c r="G56" s="9"/>
      <c r="H56" s="352">
        <v>1.0</v>
      </c>
      <c r="I56" s="61"/>
      <c r="J56" s="61"/>
      <c r="K56" s="61"/>
      <c r="L56" s="61"/>
      <c r="M56" s="61"/>
      <c r="N56" s="61"/>
      <c r="O56" s="61"/>
      <c r="P56" s="61"/>
      <c r="Q56" s="61"/>
      <c r="R56" s="61"/>
      <c r="S56" s="61"/>
      <c r="T56" s="61"/>
      <c r="U56" s="61"/>
      <c r="V56" s="61"/>
      <c r="W56" s="61"/>
      <c r="X56" s="61"/>
      <c r="Y56" s="61"/>
    </row>
    <row r="57">
      <c r="A57" s="52"/>
      <c r="B57" s="356" t="s">
        <v>218</v>
      </c>
      <c r="C57" s="350">
        <v>1.0</v>
      </c>
      <c r="D57" s="52"/>
      <c r="E57" s="61"/>
      <c r="F57" s="351" t="s">
        <v>219</v>
      </c>
      <c r="G57" s="9"/>
      <c r="H57" s="352">
        <v>1.0</v>
      </c>
      <c r="I57" s="61"/>
      <c r="J57" s="61"/>
      <c r="K57" s="61"/>
      <c r="L57" s="61"/>
      <c r="M57" s="61"/>
      <c r="N57" s="61"/>
      <c r="O57" s="61"/>
      <c r="P57" s="61"/>
      <c r="Q57" s="61"/>
      <c r="R57" s="61"/>
      <c r="S57" s="61"/>
      <c r="T57" s="61"/>
      <c r="U57" s="61"/>
      <c r="V57" s="61"/>
      <c r="W57" s="61"/>
      <c r="X57" s="61"/>
      <c r="Y57" s="61"/>
    </row>
    <row r="58">
      <c r="A58" s="52"/>
      <c r="B58" s="356" t="s">
        <v>224</v>
      </c>
      <c r="C58" s="350">
        <v>1.0</v>
      </c>
      <c r="D58" s="52"/>
      <c r="E58" s="61"/>
      <c r="F58" s="351" t="s">
        <v>225</v>
      </c>
      <c r="G58" s="9"/>
      <c r="H58" s="352">
        <v>1.0</v>
      </c>
      <c r="I58" s="61"/>
      <c r="J58" s="61"/>
      <c r="K58" s="61"/>
      <c r="L58" s="61"/>
      <c r="M58" s="61"/>
      <c r="N58" s="61"/>
      <c r="O58" s="61"/>
      <c r="P58" s="61"/>
      <c r="Q58" s="61"/>
      <c r="R58" s="61"/>
      <c r="S58" s="61"/>
      <c r="T58" s="61"/>
      <c r="U58" s="61"/>
      <c r="V58" s="61"/>
      <c r="W58" s="61"/>
      <c r="X58" s="61"/>
      <c r="Y58" s="61"/>
    </row>
    <row r="59">
      <c r="A59" s="52"/>
      <c r="B59" s="356" t="s">
        <v>231</v>
      </c>
      <c r="C59" s="350">
        <v>1.0</v>
      </c>
      <c r="D59" s="52"/>
      <c r="E59" s="61"/>
      <c r="F59" s="351" t="s">
        <v>232</v>
      </c>
      <c r="G59" s="9"/>
      <c r="H59" s="352">
        <v>1.0</v>
      </c>
      <c r="I59" s="61"/>
      <c r="J59" s="61"/>
      <c r="K59" s="61"/>
      <c r="L59" s="61"/>
      <c r="M59" s="61"/>
      <c r="N59" s="61"/>
      <c r="O59" s="61"/>
      <c r="P59" s="61"/>
      <c r="Q59" s="61"/>
      <c r="R59" s="61"/>
      <c r="S59" s="61"/>
      <c r="T59" s="61"/>
      <c r="U59" s="61"/>
      <c r="V59" s="61"/>
      <c r="W59" s="61"/>
      <c r="X59" s="61"/>
      <c r="Y59" s="61"/>
    </row>
    <row r="60">
      <c r="A60" s="52"/>
      <c r="B60" s="356" t="s">
        <v>234</v>
      </c>
      <c r="C60" s="350">
        <v>1.0</v>
      </c>
      <c r="D60" s="52"/>
      <c r="E60" s="61"/>
      <c r="F60" s="351" t="s">
        <v>235</v>
      </c>
      <c r="G60" s="9"/>
      <c r="H60" s="352">
        <v>1.0</v>
      </c>
      <c r="I60" s="61"/>
      <c r="J60" s="61"/>
      <c r="K60" s="61"/>
      <c r="L60" s="61"/>
      <c r="M60" s="61"/>
      <c r="N60" s="61"/>
      <c r="O60" s="61"/>
      <c r="P60" s="61"/>
      <c r="Q60" s="61"/>
      <c r="R60" s="61"/>
      <c r="S60" s="61"/>
      <c r="T60" s="61"/>
      <c r="U60" s="61"/>
      <c r="V60" s="61"/>
      <c r="W60" s="61"/>
      <c r="X60" s="61"/>
      <c r="Y60" s="61"/>
    </row>
    <row r="61">
      <c r="A61" s="52"/>
      <c r="B61" s="353" t="s">
        <v>236</v>
      </c>
      <c r="C61" s="350">
        <v>1.0</v>
      </c>
      <c r="D61" s="52"/>
      <c r="E61" s="61"/>
      <c r="F61" s="351" t="s">
        <v>237</v>
      </c>
      <c r="G61" s="9"/>
      <c r="H61" s="352">
        <v>1.0</v>
      </c>
      <c r="I61" s="61"/>
      <c r="J61" s="61"/>
      <c r="K61" s="61"/>
      <c r="L61" s="61"/>
      <c r="M61" s="61"/>
      <c r="N61" s="61"/>
      <c r="O61" s="61"/>
      <c r="P61" s="61"/>
      <c r="Q61" s="61"/>
      <c r="R61" s="61"/>
      <c r="S61" s="61"/>
      <c r="T61" s="61"/>
      <c r="U61" s="61"/>
      <c r="V61" s="61"/>
      <c r="W61" s="61"/>
      <c r="X61" s="61"/>
      <c r="Y61" s="61"/>
    </row>
    <row r="62">
      <c r="A62" s="52"/>
      <c r="B62" s="353" t="s">
        <v>238</v>
      </c>
      <c r="C62" s="350">
        <v>1.0</v>
      </c>
      <c r="D62" s="52"/>
      <c r="E62" s="61"/>
      <c r="F62" s="351" t="s">
        <v>239</v>
      </c>
      <c r="G62" s="9"/>
      <c r="H62" s="352">
        <v>1.0</v>
      </c>
      <c r="I62" s="61"/>
      <c r="J62" s="61"/>
      <c r="K62" s="61"/>
      <c r="L62" s="61"/>
      <c r="M62" s="61"/>
      <c r="N62" s="61"/>
      <c r="O62" s="61"/>
      <c r="P62" s="61"/>
      <c r="Q62" s="61"/>
      <c r="R62" s="61"/>
      <c r="S62" s="61"/>
      <c r="T62" s="61"/>
      <c r="U62" s="61"/>
      <c r="V62" s="61"/>
      <c r="W62" s="61"/>
      <c r="X62" s="61"/>
      <c r="Y62" s="61"/>
    </row>
    <row r="63">
      <c r="A63" s="52"/>
      <c r="B63" s="356" t="s">
        <v>240</v>
      </c>
      <c r="C63" s="350">
        <v>1.0</v>
      </c>
      <c r="D63" s="52"/>
      <c r="E63" s="61"/>
      <c r="F63" s="351" t="s">
        <v>241</v>
      </c>
      <c r="G63" s="9"/>
      <c r="H63" s="352">
        <v>4.0</v>
      </c>
      <c r="I63" s="61"/>
      <c r="J63" s="61"/>
      <c r="K63" s="61"/>
      <c r="L63" s="61"/>
      <c r="M63" s="61"/>
      <c r="N63" s="61"/>
      <c r="O63" s="61"/>
      <c r="P63" s="61"/>
      <c r="Q63" s="61"/>
      <c r="R63" s="61"/>
      <c r="S63" s="61"/>
      <c r="T63" s="61"/>
      <c r="U63" s="61"/>
      <c r="V63" s="61"/>
      <c r="W63" s="61"/>
      <c r="X63" s="61"/>
      <c r="Y63" s="61"/>
    </row>
    <row r="64">
      <c r="A64" s="52"/>
      <c r="B64" s="349" t="s">
        <v>242</v>
      </c>
      <c r="C64" s="350">
        <v>1.0</v>
      </c>
      <c r="D64" s="52"/>
      <c r="E64" s="61"/>
      <c r="F64" s="351" t="s">
        <v>243</v>
      </c>
      <c r="G64" s="9"/>
      <c r="H64" s="352">
        <v>1.0</v>
      </c>
      <c r="I64" s="61"/>
      <c r="J64" s="61"/>
      <c r="K64" s="61"/>
      <c r="L64" s="61"/>
      <c r="M64" s="61"/>
      <c r="N64" s="61"/>
      <c r="O64" s="61"/>
      <c r="P64" s="61"/>
      <c r="Q64" s="61"/>
      <c r="R64" s="61"/>
      <c r="S64" s="61"/>
      <c r="T64" s="61"/>
      <c r="U64" s="61"/>
      <c r="V64" s="61"/>
      <c r="W64" s="61"/>
      <c r="X64" s="61"/>
      <c r="Y64" s="61"/>
    </row>
    <row r="65">
      <c r="A65" s="52"/>
      <c r="B65" s="349" t="s">
        <v>244</v>
      </c>
      <c r="C65" s="350">
        <v>1.0</v>
      </c>
      <c r="D65" s="52"/>
      <c r="E65" s="61"/>
      <c r="F65" s="351" t="s">
        <v>245</v>
      </c>
      <c r="G65" s="9"/>
      <c r="H65" s="352">
        <v>1.0</v>
      </c>
      <c r="I65" s="61"/>
      <c r="J65" s="61"/>
      <c r="K65" s="61"/>
      <c r="L65" s="61"/>
      <c r="M65" s="61"/>
      <c r="N65" s="61"/>
      <c r="O65" s="61"/>
      <c r="P65" s="61"/>
      <c r="Q65" s="61"/>
      <c r="R65" s="61"/>
      <c r="S65" s="61"/>
      <c r="T65" s="61"/>
      <c r="U65" s="61"/>
      <c r="V65" s="61"/>
      <c r="W65" s="61"/>
      <c r="X65" s="61"/>
      <c r="Y65" s="61"/>
    </row>
    <row r="66">
      <c r="A66" s="52"/>
      <c r="B66" s="349" t="s">
        <v>246</v>
      </c>
      <c r="C66" s="350">
        <v>1.0</v>
      </c>
      <c r="D66" s="52"/>
      <c r="E66" s="61"/>
      <c r="F66" s="351" t="s">
        <v>247</v>
      </c>
      <c r="G66" s="9"/>
      <c r="H66" s="352">
        <v>2.0</v>
      </c>
      <c r="I66" s="61"/>
      <c r="J66" s="61"/>
      <c r="K66" s="61"/>
      <c r="L66" s="61"/>
      <c r="M66" s="61"/>
      <c r="N66" s="61"/>
      <c r="O66" s="61"/>
      <c r="P66" s="61"/>
      <c r="Q66" s="61"/>
      <c r="R66" s="61"/>
      <c r="S66" s="61"/>
      <c r="T66" s="61"/>
      <c r="U66" s="61"/>
      <c r="V66" s="61"/>
      <c r="W66" s="61"/>
      <c r="X66" s="61"/>
      <c r="Y66" s="61"/>
    </row>
    <row r="67">
      <c r="A67" s="52"/>
      <c r="B67" s="356" t="s">
        <v>248</v>
      </c>
      <c r="C67" s="350">
        <v>1.0</v>
      </c>
      <c r="D67" s="52"/>
      <c r="E67" s="61"/>
      <c r="F67" s="351" t="s">
        <v>249</v>
      </c>
      <c r="G67" s="9"/>
      <c r="H67" s="352">
        <v>1.0</v>
      </c>
      <c r="I67" s="61"/>
      <c r="J67" s="61"/>
      <c r="K67" s="61"/>
      <c r="L67" s="61"/>
      <c r="M67" s="61"/>
      <c r="N67" s="61"/>
      <c r="O67" s="61"/>
      <c r="P67" s="61"/>
      <c r="Q67" s="61"/>
      <c r="R67" s="61"/>
      <c r="S67" s="61"/>
      <c r="T67" s="61"/>
      <c r="U67" s="61"/>
      <c r="V67" s="61"/>
      <c r="W67" s="61"/>
      <c r="X67" s="61"/>
      <c r="Y67" s="61"/>
    </row>
    <row r="68">
      <c r="A68" s="52"/>
      <c r="B68" s="356" t="s">
        <v>51</v>
      </c>
      <c r="C68" s="350">
        <v>1.0</v>
      </c>
      <c r="D68" s="52"/>
      <c r="E68" s="61"/>
      <c r="F68" s="351" t="s">
        <v>250</v>
      </c>
      <c r="G68" s="9"/>
      <c r="H68" s="352">
        <v>1.0</v>
      </c>
      <c r="I68" s="61"/>
      <c r="J68" s="61"/>
      <c r="K68" s="61"/>
      <c r="L68" s="61"/>
      <c r="M68" s="61"/>
      <c r="N68" s="61"/>
      <c r="O68" s="61"/>
      <c r="P68" s="61"/>
      <c r="Q68" s="61"/>
      <c r="R68" s="61"/>
      <c r="S68" s="61"/>
      <c r="T68" s="61"/>
      <c r="U68" s="61"/>
      <c r="V68" s="61"/>
      <c r="W68" s="61"/>
      <c r="X68" s="61"/>
      <c r="Y68" s="61"/>
    </row>
    <row r="69">
      <c r="A69" s="52"/>
      <c r="B69" s="349" t="s">
        <v>251</v>
      </c>
      <c r="C69" s="350">
        <v>1.0</v>
      </c>
      <c r="D69" s="52"/>
      <c r="E69" s="61"/>
      <c r="F69" s="351" t="s">
        <v>252</v>
      </c>
      <c r="G69" s="9"/>
      <c r="H69" s="352">
        <v>1.0</v>
      </c>
      <c r="I69" s="61"/>
      <c r="J69" s="61"/>
      <c r="K69" s="61"/>
      <c r="L69" s="61"/>
      <c r="M69" s="61"/>
      <c r="N69" s="61"/>
      <c r="O69" s="61"/>
      <c r="P69" s="61"/>
      <c r="Q69" s="61"/>
      <c r="R69" s="61"/>
      <c r="S69" s="61"/>
      <c r="T69" s="61"/>
      <c r="U69" s="61"/>
      <c r="V69" s="61"/>
      <c r="W69" s="61"/>
      <c r="X69" s="61"/>
      <c r="Y69" s="61"/>
    </row>
    <row r="70">
      <c r="A70" s="52"/>
      <c r="B70" s="349" t="s">
        <v>253</v>
      </c>
      <c r="C70" s="350">
        <v>1.0</v>
      </c>
      <c r="D70" s="52"/>
      <c r="E70" s="61"/>
      <c r="F70" s="351" t="s">
        <v>254</v>
      </c>
      <c r="G70" s="9"/>
      <c r="H70" s="352">
        <v>1.0</v>
      </c>
      <c r="I70" s="61"/>
      <c r="J70" s="61"/>
      <c r="K70" s="61"/>
      <c r="L70" s="61"/>
      <c r="M70" s="61"/>
      <c r="N70" s="61"/>
      <c r="O70" s="61"/>
      <c r="P70" s="61"/>
      <c r="Q70" s="61"/>
      <c r="R70" s="61"/>
      <c r="S70" s="61"/>
      <c r="T70" s="61"/>
      <c r="U70" s="61"/>
      <c r="V70" s="61"/>
      <c r="W70" s="61"/>
      <c r="X70" s="61"/>
      <c r="Y70" s="61"/>
    </row>
    <row r="71">
      <c r="A71" s="52"/>
      <c r="B71" s="353" t="s">
        <v>67</v>
      </c>
      <c r="C71" s="350">
        <v>1.0</v>
      </c>
      <c r="D71" s="52"/>
      <c r="E71" s="61"/>
      <c r="F71" s="351" t="s">
        <v>255</v>
      </c>
      <c r="G71" s="9"/>
      <c r="H71" s="352">
        <v>2.0</v>
      </c>
      <c r="I71" s="61"/>
      <c r="J71" s="61"/>
      <c r="K71" s="61"/>
      <c r="L71" s="61"/>
      <c r="M71" s="61"/>
      <c r="N71" s="61"/>
      <c r="O71" s="61"/>
      <c r="P71" s="61"/>
      <c r="Q71" s="61"/>
      <c r="R71" s="61"/>
      <c r="S71" s="61"/>
      <c r="T71" s="61"/>
      <c r="U71" s="61"/>
      <c r="V71" s="61"/>
      <c r="W71" s="61"/>
      <c r="X71" s="61"/>
      <c r="Y71" s="61"/>
    </row>
    <row r="72">
      <c r="A72" s="52"/>
      <c r="B72" s="353" t="s">
        <v>256</v>
      </c>
      <c r="C72" s="350">
        <v>1.0</v>
      </c>
      <c r="D72" s="52"/>
      <c r="E72" s="61"/>
      <c r="F72" s="351" t="s">
        <v>257</v>
      </c>
      <c r="G72" s="9"/>
      <c r="H72" s="352">
        <v>1.0</v>
      </c>
      <c r="I72" s="61"/>
      <c r="J72" s="61"/>
      <c r="K72" s="61"/>
      <c r="L72" s="61"/>
      <c r="M72" s="61"/>
      <c r="N72" s="61"/>
      <c r="O72" s="61"/>
      <c r="P72" s="61"/>
      <c r="Q72" s="61"/>
      <c r="R72" s="61"/>
      <c r="S72" s="61"/>
      <c r="T72" s="61"/>
      <c r="U72" s="61"/>
      <c r="V72" s="61"/>
      <c r="W72" s="61"/>
      <c r="X72" s="61"/>
      <c r="Y72" s="61"/>
    </row>
    <row r="73">
      <c r="A73" s="52"/>
      <c r="B73" s="381" t="s">
        <v>258</v>
      </c>
      <c r="C73" s="350">
        <v>1.0</v>
      </c>
      <c r="D73" s="52"/>
      <c r="E73" s="61"/>
      <c r="F73" s="351" t="s">
        <v>259</v>
      </c>
      <c r="G73" s="9"/>
      <c r="H73" s="352">
        <v>1.0</v>
      </c>
      <c r="I73" s="61"/>
      <c r="J73" s="61"/>
      <c r="K73" s="61"/>
      <c r="L73" s="61"/>
      <c r="M73" s="61"/>
      <c r="N73" s="61"/>
      <c r="O73" s="61"/>
      <c r="P73" s="61"/>
      <c r="Q73" s="61"/>
      <c r="R73" s="61"/>
      <c r="S73" s="61"/>
      <c r="T73" s="61"/>
      <c r="U73" s="61"/>
      <c r="V73" s="61"/>
      <c r="W73" s="61"/>
      <c r="X73" s="61"/>
      <c r="Y73" s="61"/>
    </row>
    <row r="74">
      <c r="A74" s="52"/>
      <c r="B74" s="349" t="s">
        <v>260</v>
      </c>
      <c r="C74" s="350">
        <v>1.0</v>
      </c>
      <c r="D74" s="52"/>
      <c r="E74" s="61"/>
      <c r="F74" s="351" t="s">
        <v>261</v>
      </c>
      <c r="G74" s="9"/>
      <c r="H74" s="352">
        <v>1.0</v>
      </c>
      <c r="I74" s="61"/>
      <c r="J74" s="61"/>
      <c r="K74" s="61"/>
      <c r="L74" s="61"/>
      <c r="M74" s="61"/>
      <c r="N74" s="61"/>
      <c r="O74" s="61"/>
      <c r="P74" s="61"/>
      <c r="Q74" s="61"/>
      <c r="R74" s="61"/>
      <c r="S74" s="61"/>
      <c r="T74" s="61"/>
      <c r="U74" s="61"/>
      <c r="V74" s="61"/>
      <c r="W74" s="61"/>
      <c r="X74" s="61"/>
      <c r="Y74" s="61"/>
    </row>
    <row r="75">
      <c r="A75" s="52"/>
      <c r="B75" s="353" t="s">
        <v>262</v>
      </c>
      <c r="C75" s="350">
        <v>1.0</v>
      </c>
      <c r="D75" s="52"/>
      <c r="E75" s="61"/>
      <c r="F75" s="351" t="s">
        <v>263</v>
      </c>
      <c r="G75" s="9"/>
      <c r="H75" s="352">
        <v>1.0</v>
      </c>
      <c r="I75" s="61"/>
      <c r="J75" s="61"/>
      <c r="K75" s="61"/>
      <c r="L75" s="61"/>
      <c r="M75" s="61"/>
      <c r="N75" s="61"/>
      <c r="O75" s="61"/>
      <c r="P75" s="61"/>
      <c r="Q75" s="61"/>
      <c r="R75" s="61"/>
      <c r="S75" s="61"/>
      <c r="T75" s="61"/>
      <c r="U75" s="61"/>
      <c r="V75" s="61"/>
      <c r="W75" s="61"/>
      <c r="X75" s="61"/>
      <c r="Y75" s="61"/>
    </row>
    <row r="76">
      <c r="A76" s="52"/>
      <c r="B76" s="353" t="s">
        <v>264</v>
      </c>
      <c r="C76" s="350">
        <v>1.0</v>
      </c>
      <c r="D76" s="52"/>
      <c r="E76" s="61"/>
      <c r="F76" s="351" t="s">
        <v>265</v>
      </c>
      <c r="G76" s="9"/>
      <c r="H76" s="384">
        <v>1.0</v>
      </c>
      <c r="I76" s="61"/>
      <c r="J76" s="61"/>
      <c r="K76" s="61"/>
      <c r="L76" s="61"/>
      <c r="M76" s="61"/>
      <c r="N76" s="61"/>
      <c r="O76" s="61"/>
      <c r="P76" s="61"/>
      <c r="Q76" s="61"/>
      <c r="R76" s="61"/>
      <c r="S76" s="61"/>
      <c r="T76" s="61"/>
      <c r="U76" s="61"/>
      <c r="V76" s="61"/>
      <c r="W76" s="61"/>
      <c r="X76" s="61"/>
      <c r="Y76" s="61"/>
    </row>
    <row r="77">
      <c r="A77" s="52"/>
      <c r="B77" s="349" t="s">
        <v>266</v>
      </c>
      <c r="C77" s="350">
        <v>1.0</v>
      </c>
      <c r="D77" s="52"/>
      <c r="E77" s="61"/>
      <c r="F77" s="351" t="s">
        <v>267</v>
      </c>
      <c r="G77" s="9"/>
      <c r="H77" s="384">
        <v>1.0</v>
      </c>
      <c r="I77" s="61"/>
      <c r="J77" s="61"/>
      <c r="K77" s="61"/>
      <c r="L77" s="61"/>
      <c r="M77" s="61"/>
      <c r="N77" s="61"/>
      <c r="O77" s="61"/>
      <c r="P77" s="61"/>
      <c r="Q77" s="61"/>
      <c r="R77" s="61"/>
      <c r="S77" s="61"/>
      <c r="T77" s="61"/>
      <c r="U77" s="61"/>
      <c r="V77" s="61"/>
      <c r="W77" s="61"/>
      <c r="X77" s="61"/>
      <c r="Y77" s="61"/>
    </row>
    <row r="78">
      <c r="A78" s="52"/>
      <c r="B78" s="349" t="s">
        <v>268</v>
      </c>
      <c r="C78" s="350">
        <v>1.0</v>
      </c>
      <c r="D78" s="52"/>
      <c r="E78" s="61"/>
      <c r="F78" s="351" t="s">
        <v>269</v>
      </c>
      <c r="G78" s="9"/>
      <c r="H78" s="352">
        <v>1.0</v>
      </c>
      <c r="I78" s="61"/>
      <c r="J78" s="61"/>
      <c r="K78" s="61"/>
      <c r="L78" s="61"/>
      <c r="M78" s="61"/>
      <c r="N78" s="61"/>
      <c r="O78" s="61"/>
      <c r="P78" s="61"/>
      <c r="Q78" s="61"/>
      <c r="R78" s="61"/>
      <c r="S78" s="61"/>
      <c r="T78" s="61"/>
      <c r="U78" s="61"/>
      <c r="V78" s="61"/>
      <c r="W78" s="61"/>
      <c r="X78" s="61"/>
      <c r="Y78" s="61"/>
    </row>
    <row r="79">
      <c r="A79" s="52"/>
      <c r="B79" s="349" t="s">
        <v>270</v>
      </c>
      <c r="C79" s="350">
        <v>1.0</v>
      </c>
      <c r="D79" s="52"/>
      <c r="E79" s="61"/>
      <c r="F79" s="351" t="s">
        <v>271</v>
      </c>
      <c r="G79" s="9"/>
      <c r="H79" s="384">
        <v>1.0</v>
      </c>
      <c r="I79" s="61"/>
      <c r="J79" s="61"/>
      <c r="K79" s="61"/>
      <c r="L79" s="61"/>
      <c r="M79" s="61"/>
      <c r="N79" s="61"/>
      <c r="O79" s="61"/>
      <c r="P79" s="61"/>
      <c r="Q79" s="61"/>
      <c r="R79" s="61"/>
      <c r="S79" s="61"/>
      <c r="T79" s="61"/>
      <c r="U79" s="61"/>
      <c r="V79" s="61"/>
      <c r="W79" s="61"/>
      <c r="X79" s="61"/>
      <c r="Y79" s="61"/>
    </row>
    <row r="80">
      <c r="A80" s="52"/>
      <c r="B80" s="349" t="s">
        <v>272</v>
      </c>
      <c r="C80" s="350">
        <v>1.0</v>
      </c>
      <c r="D80" s="52"/>
      <c r="E80" s="61"/>
      <c r="F80" s="351" t="s">
        <v>273</v>
      </c>
      <c r="G80" s="9"/>
      <c r="H80" s="384">
        <v>1.0</v>
      </c>
      <c r="I80" s="61"/>
      <c r="J80" s="61"/>
      <c r="K80" s="61"/>
      <c r="L80" s="61"/>
      <c r="M80" s="61"/>
      <c r="N80" s="61"/>
      <c r="O80" s="61"/>
      <c r="P80" s="61"/>
      <c r="Q80" s="61"/>
      <c r="R80" s="61"/>
      <c r="S80" s="61"/>
      <c r="T80" s="61"/>
      <c r="U80" s="61"/>
      <c r="V80" s="61"/>
      <c r="W80" s="61"/>
      <c r="X80" s="61"/>
      <c r="Y80" s="61"/>
    </row>
    <row r="81">
      <c r="A81" s="52"/>
      <c r="B81" s="349" t="s">
        <v>274</v>
      </c>
      <c r="C81" s="350">
        <v>1.0</v>
      </c>
      <c r="D81" s="52"/>
      <c r="E81" s="61"/>
      <c r="F81" s="351" t="s">
        <v>275</v>
      </c>
      <c r="G81" s="9"/>
      <c r="H81" s="352">
        <v>1.0</v>
      </c>
      <c r="I81" s="61"/>
      <c r="J81" s="61"/>
      <c r="K81" s="61"/>
      <c r="L81" s="61"/>
      <c r="M81" s="61"/>
      <c r="N81" s="61"/>
      <c r="O81" s="61"/>
      <c r="P81" s="61"/>
      <c r="Q81" s="61"/>
      <c r="R81" s="61"/>
      <c r="S81" s="61"/>
      <c r="T81" s="61"/>
      <c r="U81" s="61"/>
      <c r="V81" s="61"/>
      <c r="W81" s="61"/>
      <c r="X81" s="61"/>
      <c r="Y81" s="61"/>
    </row>
    <row r="82">
      <c r="A82" s="52"/>
      <c r="B82" s="349" t="s">
        <v>276</v>
      </c>
      <c r="C82" s="350">
        <v>1.0</v>
      </c>
      <c r="D82" s="52"/>
      <c r="E82" s="61"/>
      <c r="F82" s="351" t="s">
        <v>277</v>
      </c>
      <c r="G82" s="9"/>
      <c r="H82" s="352">
        <v>1.0</v>
      </c>
      <c r="I82" s="61"/>
      <c r="J82" s="61"/>
      <c r="K82" s="61"/>
      <c r="L82" s="61"/>
      <c r="M82" s="61"/>
      <c r="N82" s="61"/>
      <c r="O82" s="61"/>
      <c r="P82" s="61"/>
      <c r="Q82" s="61"/>
      <c r="R82" s="61"/>
      <c r="S82" s="61"/>
      <c r="T82" s="61"/>
      <c r="U82" s="61"/>
      <c r="V82" s="61"/>
      <c r="W82" s="61"/>
      <c r="X82" s="61"/>
      <c r="Y82" s="61"/>
    </row>
    <row r="83">
      <c r="A83" s="52"/>
      <c r="B83" s="388" t="s">
        <v>278</v>
      </c>
      <c r="C83" s="389">
        <v>3.0</v>
      </c>
      <c r="D83" s="52"/>
      <c r="E83" s="61"/>
      <c r="F83" s="390" t="s">
        <v>279</v>
      </c>
      <c r="G83" s="9"/>
      <c r="H83" s="384">
        <v>3.0</v>
      </c>
      <c r="I83" s="61"/>
      <c r="J83" s="61"/>
      <c r="K83" s="61"/>
      <c r="L83" s="61"/>
      <c r="M83" s="61"/>
      <c r="N83" s="61"/>
      <c r="O83" s="61"/>
      <c r="P83" s="61"/>
      <c r="Q83" s="61"/>
      <c r="R83" s="61"/>
      <c r="S83" s="61"/>
      <c r="T83" s="61"/>
      <c r="U83" s="61"/>
      <c r="V83" s="61"/>
      <c r="W83" s="61"/>
      <c r="X83" s="61"/>
      <c r="Y83" s="61"/>
    </row>
    <row r="84">
      <c r="A84" s="52"/>
      <c r="B84" s="349" t="s">
        <v>280</v>
      </c>
      <c r="C84" s="389">
        <v>1.0</v>
      </c>
      <c r="D84" s="52"/>
      <c r="E84" s="61"/>
      <c r="F84" s="390" t="s">
        <v>281</v>
      </c>
      <c r="G84" s="9"/>
      <c r="H84" s="352">
        <v>3.0</v>
      </c>
      <c r="I84" s="61"/>
      <c r="J84" s="61"/>
      <c r="K84" s="61"/>
      <c r="L84" s="61"/>
      <c r="M84" s="61"/>
      <c r="N84" s="61"/>
      <c r="O84" s="61"/>
      <c r="P84" s="61"/>
      <c r="Q84" s="61"/>
      <c r="R84" s="61"/>
      <c r="S84" s="61"/>
      <c r="T84" s="61"/>
      <c r="U84" s="61"/>
      <c r="V84" s="61"/>
      <c r="W84" s="61"/>
      <c r="X84" s="61"/>
      <c r="Y84" s="61"/>
    </row>
    <row r="85">
      <c r="A85" s="52"/>
      <c r="B85" s="356" t="s">
        <v>282</v>
      </c>
      <c r="C85" s="389">
        <v>1.0</v>
      </c>
      <c r="D85" s="52"/>
      <c r="E85" s="61"/>
      <c r="F85" s="390" t="s">
        <v>283</v>
      </c>
      <c r="G85" s="9"/>
      <c r="H85" s="384">
        <v>1.0</v>
      </c>
      <c r="I85" s="61"/>
      <c r="J85" s="61"/>
      <c r="K85" s="61"/>
      <c r="L85" s="61"/>
      <c r="M85" s="61"/>
      <c r="N85" s="61"/>
      <c r="O85" s="61"/>
      <c r="P85" s="61"/>
      <c r="Q85" s="61"/>
      <c r="R85" s="61"/>
      <c r="S85" s="61"/>
      <c r="T85" s="61"/>
      <c r="U85" s="61"/>
      <c r="V85" s="61"/>
      <c r="W85" s="61"/>
      <c r="X85" s="61"/>
      <c r="Y85" s="61"/>
    </row>
    <row r="86">
      <c r="A86" s="52"/>
      <c r="B86" s="349" t="s">
        <v>284</v>
      </c>
      <c r="C86" s="389">
        <v>1.0</v>
      </c>
      <c r="D86" s="52"/>
      <c r="E86" s="61"/>
      <c r="F86" s="392"/>
      <c r="G86" s="9"/>
      <c r="H86" s="352"/>
      <c r="I86" s="61"/>
      <c r="J86" s="61"/>
      <c r="K86" s="61"/>
      <c r="L86" s="61"/>
      <c r="M86" s="61"/>
      <c r="N86" s="61"/>
      <c r="O86" s="61"/>
      <c r="P86" s="61"/>
      <c r="Q86" s="61"/>
      <c r="R86" s="61"/>
      <c r="S86" s="61"/>
      <c r="T86" s="61"/>
      <c r="U86" s="61"/>
      <c r="V86" s="61"/>
      <c r="W86" s="61"/>
      <c r="X86" s="61"/>
      <c r="Y86" s="61"/>
    </row>
    <row r="87">
      <c r="A87" s="52"/>
      <c r="B87" s="393" t="s">
        <v>285</v>
      </c>
      <c r="C87" s="350">
        <v>1.0</v>
      </c>
      <c r="D87" s="52"/>
      <c r="E87" s="61"/>
      <c r="F87" s="392"/>
      <c r="G87" s="9"/>
      <c r="H87" s="384"/>
      <c r="I87" s="61"/>
      <c r="J87" s="61"/>
      <c r="K87" s="61"/>
      <c r="L87" s="61"/>
      <c r="M87" s="61"/>
      <c r="N87" s="61"/>
      <c r="O87" s="61"/>
      <c r="P87" s="61"/>
      <c r="Q87" s="61"/>
      <c r="R87" s="61"/>
      <c r="S87" s="61"/>
      <c r="T87" s="61"/>
      <c r="U87" s="61"/>
      <c r="V87" s="61"/>
      <c r="W87" s="61"/>
      <c r="X87" s="61"/>
      <c r="Y87" s="61"/>
    </row>
    <row r="88">
      <c r="A88" s="52"/>
      <c r="B88" s="394" t="s">
        <v>286</v>
      </c>
      <c r="C88" s="396">
        <v>0.0</v>
      </c>
      <c r="D88" s="52"/>
      <c r="E88" s="61"/>
      <c r="F88" s="392"/>
      <c r="G88" s="9"/>
      <c r="H88" s="352"/>
      <c r="I88" s="61"/>
      <c r="J88" s="61"/>
      <c r="K88" s="61"/>
      <c r="L88" s="61"/>
      <c r="M88" s="61"/>
      <c r="N88" s="61"/>
      <c r="O88" s="61"/>
      <c r="P88" s="61"/>
      <c r="Q88" s="61"/>
      <c r="R88" s="61"/>
      <c r="S88" s="61"/>
      <c r="T88" s="61"/>
      <c r="U88" s="61"/>
      <c r="V88" s="61"/>
      <c r="W88" s="61"/>
      <c r="X88" s="61"/>
      <c r="Y88" s="61"/>
    </row>
    <row r="89">
      <c r="A89" s="52"/>
      <c r="B89" s="353" t="s">
        <v>287</v>
      </c>
      <c r="C89" s="350">
        <v>3.0</v>
      </c>
      <c r="D89" s="52"/>
      <c r="E89" s="61"/>
      <c r="F89" s="392"/>
      <c r="G89" s="9"/>
      <c r="H89" s="384"/>
      <c r="I89" s="61"/>
      <c r="J89" s="61"/>
      <c r="K89" s="61"/>
      <c r="L89" s="61"/>
      <c r="M89" s="61"/>
      <c r="N89" s="61"/>
      <c r="O89" s="61"/>
      <c r="P89" s="61"/>
      <c r="Q89" s="61"/>
      <c r="R89" s="61"/>
      <c r="S89" s="61"/>
      <c r="T89" s="61"/>
      <c r="U89" s="61"/>
      <c r="V89" s="61"/>
      <c r="W89" s="61"/>
      <c r="X89" s="61"/>
      <c r="Y89" s="61"/>
    </row>
    <row r="90">
      <c r="A90" s="52"/>
      <c r="B90" s="401" t="s">
        <v>288</v>
      </c>
      <c r="C90" s="389">
        <v>4.0</v>
      </c>
      <c r="D90" s="52"/>
      <c r="E90" s="61"/>
      <c r="F90" s="392"/>
      <c r="G90" s="9"/>
      <c r="H90" s="352"/>
      <c r="I90" s="61"/>
      <c r="J90" s="61"/>
      <c r="K90" s="61"/>
      <c r="L90" s="61"/>
      <c r="M90" s="61"/>
      <c r="N90" s="61"/>
      <c r="O90" s="61"/>
      <c r="P90" s="61"/>
      <c r="Q90" s="61"/>
      <c r="R90" s="61"/>
      <c r="S90" s="61"/>
      <c r="T90" s="61"/>
      <c r="U90" s="61"/>
      <c r="V90" s="61"/>
      <c r="W90" s="61"/>
      <c r="X90" s="61"/>
      <c r="Y90" s="61"/>
    </row>
    <row r="91">
      <c r="A91" s="52"/>
      <c r="B91" s="405" t="s">
        <v>290</v>
      </c>
      <c r="C91" s="389">
        <v>3.0</v>
      </c>
      <c r="D91" s="52"/>
      <c r="E91" s="61"/>
      <c r="F91" s="392"/>
      <c r="G91" s="9"/>
      <c r="H91" s="352"/>
      <c r="I91" s="61"/>
      <c r="J91" s="61"/>
      <c r="K91" s="61"/>
      <c r="L91" s="61"/>
      <c r="M91" s="61"/>
      <c r="N91" s="61"/>
      <c r="O91" s="61"/>
      <c r="P91" s="61"/>
      <c r="Q91" s="61"/>
      <c r="R91" s="61"/>
      <c r="S91" s="61"/>
      <c r="T91" s="61"/>
      <c r="U91" s="61"/>
      <c r="V91" s="61"/>
      <c r="W91" s="61"/>
      <c r="X91" s="61"/>
      <c r="Y91" s="61"/>
    </row>
    <row r="92">
      <c r="A92" s="52"/>
      <c r="B92" s="408" t="s">
        <v>139</v>
      </c>
      <c r="C92" s="411">
        <f>SUM(C44:C91)</f>
        <v>56</v>
      </c>
      <c r="D92" s="412"/>
      <c r="E92" s="413"/>
      <c r="F92" s="414" t="s">
        <v>139</v>
      </c>
      <c r="G92" s="9"/>
      <c r="H92" s="408">
        <f>SUM(H44:H91)</f>
        <v>51</v>
      </c>
      <c r="I92" s="61"/>
      <c r="J92" s="61"/>
      <c r="K92" s="61"/>
      <c r="L92" s="61"/>
      <c r="M92" s="61"/>
      <c r="N92" s="61"/>
      <c r="O92" s="61"/>
      <c r="P92" s="61"/>
      <c r="Q92" s="61"/>
      <c r="R92" s="61"/>
      <c r="S92" s="61"/>
      <c r="T92" s="61"/>
      <c r="U92" s="61"/>
      <c r="V92" s="61"/>
      <c r="W92" s="61"/>
      <c r="X92" s="61"/>
      <c r="Y92" s="61"/>
    </row>
    <row r="93">
      <c r="A93" s="416">
        <v>48475.0</v>
      </c>
      <c r="B93" s="61"/>
      <c r="C93" s="61"/>
      <c r="D93" s="52"/>
      <c r="E93" s="61"/>
      <c r="F93" s="230"/>
      <c r="G93" s="230"/>
      <c r="H93" s="61"/>
      <c r="I93" s="61"/>
      <c r="J93" s="61"/>
      <c r="K93" s="61"/>
      <c r="L93" s="61"/>
      <c r="M93" s="61"/>
      <c r="N93" s="61"/>
      <c r="O93" s="61"/>
      <c r="P93" s="61"/>
      <c r="Q93" s="61"/>
      <c r="R93" s="61"/>
      <c r="S93" s="61"/>
      <c r="T93" s="61"/>
      <c r="U93" s="61"/>
      <c r="V93" s="61"/>
      <c r="W93" s="61"/>
      <c r="X93" s="61"/>
      <c r="Y93" s="61"/>
    </row>
    <row r="94">
      <c r="A94" s="52"/>
      <c r="B94" s="61"/>
      <c r="C94" s="61"/>
      <c r="D94" s="52"/>
      <c r="E94" s="61"/>
      <c r="F94" s="61"/>
      <c r="G94" s="61"/>
      <c r="H94" s="61"/>
      <c r="I94" s="61"/>
      <c r="J94" s="61"/>
      <c r="K94" s="61"/>
      <c r="L94" s="61"/>
      <c r="M94" s="61"/>
      <c r="N94" s="61"/>
      <c r="O94" s="61"/>
      <c r="P94" s="61"/>
      <c r="Q94" s="61"/>
      <c r="R94" s="61"/>
      <c r="S94" s="61"/>
      <c r="T94" s="61"/>
      <c r="U94" s="61"/>
      <c r="V94" s="61"/>
      <c r="W94" s="61"/>
      <c r="X94" s="61"/>
      <c r="Y94" s="61"/>
    </row>
    <row r="95">
      <c r="A95" s="52"/>
      <c r="B95" s="61"/>
      <c r="C95" s="61"/>
      <c r="D95" s="52"/>
      <c r="E95" s="61"/>
      <c r="F95" s="61"/>
      <c r="G95" s="61"/>
      <c r="H95" s="61"/>
      <c r="I95" s="61"/>
      <c r="J95" s="61"/>
      <c r="K95" s="61"/>
      <c r="L95" s="61"/>
      <c r="M95" s="61"/>
      <c r="N95" s="61"/>
      <c r="O95" s="61"/>
      <c r="P95" s="61"/>
      <c r="Q95" s="61"/>
      <c r="R95" s="61"/>
      <c r="S95" s="61"/>
      <c r="T95" s="61"/>
      <c r="U95" s="61"/>
      <c r="V95" s="61"/>
      <c r="W95" s="61"/>
      <c r="X95" s="61"/>
      <c r="Y95" s="61"/>
    </row>
    <row r="96">
      <c r="A96" s="52"/>
      <c r="B96" s="61"/>
      <c r="C96" s="61"/>
      <c r="D96" s="52"/>
      <c r="E96" s="61"/>
      <c r="F96" s="61"/>
      <c r="G96" s="61"/>
      <c r="H96" s="61"/>
      <c r="I96" s="61"/>
      <c r="J96" s="61"/>
      <c r="K96" s="61"/>
      <c r="L96" s="61"/>
      <c r="M96" s="61"/>
      <c r="N96" s="61"/>
      <c r="O96" s="61"/>
      <c r="P96" s="61"/>
      <c r="Q96" s="61"/>
      <c r="R96" s="61"/>
      <c r="S96" s="61"/>
      <c r="T96" s="61"/>
      <c r="U96" s="61"/>
      <c r="V96" s="61"/>
      <c r="W96" s="61"/>
      <c r="X96" s="61"/>
      <c r="Y96" s="61"/>
    </row>
    <row r="97">
      <c r="A97" s="52"/>
      <c r="B97" s="61"/>
      <c r="C97" s="61"/>
      <c r="D97" s="52"/>
      <c r="E97" s="61"/>
      <c r="F97" s="61"/>
      <c r="G97" s="61"/>
      <c r="H97" s="61"/>
      <c r="I97" s="61"/>
      <c r="J97" s="61"/>
      <c r="K97" s="61"/>
      <c r="L97" s="61"/>
      <c r="M97" s="61"/>
      <c r="N97" s="61"/>
      <c r="O97" s="61"/>
      <c r="P97" s="61"/>
      <c r="Q97" s="61"/>
      <c r="R97" s="61"/>
      <c r="S97" s="61"/>
      <c r="T97" s="61"/>
      <c r="U97" s="61"/>
      <c r="V97" s="61"/>
      <c r="W97" s="61"/>
      <c r="X97" s="61"/>
      <c r="Y97" s="61"/>
    </row>
    <row r="98">
      <c r="A98" s="52"/>
      <c r="B98" s="61"/>
      <c r="C98" s="61"/>
      <c r="D98" s="52"/>
      <c r="E98" s="61"/>
      <c r="F98" s="61"/>
      <c r="G98" s="61"/>
      <c r="H98" s="61"/>
      <c r="I98" s="61"/>
      <c r="J98" s="61"/>
      <c r="K98" s="61"/>
      <c r="L98" s="61"/>
      <c r="M98" s="61"/>
      <c r="N98" s="61"/>
      <c r="O98" s="61"/>
      <c r="P98" s="61"/>
      <c r="Q98" s="61"/>
      <c r="R98" s="61"/>
      <c r="S98" s="61"/>
      <c r="T98" s="61"/>
      <c r="U98" s="61"/>
      <c r="V98" s="61"/>
      <c r="W98" s="61"/>
      <c r="X98" s="61"/>
      <c r="Y98" s="61"/>
    </row>
    <row r="99">
      <c r="A99" s="52"/>
      <c r="B99" s="61"/>
      <c r="C99" s="61"/>
      <c r="D99" s="52"/>
      <c r="E99" s="61"/>
      <c r="F99" s="61"/>
      <c r="G99" s="61"/>
      <c r="H99" s="61"/>
      <c r="I99" s="61"/>
      <c r="J99" s="61"/>
      <c r="K99" s="61"/>
      <c r="L99" s="61"/>
      <c r="M99" s="61"/>
      <c r="N99" s="61"/>
      <c r="O99" s="61"/>
      <c r="P99" s="61"/>
      <c r="Q99" s="61"/>
      <c r="R99" s="61"/>
      <c r="S99" s="61"/>
      <c r="T99" s="61"/>
      <c r="U99" s="61"/>
      <c r="V99" s="61"/>
      <c r="W99" s="61"/>
      <c r="X99" s="61"/>
      <c r="Y99" s="61"/>
    </row>
    <row r="100">
      <c r="A100" s="52"/>
      <c r="B100" s="61"/>
      <c r="C100" s="61"/>
      <c r="D100" s="52"/>
      <c r="E100" s="61"/>
      <c r="F100" s="61"/>
      <c r="G100" s="61"/>
      <c r="H100" s="61"/>
      <c r="I100" s="61"/>
      <c r="J100" s="61"/>
      <c r="K100" s="61"/>
      <c r="L100" s="61"/>
      <c r="M100" s="61"/>
      <c r="N100" s="61"/>
      <c r="O100" s="61"/>
      <c r="P100" s="61"/>
      <c r="Q100" s="61"/>
      <c r="R100" s="61"/>
      <c r="S100" s="61"/>
      <c r="T100" s="61"/>
      <c r="U100" s="61"/>
      <c r="V100" s="61"/>
      <c r="W100" s="61"/>
      <c r="X100" s="61"/>
      <c r="Y100" s="61"/>
    </row>
    <row r="101">
      <c r="A101" s="52"/>
      <c r="B101" s="61"/>
      <c r="C101" s="61"/>
      <c r="D101" s="52"/>
      <c r="E101" s="61"/>
      <c r="F101" s="61"/>
      <c r="G101" s="61"/>
      <c r="H101" s="61"/>
      <c r="I101" s="61"/>
      <c r="J101" s="61"/>
      <c r="K101" s="61"/>
      <c r="L101" s="61"/>
      <c r="M101" s="61"/>
      <c r="N101" s="61"/>
      <c r="O101" s="61"/>
      <c r="P101" s="61"/>
      <c r="Q101" s="61"/>
      <c r="R101" s="61"/>
      <c r="S101" s="61"/>
      <c r="T101" s="61"/>
      <c r="U101" s="61"/>
      <c r="V101" s="61"/>
      <c r="W101" s="61"/>
      <c r="X101" s="61"/>
      <c r="Y101" s="61"/>
    </row>
    <row r="102">
      <c r="A102" s="52"/>
      <c r="B102" s="61"/>
      <c r="C102" s="61"/>
      <c r="D102" s="52"/>
      <c r="E102" s="61"/>
      <c r="F102" s="61"/>
      <c r="G102" s="61"/>
      <c r="H102" s="61"/>
      <c r="I102" s="61"/>
      <c r="J102" s="61"/>
      <c r="K102" s="61"/>
      <c r="L102" s="61"/>
      <c r="M102" s="61"/>
      <c r="N102" s="61"/>
      <c r="O102" s="61"/>
      <c r="P102" s="61"/>
      <c r="Q102" s="61"/>
      <c r="R102" s="61"/>
      <c r="S102" s="61"/>
      <c r="T102" s="61"/>
      <c r="U102" s="61"/>
      <c r="V102" s="61"/>
      <c r="W102" s="61"/>
      <c r="X102" s="61"/>
      <c r="Y102" s="61"/>
    </row>
    <row r="103">
      <c r="A103" s="52"/>
      <c r="B103" s="61"/>
      <c r="C103" s="61"/>
      <c r="D103" s="52"/>
      <c r="E103" s="61"/>
      <c r="F103" s="61"/>
      <c r="G103" s="61"/>
      <c r="H103" s="61"/>
      <c r="I103" s="61"/>
      <c r="J103" s="61"/>
      <c r="K103" s="61"/>
      <c r="L103" s="61"/>
      <c r="M103" s="61"/>
      <c r="N103" s="61"/>
      <c r="O103" s="61"/>
      <c r="P103" s="61"/>
      <c r="Q103" s="61"/>
      <c r="R103" s="61"/>
      <c r="S103" s="61"/>
      <c r="T103" s="61"/>
      <c r="U103" s="61"/>
      <c r="V103" s="61"/>
      <c r="W103" s="61"/>
      <c r="X103" s="61"/>
      <c r="Y103" s="61"/>
    </row>
    <row r="104">
      <c r="A104" s="52"/>
      <c r="B104" s="61"/>
      <c r="C104" s="61"/>
      <c r="D104" s="52"/>
      <c r="E104" s="61"/>
      <c r="F104" s="61"/>
      <c r="G104" s="61"/>
      <c r="H104" s="61"/>
      <c r="I104" s="61"/>
      <c r="J104" s="61"/>
      <c r="K104" s="61"/>
      <c r="L104" s="61"/>
      <c r="M104" s="61"/>
      <c r="N104" s="61"/>
      <c r="O104" s="61"/>
      <c r="P104" s="61"/>
      <c r="Q104" s="61"/>
      <c r="R104" s="61"/>
      <c r="S104" s="61"/>
      <c r="T104" s="61"/>
      <c r="U104" s="61"/>
      <c r="V104" s="61"/>
      <c r="W104" s="61"/>
      <c r="X104" s="61"/>
      <c r="Y104" s="61"/>
    </row>
    <row r="105">
      <c r="A105" s="52"/>
      <c r="B105" s="61"/>
      <c r="C105" s="61"/>
      <c r="D105" s="52"/>
      <c r="E105" s="61"/>
      <c r="F105" s="61"/>
      <c r="G105" s="61"/>
      <c r="H105" s="61"/>
      <c r="I105" s="61"/>
      <c r="J105" s="61"/>
      <c r="K105" s="61"/>
      <c r="L105" s="61"/>
      <c r="M105" s="61"/>
      <c r="N105" s="61"/>
      <c r="O105" s="61"/>
      <c r="P105" s="61"/>
      <c r="Q105" s="61"/>
      <c r="R105" s="61"/>
      <c r="S105" s="61"/>
      <c r="T105" s="61"/>
      <c r="U105" s="61"/>
      <c r="V105" s="61"/>
      <c r="W105" s="61"/>
      <c r="X105" s="61"/>
      <c r="Y105" s="61"/>
    </row>
    <row r="106">
      <c r="A106" s="52"/>
      <c r="B106" s="61"/>
      <c r="C106" s="61"/>
      <c r="D106" s="52"/>
      <c r="E106" s="61"/>
      <c r="F106" s="61"/>
      <c r="G106" s="61"/>
      <c r="H106" s="61"/>
      <c r="I106" s="61"/>
      <c r="J106" s="61"/>
      <c r="K106" s="61"/>
      <c r="L106" s="61"/>
      <c r="M106" s="61"/>
      <c r="N106" s="61"/>
      <c r="O106" s="61"/>
      <c r="P106" s="61"/>
      <c r="Q106" s="61"/>
      <c r="R106" s="61"/>
      <c r="S106" s="61"/>
      <c r="T106" s="61"/>
      <c r="U106" s="61"/>
      <c r="V106" s="61"/>
      <c r="W106" s="61"/>
      <c r="X106" s="61"/>
      <c r="Y106" s="61"/>
    </row>
    <row r="107">
      <c r="A107" s="52"/>
      <c r="B107" s="61"/>
      <c r="C107" s="61"/>
      <c r="D107" s="52"/>
      <c r="E107" s="61"/>
      <c r="F107" s="61"/>
      <c r="G107" s="61"/>
      <c r="H107" s="61"/>
      <c r="I107" s="61"/>
      <c r="J107" s="61"/>
      <c r="K107" s="61"/>
      <c r="L107" s="61"/>
      <c r="M107" s="61"/>
      <c r="N107" s="61"/>
      <c r="O107" s="61"/>
      <c r="P107" s="61"/>
      <c r="Q107" s="61"/>
      <c r="R107" s="61"/>
      <c r="S107" s="61"/>
      <c r="T107" s="61"/>
      <c r="U107" s="61"/>
      <c r="V107" s="61"/>
      <c r="W107" s="61"/>
      <c r="X107" s="61"/>
      <c r="Y107" s="61"/>
    </row>
    <row r="108">
      <c r="A108" s="52"/>
      <c r="B108" s="61"/>
      <c r="C108" s="61"/>
      <c r="D108" s="52"/>
      <c r="E108" s="61"/>
      <c r="F108" s="61"/>
      <c r="G108" s="61"/>
      <c r="H108" s="61"/>
      <c r="I108" s="61"/>
      <c r="J108" s="61"/>
      <c r="K108" s="61"/>
      <c r="L108" s="61"/>
      <c r="M108" s="61"/>
      <c r="N108" s="61"/>
      <c r="O108" s="61"/>
      <c r="P108" s="61"/>
      <c r="Q108" s="61"/>
      <c r="R108" s="61"/>
      <c r="S108" s="61"/>
      <c r="T108" s="61"/>
      <c r="U108" s="61"/>
      <c r="V108" s="61"/>
      <c r="W108" s="61"/>
      <c r="X108" s="61"/>
      <c r="Y108" s="61"/>
    </row>
    <row r="109">
      <c r="A109" s="52"/>
      <c r="B109" s="61"/>
      <c r="C109" s="61"/>
      <c r="D109" s="52"/>
      <c r="E109" s="61"/>
      <c r="F109" s="61"/>
      <c r="G109" s="61"/>
      <c r="H109" s="61"/>
      <c r="I109" s="61"/>
      <c r="J109" s="61"/>
      <c r="K109" s="61"/>
      <c r="L109" s="61"/>
      <c r="M109" s="61"/>
      <c r="N109" s="61"/>
      <c r="O109" s="61"/>
      <c r="P109" s="61"/>
      <c r="Q109" s="61"/>
      <c r="R109" s="61"/>
      <c r="S109" s="61"/>
      <c r="T109" s="61"/>
      <c r="U109" s="61"/>
      <c r="V109" s="61"/>
      <c r="W109" s="61"/>
      <c r="X109" s="61"/>
      <c r="Y109" s="61"/>
    </row>
    <row r="110">
      <c r="A110" s="52"/>
      <c r="B110" s="61"/>
      <c r="C110" s="61"/>
      <c r="D110" s="52"/>
      <c r="E110" s="61"/>
      <c r="F110" s="61"/>
      <c r="G110" s="61"/>
      <c r="H110" s="61"/>
      <c r="I110" s="61"/>
      <c r="J110" s="61"/>
      <c r="K110" s="61"/>
      <c r="L110" s="61"/>
      <c r="M110" s="61"/>
      <c r="N110" s="61"/>
      <c r="O110" s="61"/>
      <c r="P110" s="61"/>
      <c r="Q110" s="61"/>
      <c r="R110" s="61"/>
      <c r="S110" s="61"/>
      <c r="T110" s="61"/>
      <c r="U110" s="61"/>
      <c r="V110" s="61"/>
      <c r="W110" s="61"/>
      <c r="X110" s="61"/>
      <c r="Y110" s="61"/>
    </row>
    <row r="111">
      <c r="A111" s="52"/>
      <c r="B111" s="61"/>
      <c r="C111" s="61"/>
      <c r="D111" s="52"/>
      <c r="E111" s="61"/>
      <c r="F111" s="61"/>
      <c r="G111" s="61"/>
      <c r="H111" s="61"/>
      <c r="I111" s="61"/>
      <c r="J111" s="61"/>
      <c r="K111" s="61"/>
      <c r="L111" s="61"/>
      <c r="M111" s="61"/>
      <c r="N111" s="61"/>
      <c r="O111" s="61"/>
      <c r="P111" s="61"/>
      <c r="Q111" s="61"/>
      <c r="R111" s="61"/>
      <c r="S111" s="61"/>
      <c r="T111" s="61"/>
      <c r="U111" s="61"/>
      <c r="V111" s="61"/>
      <c r="W111" s="61"/>
      <c r="X111" s="61"/>
      <c r="Y111" s="61"/>
    </row>
    <row r="112">
      <c r="A112" s="52"/>
      <c r="B112" s="61"/>
      <c r="C112" s="61"/>
      <c r="D112" s="52"/>
      <c r="E112" s="61"/>
      <c r="F112" s="61"/>
      <c r="G112" s="61"/>
      <c r="H112" s="61"/>
      <c r="I112" s="61"/>
      <c r="J112" s="61"/>
      <c r="K112" s="61"/>
      <c r="L112" s="61"/>
      <c r="M112" s="61"/>
      <c r="N112" s="61"/>
      <c r="O112" s="61"/>
      <c r="P112" s="61"/>
      <c r="Q112" s="61"/>
      <c r="R112" s="61"/>
      <c r="S112" s="61"/>
      <c r="T112" s="61"/>
      <c r="U112" s="61"/>
      <c r="V112" s="61"/>
      <c r="W112" s="61"/>
      <c r="X112" s="61"/>
      <c r="Y112" s="61"/>
    </row>
    <row r="113">
      <c r="A113" s="52"/>
      <c r="B113" s="61"/>
      <c r="C113" s="61"/>
      <c r="D113" s="52"/>
      <c r="E113" s="61"/>
      <c r="F113" s="61"/>
      <c r="G113" s="61"/>
      <c r="H113" s="61"/>
      <c r="I113" s="61"/>
      <c r="J113" s="61"/>
      <c r="K113" s="61"/>
      <c r="L113" s="61"/>
      <c r="M113" s="61"/>
      <c r="N113" s="61"/>
      <c r="O113" s="61"/>
      <c r="P113" s="61"/>
      <c r="Q113" s="61"/>
      <c r="R113" s="61"/>
      <c r="S113" s="61"/>
      <c r="T113" s="61"/>
      <c r="U113" s="61"/>
      <c r="V113" s="61"/>
      <c r="W113" s="61"/>
      <c r="X113" s="61"/>
      <c r="Y113" s="61"/>
    </row>
    <row r="114">
      <c r="A114" s="52"/>
      <c r="B114" s="61"/>
      <c r="C114" s="61"/>
      <c r="D114" s="52"/>
      <c r="E114" s="61"/>
      <c r="F114" s="61"/>
      <c r="G114" s="61"/>
      <c r="H114" s="61"/>
      <c r="I114" s="61"/>
      <c r="J114" s="61"/>
      <c r="K114" s="61"/>
      <c r="L114" s="61"/>
      <c r="M114" s="61"/>
      <c r="N114" s="61"/>
      <c r="O114" s="61"/>
      <c r="P114" s="61"/>
      <c r="Q114" s="61"/>
      <c r="R114" s="61"/>
      <c r="S114" s="61"/>
      <c r="T114" s="61"/>
      <c r="U114" s="61"/>
      <c r="V114" s="61"/>
      <c r="W114" s="61"/>
      <c r="X114" s="61"/>
      <c r="Y114" s="61"/>
    </row>
    <row r="115">
      <c r="A115" s="52"/>
      <c r="B115" s="61"/>
      <c r="C115" s="61"/>
      <c r="D115" s="52"/>
      <c r="E115" s="61"/>
      <c r="F115" s="61"/>
      <c r="G115" s="61"/>
      <c r="H115" s="61"/>
      <c r="I115" s="61"/>
      <c r="J115" s="61"/>
      <c r="K115" s="61"/>
      <c r="L115" s="61"/>
      <c r="M115" s="61"/>
      <c r="N115" s="61"/>
      <c r="O115" s="61"/>
      <c r="P115" s="61"/>
      <c r="Q115" s="61"/>
      <c r="R115" s="61"/>
      <c r="S115" s="61"/>
      <c r="T115" s="61"/>
      <c r="U115" s="61"/>
      <c r="V115" s="61"/>
      <c r="W115" s="61"/>
      <c r="X115" s="61"/>
      <c r="Y115" s="61"/>
    </row>
    <row r="116">
      <c r="A116" s="52"/>
      <c r="B116" s="61"/>
      <c r="C116" s="61"/>
      <c r="D116" s="52"/>
      <c r="E116" s="61"/>
      <c r="F116" s="61"/>
      <c r="G116" s="61"/>
      <c r="H116" s="61"/>
      <c r="I116" s="61"/>
      <c r="J116" s="61"/>
      <c r="K116" s="61"/>
      <c r="L116" s="61"/>
      <c r="M116" s="61"/>
      <c r="N116" s="61"/>
      <c r="O116" s="61"/>
      <c r="P116" s="61"/>
      <c r="Q116" s="61"/>
      <c r="R116" s="61"/>
      <c r="S116" s="61"/>
      <c r="T116" s="61"/>
      <c r="U116" s="61"/>
      <c r="V116" s="61"/>
      <c r="W116" s="61"/>
      <c r="X116" s="61"/>
      <c r="Y116" s="61"/>
    </row>
    <row r="117">
      <c r="A117" s="52"/>
      <c r="B117" s="61"/>
      <c r="C117" s="61"/>
      <c r="D117" s="52"/>
      <c r="E117" s="61"/>
      <c r="F117" s="61"/>
      <c r="G117" s="61"/>
      <c r="H117" s="61"/>
      <c r="I117" s="61"/>
      <c r="J117" s="61"/>
      <c r="K117" s="61"/>
      <c r="L117" s="61"/>
      <c r="M117" s="61"/>
      <c r="N117" s="61"/>
      <c r="O117" s="61"/>
      <c r="P117" s="61"/>
      <c r="Q117" s="61"/>
      <c r="R117" s="61"/>
      <c r="S117" s="61"/>
      <c r="T117" s="61"/>
      <c r="U117" s="61"/>
      <c r="V117" s="61"/>
      <c r="W117" s="61"/>
      <c r="X117" s="61"/>
      <c r="Y117" s="61"/>
    </row>
    <row r="118">
      <c r="A118" s="52"/>
      <c r="B118" s="61"/>
      <c r="C118" s="61"/>
      <c r="D118" s="52"/>
      <c r="E118" s="61"/>
      <c r="F118" s="61"/>
      <c r="G118" s="61"/>
      <c r="H118" s="61"/>
      <c r="I118" s="61"/>
      <c r="J118" s="61"/>
      <c r="K118" s="61"/>
      <c r="L118" s="61"/>
      <c r="M118" s="61"/>
      <c r="N118" s="61"/>
      <c r="O118" s="61"/>
      <c r="P118" s="61"/>
      <c r="Q118" s="61"/>
      <c r="R118" s="61"/>
      <c r="S118" s="61"/>
      <c r="T118" s="61"/>
      <c r="U118" s="61"/>
      <c r="V118" s="61"/>
      <c r="W118" s="61"/>
      <c r="X118" s="61"/>
      <c r="Y118" s="61"/>
    </row>
    <row r="119">
      <c r="A119" s="52"/>
      <c r="B119" s="61"/>
      <c r="C119" s="61"/>
      <c r="D119" s="52"/>
      <c r="E119" s="61"/>
      <c r="F119" s="61"/>
      <c r="G119" s="61"/>
      <c r="H119" s="61"/>
      <c r="I119" s="61"/>
      <c r="J119" s="61"/>
      <c r="K119" s="61"/>
      <c r="L119" s="61"/>
      <c r="M119" s="61"/>
      <c r="N119" s="61"/>
      <c r="O119" s="61"/>
      <c r="P119" s="61"/>
      <c r="Q119" s="61"/>
      <c r="R119" s="61"/>
      <c r="S119" s="61"/>
      <c r="T119" s="61"/>
      <c r="U119" s="61"/>
      <c r="V119" s="61"/>
      <c r="W119" s="61"/>
      <c r="X119" s="61"/>
      <c r="Y119" s="61"/>
    </row>
    <row r="120">
      <c r="A120" s="52"/>
      <c r="B120" s="61"/>
      <c r="C120" s="61"/>
      <c r="D120" s="52"/>
      <c r="E120" s="61"/>
      <c r="F120" s="61"/>
      <c r="G120" s="61"/>
      <c r="H120" s="61"/>
      <c r="I120" s="61"/>
      <c r="J120" s="61"/>
      <c r="K120" s="61"/>
      <c r="L120" s="61"/>
      <c r="M120" s="61"/>
      <c r="N120" s="61"/>
      <c r="O120" s="61"/>
      <c r="P120" s="61"/>
      <c r="Q120" s="61"/>
      <c r="R120" s="61"/>
      <c r="S120" s="61"/>
      <c r="T120" s="61"/>
      <c r="U120" s="61"/>
      <c r="V120" s="61"/>
      <c r="W120" s="61"/>
      <c r="X120" s="61"/>
      <c r="Y120" s="61"/>
    </row>
    <row r="121">
      <c r="A121" s="52"/>
      <c r="B121" s="61"/>
      <c r="C121" s="61"/>
      <c r="D121" s="52"/>
      <c r="E121" s="61"/>
      <c r="F121" s="61"/>
      <c r="G121" s="61"/>
      <c r="H121" s="61"/>
      <c r="I121" s="61"/>
      <c r="J121" s="61"/>
      <c r="K121" s="61"/>
      <c r="L121" s="61"/>
      <c r="M121" s="61"/>
      <c r="N121" s="61"/>
      <c r="O121" s="61"/>
      <c r="P121" s="61"/>
      <c r="Q121" s="61"/>
      <c r="R121" s="61"/>
      <c r="S121" s="61"/>
      <c r="T121" s="61"/>
      <c r="U121" s="61"/>
      <c r="V121" s="61"/>
      <c r="W121" s="61"/>
      <c r="X121" s="61"/>
      <c r="Y121" s="61"/>
    </row>
    <row r="122">
      <c r="A122" s="52"/>
      <c r="B122" s="61"/>
      <c r="C122" s="61"/>
      <c r="D122" s="52"/>
      <c r="E122" s="61"/>
      <c r="F122" s="61"/>
      <c r="G122" s="61"/>
      <c r="H122" s="61"/>
      <c r="I122" s="61"/>
      <c r="J122" s="61"/>
      <c r="K122" s="61"/>
      <c r="L122" s="61"/>
      <c r="M122" s="61"/>
      <c r="N122" s="61"/>
      <c r="O122" s="61"/>
      <c r="P122" s="61"/>
      <c r="Q122" s="61"/>
      <c r="R122" s="61"/>
      <c r="S122" s="61"/>
      <c r="T122" s="61"/>
      <c r="U122" s="61"/>
      <c r="V122" s="61"/>
      <c r="W122" s="61"/>
      <c r="X122" s="61"/>
      <c r="Y122" s="61"/>
    </row>
    <row r="123">
      <c r="A123" s="52"/>
      <c r="B123" s="61"/>
      <c r="C123" s="61"/>
      <c r="D123" s="52"/>
      <c r="E123" s="61"/>
      <c r="F123" s="61"/>
      <c r="G123" s="61"/>
      <c r="H123" s="61"/>
      <c r="I123" s="61"/>
      <c r="J123" s="61"/>
      <c r="K123" s="61"/>
      <c r="L123" s="61"/>
      <c r="M123" s="61"/>
      <c r="N123" s="61"/>
      <c r="O123" s="61"/>
      <c r="P123" s="61"/>
      <c r="Q123" s="61"/>
      <c r="R123" s="61"/>
      <c r="S123" s="61"/>
      <c r="T123" s="61"/>
      <c r="U123" s="61"/>
      <c r="V123" s="61"/>
      <c r="W123" s="61"/>
      <c r="X123" s="61"/>
      <c r="Y123" s="61"/>
    </row>
    <row r="124">
      <c r="A124" s="52"/>
      <c r="B124" s="61"/>
      <c r="C124" s="61"/>
      <c r="D124" s="52"/>
      <c r="E124" s="61"/>
      <c r="F124" s="61"/>
      <c r="G124" s="61"/>
      <c r="H124" s="61"/>
      <c r="I124" s="61"/>
      <c r="J124" s="61"/>
      <c r="K124" s="61"/>
      <c r="L124" s="61"/>
      <c r="M124" s="61"/>
      <c r="N124" s="61"/>
      <c r="O124" s="61"/>
      <c r="P124" s="61"/>
      <c r="Q124" s="61"/>
      <c r="R124" s="61"/>
      <c r="S124" s="61"/>
      <c r="T124" s="61"/>
      <c r="U124" s="61"/>
      <c r="V124" s="61"/>
      <c r="W124" s="61"/>
      <c r="X124" s="61"/>
      <c r="Y124" s="61"/>
    </row>
    <row r="125">
      <c r="A125" s="52"/>
      <c r="B125" s="61"/>
      <c r="C125" s="61"/>
      <c r="D125" s="52"/>
      <c r="E125" s="61"/>
      <c r="F125" s="61"/>
      <c r="G125" s="61"/>
      <c r="H125" s="61"/>
      <c r="I125" s="61"/>
      <c r="J125" s="61"/>
      <c r="K125" s="61"/>
      <c r="L125" s="61"/>
      <c r="M125" s="61"/>
      <c r="N125" s="61"/>
      <c r="O125" s="61"/>
      <c r="P125" s="61"/>
      <c r="Q125" s="61"/>
      <c r="R125" s="61"/>
      <c r="S125" s="61"/>
      <c r="T125" s="61"/>
      <c r="U125" s="61"/>
      <c r="V125" s="61"/>
      <c r="W125" s="61"/>
      <c r="X125" s="61"/>
      <c r="Y125" s="61"/>
    </row>
    <row r="126">
      <c r="A126" s="52"/>
      <c r="B126" s="61"/>
      <c r="C126" s="61"/>
      <c r="D126" s="52"/>
      <c r="E126" s="61"/>
      <c r="F126" s="61"/>
      <c r="G126" s="61"/>
      <c r="H126" s="61"/>
      <c r="I126" s="61"/>
      <c r="J126" s="61"/>
      <c r="K126" s="61"/>
      <c r="L126" s="61"/>
      <c r="M126" s="61"/>
      <c r="N126" s="61"/>
      <c r="O126" s="61"/>
      <c r="P126" s="61"/>
      <c r="Q126" s="61"/>
      <c r="R126" s="61"/>
      <c r="S126" s="61"/>
      <c r="T126" s="61"/>
      <c r="U126" s="61"/>
      <c r="V126" s="61"/>
      <c r="W126" s="61"/>
      <c r="X126" s="61"/>
      <c r="Y126" s="61"/>
    </row>
    <row r="127">
      <c r="A127" s="52"/>
      <c r="B127" s="61"/>
      <c r="C127" s="61"/>
      <c r="D127" s="52"/>
      <c r="E127" s="61"/>
      <c r="F127" s="61"/>
      <c r="G127" s="61"/>
      <c r="H127" s="61"/>
      <c r="I127" s="61"/>
      <c r="J127" s="61"/>
      <c r="K127" s="61"/>
      <c r="L127" s="61"/>
      <c r="M127" s="61"/>
      <c r="N127" s="61"/>
      <c r="O127" s="61"/>
      <c r="P127" s="61"/>
      <c r="Q127" s="61"/>
      <c r="R127" s="61"/>
      <c r="S127" s="61"/>
      <c r="T127" s="61"/>
      <c r="U127" s="61"/>
      <c r="V127" s="61"/>
      <c r="W127" s="61"/>
      <c r="X127" s="61"/>
      <c r="Y127" s="61"/>
    </row>
    <row r="128">
      <c r="A128" s="52"/>
      <c r="B128" s="61"/>
      <c r="C128" s="61"/>
      <c r="D128" s="52"/>
      <c r="E128" s="61"/>
      <c r="F128" s="61"/>
      <c r="G128" s="61"/>
      <c r="H128" s="61"/>
      <c r="I128" s="61"/>
      <c r="J128" s="61"/>
      <c r="K128" s="61"/>
      <c r="L128" s="61"/>
      <c r="M128" s="61"/>
      <c r="N128" s="61"/>
      <c r="O128" s="61"/>
      <c r="P128" s="61"/>
      <c r="Q128" s="61"/>
      <c r="R128" s="61"/>
      <c r="S128" s="61"/>
      <c r="T128" s="61"/>
      <c r="U128" s="61"/>
      <c r="V128" s="61"/>
      <c r="W128" s="61"/>
      <c r="X128" s="61"/>
      <c r="Y128" s="61"/>
    </row>
    <row r="129">
      <c r="A129" s="52"/>
      <c r="B129" s="61"/>
      <c r="C129" s="61"/>
      <c r="D129" s="52"/>
      <c r="E129" s="61"/>
      <c r="F129" s="61"/>
      <c r="G129" s="61"/>
      <c r="H129" s="61"/>
      <c r="I129" s="61"/>
      <c r="J129" s="61"/>
      <c r="K129" s="61"/>
      <c r="L129" s="61"/>
      <c r="M129" s="61"/>
      <c r="N129" s="61"/>
      <c r="O129" s="61"/>
      <c r="P129" s="61"/>
      <c r="Q129" s="61"/>
      <c r="R129" s="61"/>
      <c r="S129" s="61"/>
      <c r="T129" s="61"/>
      <c r="U129" s="61"/>
      <c r="V129" s="61"/>
      <c r="W129" s="61"/>
      <c r="X129" s="61"/>
      <c r="Y129" s="61"/>
    </row>
    <row r="130">
      <c r="A130" s="52"/>
      <c r="B130" s="61"/>
      <c r="C130" s="61"/>
      <c r="D130" s="52"/>
      <c r="E130" s="61"/>
      <c r="F130" s="61"/>
      <c r="G130" s="61"/>
      <c r="H130" s="61"/>
      <c r="I130" s="61"/>
      <c r="J130" s="61"/>
      <c r="K130" s="61"/>
      <c r="L130" s="61"/>
      <c r="M130" s="61"/>
      <c r="N130" s="61"/>
      <c r="O130" s="61"/>
      <c r="P130" s="61"/>
      <c r="Q130" s="61"/>
      <c r="R130" s="61"/>
      <c r="S130" s="61"/>
      <c r="T130" s="61"/>
      <c r="U130" s="61"/>
      <c r="V130" s="61"/>
      <c r="W130" s="61"/>
      <c r="X130" s="61"/>
      <c r="Y130" s="61"/>
    </row>
    <row r="131">
      <c r="A131" s="52"/>
      <c r="B131" s="61"/>
      <c r="C131" s="61"/>
      <c r="D131" s="52"/>
      <c r="E131" s="61"/>
      <c r="F131" s="61"/>
      <c r="G131" s="61"/>
      <c r="H131" s="61"/>
      <c r="I131" s="61"/>
      <c r="J131" s="61"/>
      <c r="K131" s="61"/>
      <c r="L131" s="61"/>
      <c r="M131" s="61"/>
      <c r="N131" s="61"/>
      <c r="O131" s="61"/>
      <c r="P131" s="61"/>
      <c r="Q131" s="61"/>
      <c r="R131" s="61"/>
      <c r="S131" s="61"/>
      <c r="T131" s="61"/>
      <c r="U131" s="61"/>
      <c r="V131" s="61"/>
      <c r="W131" s="61"/>
      <c r="X131" s="61"/>
      <c r="Y131" s="61"/>
    </row>
    <row r="132">
      <c r="A132" s="52"/>
      <c r="B132" s="61"/>
      <c r="C132" s="61"/>
      <c r="D132" s="52"/>
      <c r="E132" s="61"/>
      <c r="F132" s="61"/>
      <c r="G132" s="61"/>
      <c r="H132" s="61"/>
      <c r="I132" s="61"/>
      <c r="J132" s="61"/>
      <c r="K132" s="61"/>
      <c r="L132" s="61"/>
      <c r="M132" s="61"/>
      <c r="N132" s="61"/>
      <c r="O132" s="61"/>
      <c r="P132" s="61"/>
      <c r="Q132" s="61"/>
      <c r="R132" s="61"/>
      <c r="S132" s="61"/>
      <c r="T132" s="61"/>
      <c r="U132" s="61"/>
      <c r="V132" s="61"/>
      <c r="W132" s="61"/>
      <c r="X132" s="61"/>
      <c r="Y132" s="61"/>
    </row>
    <row r="133">
      <c r="A133" s="52"/>
      <c r="B133" s="61"/>
      <c r="C133" s="61"/>
      <c r="D133" s="52"/>
      <c r="E133" s="61"/>
      <c r="F133" s="61"/>
      <c r="G133" s="61"/>
      <c r="H133" s="61"/>
      <c r="I133" s="61"/>
      <c r="J133" s="61"/>
      <c r="K133" s="61"/>
      <c r="L133" s="61"/>
      <c r="M133" s="61"/>
      <c r="N133" s="61"/>
      <c r="O133" s="61"/>
      <c r="P133" s="61"/>
      <c r="Q133" s="61"/>
      <c r="R133" s="61"/>
      <c r="S133" s="61"/>
      <c r="T133" s="61"/>
      <c r="U133" s="61"/>
      <c r="V133" s="61"/>
      <c r="W133" s="61"/>
      <c r="X133" s="61"/>
      <c r="Y133" s="61"/>
    </row>
    <row r="134">
      <c r="A134" s="52"/>
      <c r="B134" s="61"/>
      <c r="C134" s="61"/>
      <c r="D134" s="52"/>
      <c r="E134" s="61"/>
      <c r="F134" s="61"/>
      <c r="G134" s="61"/>
      <c r="H134" s="61"/>
      <c r="I134" s="61"/>
      <c r="J134" s="61"/>
      <c r="K134" s="61"/>
      <c r="L134" s="61"/>
      <c r="M134" s="61"/>
      <c r="N134" s="61"/>
      <c r="O134" s="61"/>
      <c r="P134" s="61"/>
      <c r="Q134" s="61"/>
      <c r="R134" s="61"/>
      <c r="S134" s="61"/>
      <c r="T134" s="61"/>
      <c r="U134" s="61"/>
      <c r="V134" s="61"/>
      <c r="W134" s="61"/>
      <c r="X134" s="61"/>
      <c r="Y134" s="61"/>
    </row>
    <row r="135">
      <c r="A135" s="52"/>
      <c r="B135" s="61"/>
      <c r="C135" s="61"/>
      <c r="D135" s="52"/>
      <c r="E135" s="61"/>
      <c r="F135" s="61"/>
      <c r="G135" s="61"/>
      <c r="H135" s="61"/>
      <c r="I135" s="61"/>
      <c r="J135" s="61"/>
      <c r="K135" s="61"/>
      <c r="L135" s="61"/>
      <c r="M135" s="61"/>
      <c r="N135" s="61"/>
      <c r="O135" s="61"/>
      <c r="P135" s="61"/>
      <c r="Q135" s="61"/>
      <c r="R135" s="61"/>
      <c r="S135" s="61"/>
      <c r="T135" s="61"/>
      <c r="U135" s="61"/>
      <c r="V135" s="61"/>
      <c r="W135" s="61"/>
      <c r="X135" s="61"/>
      <c r="Y135" s="61"/>
    </row>
    <row r="136">
      <c r="A136" s="52"/>
      <c r="B136" s="61"/>
      <c r="C136" s="61"/>
      <c r="D136" s="52"/>
      <c r="E136" s="61"/>
      <c r="F136" s="61"/>
      <c r="G136" s="61"/>
      <c r="H136" s="61"/>
      <c r="I136" s="61"/>
      <c r="J136" s="61"/>
      <c r="K136" s="61"/>
      <c r="L136" s="61"/>
      <c r="M136" s="61"/>
      <c r="N136" s="61"/>
      <c r="O136" s="61"/>
      <c r="P136" s="61"/>
      <c r="Q136" s="61"/>
      <c r="R136" s="61"/>
      <c r="S136" s="61"/>
      <c r="T136" s="61"/>
      <c r="U136" s="61"/>
      <c r="V136" s="61"/>
      <c r="W136" s="61"/>
      <c r="X136" s="61"/>
      <c r="Y136" s="61"/>
    </row>
    <row r="137">
      <c r="A137" s="52"/>
      <c r="B137" s="61"/>
      <c r="C137" s="61"/>
      <c r="D137" s="52"/>
      <c r="E137" s="61"/>
      <c r="F137" s="61"/>
      <c r="G137" s="61"/>
      <c r="H137" s="61"/>
      <c r="I137" s="61"/>
      <c r="J137" s="61"/>
      <c r="K137" s="61"/>
      <c r="L137" s="61"/>
      <c r="M137" s="61"/>
      <c r="N137" s="61"/>
      <c r="O137" s="61"/>
      <c r="P137" s="61"/>
      <c r="Q137" s="61"/>
      <c r="R137" s="61"/>
      <c r="S137" s="61"/>
      <c r="T137" s="61"/>
      <c r="U137" s="61"/>
      <c r="V137" s="61"/>
      <c r="W137" s="61"/>
      <c r="X137" s="61"/>
      <c r="Y137" s="61"/>
    </row>
    <row r="138">
      <c r="A138" s="52"/>
      <c r="B138" s="61"/>
      <c r="C138" s="61"/>
      <c r="D138" s="52"/>
      <c r="E138" s="61"/>
      <c r="F138" s="61"/>
      <c r="G138" s="61"/>
      <c r="H138" s="61"/>
      <c r="I138" s="61"/>
      <c r="J138" s="61"/>
      <c r="K138" s="61"/>
      <c r="L138" s="61"/>
      <c r="M138" s="61"/>
      <c r="N138" s="61"/>
      <c r="O138" s="61"/>
      <c r="P138" s="61"/>
      <c r="Q138" s="61"/>
      <c r="R138" s="61"/>
      <c r="S138" s="61"/>
      <c r="T138" s="61"/>
      <c r="U138" s="61"/>
      <c r="V138" s="61"/>
      <c r="W138" s="61"/>
      <c r="X138" s="61"/>
      <c r="Y138" s="61"/>
    </row>
    <row r="139">
      <c r="A139" s="52"/>
      <c r="B139" s="61"/>
      <c r="C139" s="61"/>
      <c r="D139" s="52"/>
      <c r="E139" s="61"/>
      <c r="F139" s="61"/>
      <c r="G139" s="61"/>
      <c r="H139" s="61"/>
      <c r="I139" s="61"/>
      <c r="J139" s="61"/>
      <c r="K139" s="61"/>
      <c r="L139" s="61"/>
      <c r="M139" s="61"/>
      <c r="N139" s="61"/>
      <c r="O139" s="61"/>
      <c r="P139" s="61"/>
      <c r="Q139" s="61"/>
      <c r="R139" s="61"/>
      <c r="S139" s="61"/>
      <c r="T139" s="61"/>
      <c r="U139" s="61"/>
      <c r="V139" s="61"/>
      <c r="W139" s="61"/>
      <c r="X139" s="61"/>
      <c r="Y139" s="61"/>
    </row>
    <row r="140">
      <c r="A140" s="52"/>
      <c r="B140" s="61"/>
      <c r="C140" s="61"/>
      <c r="D140" s="52"/>
      <c r="E140" s="61"/>
      <c r="F140" s="61"/>
      <c r="G140" s="61"/>
      <c r="H140" s="61"/>
      <c r="I140" s="61"/>
      <c r="J140" s="61"/>
      <c r="K140" s="61"/>
      <c r="L140" s="61"/>
      <c r="M140" s="61"/>
      <c r="N140" s="61"/>
      <c r="O140" s="61"/>
      <c r="P140" s="61"/>
      <c r="Q140" s="61"/>
      <c r="R140" s="61"/>
      <c r="S140" s="61"/>
      <c r="T140" s="61"/>
      <c r="U140" s="61"/>
      <c r="V140" s="61"/>
      <c r="W140" s="61"/>
      <c r="X140" s="61"/>
      <c r="Y140" s="61"/>
    </row>
    <row r="141">
      <c r="A141" s="52"/>
      <c r="B141" s="61"/>
      <c r="C141" s="61"/>
      <c r="D141" s="52"/>
      <c r="E141" s="61"/>
      <c r="F141" s="61"/>
      <c r="G141" s="61"/>
      <c r="H141" s="61"/>
      <c r="I141" s="61"/>
      <c r="J141" s="61"/>
      <c r="K141" s="61"/>
      <c r="L141" s="61"/>
      <c r="M141" s="61"/>
      <c r="N141" s="61"/>
      <c r="O141" s="61"/>
      <c r="P141" s="61"/>
      <c r="Q141" s="61"/>
      <c r="R141" s="61"/>
      <c r="S141" s="61"/>
      <c r="T141" s="61"/>
      <c r="U141" s="61"/>
      <c r="V141" s="61"/>
      <c r="W141" s="61"/>
      <c r="X141" s="61"/>
      <c r="Y141" s="61"/>
    </row>
    <row r="142">
      <c r="A142" s="52"/>
      <c r="B142" s="61"/>
      <c r="C142" s="61"/>
      <c r="D142" s="52"/>
      <c r="E142" s="61"/>
      <c r="F142" s="61"/>
      <c r="G142" s="61"/>
      <c r="H142" s="61"/>
      <c r="I142" s="61"/>
      <c r="J142" s="61"/>
      <c r="K142" s="61"/>
      <c r="L142" s="61"/>
      <c r="M142" s="61"/>
      <c r="N142" s="61"/>
      <c r="O142" s="61"/>
      <c r="P142" s="61"/>
      <c r="Q142" s="61"/>
      <c r="R142" s="61"/>
      <c r="S142" s="61"/>
      <c r="T142" s="61"/>
      <c r="U142" s="61"/>
      <c r="V142" s="61"/>
      <c r="W142" s="61"/>
      <c r="X142" s="61"/>
      <c r="Y142" s="61"/>
    </row>
    <row r="143">
      <c r="A143" s="52"/>
      <c r="B143" s="61"/>
      <c r="C143" s="61"/>
      <c r="D143" s="52"/>
      <c r="E143" s="61"/>
      <c r="F143" s="61"/>
      <c r="G143" s="61"/>
      <c r="H143" s="61"/>
      <c r="I143" s="61"/>
      <c r="J143" s="61"/>
      <c r="K143" s="61"/>
      <c r="L143" s="61"/>
      <c r="M143" s="61"/>
      <c r="N143" s="61"/>
      <c r="O143" s="61"/>
      <c r="P143" s="61"/>
      <c r="Q143" s="61"/>
      <c r="R143" s="61"/>
      <c r="S143" s="61"/>
      <c r="T143" s="61"/>
      <c r="U143" s="61"/>
      <c r="V143" s="61"/>
      <c r="W143" s="61"/>
      <c r="X143" s="61"/>
      <c r="Y143" s="61"/>
    </row>
    <row r="144">
      <c r="A144" s="52"/>
      <c r="B144" s="61"/>
      <c r="C144" s="61"/>
      <c r="D144" s="52"/>
      <c r="E144" s="61"/>
      <c r="F144" s="61"/>
      <c r="G144" s="61"/>
      <c r="H144" s="61"/>
      <c r="I144" s="61"/>
      <c r="J144" s="61"/>
      <c r="K144" s="61"/>
      <c r="L144" s="61"/>
      <c r="M144" s="61"/>
      <c r="N144" s="61"/>
      <c r="O144" s="61"/>
      <c r="P144" s="61"/>
      <c r="Q144" s="61"/>
      <c r="R144" s="61"/>
      <c r="S144" s="61"/>
      <c r="T144" s="61"/>
      <c r="U144" s="61"/>
      <c r="V144" s="61"/>
      <c r="W144" s="61"/>
      <c r="X144" s="61"/>
      <c r="Y144" s="61"/>
    </row>
    <row r="145">
      <c r="A145" s="52"/>
      <c r="B145" s="61"/>
      <c r="C145" s="61"/>
      <c r="D145" s="52"/>
      <c r="E145" s="61"/>
      <c r="F145" s="61"/>
      <c r="G145" s="61"/>
      <c r="H145" s="61"/>
      <c r="I145" s="61"/>
      <c r="J145" s="61"/>
      <c r="K145" s="61"/>
      <c r="L145" s="61"/>
      <c r="M145" s="61"/>
      <c r="N145" s="61"/>
      <c r="O145" s="61"/>
      <c r="P145" s="61"/>
      <c r="Q145" s="61"/>
      <c r="R145" s="61"/>
      <c r="S145" s="61"/>
      <c r="T145" s="61"/>
      <c r="U145" s="61"/>
      <c r="V145" s="61"/>
      <c r="W145" s="61"/>
      <c r="X145" s="61"/>
      <c r="Y145" s="61"/>
    </row>
    <row r="146">
      <c r="A146" s="52"/>
      <c r="B146" s="61"/>
      <c r="C146" s="61"/>
      <c r="D146" s="52"/>
      <c r="E146" s="61"/>
      <c r="F146" s="61"/>
      <c r="G146" s="61"/>
      <c r="H146" s="61"/>
      <c r="I146" s="61"/>
      <c r="J146" s="61"/>
      <c r="K146" s="61"/>
      <c r="L146" s="61"/>
      <c r="M146" s="61"/>
      <c r="N146" s="61"/>
      <c r="O146" s="61"/>
      <c r="P146" s="61"/>
      <c r="Q146" s="61"/>
      <c r="R146" s="61"/>
      <c r="S146" s="61"/>
      <c r="T146" s="61"/>
      <c r="U146" s="61"/>
      <c r="V146" s="61"/>
      <c r="W146" s="61"/>
      <c r="X146" s="61"/>
      <c r="Y146" s="61"/>
    </row>
    <row r="147">
      <c r="A147" s="52"/>
      <c r="B147" s="61"/>
      <c r="C147" s="61"/>
      <c r="D147" s="52"/>
      <c r="E147" s="61"/>
      <c r="F147" s="61"/>
      <c r="G147" s="61"/>
      <c r="H147" s="61"/>
      <c r="I147" s="61"/>
      <c r="J147" s="61"/>
      <c r="K147" s="61"/>
      <c r="L147" s="61"/>
      <c r="M147" s="61"/>
      <c r="N147" s="61"/>
      <c r="O147" s="61"/>
      <c r="P147" s="61"/>
      <c r="Q147" s="61"/>
      <c r="R147" s="61"/>
      <c r="S147" s="61"/>
      <c r="T147" s="61"/>
      <c r="U147" s="61"/>
      <c r="V147" s="61"/>
      <c r="W147" s="61"/>
      <c r="X147" s="61"/>
      <c r="Y147" s="61"/>
    </row>
    <row r="148">
      <c r="A148" s="52"/>
      <c r="B148" s="61"/>
      <c r="C148" s="61"/>
      <c r="D148" s="52"/>
      <c r="E148" s="61"/>
      <c r="F148" s="61"/>
      <c r="G148" s="61"/>
      <c r="H148" s="61"/>
      <c r="I148" s="61"/>
      <c r="J148" s="61"/>
      <c r="K148" s="61"/>
      <c r="L148" s="61"/>
      <c r="M148" s="61"/>
      <c r="N148" s="61"/>
      <c r="O148" s="61"/>
      <c r="P148" s="61"/>
      <c r="Q148" s="61"/>
      <c r="R148" s="61"/>
      <c r="S148" s="61"/>
      <c r="T148" s="61"/>
      <c r="U148" s="61"/>
      <c r="V148" s="61"/>
      <c r="W148" s="61"/>
      <c r="X148" s="61"/>
      <c r="Y148" s="61"/>
    </row>
    <row r="149">
      <c r="A149" s="52"/>
      <c r="B149" s="61"/>
      <c r="C149" s="61"/>
      <c r="D149" s="52"/>
      <c r="E149" s="61"/>
      <c r="F149" s="61"/>
      <c r="G149" s="61"/>
      <c r="H149" s="61"/>
      <c r="I149" s="61"/>
      <c r="J149" s="61"/>
      <c r="K149" s="61"/>
      <c r="L149" s="61"/>
      <c r="M149" s="61"/>
      <c r="N149" s="61"/>
      <c r="O149" s="61"/>
      <c r="P149" s="61"/>
      <c r="Q149" s="61"/>
      <c r="R149" s="61"/>
      <c r="S149" s="61"/>
      <c r="T149" s="61"/>
      <c r="U149" s="61"/>
      <c r="V149" s="61"/>
      <c r="W149" s="61"/>
      <c r="X149" s="61"/>
      <c r="Y149" s="61"/>
    </row>
    <row r="150">
      <c r="A150" s="52"/>
      <c r="B150" s="61"/>
      <c r="C150" s="61"/>
      <c r="D150" s="52"/>
      <c r="E150" s="61"/>
      <c r="F150" s="61"/>
      <c r="G150" s="61"/>
      <c r="H150" s="61"/>
      <c r="I150" s="61"/>
      <c r="J150" s="61"/>
      <c r="K150" s="61"/>
      <c r="L150" s="61"/>
      <c r="M150" s="61"/>
      <c r="N150" s="61"/>
      <c r="O150" s="61"/>
      <c r="P150" s="61"/>
      <c r="Q150" s="61"/>
      <c r="R150" s="61"/>
      <c r="S150" s="61"/>
      <c r="T150" s="61"/>
      <c r="U150" s="61"/>
      <c r="V150" s="61"/>
      <c r="W150" s="61"/>
      <c r="X150" s="61"/>
      <c r="Y150" s="61"/>
    </row>
    <row r="151">
      <c r="A151" s="52"/>
      <c r="B151" s="61"/>
      <c r="C151" s="61"/>
      <c r="D151" s="52"/>
      <c r="E151" s="61"/>
      <c r="F151" s="61"/>
      <c r="G151" s="61"/>
      <c r="H151" s="61"/>
      <c r="I151" s="61"/>
      <c r="J151" s="61"/>
      <c r="K151" s="61"/>
      <c r="L151" s="61"/>
      <c r="M151" s="61"/>
      <c r="N151" s="61"/>
      <c r="O151" s="61"/>
      <c r="P151" s="61"/>
      <c r="Q151" s="61"/>
      <c r="R151" s="61"/>
      <c r="S151" s="61"/>
      <c r="T151" s="61"/>
      <c r="U151" s="61"/>
      <c r="V151" s="61"/>
      <c r="W151" s="61"/>
      <c r="X151" s="61"/>
      <c r="Y151" s="61"/>
    </row>
    <row r="152">
      <c r="A152" s="52"/>
      <c r="B152" s="61"/>
      <c r="C152" s="61"/>
      <c r="D152" s="52"/>
      <c r="E152" s="61"/>
      <c r="F152" s="61"/>
      <c r="G152" s="61"/>
      <c r="H152" s="61"/>
      <c r="I152" s="61"/>
      <c r="J152" s="61"/>
      <c r="K152" s="61"/>
      <c r="L152" s="61"/>
      <c r="M152" s="61"/>
      <c r="N152" s="61"/>
      <c r="O152" s="61"/>
      <c r="P152" s="61"/>
      <c r="Q152" s="61"/>
      <c r="R152" s="61"/>
      <c r="S152" s="61"/>
      <c r="T152" s="61"/>
      <c r="U152" s="61"/>
      <c r="V152" s="61"/>
      <c r="W152" s="61"/>
      <c r="X152" s="61"/>
      <c r="Y152" s="61"/>
    </row>
    <row r="153">
      <c r="A153" s="52"/>
      <c r="B153" s="61"/>
      <c r="C153" s="61"/>
      <c r="D153" s="52"/>
      <c r="E153" s="61"/>
      <c r="F153" s="61"/>
      <c r="G153" s="61"/>
      <c r="H153" s="61"/>
      <c r="I153" s="61"/>
      <c r="J153" s="61"/>
      <c r="K153" s="61"/>
      <c r="L153" s="61"/>
      <c r="M153" s="61"/>
      <c r="N153" s="61"/>
      <c r="O153" s="61"/>
      <c r="P153" s="61"/>
      <c r="Q153" s="61"/>
      <c r="R153" s="61"/>
      <c r="S153" s="61"/>
      <c r="T153" s="61"/>
      <c r="U153" s="61"/>
      <c r="V153" s="61"/>
      <c r="W153" s="61"/>
      <c r="X153" s="61"/>
      <c r="Y153" s="61"/>
    </row>
    <row r="154">
      <c r="A154" s="52"/>
      <c r="B154" s="61"/>
      <c r="C154" s="61"/>
      <c r="D154" s="52"/>
      <c r="E154" s="61"/>
      <c r="F154" s="61"/>
      <c r="G154" s="61"/>
      <c r="H154" s="61"/>
      <c r="I154" s="61"/>
      <c r="J154" s="61"/>
      <c r="K154" s="61"/>
      <c r="L154" s="61"/>
      <c r="M154" s="61"/>
      <c r="N154" s="61"/>
      <c r="O154" s="61"/>
      <c r="P154" s="61"/>
      <c r="Q154" s="61"/>
      <c r="R154" s="61"/>
      <c r="S154" s="61"/>
      <c r="T154" s="61"/>
      <c r="U154" s="61"/>
      <c r="V154" s="61"/>
      <c r="W154" s="61"/>
      <c r="X154" s="61"/>
      <c r="Y154" s="61"/>
    </row>
    <row r="155">
      <c r="A155" s="52"/>
      <c r="B155" s="61"/>
      <c r="C155" s="61"/>
      <c r="D155" s="52"/>
      <c r="E155" s="61"/>
      <c r="F155" s="61"/>
      <c r="G155" s="61"/>
      <c r="H155" s="61"/>
      <c r="I155" s="61"/>
      <c r="J155" s="61"/>
      <c r="K155" s="61"/>
      <c r="L155" s="61"/>
      <c r="M155" s="61"/>
      <c r="N155" s="61"/>
      <c r="O155" s="61"/>
      <c r="P155" s="61"/>
      <c r="Q155" s="61"/>
      <c r="R155" s="61"/>
      <c r="S155" s="61"/>
      <c r="T155" s="61"/>
      <c r="U155" s="61"/>
      <c r="V155" s="61"/>
      <c r="W155" s="61"/>
      <c r="X155" s="61"/>
      <c r="Y155" s="61"/>
    </row>
    <row r="156">
      <c r="A156" s="52"/>
      <c r="B156" s="61"/>
      <c r="C156" s="61"/>
      <c r="D156" s="52"/>
      <c r="E156" s="61"/>
      <c r="F156" s="61"/>
      <c r="G156" s="61"/>
      <c r="H156" s="61"/>
      <c r="I156" s="61"/>
      <c r="J156" s="61"/>
      <c r="K156" s="61"/>
      <c r="L156" s="61"/>
      <c r="M156" s="61"/>
      <c r="N156" s="61"/>
      <c r="O156" s="61"/>
      <c r="P156" s="61"/>
      <c r="Q156" s="61"/>
      <c r="R156" s="61"/>
      <c r="S156" s="61"/>
      <c r="T156" s="61"/>
      <c r="U156" s="61"/>
      <c r="V156" s="61"/>
      <c r="W156" s="61"/>
      <c r="X156" s="61"/>
      <c r="Y156" s="61"/>
    </row>
    <row r="157">
      <c r="A157" s="52"/>
      <c r="B157" s="61"/>
      <c r="C157" s="61"/>
      <c r="D157" s="52"/>
      <c r="E157" s="61"/>
      <c r="F157" s="61"/>
      <c r="G157" s="61"/>
      <c r="H157" s="61"/>
      <c r="I157" s="61"/>
      <c r="J157" s="61"/>
      <c r="K157" s="61"/>
      <c r="L157" s="61"/>
      <c r="M157" s="61"/>
      <c r="N157" s="61"/>
      <c r="O157" s="61"/>
      <c r="P157" s="61"/>
      <c r="Q157" s="61"/>
      <c r="R157" s="61"/>
      <c r="S157" s="61"/>
      <c r="T157" s="61"/>
      <c r="U157" s="61"/>
      <c r="V157" s="61"/>
      <c r="W157" s="61"/>
      <c r="X157" s="61"/>
      <c r="Y157" s="61"/>
    </row>
    <row r="158">
      <c r="A158" s="52"/>
      <c r="B158" s="61"/>
      <c r="C158" s="61"/>
      <c r="D158" s="52"/>
      <c r="E158" s="61"/>
      <c r="F158" s="61"/>
      <c r="G158" s="61"/>
      <c r="H158" s="61"/>
      <c r="I158" s="61"/>
      <c r="J158" s="61"/>
      <c r="K158" s="61"/>
      <c r="L158" s="61"/>
      <c r="M158" s="61"/>
      <c r="N158" s="61"/>
      <c r="O158" s="61"/>
      <c r="P158" s="61"/>
      <c r="Q158" s="61"/>
      <c r="R158" s="61"/>
      <c r="S158" s="61"/>
      <c r="T158" s="61"/>
      <c r="U158" s="61"/>
      <c r="V158" s="61"/>
      <c r="W158" s="61"/>
      <c r="X158" s="61"/>
      <c r="Y158" s="61"/>
    </row>
    <row r="159">
      <c r="A159" s="52"/>
      <c r="B159" s="61"/>
      <c r="C159" s="61"/>
      <c r="D159" s="52"/>
      <c r="E159" s="61"/>
      <c r="F159" s="61"/>
      <c r="G159" s="61"/>
      <c r="H159" s="61"/>
      <c r="I159" s="61"/>
      <c r="J159" s="61"/>
      <c r="K159" s="61"/>
      <c r="L159" s="61"/>
      <c r="M159" s="61"/>
      <c r="N159" s="61"/>
      <c r="O159" s="61"/>
      <c r="P159" s="61"/>
      <c r="Q159" s="61"/>
      <c r="R159" s="61"/>
      <c r="S159" s="61"/>
      <c r="T159" s="61"/>
      <c r="U159" s="61"/>
      <c r="V159" s="61"/>
      <c r="W159" s="61"/>
      <c r="X159" s="61"/>
      <c r="Y159" s="61"/>
    </row>
    <row r="160">
      <c r="A160" s="52"/>
      <c r="B160" s="61"/>
      <c r="C160" s="61"/>
      <c r="D160" s="52"/>
      <c r="E160" s="61"/>
      <c r="F160" s="61"/>
      <c r="G160" s="61"/>
      <c r="H160" s="61"/>
      <c r="I160" s="61"/>
      <c r="J160" s="61"/>
      <c r="K160" s="61"/>
      <c r="L160" s="61"/>
      <c r="M160" s="61"/>
      <c r="N160" s="61"/>
      <c r="O160" s="61"/>
      <c r="P160" s="61"/>
      <c r="Q160" s="61"/>
      <c r="R160" s="61"/>
      <c r="S160" s="61"/>
      <c r="T160" s="61"/>
      <c r="U160" s="61"/>
      <c r="V160" s="61"/>
      <c r="W160" s="61"/>
      <c r="X160" s="61"/>
      <c r="Y160" s="61"/>
    </row>
    <row r="161">
      <c r="A161" s="52"/>
      <c r="B161" s="61"/>
      <c r="C161" s="61"/>
      <c r="D161" s="52"/>
      <c r="E161" s="61"/>
      <c r="F161" s="61"/>
      <c r="G161" s="61"/>
      <c r="H161" s="61"/>
      <c r="I161" s="61"/>
      <c r="J161" s="61"/>
      <c r="K161" s="61"/>
      <c r="L161" s="61"/>
      <c r="M161" s="61"/>
      <c r="N161" s="61"/>
      <c r="O161" s="61"/>
      <c r="P161" s="61"/>
      <c r="Q161" s="61"/>
      <c r="R161" s="61"/>
      <c r="S161" s="61"/>
      <c r="T161" s="61"/>
      <c r="U161" s="61"/>
      <c r="V161" s="61"/>
      <c r="W161" s="61"/>
      <c r="X161" s="61"/>
      <c r="Y161" s="61"/>
    </row>
    <row r="162">
      <c r="A162" s="52"/>
      <c r="B162" s="61"/>
      <c r="C162" s="61"/>
      <c r="D162" s="52"/>
      <c r="E162" s="61"/>
      <c r="F162" s="61"/>
      <c r="G162" s="61"/>
      <c r="H162" s="61"/>
      <c r="I162" s="61"/>
      <c r="J162" s="61"/>
      <c r="K162" s="61"/>
      <c r="L162" s="61"/>
      <c r="M162" s="61"/>
      <c r="N162" s="61"/>
      <c r="O162" s="61"/>
      <c r="P162" s="61"/>
      <c r="Q162" s="61"/>
      <c r="R162" s="61"/>
      <c r="S162" s="61"/>
      <c r="T162" s="61"/>
      <c r="U162" s="61"/>
      <c r="V162" s="61"/>
      <c r="W162" s="61"/>
      <c r="X162" s="61"/>
      <c r="Y162" s="61"/>
    </row>
    <row r="163">
      <c r="A163" s="52"/>
      <c r="B163" s="61"/>
      <c r="C163" s="61"/>
      <c r="D163" s="52"/>
      <c r="E163" s="61"/>
      <c r="F163" s="61"/>
      <c r="G163" s="61"/>
      <c r="H163" s="61"/>
      <c r="I163" s="61"/>
      <c r="J163" s="61"/>
      <c r="K163" s="61"/>
      <c r="L163" s="61"/>
      <c r="M163" s="61"/>
      <c r="N163" s="61"/>
      <c r="O163" s="61"/>
      <c r="P163" s="61"/>
      <c r="Q163" s="61"/>
      <c r="R163" s="61"/>
      <c r="S163" s="61"/>
      <c r="T163" s="61"/>
      <c r="U163" s="61"/>
      <c r="V163" s="61"/>
      <c r="W163" s="61"/>
      <c r="X163" s="61"/>
      <c r="Y163" s="61"/>
    </row>
    <row r="164">
      <c r="A164" s="52"/>
      <c r="B164" s="61"/>
      <c r="C164" s="61"/>
      <c r="D164" s="52"/>
      <c r="E164" s="61"/>
      <c r="F164" s="61"/>
      <c r="G164" s="61"/>
      <c r="H164" s="61"/>
      <c r="I164" s="61"/>
      <c r="J164" s="61"/>
      <c r="K164" s="61"/>
      <c r="L164" s="61"/>
      <c r="M164" s="61"/>
      <c r="N164" s="61"/>
      <c r="O164" s="61"/>
      <c r="P164" s="61"/>
      <c r="Q164" s="61"/>
      <c r="R164" s="61"/>
      <c r="S164" s="61"/>
      <c r="T164" s="61"/>
      <c r="U164" s="61"/>
      <c r="V164" s="61"/>
      <c r="W164" s="61"/>
      <c r="X164" s="61"/>
      <c r="Y164" s="61"/>
    </row>
    <row r="165">
      <c r="A165" s="52"/>
      <c r="B165" s="61"/>
      <c r="C165" s="61"/>
      <c r="D165" s="52"/>
      <c r="E165" s="61"/>
      <c r="F165" s="61"/>
      <c r="G165" s="61"/>
      <c r="H165" s="61"/>
      <c r="I165" s="61"/>
      <c r="J165" s="61"/>
      <c r="K165" s="61"/>
      <c r="L165" s="61"/>
      <c r="M165" s="61"/>
      <c r="N165" s="61"/>
      <c r="O165" s="61"/>
      <c r="P165" s="61"/>
      <c r="Q165" s="61"/>
      <c r="R165" s="61"/>
      <c r="S165" s="61"/>
      <c r="T165" s="61"/>
      <c r="U165" s="61"/>
      <c r="V165" s="61"/>
      <c r="W165" s="61"/>
      <c r="X165" s="61"/>
      <c r="Y165" s="61"/>
    </row>
    <row r="166">
      <c r="A166" s="52"/>
      <c r="B166" s="61"/>
      <c r="C166" s="61"/>
      <c r="D166" s="52"/>
      <c r="E166" s="61"/>
      <c r="F166" s="61"/>
      <c r="G166" s="61"/>
      <c r="H166" s="61"/>
      <c r="I166" s="61"/>
      <c r="J166" s="61"/>
      <c r="K166" s="61"/>
      <c r="L166" s="61"/>
      <c r="M166" s="61"/>
      <c r="N166" s="61"/>
      <c r="O166" s="61"/>
      <c r="P166" s="61"/>
      <c r="Q166" s="61"/>
      <c r="R166" s="61"/>
      <c r="S166" s="61"/>
      <c r="T166" s="61"/>
      <c r="U166" s="61"/>
      <c r="V166" s="61"/>
      <c r="W166" s="61"/>
      <c r="X166" s="61"/>
      <c r="Y166" s="61"/>
    </row>
    <row r="167">
      <c r="A167" s="52"/>
      <c r="B167" s="61"/>
      <c r="C167" s="61"/>
      <c r="D167" s="52"/>
      <c r="E167" s="61"/>
      <c r="F167" s="61"/>
      <c r="G167" s="61"/>
      <c r="H167" s="61"/>
      <c r="I167" s="61"/>
      <c r="J167" s="61"/>
      <c r="K167" s="61"/>
      <c r="L167" s="61"/>
      <c r="M167" s="61"/>
      <c r="N167" s="61"/>
      <c r="O167" s="61"/>
      <c r="P167" s="61"/>
      <c r="Q167" s="61"/>
      <c r="R167" s="61"/>
      <c r="S167" s="61"/>
      <c r="T167" s="61"/>
      <c r="U167" s="61"/>
      <c r="V167" s="61"/>
      <c r="W167" s="61"/>
      <c r="X167" s="61"/>
      <c r="Y167" s="61"/>
    </row>
    <row r="168">
      <c r="A168" s="52"/>
      <c r="B168" s="61"/>
      <c r="C168" s="61"/>
      <c r="D168" s="52"/>
      <c r="E168" s="61"/>
      <c r="F168" s="61"/>
      <c r="G168" s="61"/>
      <c r="H168" s="61"/>
      <c r="I168" s="61"/>
      <c r="J168" s="61"/>
      <c r="K168" s="61"/>
      <c r="L168" s="61"/>
      <c r="M168" s="61"/>
      <c r="N168" s="61"/>
      <c r="O168" s="61"/>
      <c r="P168" s="61"/>
      <c r="Q168" s="61"/>
      <c r="R168" s="61"/>
      <c r="S168" s="61"/>
      <c r="T168" s="61"/>
      <c r="U168" s="61"/>
      <c r="V168" s="61"/>
      <c r="W168" s="61"/>
      <c r="X168" s="61"/>
      <c r="Y168" s="61"/>
    </row>
    <row r="169">
      <c r="A169" s="52"/>
      <c r="B169" s="61"/>
      <c r="C169" s="61"/>
      <c r="D169" s="52"/>
      <c r="E169" s="61"/>
      <c r="F169" s="61"/>
      <c r="G169" s="61"/>
      <c r="H169" s="61"/>
      <c r="I169" s="61"/>
      <c r="J169" s="61"/>
      <c r="K169" s="61"/>
      <c r="L169" s="61"/>
      <c r="M169" s="61"/>
      <c r="N169" s="61"/>
      <c r="O169" s="61"/>
      <c r="P169" s="61"/>
      <c r="Q169" s="61"/>
      <c r="R169" s="61"/>
      <c r="S169" s="61"/>
      <c r="T169" s="61"/>
      <c r="U169" s="61"/>
      <c r="V169" s="61"/>
      <c r="W169" s="61"/>
      <c r="X169" s="61"/>
      <c r="Y169" s="61"/>
    </row>
    <row r="170">
      <c r="A170" s="52"/>
      <c r="B170" s="61"/>
      <c r="C170" s="61"/>
      <c r="D170" s="52"/>
      <c r="E170" s="61"/>
      <c r="F170" s="61"/>
      <c r="G170" s="61"/>
      <c r="H170" s="61"/>
      <c r="I170" s="61"/>
      <c r="J170" s="61"/>
      <c r="K170" s="61"/>
      <c r="L170" s="61"/>
      <c r="M170" s="61"/>
      <c r="N170" s="61"/>
      <c r="O170" s="61"/>
      <c r="P170" s="61"/>
      <c r="Q170" s="61"/>
      <c r="R170" s="61"/>
      <c r="S170" s="61"/>
      <c r="T170" s="61"/>
      <c r="U170" s="61"/>
      <c r="V170" s="61"/>
      <c r="W170" s="61"/>
      <c r="X170" s="61"/>
      <c r="Y170" s="61"/>
    </row>
    <row r="171">
      <c r="A171" s="52"/>
      <c r="B171" s="61"/>
      <c r="C171" s="61"/>
      <c r="D171" s="52"/>
      <c r="E171" s="61"/>
      <c r="F171" s="61"/>
      <c r="G171" s="61"/>
      <c r="H171" s="61"/>
      <c r="I171" s="61"/>
      <c r="J171" s="61"/>
      <c r="K171" s="61"/>
      <c r="L171" s="61"/>
      <c r="M171" s="61"/>
      <c r="N171" s="61"/>
      <c r="O171" s="61"/>
      <c r="P171" s="61"/>
      <c r="Q171" s="61"/>
      <c r="R171" s="61"/>
      <c r="S171" s="61"/>
      <c r="T171" s="61"/>
      <c r="U171" s="61"/>
      <c r="V171" s="61"/>
      <c r="W171" s="61"/>
      <c r="X171" s="61"/>
      <c r="Y171" s="61"/>
    </row>
    <row r="172">
      <c r="A172" s="52"/>
      <c r="B172" s="61"/>
      <c r="C172" s="61"/>
      <c r="D172" s="52"/>
      <c r="E172" s="61"/>
      <c r="F172" s="61"/>
      <c r="G172" s="61"/>
      <c r="H172" s="61"/>
      <c r="I172" s="61"/>
      <c r="J172" s="61"/>
      <c r="K172" s="61"/>
      <c r="L172" s="61"/>
      <c r="M172" s="61"/>
      <c r="N172" s="61"/>
      <c r="O172" s="61"/>
      <c r="P172" s="61"/>
      <c r="Q172" s="61"/>
      <c r="R172" s="61"/>
      <c r="S172" s="61"/>
      <c r="T172" s="61"/>
      <c r="U172" s="61"/>
      <c r="V172" s="61"/>
      <c r="W172" s="61"/>
      <c r="X172" s="61"/>
      <c r="Y172" s="61"/>
    </row>
    <row r="173">
      <c r="A173" s="52"/>
      <c r="B173" s="61"/>
      <c r="C173" s="61"/>
      <c r="D173" s="52"/>
      <c r="E173" s="61"/>
      <c r="F173" s="61"/>
      <c r="G173" s="61"/>
      <c r="H173" s="61"/>
      <c r="I173" s="61"/>
      <c r="J173" s="61"/>
      <c r="K173" s="61"/>
      <c r="L173" s="61"/>
      <c r="M173" s="61"/>
      <c r="N173" s="61"/>
      <c r="O173" s="61"/>
      <c r="P173" s="61"/>
      <c r="Q173" s="61"/>
      <c r="R173" s="61"/>
      <c r="S173" s="61"/>
      <c r="T173" s="61"/>
      <c r="U173" s="61"/>
      <c r="V173" s="61"/>
      <c r="W173" s="61"/>
      <c r="X173" s="61"/>
      <c r="Y173" s="61"/>
    </row>
    <row r="174">
      <c r="A174" s="52"/>
      <c r="B174" s="61"/>
      <c r="C174" s="61"/>
      <c r="D174" s="52"/>
      <c r="E174" s="61"/>
      <c r="F174" s="61"/>
      <c r="G174" s="61"/>
      <c r="H174" s="61"/>
      <c r="I174" s="61"/>
      <c r="J174" s="61"/>
      <c r="K174" s="61"/>
      <c r="L174" s="61"/>
      <c r="M174" s="61"/>
      <c r="N174" s="61"/>
      <c r="O174" s="61"/>
      <c r="P174" s="61"/>
      <c r="Q174" s="61"/>
      <c r="R174" s="61"/>
      <c r="S174" s="61"/>
      <c r="T174" s="61"/>
      <c r="U174" s="61"/>
      <c r="V174" s="61"/>
      <c r="W174" s="61"/>
      <c r="X174" s="61"/>
      <c r="Y174" s="61"/>
    </row>
    <row r="175">
      <c r="A175" s="52"/>
      <c r="B175" s="61"/>
      <c r="C175" s="61"/>
      <c r="D175" s="52"/>
      <c r="E175" s="61"/>
      <c r="F175" s="61"/>
      <c r="G175" s="61"/>
      <c r="H175" s="61"/>
      <c r="I175" s="61"/>
      <c r="J175" s="61"/>
      <c r="K175" s="61"/>
      <c r="L175" s="61"/>
      <c r="M175" s="61"/>
      <c r="N175" s="61"/>
      <c r="O175" s="61"/>
      <c r="P175" s="61"/>
      <c r="Q175" s="61"/>
      <c r="R175" s="61"/>
      <c r="S175" s="61"/>
      <c r="T175" s="61"/>
      <c r="U175" s="61"/>
      <c r="V175" s="61"/>
      <c r="W175" s="61"/>
      <c r="X175" s="61"/>
      <c r="Y175" s="61"/>
    </row>
    <row r="176">
      <c r="A176" s="52"/>
      <c r="B176" s="61"/>
      <c r="C176" s="61"/>
      <c r="D176" s="52"/>
      <c r="E176" s="61"/>
      <c r="F176" s="61"/>
      <c r="G176" s="61"/>
      <c r="H176" s="61"/>
      <c r="I176" s="61"/>
      <c r="J176" s="61"/>
      <c r="K176" s="61"/>
      <c r="L176" s="61"/>
      <c r="M176" s="61"/>
      <c r="N176" s="61"/>
      <c r="O176" s="61"/>
      <c r="P176" s="61"/>
      <c r="Q176" s="61"/>
      <c r="R176" s="61"/>
      <c r="S176" s="61"/>
      <c r="T176" s="61"/>
      <c r="U176" s="61"/>
      <c r="V176" s="61"/>
      <c r="W176" s="61"/>
      <c r="X176" s="61"/>
      <c r="Y176" s="61"/>
    </row>
    <row r="177">
      <c r="A177" s="52"/>
      <c r="B177" s="61"/>
      <c r="C177" s="61"/>
      <c r="D177" s="52"/>
      <c r="E177" s="61"/>
      <c r="F177" s="61"/>
      <c r="G177" s="61"/>
      <c r="H177" s="61"/>
      <c r="I177" s="61"/>
      <c r="J177" s="61"/>
      <c r="K177" s="61"/>
      <c r="L177" s="61"/>
      <c r="M177" s="61"/>
      <c r="N177" s="61"/>
      <c r="O177" s="61"/>
      <c r="P177" s="61"/>
      <c r="Q177" s="61"/>
      <c r="R177" s="61"/>
      <c r="S177" s="61"/>
      <c r="T177" s="61"/>
      <c r="U177" s="61"/>
      <c r="V177" s="61"/>
      <c r="W177" s="61"/>
      <c r="X177" s="61"/>
      <c r="Y177" s="61"/>
    </row>
    <row r="178">
      <c r="A178" s="52"/>
      <c r="B178" s="61"/>
      <c r="C178" s="61"/>
      <c r="D178" s="52"/>
      <c r="E178" s="61"/>
      <c r="F178" s="61"/>
      <c r="G178" s="61"/>
      <c r="H178" s="61"/>
      <c r="I178" s="61"/>
      <c r="J178" s="61"/>
      <c r="K178" s="61"/>
      <c r="L178" s="61"/>
      <c r="M178" s="61"/>
      <c r="N178" s="61"/>
      <c r="O178" s="61"/>
      <c r="P178" s="61"/>
      <c r="Q178" s="61"/>
      <c r="R178" s="61"/>
      <c r="S178" s="61"/>
      <c r="T178" s="61"/>
      <c r="U178" s="61"/>
      <c r="V178" s="61"/>
      <c r="W178" s="61"/>
      <c r="X178" s="61"/>
      <c r="Y178" s="61"/>
    </row>
    <row r="179">
      <c r="A179" s="52"/>
      <c r="B179" s="61"/>
      <c r="C179" s="61"/>
      <c r="D179" s="52"/>
      <c r="E179" s="61"/>
      <c r="F179" s="61"/>
      <c r="G179" s="61"/>
      <c r="H179" s="61"/>
      <c r="I179" s="61"/>
      <c r="J179" s="61"/>
      <c r="K179" s="61"/>
      <c r="L179" s="61"/>
      <c r="M179" s="61"/>
      <c r="N179" s="61"/>
      <c r="O179" s="61"/>
      <c r="P179" s="61"/>
      <c r="Q179" s="61"/>
      <c r="R179" s="61"/>
      <c r="S179" s="61"/>
      <c r="T179" s="61"/>
      <c r="U179" s="61"/>
      <c r="V179" s="61"/>
      <c r="W179" s="61"/>
      <c r="X179" s="61"/>
      <c r="Y179" s="61"/>
    </row>
    <row r="180">
      <c r="A180" s="52"/>
      <c r="B180" s="61"/>
      <c r="C180" s="61"/>
      <c r="D180" s="52"/>
      <c r="E180" s="61"/>
      <c r="F180" s="61"/>
      <c r="G180" s="61"/>
      <c r="H180" s="61"/>
      <c r="I180" s="61"/>
      <c r="J180" s="61"/>
      <c r="K180" s="61"/>
      <c r="L180" s="61"/>
      <c r="M180" s="61"/>
      <c r="N180" s="61"/>
      <c r="O180" s="61"/>
      <c r="P180" s="61"/>
      <c r="Q180" s="61"/>
      <c r="R180" s="61"/>
      <c r="S180" s="61"/>
      <c r="T180" s="61"/>
      <c r="U180" s="61"/>
      <c r="V180" s="61"/>
      <c r="W180" s="61"/>
      <c r="X180" s="61"/>
      <c r="Y180" s="61"/>
    </row>
    <row r="181">
      <c r="A181" s="52"/>
      <c r="B181" s="61"/>
      <c r="C181" s="61"/>
      <c r="D181" s="52"/>
      <c r="E181" s="61"/>
      <c r="F181" s="61"/>
      <c r="G181" s="61"/>
      <c r="H181" s="61"/>
      <c r="I181" s="61"/>
      <c r="J181" s="61"/>
      <c r="K181" s="61"/>
      <c r="L181" s="61"/>
      <c r="M181" s="61"/>
      <c r="N181" s="61"/>
      <c r="O181" s="61"/>
      <c r="P181" s="61"/>
      <c r="Q181" s="61"/>
      <c r="R181" s="61"/>
      <c r="S181" s="61"/>
      <c r="T181" s="61"/>
      <c r="U181" s="61"/>
      <c r="V181" s="61"/>
      <c r="W181" s="61"/>
      <c r="X181" s="61"/>
      <c r="Y181" s="61"/>
    </row>
    <row r="182">
      <c r="A182" s="52"/>
      <c r="B182" s="61"/>
      <c r="C182" s="61"/>
      <c r="D182" s="52"/>
      <c r="E182" s="61"/>
      <c r="F182" s="61"/>
      <c r="G182" s="61"/>
      <c r="H182" s="61"/>
      <c r="I182" s="61"/>
      <c r="J182" s="61"/>
      <c r="K182" s="61"/>
      <c r="L182" s="61"/>
      <c r="M182" s="61"/>
      <c r="N182" s="61"/>
      <c r="O182" s="61"/>
      <c r="P182" s="61"/>
      <c r="Q182" s="61"/>
      <c r="R182" s="61"/>
      <c r="S182" s="61"/>
      <c r="T182" s="61"/>
      <c r="U182" s="61"/>
      <c r="V182" s="61"/>
      <c r="W182" s="61"/>
      <c r="X182" s="61"/>
      <c r="Y182" s="61"/>
    </row>
    <row r="183">
      <c r="A183" s="52"/>
      <c r="B183" s="61"/>
      <c r="C183" s="61"/>
      <c r="D183" s="52"/>
      <c r="E183" s="61"/>
      <c r="F183" s="61"/>
      <c r="G183" s="61"/>
      <c r="H183" s="61"/>
      <c r="I183" s="61"/>
      <c r="J183" s="61"/>
      <c r="K183" s="61"/>
      <c r="L183" s="61"/>
      <c r="M183" s="61"/>
      <c r="N183" s="61"/>
      <c r="O183" s="61"/>
      <c r="P183" s="61"/>
      <c r="Q183" s="61"/>
      <c r="R183" s="61"/>
      <c r="S183" s="61"/>
      <c r="T183" s="61"/>
      <c r="U183" s="61"/>
      <c r="V183" s="61"/>
      <c r="W183" s="61"/>
      <c r="X183" s="61"/>
      <c r="Y183" s="61"/>
    </row>
    <row r="184">
      <c r="A184" s="52"/>
      <c r="B184" s="61"/>
      <c r="C184" s="61"/>
      <c r="D184" s="52"/>
      <c r="E184" s="61"/>
      <c r="F184" s="61"/>
      <c r="G184" s="61"/>
      <c r="H184" s="61"/>
      <c r="I184" s="61"/>
      <c r="J184" s="61"/>
      <c r="K184" s="61"/>
      <c r="L184" s="61"/>
      <c r="M184" s="61"/>
      <c r="N184" s="61"/>
      <c r="O184" s="61"/>
      <c r="P184" s="61"/>
      <c r="Q184" s="61"/>
      <c r="R184" s="61"/>
      <c r="S184" s="61"/>
      <c r="T184" s="61"/>
      <c r="U184" s="61"/>
      <c r="V184" s="61"/>
      <c r="W184" s="61"/>
      <c r="X184" s="61"/>
      <c r="Y184" s="61"/>
    </row>
    <row r="185">
      <c r="A185" s="52"/>
      <c r="B185" s="61"/>
      <c r="C185" s="61"/>
      <c r="D185" s="52"/>
      <c r="E185" s="61"/>
      <c r="F185" s="61"/>
      <c r="G185" s="61"/>
      <c r="H185" s="61"/>
      <c r="I185" s="61"/>
      <c r="J185" s="61"/>
      <c r="K185" s="61"/>
      <c r="L185" s="61"/>
      <c r="M185" s="61"/>
      <c r="N185" s="61"/>
      <c r="O185" s="61"/>
      <c r="P185" s="61"/>
      <c r="Q185" s="61"/>
      <c r="R185" s="61"/>
      <c r="S185" s="61"/>
      <c r="T185" s="61"/>
      <c r="U185" s="61"/>
      <c r="V185" s="61"/>
      <c r="W185" s="61"/>
      <c r="X185" s="61"/>
      <c r="Y185" s="61"/>
    </row>
    <row r="186">
      <c r="A186" s="52"/>
      <c r="B186" s="61"/>
      <c r="C186" s="61"/>
      <c r="D186" s="52"/>
      <c r="E186" s="61"/>
      <c r="F186" s="61"/>
      <c r="G186" s="61"/>
      <c r="H186" s="61"/>
      <c r="I186" s="61"/>
      <c r="J186" s="61"/>
      <c r="K186" s="61"/>
      <c r="L186" s="61"/>
      <c r="M186" s="61"/>
      <c r="N186" s="61"/>
      <c r="O186" s="61"/>
      <c r="P186" s="61"/>
      <c r="Q186" s="61"/>
      <c r="R186" s="61"/>
      <c r="S186" s="61"/>
      <c r="T186" s="61"/>
      <c r="U186" s="61"/>
      <c r="V186" s="61"/>
      <c r="W186" s="61"/>
      <c r="X186" s="61"/>
      <c r="Y186" s="61"/>
    </row>
    <row r="187">
      <c r="A187" s="52"/>
      <c r="B187" s="61"/>
      <c r="C187" s="61"/>
      <c r="D187" s="52"/>
      <c r="E187" s="61"/>
      <c r="F187" s="61"/>
      <c r="G187" s="61"/>
      <c r="H187" s="61"/>
      <c r="I187" s="61"/>
      <c r="J187" s="61"/>
      <c r="K187" s="61"/>
      <c r="L187" s="61"/>
      <c r="M187" s="61"/>
      <c r="N187" s="61"/>
      <c r="O187" s="61"/>
      <c r="P187" s="61"/>
      <c r="Q187" s="61"/>
      <c r="R187" s="61"/>
      <c r="S187" s="61"/>
      <c r="T187" s="61"/>
      <c r="U187" s="61"/>
      <c r="V187" s="61"/>
      <c r="W187" s="61"/>
      <c r="X187" s="61"/>
      <c r="Y187" s="61"/>
    </row>
    <row r="188">
      <c r="A188" s="52"/>
      <c r="B188" s="61"/>
      <c r="C188" s="61"/>
      <c r="D188" s="52"/>
      <c r="E188" s="61"/>
      <c r="F188" s="61"/>
      <c r="G188" s="61"/>
      <c r="H188" s="61"/>
      <c r="I188" s="61"/>
      <c r="J188" s="61"/>
      <c r="K188" s="61"/>
      <c r="L188" s="61"/>
      <c r="M188" s="61"/>
      <c r="N188" s="61"/>
      <c r="O188" s="61"/>
      <c r="P188" s="61"/>
      <c r="Q188" s="61"/>
      <c r="R188" s="61"/>
      <c r="S188" s="61"/>
      <c r="T188" s="61"/>
      <c r="U188" s="61"/>
      <c r="V188" s="61"/>
      <c r="W188" s="61"/>
      <c r="X188" s="61"/>
      <c r="Y188" s="61"/>
    </row>
    <row r="189">
      <c r="A189" s="52"/>
      <c r="B189" s="61"/>
      <c r="C189" s="61"/>
      <c r="D189" s="52"/>
      <c r="E189" s="61"/>
      <c r="F189" s="61"/>
      <c r="G189" s="61"/>
      <c r="H189" s="61"/>
      <c r="I189" s="61"/>
      <c r="J189" s="61"/>
      <c r="K189" s="61"/>
      <c r="L189" s="61"/>
      <c r="M189" s="61"/>
      <c r="N189" s="61"/>
      <c r="O189" s="61"/>
      <c r="P189" s="61"/>
      <c r="Q189" s="61"/>
      <c r="R189" s="61"/>
      <c r="S189" s="61"/>
      <c r="T189" s="61"/>
      <c r="U189" s="61"/>
      <c r="V189" s="61"/>
      <c r="W189" s="61"/>
      <c r="X189" s="61"/>
      <c r="Y189" s="61"/>
    </row>
    <row r="190">
      <c r="A190" s="52"/>
      <c r="B190" s="61"/>
      <c r="C190" s="61"/>
      <c r="D190" s="52"/>
      <c r="E190" s="61"/>
      <c r="F190" s="61"/>
      <c r="G190" s="61"/>
      <c r="H190" s="61"/>
      <c r="I190" s="61"/>
      <c r="J190" s="61"/>
      <c r="K190" s="61"/>
      <c r="L190" s="61"/>
      <c r="M190" s="61"/>
      <c r="N190" s="61"/>
      <c r="O190" s="61"/>
      <c r="P190" s="61"/>
      <c r="Q190" s="61"/>
      <c r="R190" s="61"/>
      <c r="S190" s="61"/>
      <c r="T190" s="61"/>
      <c r="U190" s="61"/>
      <c r="V190" s="61"/>
      <c r="W190" s="61"/>
      <c r="X190" s="61"/>
      <c r="Y190" s="61"/>
    </row>
    <row r="191">
      <c r="A191" s="52"/>
      <c r="B191" s="61"/>
      <c r="C191" s="61"/>
      <c r="D191" s="52"/>
      <c r="E191" s="61"/>
      <c r="F191" s="61"/>
      <c r="G191" s="61"/>
      <c r="H191" s="61"/>
      <c r="I191" s="61"/>
      <c r="J191" s="61"/>
      <c r="K191" s="61"/>
      <c r="L191" s="61"/>
      <c r="M191" s="61"/>
      <c r="N191" s="61"/>
      <c r="O191" s="61"/>
      <c r="P191" s="61"/>
      <c r="Q191" s="61"/>
      <c r="R191" s="61"/>
      <c r="S191" s="61"/>
      <c r="T191" s="61"/>
      <c r="U191" s="61"/>
      <c r="V191" s="61"/>
      <c r="W191" s="61"/>
      <c r="X191" s="61"/>
      <c r="Y191" s="61"/>
    </row>
    <row r="192">
      <c r="A192" s="52"/>
      <c r="B192" s="61"/>
      <c r="C192" s="61"/>
      <c r="D192" s="52"/>
      <c r="E192" s="61"/>
      <c r="F192" s="61"/>
      <c r="G192" s="61"/>
      <c r="H192" s="61"/>
      <c r="I192" s="61"/>
      <c r="J192" s="61"/>
      <c r="K192" s="61"/>
      <c r="L192" s="61"/>
      <c r="M192" s="61"/>
      <c r="N192" s="61"/>
      <c r="O192" s="61"/>
      <c r="P192" s="61"/>
      <c r="Q192" s="61"/>
      <c r="R192" s="61"/>
      <c r="S192" s="61"/>
      <c r="T192" s="61"/>
      <c r="U192" s="61"/>
      <c r="V192" s="61"/>
      <c r="W192" s="61"/>
      <c r="X192" s="61"/>
      <c r="Y192" s="61"/>
    </row>
    <row r="193">
      <c r="A193" s="52"/>
      <c r="B193" s="61"/>
      <c r="C193" s="61"/>
      <c r="D193" s="52"/>
      <c r="E193" s="61"/>
      <c r="F193" s="61"/>
      <c r="G193" s="61"/>
      <c r="H193" s="61"/>
      <c r="I193" s="61"/>
      <c r="J193" s="61"/>
      <c r="K193" s="61"/>
      <c r="L193" s="61"/>
      <c r="M193" s="61"/>
      <c r="N193" s="61"/>
      <c r="O193" s="61"/>
      <c r="P193" s="61"/>
      <c r="Q193" s="61"/>
      <c r="R193" s="61"/>
      <c r="S193" s="61"/>
      <c r="T193" s="61"/>
      <c r="U193" s="61"/>
      <c r="V193" s="61"/>
      <c r="W193" s="61"/>
      <c r="X193" s="61"/>
      <c r="Y193" s="61"/>
    </row>
    <row r="194">
      <c r="A194" s="52"/>
      <c r="B194" s="61"/>
      <c r="C194" s="61"/>
      <c r="D194" s="52"/>
      <c r="E194" s="61"/>
      <c r="F194" s="61"/>
      <c r="G194" s="61"/>
      <c r="H194" s="61"/>
      <c r="I194" s="61"/>
      <c r="J194" s="61"/>
      <c r="K194" s="61"/>
      <c r="L194" s="61"/>
      <c r="M194" s="61"/>
      <c r="N194" s="61"/>
      <c r="O194" s="61"/>
      <c r="P194" s="61"/>
      <c r="Q194" s="61"/>
      <c r="R194" s="61"/>
      <c r="S194" s="61"/>
      <c r="T194" s="61"/>
      <c r="U194" s="61"/>
      <c r="V194" s="61"/>
      <c r="W194" s="61"/>
      <c r="X194" s="61"/>
      <c r="Y194" s="61"/>
    </row>
    <row r="195">
      <c r="A195" s="52"/>
      <c r="B195" s="61"/>
      <c r="C195" s="61"/>
      <c r="D195" s="52"/>
      <c r="E195" s="61"/>
      <c r="F195" s="61"/>
      <c r="G195" s="61"/>
      <c r="H195" s="61"/>
      <c r="I195" s="61"/>
      <c r="J195" s="61"/>
      <c r="K195" s="61"/>
      <c r="L195" s="61"/>
      <c r="M195" s="61"/>
      <c r="N195" s="61"/>
      <c r="O195" s="61"/>
      <c r="P195" s="61"/>
      <c r="Q195" s="61"/>
      <c r="R195" s="61"/>
      <c r="S195" s="61"/>
      <c r="T195" s="61"/>
      <c r="U195" s="61"/>
      <c r="V195" s="61"/>
      <c r="W195" s="61"/>
      <c r="X195" s="61"/>
      <c r="Y195" s="61"/>
    </row>
    <row r="196">
      <c r="A196" s="52"/>
      <c r="B196" s="61"/>
      <c r="C196" s="61"/>
      <c r="D196" s="52"/>
      <c r="E196" s="61"/>
      <c r="F196" s="61"/>
      <c r="G196" s="61"/>
      <c r="H196" s="61"/>
      <c r="I196" s="61"/>
      <c r="J196" s="61"/>
      <c r="K196" s="61"/>
      <c r="L196" s="61"/>
      <c r="M196" s="61"/>
      <c r="N196" s="61"/>
      <c r="O196" s="61"/>
      <c r="P196" s="61"/>
      <c r="Q196" s="61"/>
      <c r="R196" s="61"/>
      <c r="S196" s="61"/>
      <c r="T196" s="61"/>
      <c r="U196" s="61"/>
      <c r="V196" s="61"/>
      <c r="W196" s="61"/>
      <c r="X196" s="61"/>
      <c r="Y196" s="61"/>
    </row>
    <row r="197">
      <c r="A197" s="52"/>
      <c r="B197" s="61"/>
      <c r="C197" s="61"/>
      <c r="D197" s="52"/>
      <c r="E197" s="61"/>
      <c r="F197" s="61"/>
      <c r="G197" s="61"/>
      <c r="H197" s="61"/>
      <c r="I197" s="61"/>
      <c r="J197" s="61"/>
      <c r="K197" s="61"/>
      <c r="L197" s="61"/>
      <c r="M197" s="61"/>
      <c r="N197" s="61"/>
      <c r="O197" s="61"/>
      <c r="P197" s="61"/>
      <c r="Q197" s="61"/>
      <c r="R197" s="61"/>
      <c r="S197" s="61"/>
      <c r="T197" s="61"/>
      <c r="U197" s="61"/>
      <c r="V197" s="61"/>
      <c r="W197" s="61"/>
      <c r="X197" s="61"/>
      <c r="Y197" s="61"/>
    </row>
    <row r="198">
      <c r="A198" s="52"/>
      <c r="B198" s="61"/>
      <c r="C198" s="61"/>
      <c r="D198" s="52"/>
      <c r="E198" s="61"/>
      <c r="F198" s="61"/>
      <c r="G198" s="61"/>
      <c r="H198" s="61"/>
      <c r="I198" s="61"/>
      <c r="J198" s="61"/>
      <c r="K198" s="61"/>
      <c r="L198" s="61"/>
      <c r="M198" s="61"/>
      <c r="N198" s="61"/>
      <c r="O198" s="61"/>
      <c r="P198" s="61"/>
      <c r="Q198" s="61"/>
      <c r="R198" s="61"/>
      <c r="S198" s="61"/>
      <c r="T198" s="61"/>
      <c r="U198" s="61"/>
      <c r="V198" s="61"/>
      <c r="W198" s="61"/>
      <c r="X198" s="61"/>
      <c r="Y198" s="61"/>
    </row>
    <row r="199">
      <c r="A199" s="52"/>
      <c r="B199" s="61"/>
      <c r="C199" s="61"/>
      <c r="D199" s="52"/>
      <c r="E199" s="61"/>
      <c r="F199" s="61"/>
      <c r="G199" s="61"/>
      <c r="H199" s="61"/>
      <c r="I199" s="61"/>
      <c r="J199" s="61"/>
      <c r="K199" s="61"/>
      <c r="L199" s="61"/>
      <c r="M199" s="61"/>
      <c r="N199" s="61"/>
      <c r="O199" s="61"/>
      <c r="P199" s="61"/>
      <c r="Q199" s="61"/>
      <c r="R199" s="61"/>
      <c r="S199" s="61"/>
      <c r="T199" s="61"/>
      <c r="U199" s="61"/>
      <c r="V199" s="61"/>
      <c r="W199" s="61"/>
      <c r="X199" s="61"/>
      <c r="Y199" s="61"/>
    </row>
    <row r="200">
      <c r="A200" s="52"/>
      <c r="B200" s="61"/>
      <c r="C200" s="61"/>
      <c r="D200" s="52"/>
      <c r="E200" s="61"/>
      <c r="F200" s="61"/>
      <c r="G200" s="61"/>
      <c r="H200" s="61"/>
      <c r="I200" s="61"/>
      <c r="J200" s="61"/>
      <c r="K200" s="61"/>
      <c r="L200" s="61"/>
      <c r="M200" s="61"/>
      <c r="N200" s="61"/>
      <c r="O200" s="61"/>
      <c r="P200" s="61"/>
      <c r="Q200" s="61"/>
      <c r="R200" s="61"/>
      <c r="S200" s="61"/>
      <c r="T200" s="61"/>
      <c r="U200" s="61"/>
      <c r="V200" s="61"/>
      <c r="W200" s="61"/>
      <c r="X200" s="61"/>
      <c r="Y200" s="61"/>
    </row>
    <row r="201">
      <c r="A201" s="52"/>
      <c r="B201" s="61"/>
      <c r="C201" s="61"/>
      <c r="D201" s="52"/>
      <c r="E201" s="61"/>
      <c r="F201" s="61"/>
      <c r="G201" s="61"/>
      <c r="H201" s="61"/>
      <c r="I201" s="61"/>
      <c r="J201" s="61"/>
      <c r="K201" s="61"/>
      <c r="L201" s="61"/>
      <c r="M201" s="61"/>
      <c r="N201" s="61"/>
      <c r="O201" s="61"/>
      <c r="P201" s="61"/>
      <c r="Q201" s="61"/>
      <c r="R201" s="61"/>
      <c r="S201" s="61"/>
      <c r="T201" s="61"/>
      <c r="U201" s="61"/>
      <c r="V201" s="61"/>
      <c r="W201" s="61"/>
      <c r="X201" s="61"/>
      <c r="Y201" s="61"/>
    </row>
    <row r="202">
      <c r="A202" s="52"/>
      <c r="B202" s="61"/>
      <c r="C202" s="61"/>
      <c r="D202" s="52"/>
      <c r="E202" s="61"/>
      <c r="F202" s="61"/>
      <c r="G202" s="61"/>
      <c r="H202" s="61"/>
      <c r="I202" s="61"/>
      <c r="J202" s="61"/>
      <c r="K202" s="61"/>
      <c r="L202" s="61"/>
      <c r="M202" s="61"/>
      <c r="N202" s="61"/>
      <c r="O202" s="61"/>
      <c r="P202" s="61"/>
      <c r="Q202" s="61"/>
      <c r="R202" s="61"/>
      <c r="S202" s="61"/>
      <c r="T202" s="61"/>
      <c r="U202" s="61"/>
      <c r="V202" s="61"/>
      <c r="W202" s="61"/>
      <c r="X202" s="61"/>
      <c r="Y202" s="61"/>
    </row>
    <row r="203">
      <c r="A203" s="52"/>
      <c r="B203" s="61"/>
      <c r="C203" s="61"/>
      <c r="D203" s="52"/>
      <c r="E203" s="61"/>
      <c r="F203" s="61"/>
      <c r="G203" s="61"/>
      <c r="H203" s="61"/>
      <c r="I203" s="61"/>
      <c r="J203" s="61"/>
      <c r="K203" s="61"/>
      <c r="L203" s="61"/>
      <c r="M203" s="61"/>
      <c r="N203" s="61"/>
      <c r="O203" s="61"/>
      <c r="P203" s="61"/>
      <c r="Q203" s="61"/>
      <c r="R203" s="61"/>
      <c r="S203" s="61"/>
      <c r="T203" s="61"/>
      <c r="U203" s="61"/>
      <c r="V203" s="61"/>
      <c r="W203" s="61"/>
      <c r="X203" s="61"/>
      <c r="Y203" s="61"/>
    </row>
    <row r="204">
      <c r="A204" s="52"/>
      <c r="B204" s="61"/>
      <c r="C204" s="61"/>
      <c r="D204" s="52"/>
      <c r="E204" s="61"/>
      <c r="F204" s="61"/>
      <c r="G204" s="61"/>
      <c r="H204" s="61"/>
      <c r="I204" s="61"/>
      <c r="J204" s="61"/>
      <c r="K204" s="61"/>
      <c r="L204" s="61"/>
      <c r="M204" s="61"/>
      <c r="N204" s="61"/>
      <c r="O204" s="61"/>
      <c r="P204" s="61"/>
      <c r="Q204" s="61"/>
      <c r="R204" s="61"/>
      <c r="S204" s="61"/>
      <c r="T204" s="61"/>
      <c r="U204" s="61"/>
      <c r="V204" s="61"/>
      <c r="W204" s="61"/>
      <c r="X204" s="61"/>
      <c r="Y204" s="61"/>
    </row>
    <row r="205">
      <c r="A205" s="52"/>
      <c r="B205" s="61"/>
      <c r="C205" s="61"/>
      <c r="D205" s="52"/>
      <c r="E205" s="61"/>
      <c r="F205" s="61"/>
      <c r="G205" s="61"/>
      <c r="H205" s="61"/>
      <c r="I205" s="61"/>
      <c r="J205" s="61"/>
      <c r="K205" s="61"/>
      <c r="L205" s="61"/>
      <c r="M205" s="61"/>
      <c r="N205" s="61"/>
      <c r="O205" s="61"/>
      <c r="P205" s="61"/>
      <c r="Q205" s="61"/>
      <c r="R205" s="61"/>
      <c r="S205" s="61"/>
      <c r="T205" s="61"/>
      <c r="U205" s="61"/>
      <c r="V205" s="61"/>
      <c r="W205" s="61"/>
      <c r="X205" s="61"/>
      <c r="Y205" s="61"/>
    </row>
    <row r="206">
      <c r="A206" s="52"/>
      <c r="B206" s="61"/>
      <c r="C206" s="61"/>
      <c r="D206" s="52"/>
      <c r="E206" s="61"/>
      <c r="F206" s="61"/>
      <c r="G206" s="61"/>
      <c r="H206" s="61"/>
      <c r="I206" s="61"/>
      <c r="J206" s="61"/>
      <c r="K206" s="61"/>
      <c r="L206" s="61"/>
      <c r="M206" s="61"/>
      <c r="N206" s="61"/>
      <c r="O206" s="61"/>
      <c r="P206" s="61"/>
      <c r="Q206" s="61"/>
      <c r="R206" s="61"/>
      <c r="S206" s="61"/>
      <c r="T206" s="61"/>
      <c r="U206" s="61"/>
      <c r="V206" s="61"/>
      <c r="W206" s="61"/>
      <c r="X206" s="61"/>
      <c r="Y206" s="61"/>
    </row>
    <row r="207">
      <c r="A207" s="52"/>
      <c r="B207" s="61"/>
      <c r="C207" s="61"/>
      <c r="D207" s="52"/>
      <c r="E207" s="61"/>
      <c r="F207" s="61"/>
      <c r="G207" s="61"/>
      <c r="H207" s="61"/>
      <c r="I207" s="61"/>
      <c r="J207" s="61"/>
      <c r="K207" s="61"/>
      <c r="L207" s="61"/>
      <c r="M207" s="61"/>
      <c r="N207" s="61"/>
      <c r="O207" s="61"/>
      <c r="P207" s="61"/>
      <c r="Q207" s="61"/>
      <c r="R207" s="61"/>
      <c r="S207" s="61"/>
      <c r="T207" s="61"/>
      <c r="U207" s="61"/>
      <c r="V207" s="61"/>
      <c r="W207" s="61"/>
      <c r="X207" s="61"/>
      <c r="Y207" s="61"/>
    </row>
    <row r="208">
      <c r="A208" s="52"/>
      <c r="B208" s="61"/>
      <c r="C208" s="61"/>
      <c r="D208" s="52"/>
      <c r="E208" s="61"/>
      <c r="F208" s="61"/>
      <c r="G208" s="61"/>
      <c r="H208" s="61"/>
      <c r="I208" s="61"/>
      <c r="J208" s="61"/>
      <c r="K208" s="61"/>
      <c r="L208" s="61"/>
      <c r="M208" s="61"/>
      <c r="N208" s="61"/>
      <c r="O208" s="61"/>
      <c r="P208" s="61"/>
      <c r="Q208" s="61"/>
      <c r="R208" s="61"/>
      <c r="S208" s="61"/>
      <c r="T208" s="61"/>
      <c r="U208" s="61"/>
      <c r="V208" s="61"/>
      <c r="W208" s="61"/>
      <c r="X208" s="61"/>
      <c r="Y208" s="61"/>
    </row>
    <row r="209">
      <c r="A209" s="52"/>
      <c r="B209" s="61"/>
      <c r="C209" s="61"/>
      <c r="D209" s="52"/>
      <c r="E209" s="61"/>
      <c r="F209" s="61"/>
      <c r="G209" s="61"/>
      <c r="H209" s="61"/>
      <c r="I209" s="61"/>
      <c r="J209" s="61"/>
      <c r="K209" s="61"/>
      <c r="L209" s="61"/>
      <c r="M209" s="61"/>
      <c r="N209" s="61"/>
      <c r="O209" s="61"/>
      <c r="P209" s="61"/>
      <c r="Q209" s="61"/>
      <c r="R209" s="61"/>
      <c r="S209" s="61"/>
      <c r="T209" s="61"/>
      <c r="U209" s="61"/>
      <c r="V209" s="61"/>
      <c r="W209" s="61"/>
      <c r="X209" s="61"/>
      <c r="Y209" s="61"/>
    </row>
    <row r="210">
      <c r="A210" s="52"/>
      <c r="B210" s="61"/>
      <c r="C210" s="61"/>
      <c r="D210" s="52"/>
      <c r="E210" s="61"/>
      <c r="F210" s="61"/>
      <c r="G210" s="61"/>
      <c r="H210" s="61"/>
      <c r="I210" s="61"/>
      <c r="J210" s="61"/>
      <c r="K210" s="61"/>
      <c r="L210" s="61"/>
      <c r="M210" s="61"/>
      <c r="N210" s="61"/>
      <c r="O210" s="61"/>
      <c r="P210" s="61"/>
      <c r="Q210" s="61"/>
      <c r="R210" s="61"/>
      <c r="S210" s="61"/>
      <c r="T210" s="61"/>
      <c r="U210" s="61"/>
      <c r="V210" s="61"/>
      <c r="W210" s="61"/>
      <c r="X210" s="61"/>
      <c r="Y210" s="61"/>
    </row>
    <row r="211">
      <c r="A211" s="52"/>
      <c r="B211" s="61"/>
      <c r="C211" s="61"/>
      <c r="D211" s="52"/>
      <c r="E211" s="61"/>
      <c r="F211" s="61"/>
      <c r="G211" s="61"/>
      <c r="H211" s="61"/>
      <c r="I211" s="61"/>
      <c r="J211" s="61"/>
      <c r="K211" s="61"/>
      <c r="L211" s="61"/>
      <c r="M211" s="61"/>
      <c r="N211" s="61"/>
      <c r="O211" s="61"/>
      <c r="P211" s="61"/>
      <c r="Q211" s="61"/>
      <c r="R211" s="61"/>
      <c r="S211" s="61"/>
      <c r="T211" s="61"/>
      <c r="U211" s="61"/>
      <c r="V211" s="61"/>
      <c r="W211" s="61"/>
      <c r="X211" s="61"/>
      <c r="Y211" s="61"/>
    </row>
    <row r="212">
      <c r="A212" s="52"/>
      <c r="B212" s="61"/>
      <c r="C212" s="61"/>
      <c r="D212" s="52"/>
      <c r="E212" s="61"/>
      <c r="F212" s="61"/>
      <c r="G212" s="61"/>
      <c r="H212" s="61"/>
      <c r="I212" s="61"/>
      <c r="J212" s="61"/>
      <c r="K212" s="61"/>
      <c r="L212" s="61"/>
      <c r="M212" s="61"/>
      <c r="N212" s="61"/>
      <c r="O212" s="61"/>
      <c r="P212" s="61"/>
      <c r="Q212" s="61"/>
      <c r="R212" s="61"/>
      <c r="S212" s="61"/>
      <c r="T212" s="61"/>
      <c r="U212" s="61"/>
      <c r="V212" s="61"/>
      <c r="W212" s="61"/>
      <c r="X212" s="61"/>
      <c r="Y212" s="61"/>
    </row>
    <row r="213">
      <c r="A213" s="52"/>
      <c r="B213" s="61"/>
      <c r="C213" s="61"/>
      <c r="D213" s="52"/>
      <c r="E213" s="61"/>
      <c r="F213" s="61"/>
      <c r="G213" s="61"/>
      <c r="H213" s="61"/>
      <c r="I213" s="61"/>
      <c r="J213" s="61"/>
      <c r="K213" s="61"/>
      <c r="L213" s="61"/>
      <c r="M213" s="61"/>
      <c r="N213" s="61"/>
      <c r="O213" s="61"/>
      <c r="P213" s="61"/>
      <c r="Q213" s="61"/>
      <c r="R213" s="61"/>
      <c r="S213" s="61"/>
      <c r="T213" s="61"/>
      <c r="U213" s="61"/>
      <c r="V213" s="61"/>
      <c r="W213" s="61"/>
      <c r="X213" s="61"/>
      <c r="Y213" s="61"/>
    </row>
    <row r="214">
      <c r="A214" s="52"/>
      <c r="B214" s="61"/>
      <c r="C214" s="61"/>
      <c r="D214" s="52"/>
      <c r="E214" s="61"/>
      <c r="F214" s="61"/>
      <c r="G214" s="61"/>
      <c r="H214" s="61"/>
      <c r="I214" s="61"/>
      <c r="J214" s="61"/>
      <c r="K214" s="61"/>
      <c r="L214" s="61"/>
      <c r="M214" s="61"/>
      <c r="N214" s="61"/>
      <c r="O214" s="61"/>
      <c r="P214" s="61"/>
      <c r="Q214" s="61"/>
      <c r="R214" s="61"/>
      <c r="S214" s="61"/>
      <c r="T214" s="61"/>
      <c r="U214" s="61"/>
      <c r="V214" s="61"/>
      <c r="W214" s="61"/>
      <c r="X214" s="61"/>
      <c r="Y214" s="61"/>
    </row>
    <row r="215">
      <c r="A215" s="52"/>
      <c r="B215" s="61"/>
      <c r="C215" s="61"/>
      <c r="D215" s="52"/>
      <c r="E215" s="61"/>
      <c r="F215" s="61"/>
      <c r="G215" s="61"/>
      <c r="H215" s="61"/>
      <c r="I215" s="61"/>
      <c r="J215" s="61"/>
      <c r="K215" s="61"/>
      <c r="L215" s="61"/>
      <c r="M215" s="61"/>
      <c r="N215" s="61"/>
      <c r="O215" s="61"/>
      <c r="P215" s="61"/>
      <c r="Q215" s="61"/>
      <c r="R215" s="61"/>
      <c r="S215" s="61"/>
      <c r="T215" s="61"/>
      <c r="U215" s="61"/>
      <c r="V215" s="61"/>
      <c r="W215" s="61"/>
      <c r="X215" s="61"/>
      <c r="Y215" s="61"/>
    </row>
    <row r="216">
      <c r="A216" s="52"/>
      <c r="B216" s="61"/>
      <c r="C216" s="61"/>
      <c r="D216" s="52"/>
      <c r="E216" s="61"/>
      <c r="F216" s="61"/>
      <c r="G216" s="61"/>
      <c r="H216" s="61"/>
      <c r="I216" s="61"/>
      <c r="J216" s="61"/>
      <c r="K216" s="61"/>
      <c r="L216" s="61"/>
      <c r="M216" s="61"/>
      <c r="N216" s="61"/>
      <c r="O216" s="61"/>
      <c r="P216" s="61"/>
      <c r="Q216" s="61"/>
      <c r="R216" s="61"/>
      <c r="S216" s="61"/>
      <c r="T216" s="61"/>
      <c r="U216" s="61"/>
      <c r="V216" s="61"/>
      <c r="W216" s="61"/>
      <c r="X216" s="61"/>
      <c r="Y216" s="61"/>
    </row>
    <row r="217">
      <c r="A217" s="52"/>
      <c r="B217" s="61"/>
      <c r="C217" s="61"/>
      <c r="D217" s="52"/>
      <c r="E217" s="61"/>
      <c r="F217" s="61"/>
      <c r="G217" s="61"/>
      <c r="H217" s="61"/>
      <c r="I217" s="61"/>
      <c r="J217" s="61"/>
      <c r="K217" s="61"/>
      <c r="L217" s="61"/>
      <c r="M217" s="61"/>
      <c r="N217" s="61"/>
      <c r="O217" s="61"/>
      <c r="P217" s="61"/>
      <c r="Q217" s="61"/>
      <c r="R217" s="61"/>
      <c r="S217" s="61"/>
      <c r="T217" s="61"/>
      <c r="U217" s="61"/>
      <c r="V217" s="61"/>
      <c r="W217" s="61"/>
      <c r="X217" s="61"/>
      <c r="Y217" s="61"/>
    </row>
    <row r="218">
      <c r="A218" s="52"/>
      <c r="B218" s="61"/>
      <c r="C218" s="61"/>
      <c r="D218" s="52"/>
      <c r="E218" s="61"/>
      <c r="F218" s="61"/>
      <c r="G218" s="61"/>
      <c r="H218" s="61"/>
      <c r="I218" s="61"/>
      <c r="J218" s="61"/>
      <c r="K218" s="61"/>
      <c r="L218" s="61"/>
      <c r="M218" s="61"/>
      <c r="N218" s="61"/>
      <c r="O218" s="61"/>
      <c r="P218" s="61"/>
      <c r="Q218" s="61"/>
      <c r="R218" s="61"/>
      <c r="S218" s="61"/>
      <c r="T218" s="61"/>
      <c r="U218" s="61"/>
      <c r="V218" s="61"/>
      <c r="W218" s="61"/>
      <c r="X218" s="61"/>
      <c r="Y218" s="61"/>
    </row>
    <row r="219">
      <c r="A219" s="52"/>
      <c r="B219" s="61"/>
      <c r="C219" s="61"/>
      <c r="D219" s="52"/>
      <c r="E219" s="61"/>
      <c r="F219" s="61"/>
      <c r="G219" s="61"/>
      <c r="H219" s="61"/>
      <c r="I219" s="61"/>
      <c r="J219" s="61"/>
      <c r="K219" s="61"/>
      <c r="L219" s="61"/>
      <c r="M219" s="61"/>
      <c r="N219" s="61"/>
      <c r="O219" s="61"/>
      <c r="P219" s="61"/>
      <c r="Q219" s="61"/>
      <c r="R219" s="61"/>
      <c r="S219" s="61"/>
      <c r="T219" s="61"/>
      <c r="U219" s="61"/>
      <c r="V219" s="61"/>
      <c r="W219" s="61"/>
      <c r="X219" s="61"/>
      <c r="Y219" s="61"/>
    </row>
    <row r="220">
      <c r="A220" s="52"/>
      <c r="B220" s="61"/>
      <c r="C220" s="61"/>
      <c r="D220" s="52"/>
      <c r="E220" s="61"/>
      <c r="F220" s="61"/>
      <c r="G220" s="61"/>
      <c r="H220" s="61"/>
      <c r="I220" s="61"/>
      <c r="J220" s="61"/>
      <c r="K220" s="61"/>
      <c r="L220" s="61"/>
      <c r="M220" s="61"/>
      <c r="N220" s="61"/>
      <c r="O220" s="61"/>
      <c r="P220" s="61"/>
      <c r="Q220" s="61"/>
      <c r="R220" s="61"/>
      <c r="S220" s="61"/>
      <c r="T220" s="61"/>
      <c r="U220" s="61"/>
      <c r="V220" s="61"/>
      <c r="W220" s="61"/>
      <c r="X220" s="61"/>
      <c r="Y220" s="61"/>
    </row>
    <row r="221">
      <c r="A221" s="52"/>
      <c r="B221" s="61"/>
      <c r="C221" s="61"/>
      <c r="D221" s="52"/>
      <c r="E221" s="61"/>
      <c r="F221" s="61"/>
      <c r="G221" s="61"/>
      <c r="H221" s="61"/>
      <c r="I221" s="61"/>
      <c r="J221" s="61"/>
      <c r="K221" s="61"/>
      <c r="L221" s="61"/>
      <c r="M221" s="61"/>
      <c r="N221" s="61"/>
      <c r="O221" s="61"/>
      <c r="P221" s="61"/>
      <c r="Q221" s="61"/>
      <c r="R221" s="61"/>
      <c r="S221" s="61"/>
      <c r="T221" s="61"/>
      <c r="U221" s="61"/>
      <c r="V221" s="61"/>
      <c r="W221" s="61"/>
      <c r="X221" s="61"/>
      <c r="Y221" s="61"/>
    </row>
    <row r="222">
      <c r="A222" s="52"/>
      <c r="B222" s="61"/>
      <c r="C222" s="61"/>
      <c r="D222" s="52"/>
      <c r="E222" s="61"/>
      <c r="F222" s="61"/>
      <c r="G222" s="61"/>
      <c r="H222" s="61"/>
      <c r="I222" s="61"/>
      <c r="J222" s="61"/>
      <c r="K222" s="61"/>
      <c r="L222" s="61"/>
      <c r="M222" s="61"/>
      <c r="N222" s="61"/>
      <c r="O222" s="61"/>
      <c r="P222" s="61"/>
      <c r="Q222" s="61"/>
      <c r="R222" s="61"/>
      <c r="S222" s="61"/>
      <c r="T222" s="61"/>
      <c r="U222" s="61"/>
      <c r="V222" s="61"/>
      <c r="W222" s="61"/>
      <c r="X222" s="61"/>
      <c r="Y222" s="61"/>
    </row>
    <row r="223">
      <c r="A223" s="52"/>
      <c r="B223" s="61"/>
      <c r="C223" s="61"/>
      <c r="D223" s="52"/>
      <c r="E223" s="61"/>
      <c r="F223" s="61"/>
      <c r="G223" s="61"/>
      <c r="H223" s="61"/>
      <c r="I223" s="61"/>
      <c r="J223" s="61"/>
      <c r="K223" s="61"/>
      <c r="L223" s="61"/>
      <c r="M223" s="61"/>
      <c r="N223" s="61"/>
      <c r="O223" s="61"/>
      <c r="P223" s="61"/>
      <c r="Q223" s="61"/>
      <c r="R223" s="61"/>
      <c r="S223" s="61"/>
      <c r="T223" s="61"/>
      <c r="U223" s="61"/>
      <c r="V223" s="61"/>
      <c r="W223" s="61"/>
      <c r="X223" s="61"/>
      <c r="Y223" s="61"/>
    </row>
    <row r="224">
      <c r="A224" s="52"/>
      <c r="B224" s="61"/>
      <c r="C224" s="61"/>
      <c r="D224" s="52"/>
      <c r="E224" s="61"/>
      <c r="F224" s="61"/>
      <c r="G224" s="61"/>
      <c r="H224" s="61"/>
      <c r="I224" s="61"/>
      <c r="J224" s="61"/>
      <c r="K224" s="61"/>
      <c r="L224" s="61"/>
      <c r="M224" s="61"/>
      <c r="N224" s="61"/>
      <c r="O224" s="61"/>
      <c r="P224" s="61"/>
      <c r="Q224" s="61"/>
      <c r="R224" s="61"/>
      <c r="S224" s="61"/>
      <c r="T224" s="61"/>
      <c r="U224" s="61"/>
      <c r="V224" s="61"/>
      <c r="W224" s="61"/>
      <c r="X224" s="61"/>
      <c r="Y224" s="61"/>
    </row>
    <row r="225">
      <c r="A225" s="52"/>
      <c r="B225" s="61"/>
      <c r="C225" s="61"/>
      <c r="D225" s="52"/>
      <c r="E225" s="61"/>
      <c r="F225" s="61"/>
      <c r="G225" s="61"/>
      <c r="H225" s="61"/>
      <c r="I225" s="61"/>
      <c r="J225" s="61"/>
      <c r="K225" s="61"/>
      <c r="L225" s="61"/>
      <c r="M225" s="61"/>
      <c r="N225" s="61"/>
      <c r="O225" s="61"/>
      <c r="P225" s="61"/>
      <c r="Q225" s="61"/>
      <c r="R225" s="61"/>
      <c r="S225" s="61"/>
      <c r="T225" s="61"/>
      <c r="U225" s="61"/>
      <c r="V225" s="61"/>
      <c r="W225" s="61"/>
      <c r="X225" s="61"/>
      <c r="Y225" s="61"/>
    </row>
    <row r="226">
      <c r="A226" s="52"/>
      <c r="B226" s="61"/>
      <c r="C226" s="61"/>
      <c r="D226" s="52"/>
      <c r="E226" s="61"/>
      <c r="F226" s="61"/>
      <c r="G226" s="61"/>
      <c r="H226" s="61"/>
      <c r="I226" s="61"/>
      <c r="J226" s="61"/>
      <c r="K226" s="61"/>
      <c r="L226" s="61"/>
      <c r="M226" s="61"/>
      <c r="N226" s="61"/>
      <c r="O226" s="61"/>
      <c r="P226" s="61"/>
      <c r="Q226" s="61"/>
      <c r="R226" s="61"/>
      <c r="S226" s="61"/>
      <c r="T226" s="61"/>
      <c r="U226" s="61"/>
      <c r="V226" s="61"/>
      <c r="W226" s="61"/>
      <c r="X226" s="61"/>
      <c r="Y226" s="61"/>
    </row>
    <row r="227">
      <c r="A227" s="52"/>
      <c r="B227" s="61"/>
      <c r="C227" s="61"/>
      <c r="D227" s="52"/>
      <c r="E227" s="61"/>
      <c r="F227" s="61"/>
      <c r="G227" s="61"/>
      <c r="H227" s="61"/>
      <c r="I227" s="61"/>
      <c r="J227" s="61"/>
      <c r="K227" s="61"/>
      <c r="L227" s="61"/>
      <c r="M227" s="61"/>
      <c r="N227" s="61"/>
      <c r="O227" s="61"/>
      <c r="P227" s="61"/>
      <c r="Q227" s="61"/>
      <c r="R227" s="61"/>
      <c r="S227" s="61"/>
      <c r="T227" s="61"/>
      <c r="U227" s="61"/>
      <c r="V227" s="61"/>
      <c r="W227" s="61"/>
      <c r="X227" s="61"/>
      <c r="Y227" s="61"/>
    </row>
    <row r="228">
      <c r="A228" s="52"/>
      <c r="B228" s="61"/>
      <c r="C228" s="61"/>
      <c r="D228" s="52"/>
      <c r="E228" s="61"/>
      <c r="F228" s="61"/>
      <c r="G228" s="61"/>
      <c r="H228" s="61"/>
      <c r="I228" s="61"/>
      <c r="J228" s="61"/>
      <c r="K228" s="61"/>
      <c r="L228" s="61"/>
      <c r="M228" s="61"/>
      <c r="N228" s="61"/>
      <c r="O228" s="61"/>
      <c r="P228" s="61"/>
      <c r="Q228" s="61"/>
      <c r="R228" s="61"/>
      <c r="S228" s="61"/>
      <c r="T228" s="61"/>
      <c r="U228" s="61"/>
      <c r="V228" s="61"/>
      <c r="W228" s="61"/>
      <c r="X228" s="61"/>
      <c r="Y228" s="61"/>
    </row>
    <row r="229">
      <c r="A229" s="52"/>
      <c r="B229" s="61"/>
      <c r="C229" s="61"/>
      <c r="D229" s="52"/>
      <c r="E229" s="61"/>
      <c r="F229" s="61"/>
      <c r="G229" s="61"/>
      <c r="H229" s="61"/>
      <c r="I229" s="61"/>
      <c r="J229" s="61"/>
      <c r="K229" s="61"/>
      <c r="L229" s="61"/>
      <c r="M229" s="61"/>
      <c r="N229" s="61"/>
      <c r="O229" s="61"/>
      <c r="P229" s="61"/>
      <c r="Q229" s="61"/>
      <c r="R229" s="61"/>
      <c r="S229" s="61"/>
      <c r="T229" s="61"/>
      <c r="U229" s="61"/>
      <c r="V229" s="61"/>
      <c r="W229" s="61"/>
      <c r="X229" s="61"/>
      <c r="Y229" s="61"/>
    </row>
    <row r="230">
      <c r="A230" s="52"/>
      <c r="B230" s="61"/>
      <c r="C230" s="61"/>
      <c r="D230" s="52"/>
      <c r="E230" s="61"/>
      <c r="F230" s="61"/>
      <c r="G230" s="61"/>
      <c r="H230" s="61"/>
      <c r="I230" s="61"/>
      <c r="J230" s="61"/>
      <c r="K230" s="61"/>
      <c r="L230" s="61"/>
      <c r="M230" s="61"/>
      <c r="N230" s="61"/>
      <c r="O230" s="61"/>
      <c r="P230" s="61"/>
      <c r="Q230" s="61"/>
      <c r="R230" s="61"/>
      <c r="S230" s="61"/>
      <c r="T230" s="61"/>
      <c r="U230" s="61"/>
      <c r="V230" s="61"/>
      <c r="W230" s="61"/>
      <c r="X230" s="61"/>
      <c r="Y230" s="61"/>
    </row>
    <row r="231">
      <c r="A231" s="52"/>
      <c r="B231" s="61"/>
      <c r="C231" s="61"/>
      <c r="D231" s="52"/>
      <c r="E231" s="61"/>
      <c r="F231" s="61"/>
      <c r="G231" s="61"/>
      <c r="H231" s="61"/>
      <c r="I231" s="61"/>
      <c r="J231" s="61"/>
      <c r="K231" s="61"/>
      <c r="L231" s="61"/>
      <c r="M231" s="61"/>
      <c r="N231" s="61"/>
      <c r="O231" s="61"/>
      <c r="P231" s="61"/>
      <c r="Q231" s="61"/>
      <c r="R231" s="61"/>
      <c r="S231" s="61"/>
      <c r="T231" s="61"/>
      <c r="U231" s="61"/>
      <c r="V231" s="61"/>
      <c r="W231" s="61"/>
      <c r="X231" s="61"/>
      <c r="Y231" s="61"/>
    </row>
    <row r="232">
      <c r="A232" s="52"/>
      <c r="B232" s="61"/>
      <c r="C232" s="61"/>
      <c r="D232" s="52"/>
      <c r="E232" s="61"/>
      <c r="F232" s="61"/>
      <c r="G232" s="61"/>
      <c r="H232" s="61"/>
      <c r="I232" s="61"/>
      <c r="J232" s="61"/>
      <c r="K232" s="61"/>
      <c r="L232" s="61"/>
      <c r="M232" s="61"/>
      <c r="N232" s="61"/>
      <c r="O232" s="61"/>
      <c r="P232" s="61"/>
      <c r="Q232" s="61"/>
      <c r="R232" s="61"/>
      <c r="S232" s="61"/>
      <c r="T232" s="61"/>
      <c r="U232" s="61"/>
      <c r="V232" s="61"/>
      <c r="W232" s="61"/>
      <c r="X232" s="61"/>
      <c r="Y232" s="61"/>
    </row>
    <row r="233">
      <c r="A233" s="52"/>
      <c r="B233" s="61"/>
      <c r="C233" s="61"/>
      <c r="D233" s="52"/>
      <c r="E233" s="61"/>
      <c r="F233" s="61"/>
      <c r="G233" s="61"/>
      <c r="H233" s="61"/>
      <c r="I233" s="61"/>
      <c r="J233" s="61"/>
      <c r="K233" s="61"/>
      <c r="L233" s="61"/>
      <c r="M233" s="61"/>
      <c r="N233" s="61"/>
      <c r="O233" s="61"/>
      <c r="P233" s="61"/>
      <c r="Q233" s="61"/>
      <c r="R233" s="61"/>
      <c r="S233" s="61"/>
      <c r="T233" s="61"/>
      <c r="U233" s="61"/>
      <c r="V233" s="61"/>
      <c r="W233" s="61"/>
      <c r="X233" s="61"/>
      <c r="Y233" s="61"/>
    </row>
    <row r="234">
      <c r="A234" s="52"/>
      <c r="B234" s="61"/>
      <c r="C234" s="61"/>
      <c r="D234" s="52"/>
      <c r="E234" s="61"/>
      <c r="F234" s="61"/>
      <c r="G234" s="61"/>
      <c r="H234" s="61"/>
      <c r="I234" s="61"/>
      <c r="J234" s="61"/>
      <c r="K234" s="61"/>
      <c r="L234" s="61"/>
      <c r="M234" s="61"/>
      <c r="N234" s="61"/>
      <c r="O234" s="61"/>
      <c r="P234" s="61"/>
      <c r="Q234" s="61"/>
      <c r="R234" s="61"/>
      <c r="S234" s="61"/>
      <c r="T234" s="61"/>
      <c r="U234" s="61"/>
      <c r="V234" s="61"/>
      <c r="W234" s="61"/>
      <c r="X234" s="61"/>
      <c r="Y234" s="61"/>
    </row>
    <row r="235">
      <c r="A235" s="52"/>
      <c r="B235" s="61"/>
      <c r="C235" s="61"/>
      <c r="D235" s="52"/>
      <c r="E235" s="61"/>
      <c r="F235" s="61"/>
      <c r="G235" s="61"/>
      <c r="H235" s="61"/>
      <c r="I235" s="61"/>
      <c r="J235" s="61"/>
      <c r="K235" s="61"/>
      <c r="L235" s="61"/>
      <c r="M235" s="61"/>
      <c r="N235" s="61"/>
      <c r="O235" s="61"/>
      <c r="P235" s="61"/>
      <c r="Q235" s="61"/>
      <c r="R235" s="61"/>
      <c r="S235" s="61"/>
      <c r="T235" s="61"/>
      <c r="U235" s="61"/>
      <c r="V235" s="61"/>
      <c r="W235" s="61"/>
      <c r="X235" s="61"/>
      <c r="Y235" s="61"/>
    </row>
    <row r="236">
      <c r="A236" s="52"/>
      <c r="B236" s="61"/>
      <c r="C236" s="61"/>
      <c r="D236" s="52"/>
      <c r="E236" s="61"/>
      <c r="F236" s="61"/>
      <c r="G236" s="61"/>
      <c r="H236" s="61"/>
      <c r="I236" s="61"/>
      <c r="J236" s="61"/>
      <c r="K236" s="61"/>
      <c r="L236" s="61"/>
      <c r="M236" s="61"/>
      <c r="N236" s="61"/>
      <c r="O236" s="61"/>
      <c r="P236" s="61"/>
      <c r="Q236" s="61"/>
      <c r="R236" s="61"/>
      <c r="S236" s="61"/>
      <c r="T236" s="61"/>
      <c r="U236" s="61"/>
      <c r="V236" s="61"/>
      <c r="W236" s="61"/>
      <c r="X236" s="61"/>
      <c r="Y236" s="61"/>
    </row>
    <row r="237">
      <c r="A237" s="52"/>
      <c r="B237" s="61"/>
      <c r="C237" s="61"/>
      <c r="D237" s="52"/>
      <c r="E237" s="61"/>
      <c r="F237" s="61"/>
      <c r="G237" s="61"/>
      <c r="H237" s="61"/>
      <c r="I237" s="61"/>
      <c r="J237" s="61"/>
      <c r="K237" s="61"/>
      <c r="L237" s="61"/>
      <c r="M237" s="61"/>
      <c r="N237" s="61"/>
      <c r="O237" s="61"/>
      <c r="P237" s="61"/>
      <c r="Q237" s="61"/>
      <c r="R237" s="61"/>
      <c r="S237" s="61"/>
      <c r="T237" s="61"/>
      <c r="U237" s="61"/>
      <c r="V237" s="61"/>
      <c r="W237" s="61"/>
      <c r="X237" s="61"/>
      <c r="Y237" s="61"/>
    </row>
    <row r="238">
      <c r="A238" s="52"/>
      <c r="B238" s="61"/>
      <c r="C238" s="61"/>
      <c r="D238" s="52"/>
      <c r="E238" s="61"/>
      <c r="F238" s="61"/>
      <c r="G238" s="61"/>
      <c r="H238" s="61"/>
      <c r="I238" s="61"/>
      <c r="J238" s="61"/>
      <c r="K238" s="61"/>
      <c r="L238" s="61"/>
      <c r="M238" s="61"/>
      <c r="N238" s="61"/>
      <c r="O238" s="61"/>
      <c r="P238" s="61"/>
      <c r="Q238" s="61"/>
      <c r="R238" s="61"/>
      <c r="S238" s="61"/>
      <c r="T238" s="61"/>
      <c r="U238" s="61"/>
      <c r="V238" s="61"/>
      <c r="W238" s="61"/>
      <c r="X238" s="61"/>
      <c r="Y238" s="61"/>
    </row>
    <row r="239">
      <c r="A239" s="52"/>
      <c r="B239" s="61"/>
      <c r="C239" s="61"/>
      <c r="D239" s="52"/>
      <c r="E239" s="61"/>
      <c r="F239" s="61"/>
      <c r="G239" s="61"/>
      <c r="H239" s="61"/>
      <c r="I239" s="61"/>
      <c r="J239" s="61"/>
      <c r="K239" s="61"/>
      <c r="L239" s="61"/>
      <c r="M239" s="61"/>
      <c r="N239" s="61"/>
      <c r="O239" s="61"/>
      <c r="P239" s="61"/>
      <c r="Q239" s="61"/>
      <c r="R239" s="61"/>
      <c r="S239" s="61"/>
      <c r="T239" s="61"/>
      <c r="U239" s="61"/>
      <c r="V239" s="61"/>
      <c r="W239" s="61"/>
      <c r="X239" s="61"/>
      <c r="Y239" s="61"/>
    </row>
    <row r="240">
      <c r="A240" s="52"/>
      <c r="B240" s="61"/>
      <c r="C240" s="61"/>
      <c r="D240" s="52"/>
      <c r="E240" s="61"/>
      <c r="F240" s="61"/>
      <c r="G240" s="61"/>
      <c r="H240" s="61"/>
      <c r="I240" s="61"/>
      <c r="J240" s="61"/>
      <c r="K240" s="61"/>
      <c r="L240" s="61"/>
      <c r="M240" s="61"/>
      <c r="N240" s="61"/>
      <c r="O240" s="61"/>
      <c r="P240" s="61"/>
      <c r="Q240" s="61"/>
      <c r="R240" s="61"/>
      <c r="S240" s="61"/>
      <c r="T240" s="61"/>
      <c r="U240" s="61"/>
      <c r="V240" s="61"/>
      <c r="W240" s="61"/>
      <c r="X240" s="61"/>
      <c r="Y240" s="61"/>
    </row>
    <row r="241">
      <c r="A241" s="52"/>
      <c r="B241" s="61"/>
      <c r="C241" s="61"/>
      <c r="D241" s="52"/>
      <c r="E241" s="61"/>
      <c r="F241" s="61"/>
      <c r="G241" s="61"/>
      <c r="H241" s="61"/>
      <c r="I241" s="61"/>
      <c r="J241" s="61"/>
      <c r="K241" s="61"/>
      <c r="L241" s="61"/>
      <c r="M241" s="61"/>
      <c r="N241" s="61"/>
      <c r="O241" s="61"/>
      <c r="P241" s="61"/>
      <c r="Q241" s="61"/>
      <c r="R241" s="61"/>
      <c r="S241" s="61"/>
      <c r="T241" s="61"/>
      <c r="U241" s="61"/>
      <c r="V241" s="61"/>
      <c r="W241" s="61"/>
      <c r="X241" s="61"/>
      <c r="Y241" s="61"/>
    </row>
    <row r="242">
      <c r="A242" s="52"/>
      <c r="B242" s="61"/>
      <c r="C242" s="61"/>
      <c r="D242" s="52"/>
      <c r="E242" s="61"/>
      <c r="F242" s="61"/>
      <c r="G242" s="61"/>
      <c r="H242" s="61"/>
      <c r="I242" s="61"/>
      <c r="J242" s="61"/>
      <c r="K242" s="61"/>
      <c r="L242" s="61"/>
      <c r="M242" s="61"/>
      <c r="N242" s="61"/>
      <c r="O242" s="61"/>
      <c r="P242" s="61"/>
      <c r="Q242" s="61"/>
      <c r="R242" s="61"/>
      <c r="S242" s="61"/>
      <c r="T242" s="61"/>
      <c r="U242" s="61"/>
      <c r="V242" s="61"/>
      <c r="W242" s="61"/>
      <c r="X242" s="61"/>
      <c r="Y242" s="61"/>
    </row>
    <row r="243">
      <c r="A243" s="52"/>
      <c r="B243" s="61"/>
      <c r="C243" s="61"/>
      <c r="D243" s="52"/>
      <c r="E243" s="61"/>
      <c r="F243" s="61"/>
      <c r="G243" s="61"/>
      <c r="H243" s="61"/>
      <c r="I243" s="61"/>
      <c r="J243" s="61"/>
      <c r="K243" s="61"/>
      <c r="L243" s="61"/>
      <c r="M243" s="61"/>
      <c r="N243" s="61"/>
      <c r="O243" s="61"/>
      <c r="P243" s="61"/>
      <c r="Q243" s="61"/>
      <c r="R243" s="61"/>
      <c r="S243" s="61"/>
      <c r="T243" s="61"/>
      <c r="U243" s="61"/>
      <c r="V243" s="61"/>
      <c r="W243" s="61"/>
      <c r="X243" s="61"/>
      <c r="Y243" s="61"/>
    </row>
    <row r="244">
      <c r="A244" s="52"/>
      <c r="B244" s="61"/>
      <c r="C244" s="61"/>
      <c r="D244" s="52"/>
      <c r="E244" s="61"/>
      <c r="F244" s="61"/>
      <c r="G244" s="61"/>
      <c r="H244" s="61"/>
      <c r="I244" s="61"/>
      <c r="J244" s="61"/>
      <c r="K244" s="61"/>
      <c r="L244" s="61"/>
      <c r="M244" s="61"/>
      <c r="N244" s="61"/>
      <c r="O244" s="61"/>
      <c r="P244" s="61"/>
      <c r="Q244" s="61"/>
      <c r="R244" s="61"/>
      <c r="S244" s="61"/>
      <c r="T244" s="61"/>
      <c r="U244" s="61"/>
      <c r="V244" s="61"/>
      <c r="W244" s="61"/>
      <c r="X244" s="61"/>
      <c r="Y244" s="61"/>
    </row>
    <row r="245">
      <c r="A245" s="52"/>
      <c r="B245" s="61"/>
      <c r="C245" s="61"/>
      <c r="D245" s="52"/>
      <c r="E245" s="61"/>
      <c r="F245" s="61"/>
      <c r="G245" s="61"/>
      <c r="H245" s="61"/>
      <c r="I245" s="61"/>
      <c r="J245" s="61"/>
      <c r="K245" s="61"/>
      <c r="L245" s="61"/>
      <c r="M245" s="61"/>
      <c r="N245" s="61"/>
      <c r="O245" s="61"/>
      <c r="P245" s="61"/>
      <c r="Q245" s="61"/>
      <c r="R245" s="61"/>
      <c r="S245" s="61"/>
      <c r="T245" s="61"/>
      <c r="U245" s="61"/>
      <c r="V245" s="61"/>
      <c r="W245" s="61"/>
      <c r="X245" s="61"/>
      <c r="Y245" s="61"/>
    </row>
    <row r="246">
      <c r="A246" s="52"/>
      <c r="B246" s="61"/>
      <c r="C246" s="61"/>
      <c r="D246" s="52"/>
      <c r="E246" s="61"/>
      <c r="F246" s="61"/>
      <c r="G246" s="61"/>
      <c r="H246" s="61"/>
      <c r="I246" s="61"/>
      <c r="J246" s="61"/>
      <c r="K246" s="61"/>
      <c r="L246" s="61"/>
      <c r="M246" s="61"/>
      <c r="N246" s="61"/>
      <c r="O246" s="61"/>
      <c r="P246" s="61"/>
      <c r="Q246" s="61"/>
      <c r="R246" s="61"/>
      <c r="S246" s="61"/>
      <c r="T246" s="61"/>
      <c r="U246" s="61"/>
      <c r="V246" s="61"/>
      <c r="W246" s="61"/>
      <c r="X246" s="61"/>
      <c r="Y246" s="61"/>
    </row>
    <row r="247">
      <c r="A247" s="52"/>
      <c r="B247" s="61"/>
      <c r="C247" s="61"/>
      <c r="D247" s="52"/>
      <c r="E247" s="61"/>
      <c r="F247" s="61"/>
      <c r="G247" s="61"/>
      <c r="H247" s="61"/>
      <c r="I247" s="61"/>
      <c r="J247" s="61"/>
      <c r="K247" s="61"/>
      <c r="L247" s="61"/>
      <c r="M247" s="61"/>
      <c r="N247" s="61"/>
      <c r="O247" s="61"/>
      <c r="P247" s="61"/>
      <c r="Q247" s="61"/>
      <c r="R247" s="61"/>
      <c r="S247" s="61"/>
      <c r="T247" s="61"/>
      <c r="U247" s="61"/>
      <c r="V247" s="61"/>
      <c r="W247" s="61"/>
      <c r="X247" s="61"/>
      <c r="Y247" s="61"/>
    </row>
    <row r="248">
      <c r="A248" s="52"/>
      <c r="B248" s="61"/>
      <c r="C248" s="61"/>
      <c r="D248" s="52"/>
      <c r="E248" s="61"/>
      <c r="F248" s="61"/>
      <c r="G248" s="61"/>
      <c r="H248" s="61"/>
      <c r="I248" s="61"/>
      <c r="J248" s="61"/>
      <c r="K248" s="61"/>
      <c r="L248" s="61"/>
      <c r="M248" s="61"/>
      <c r="N248" s="61"/>
      <c r="O248" s="61"/>
      <c r="P248" s="61"/>
      <c r="Q248" s="61"/>
      <c r="R248" s="61"/>
      <c r="S248" s="61"/>
      <c r="T248" s="61"/>
      <c r="U248" s="61"/>
      <c r="V248" s="61"/>
      <c r="W248" s="61"/>
      <c r="X248" s="61"/>
      <c r="Y248" s="61"/>
    </row>
    <row r="249">
      <c r="A249" s="52"/>
      <c r="B249" s="61"/>
      <c r="C249" s="61"/>
      <c r="D249" s="52"/>
      <c r="E249" s="61"/>
      <c r="F249" s="61"/>
      <c r="G249" s="61"/>
      <c r="H249" s="61"/>
      <c r="I249" s="61"/>
      <c r="J249" s="61"/>
      <c r="K249" s="61"/>
      <c r="L249" s="61"/>
      <c r="M249" s="61"/>
      <c r="N249" s="61"/>
      <c r="O249" s="61"/>
      <c r="P249" s="61"/>
      <c r="Q249" s="61"/>
      <c r="R249" s="61"/>
      <c r="S249" s="61"/>
      <c r="T249" s="61"/>
      <c r="U249" s="61"/>
      <c r="V249" s="61"/>
      <c r="W249" s="61"/>
      <c r="X249" s="61"/>
      <c r="Y249" s="61"/>
    </row>
    <row r="250">
      <c r="A250" s="52"/>
      <c r="B250" s="61"/>
      <c r="C250" s="61"/>
      <c r="D250" s="52"/>
      <c r="E250" s="61"/>
      <c r="F250" s="61"/>
      <c r="G250" s="61"/>
      <c r="H250" s="61"/>
      <c r="I250" s="61"/>
      <c r="J250" s="61"/>
      <c r="K250" s="61"/>
      <c r="L250" s="61"/>
      <c r="M250" s="61"/>
      <c r="N250" s="61"/>
      <c r="O250" s="61"/>
      <c r="P250" s="61"/>
      <c r="Q250" s="61"/>
      <c r="R250" s="61"/>
      <c r="S250" s="61"/>
      <c r="T250" s="61"/>
      <c r="U250" s="61"/>
      <c r="V250" s="61"/>
      <c r="W250" s="61"/>
      <c r="X250" s="61"/>
      <c r="Y250" s="61"/>
    </row>
    <row r="251">
      <c r="A251" s="52"/>
      <c r="B251" s="61"/>
      <c r="C251" s="61"/>
      <c r="D251" s="52"/>
      <c r="E251" s="61"/>
      <c r="F251" s="61"/>
      <c r="G251" s="61"/>
      <c r="H251" s="61"/>
      <c r="I251" s="61"/>
      <c r="J251" s="61"/>
      <c r="K251" s="61"/>
      <c r="L251" s="61"/>
      <c r="M251" s="61"/>
      <c r="N251" s="61"/>
      <c r="O251" s="61"/>
      <c r="P251" s="61"/>
      <c r="Q251" s="61"/>
      <c r="R251" s="61"/>
      <c r="S251" s="61"/>
      <c r="T251" s="61"/>
      <c r="U251" s="61"/>
      <c r="V251" s="61"/>
      <c r="W251" s="61"/>
      <c r="X251" s="61"/>
      <c r="Y251" s="61"/>
    </row>
    <row r="252">
      <c r="A252" s="52"/>
      <c r="B252" s="61"/>
      <c r="C252" s="61"/>
      <c r="D252" s="52"/>
      <c r="E252" s="61"/>
      <c r="F252" s="61"/>
      <c r="G252" s="61"/>
      <c r="H252" s="61"/>
      <c r="I252" s="61"/>
      <c r="J252" s="61"/>
      <c r="K252" s="61"/>
      <c r="L252" s="61"/>
      <c r="M252" s="61"/>
      <c r="N252" s="61"/>
      <c r="O252" s="61"/>
      <c r="P252" s="61"/>
      <c r="Q252" s="61"/>
      <c r="R252" s="61"/>
      <c r="S252" s="61"/>
      <c r="T252" s="61"/>
      <c r="U252" s="61"/>
      <c r="V252" s="61"/>
      <c r="W252" s="61"/>
      <c r="X252" s="61"/>
      <c r="Y252" s="61"/>
    </row>
    <row r="253">
      <c r="A253" s="52"/>
      <c r="B253" s="61"/>
      <c r="C253" s="61"/>
      <c r="D253" s="52"/>
      <c r="E253" s="61"/>
      <c r="F253" s="61"/>
      <c r="G253" s="61"/>
      <c r="H253" s="61"/>
      <c r="I253" s="61"/>
      <c r="J253" s="61"/>
      <c r="K253" s="61"/>
      <c r="L253" s="61"/>
      <c r="M253" s="61"/>
      <c r="N253" s="61"/>
      <c r="O253" s="61"/>
      <c r="P253" s="61"/>
      <c r="Q253" s="61"/>
      <c r="R253" s="61"/>
      <c r="S253" s="61"/>
      <c r="T253" s="61"/>
      <c r="U253" s="61"/>
      <c r="V253" s="61"/>
      <c r="W253" s="61"/>
      <c r="X253" s="61"/>
      <c r="Y253" s="61"/>
    </row>
    <row r="254">
      <c r="A254" s="52"/>
      <c r="B254" s="61"/>
      <c r="C254" s="61"/>
      <c r="D254" s="52"/>
      <c r="E254" s="61"/>
      <c r="F254" s="61"/>
      <c r="G254" s="61"/>
      <c r="H254" s="61"/>
      <c r="I254" s="61"/>
      <c r="J254" s="61"/>
      <c r="K254" s="61"/>
      <c r="L254" s="61"/>
      <c r="M254" s="61"/>
      <c r="N254" s="61"/>
      <c r="O254" s="61"/>
      <c r="P254" s="61"/>
      <c r="Q254" s="61"/>
      <c r="R254" s="61"/>
      <c r="S254" s="61"/>
      <c r="T254" s="61"/>
      <c r="U254" s="61"/>
      <c r="V254" s="61"/>
      <c r="W254" s="61"/>
      <c r="X254" s="61"/>
      <c r="Y254" s="61"/>
    </row>
    <row r="255">
      <c r="A255" s="52"/>
      <c r="B255" s="61"/>
      <c r="C255" s="61"/>
      <c r="D255" s="52"/>
      <c r="E255" s="61"/>
      <c r="F255" s="61"/>
      <c r="G255" s="61"/>
      <c r="H255" s="61"/>
      <c r="I255" s="61"/>
      <c r="J255" s="61"/>
      <c r="K255" s="61"/>
      <c r="L255" s="61"/>
      <c r="M255" s="61"/>
      <c r="N255" s="61"/>
      <c r="O255" s="61"/>
      <c r="P255" s="61"/>
      <c r="Q255" s="61"/>
      <c r="R255" s="61"/>
      <c r="S255" s="61"/>
      <c r="T255" s="61"/>
      <c r="U255" s="61"/>
      <c r="V255" s="61"/>
      <c r="W255" s="61"/>
      <c r="X255" s="61"/>
      <c r="Y255" s="61"/>
    </row>
    <row r="256">
      <c r="A256" s="52"/>
      <c r="B256" s="61"/>
      <c r="C256" s="61"/>
      <c r="D256" s="52"/>
      <c r="E256" s="61"/>
      <c r="F256" s="61"/>
      <c r="G256" s="61"/>
      <c r="H256" s="61"/>
      <c r="I256" s="61"/>
      <c r="J256" s="61"/>
      <c r="K256" s="61"/>
      <c r="L256" s="61"/>
      <c r="M256" s="61"/>
      <c r="N256" s="61"/>
      <c r="O256" s="61"/>
      <c r="P256" s="61"/>
      <c r="Q256" s="61"/>
      <c r="R256" s="61"/>
      <c r="S256" s="61"/>
      <c r="T256" s="61"/>
      <c r="U256" s="61"/>
      <c r="V256" s="61"/>
      <c r="W256" s="61"/>
      <c r="X256" s="61"/>
      <c r="Y256" s="61"/>
    </row>
    <row r="257">
      <c r="A257" s="52"/>
      <c r="B257" s="61"/>
      <c r="C257" s="61"/>
      <c r="D257" s="52"/>
      <c r="E257" s="61"/>
      <c r="F257" s="61"/>
      <c r="G257" s="61"/>
      <c r="H257" s="61"/>
      <c r="I257" s="61"/>
      <c r="J257" s="61"/>
      <c r="K257" s="61"/>
      <c r="L257" s="61"/>
      <c r="M257" s="61"/>
      <c r="N257" s="61"/>
      <c r="O257" s="61"/>
      <c r="P257" s="61"/>
      <c r="Q257" s="61"/>
      <c r="R257" s="61"/>
      <c r="S257" s="61"/>
      <c r="T257" s="61"/>
      <c r="U257" s="61"/>
      <c r="V257" s="61"/>
      <c r="W257" s="61"/>
      <c r="X257" s="61"/>
      <c r="Y257" s="61"/>
    </row>
    <row r="258">
      <c r="A258" s="52"/>
      <c r="B258" s="61"/>
      <c r="C258" s="61"/>
      <c r="D258" s="52"/>
      <c r="E258" s="61"/>
      <c r="F258" s="61"/>
      <c r="G258" s="61"/>
      <c r="H258" s="61"/>
      <c r="I258" s="61"/>
      <c r="J258" s="61"/>
      <c r="K258" s="61"/>
      <c r="L258" s="61"/>
      <c r="M258" s="61"/>
      <c r="N258" s="61"/>
      <c r="O258" s="61"/>
      <c r="P258" s="61"/>
      <c r="Q258" s="61"/>
      <c r="R258" s="61"/>
      <c r="S258" s="61"/>
      <c r="T258" s="61"/>
      <c r="U258" s="61"/>
      <c r="V258" s="61"/>
      <c r="W258" s="61"/>
      <c r="X258" s="61"/>
      <c r="Y258" s="61"/>
    </row>
    <row r="259">
      <c r="A259" s="52"/>
      <c r="B259" s="61"/>
      <c r="C259" s="61"/>
      <c r="D259" s="52"/>
      <c r="E259" s="61"/>
      <c r="F259" s="61"/>
      <c r="G259" s="61"/>
      <c r="H259" s="61"/>
      <c r="I259" s="61"/>
      <c r="J259" s="61"/>
      <c r="K259" s="61"/>
      <c r="L259" s="61"/>
      <c r="M259" s="61"/>
      <c r="N259" s="61"/>
      <c r="O259" s="61"/>
      <c r="P259" s="61"/>
      <c r="Q259" s="61"/>
      <c r="R259" s="61"/>
      <c r="S259" s="61"/>
      <c r="T259" s="61"/>
      <c r="U259" s="61"/>
      <c r="V259" s="61"/>
      <c r="W259" s="61"/>
      <c r="X259" s="61"/>
      <c r="Y259" s="61"/>
    </row>
    <row r="260">
      <c r="A260" s="52"/>
      <c r="B260" s="61"/>
      <c r="C260" s="61"/>
      <c r="D260" s="52"/>
      <c r="E260" s="61"/>
      <c r="F260" s="61"/>
      <c r="G260" s="61"/>
      <c r="H260" s="61"/>
      <c r="I260" s="61"/>
      <c r="J260" s="61"/>
      <c r="K260" s="61"/>
      <c r="L260" s="61"/>
      <c r="M260" s="61"/>
      <c r="N260" s="61"/>
      <c r="O260" s="61"/>
      <c r="P260" s="61"/>
      <c r="Q260" s="61"/>
      <c r="R260" s="61"/>
      <c r="S260" s="61"/>
      <c r="T260" s="61"/>
      <c r="U260" s="61"/>
      <c r="V260" s="61"/>
      <c r="W260" s="61"/>
      <c r="X260" s="61"/>
      <c r="Y260" s="61"/>
    </row>
    <row r="261">
      <c r="A261" s="52"/>
      <c r="B261" s="61"/>
      <c r="C261" s="61"/>
      <c r="D261" s="52"/>
      <c r="E261" s="61"/>
      <c r="F261" s="61"/>
      <c r="G261" s="61"/>
      <c r="H261" s="61"/>
      <c r="I261" s="61"/>
      <c r="J261" s="61"/>
      <c r="K261" s="61"/>
      <c r="L261" s="61"/>
      <c r="M261" s="61"/>
      <c r="N261" s="61"/>
      <c r="O261" s="61"/>
      <c r="P261" s="61"/>
      <c r="Q261" s="61"/>
      <c r="R261" s="61"/>
      <c r="S261" s="61"/>
      <c r="T261" s="61"/>
      <c r="U261" s="61"/>
      <c r="V261" s="61"/>
      <c r="W261" s="61"/>
      <c r="X261" s="61"/>
      <c r="Y261" s="61"/>
    </row>
    <row r="262">
      <c r="A262" s="52"/>
      <c r="B262" s="61"/>
      <c r="C262" s="61"/>
      <c r="D262" s="52"/>
      <c r="E262" s="61"/>
      <c r="F262" s="61"/>
      <c r="G262" s="61"/>
      <c r="H262" s="61"/>
      <c r="I262" s="61"/>
      <c r="J262" s="61"/>
      <c r="K262" s="61"/>
      <c r="L262" s="61"/>
      <c r="M262" s="61"/>
      <c r="N262" s="61"/>
      <c r="O262" s="61"/>
      <c r="P262" s="61"/>
      <c r="Q262" s="61"/>
      <c r="R262" s="61"/>
      <c r="S262" s="61"/>
      <c r="T262" s="61"/>
      <c r="U262" s="61"/>
      <c r="V262" s="61"/>
      <c r="W262" s="61"/>
      <c r="X262" s="61"/>
      <c r="Y262" s="61"/>
    </row>
    <row r="263">
      <c r="A263" s="52"/>
      <c r="B263" s="61"/>
      <c r="C263" s="61"/>
      <c r="D263" s="52"/>
      <c r="E263" s="61"/>
      <c r="F263" s="61"/>
      <c r="G263" s="61"/>
      <c r="H263" s="61"/>
      <c r="I263" s="61"/>
      <c r="J263" s="61"/>
      <c r="K263" s="61"/>
      <c r="L263" s="61"/>
      <c r="M263" s="61"/>
      <c r="N263" s="61"/>
      <c r="O263" s="61"/>
      <c r="P263" s="61"/>
      <c r="Q263" s="61"/>
      <c r="R263" s="61"/>
      <c r="S263" s="61"/>
      <c r="T263" s="61"/>
      <c r="U263" s="61"/>
      <c r="V263" s="61"/>
      <c r="W263" s="61"/>
      <c r="X263" s="61"/>
      <c r="Y263" s="61"/>
    </row>
    <row r="264">
      <c r="A264" s="52"/>
      <c r="B264" s="61"/>
      <c r="C264" s="61"/>
      <c r="D264" s="52"/>
      <c r="E264" s="61"/>
      <c r="F264" s="61"/>
      <c r="G264" s="61"/>
      <c r="H264" s="61"/>
      <c r="I264" s="61"/>
      <c r="J264" s="61"/>
      <c r="K264" s="61"/>
      <c r="L264" s="61"/>
      <c r="M264" s="61"/>
      <c r="N264" s="61"/>
      <c r="O264" s="61"/>
      <c r="P264" s="61"/>
      <c r="Q264" s="61"/>
      <c r="R264" s="61"/>
      <c r="S264" s="61"/>
      <c r="T264" s="61"/>
      <c r="U264" s="61"/>
      <c r="V264" s="61"/>
      <c r="W264" s="61"/>
      <c r="X264" s="61"/>
      <c r="Y264" s="61"/>
    </row>
    <row r="265">
      <c r="A265" s="52"/>
      <c r="B265" s="61"/>
      <c r="C265" s="61"/>
      <c r="D265" s="52"/>
      <c r="E265" s="61"/>
      <c r="F265" s="61"/>
      <c r="G265" s="61"/>
      <c r="H265" s="61"/>
      <c r="I265" s="61"/>
      <c r="J265" s="61"/>
      <c r="K265" s="61"/>
      <c r="L265" s="61"/>
      <c r="M265" s="61"/>
      <c r="N265" s="61"/>
      <c r="O265" s="61"/>
      <c r="P265" s="61"/>
      <c r="Q265" s="61"/>
      <c r="R265" s="61"/>
      <c r="S265" s="61"/>
      <c r="T265" s="61"/>
      <c r="U265" s="61"/>
      <c r="V265" s="61"/>
      <c r="W265" s="61"/>
      <c r="X265" s="61"/>
      <c r="Y265" s="61"/>
    </row>
    <row r="266">
      <c r="A266" s="52"/>
      <c r="B266" s="61"/>
      <c r="C266" s="61"/>
      <c r="D266" s="52"/>
      <c r="E266" s="61"/>
      <c r="F266" s="61"/>
      <c r="G266" s="61"/>
      <c r="H266" s="61"/>
      <c r="I266" s="61"/>
      <c r="J266" s="61"/>
      <c r="K266" s="61"/>
      <c r="L266" s="61"/>
      <c r="M266" s="61"/>
      <c r="N266" s="61"/>
      <c r="O266" s="61"/>
      <c r="P266" s="61"/>
      <c r="Q266" s="61"/>
      <c r="R266" s="61"/>
      <c r="S266" s="61"/>
      <c r="T266" s="61"/>
      <c r="U266" s="61"/>
      <c r="V266" s="61"/>
      <c r="W266" s="61"/>
      <c r="X266" s="61"/>
      <c r="Y266" s="61"/>
    </row>
    <row r="267">
      <c r="A267" s="52"/>
      <c r="B267" s="61"/>
      <c r="C267" s="61"/>
      <c r="D267" s="52"/>
      <c r="E267" s="61"/>
      <c r="F267" s="61"/>
      <c r="G267" s="61"/>
      <c r="H267" s="61"/>
      <c r="I267" s="61"/>
      <c r="J267" s="61"/>
      <c r="K267" s="61"/>
      <c r="L267" s="61"/>
      <c r="M267" s="61"/>
      <c r="N267" s="61"/>
      <c r="O267" s="61"/>
      <c r="P267" s="61"/>
      <c r="Q267" s="61"/>
      <c r="R267" s="61"/>
      <c r="S267" s="61"/>
      <c r="T267" s="61"/>
      <c r="U267" s="61"/>
      <c r="V267" s="61"/>
      <c r="W267" s="61"/>
      <c r="X267" s="61"/>
      <c r="Y267" s="61"/>
    </row>
    <row r="268">
      <c r="A268" s="52"/>
      <c r="B268" s="61"/>
      <c r="C268" s="61"/>
      <c r="D268" s="52"/>
      <c r="E268" s="61"/>
      <c r="F268" s="61"/>
      <c r="G268" s="61"/>
      <c r="H268" s="61"/>
      <c r="I268" s="61"/>
      <c r="J268" s="61"/>
      <c r="K268" s="61"/>
      <c r="L268" s="61"/>
      <c r="M268" s="61"/>
      <c r="N268" s="61"/>
      <c r="O268" s="61"/>
      <c r="P268" s="61"/>
      <c r="Q268" s="61"/>
      <c r="R268" s="61"/>
      <c r="S268" s="61"/>
      <c r="T268" s="61"/>
      <c r="U268" s="61"/>
      <c r="V268" s="61"/>
      <c r="W268" s="61"/>
      <c r="X268" s="61"/>
      <c r="Y268" s="61"/>
    </row>
    <row r="269">
      <c r="A269" s="52"/>
      <c r="B269" s="61"/>
      <c r="C269" s="61"/>
      <c r="D269" s="52"/>
      <c r="E269" s="61"/>
      <c r="F269" s="61"/>
      <c r="G269" s="61"/>
      <c r="H269" s="61"/>
      <c r="I269" s="61"/>
      <c r="J269" s="61"/>
      <c r="K269" s="61"/>
      <c r="L269" s="61"/>
      <c r="M269" s="61"/>
      <c r="N269" s="61"/>
      <c r="O269" s="61"/>
      <c r="P269" s="61"/>
      <c r="Q269" s="61"/>
      <c r="R269" s="61"/>
      <c r="S269" s="61"/>
      <c r="T269" s="61"/>
      <c r="U269" s="61"/>
      <c r="V269" s="61"/>
      <c r="W269" s="61"/>
      <c r="X269" s="61"/>
      <c r="Y269" s="61"/>
    </row>
    <row r="270">
      <c r="A270" s="52"/>
      <c r="B270" s="61"/>
      <c r="C270" s="61"/>
      <c r="D270" s="52"/>
      <c r="E270" s="61"/>
      <c r="F270" s="61"/>
      <c r="G270" s="61"/>
      <c r="H270" s="61"/>
      <c r="I270" s="61"/>
      <c r="J270" s="61"/>
      <c r="K270" s="61"/>
      <c r="L270" s="61"/>
      <c r="M270" s="61"/>
      <c r="N270" s="61"/>
      <c r="O270" s="61"/>
      <c r="P270" s="61"/>
      <c r="Q270" s="61"/>
      <c r="R270" s="61"/>
      <c r="S270" s="61"/>
      <c r="T270" s="61"/>
      <c r="U270" s="61"/>
      <c r="V270" s="61"/>
      <c r="W270" s="61"/>
      <c r="X270" s="61"/>
      <c r="Y270" s="61"/>
    </row>
    <row r="271">
      <c r="A271" s="52"/>
      <c r="B271" s="61"/>
      <c r="C271" s="61"/>
      <c r="D271" s="52"/>
      <c r="E271" s="61"/>
      <c r="F271" s="61"/>
      <c r="G271" s="61"/>
      <c r="H271" s="61"/>
      <c r="I271" s="61"/>
      <c r="J271" s="61"/>
      <c r="K271" s="61"/>
      <c r="L271" s="61"/>
      <c r="M271" s="61"/>
      <c r="N271" s="61"/>
      <c r="O271" s="61"/>
      <c r="P271" s="61"/>
      <c r="Q271" s="61"/>
      <c r="R271" s="61"/>
      <c r="S271" s="61"/>
      <c r="T271" s="61"/>
      <c r="U271" s="61"/>
      <c r="V271" s="61"/>
      <c r="W271" s="61"/>
      <c r="X271" s="61"/>
      <c r="Y271" s="61"/>
    </row>
    <row r="272">
      <c r="A272" s="52"/>
      <c r="B272" s="61"/>
      <c r="C272" s="61"/>
      <c r="D272" s="52"/>
      <c r="E272" s="61"/>
      <c r="F272" s="61"/>
      <c r="G272" s="61"/>
      <c r="H272" s="61"/>
      <c r="I272" s="61"/>
      <c r="J272" s="61"/>
      <c r="K272" s="61"/>
      <c r="L272" s="61"/>
      <c r="M272" s="61"/>
      <c r="N272" s="61"/>
      <c r="O272" s="61"/>
      <c r="P272" s="61"/>
      <c r="Q272" s="61"/>
      <c r="R272" s="61"/>
      <c r="S272" s="61"/>
      <c r="T272" s="61"/>
      <c r="U272" s="61"/>
      <c r="V272" s="61"/>
      <c r="W272" s="61"/>
      <c r="X272" s="61"/>
      <c r="Y272" s="61"/>
    </row>
    <row r="273">
      <c r="A273" s="52"/>
      <c r="B273" s="61"/>
      <c r="C273" s="61"/>
      <c r="D273" s="52"/>
      <c r="E273" s="61"/>
      <c r="F273" s="61"/>
      <c r="G273" s="61"/>
      <c r="H273" s="61"/>
      <c r="I273" s="61"/>
      <c r="J273" s="61"/>
      <c r="K273" s="61"/>
      <c r="L273" s="61"/>
      <c r="M273" s="61"/>
      <c r="N273" s="61"/>
      <c r="O273" s="61"/>
      <c r="P273" s="61"/>
      <c r="Q273" s="61"/>
      <c r="R273" s="61"/>
      <c r="S273" s="61"/>
      <c r="T273" s="61"/>
      <c r="U273" s="61"/>
      <c r="V273" s="61"/>
      <c r="W273" s="61"/>
      <c r="X273" s="61"/>
      <c r="Y273" s="61"/>
    </row>
    <row r="274">
      <c r="A274" s="52"/>
      <c r="B274" s="61"/>
      <c r="C274" s="61"/>
      <c r="D274" s="52"/>
      <c r="E274" s="61"/>
      <c r="F274" s="61"/>
      <c r="G274" s="61"/>
      <c r="H274" s="61"/>
      <c r="I274" s="61"/>
      <c r="J274" s="61"/>
      <c r="K274" s="61"/>
      <c r="L274" s="61"/>
      <c r="M274" s="61"/>
      <c r="N274" s="61"/>
      <c r="O274" s="61"/>
      <c r="P274" s="61"/>
      <c r="Q274" s="61"/>
      <c r="R274" s="61"/>
      <c r="S274" s="61"/>
      <c r="T274" s="61"/>
      <c r="U274" s="61"/>
      <c r="V274" s="61"/>
      <c r="W274" s="61"/>
      <c r="X274" s="61"/>
      <c r="Y274" s="61"/>
    </row>
    <row r="275">
      <c r="A275" s="52"/>
      <c r="B275" s="61"/>
      <c r="C275" s="61"/>
      <c r="D275" s="52"/>
      <c r="E275" s="61"/>
      <c r="F275" s="61"/>
      <c r="G275" s="61"/>
      <c r="H275" s="61"/>
      <c r="I275" s="61"/>
      <c r="J275" s="61"/>
      <c r="K275" s="61"/>
      <c r="L275" s="61"/>
      <c r="M275" s="61"/>
      <c r="N275" s="61"/>
      <c r="O275" s="61"/>
      <c r="P275" s="61"/>
      <c r="Q275" s="61"/>
      <c r="R275" s="61"/>
      <c r="S275" s="61"/>
      <c r="T275" s="61"/>
      <c r="U275" s="61"/>
      <c r="V275" s="61"/>
      <c r="W275" s="61"/>
      <c r="X275" s="61"/>
      <c r="Y275" s="61"/>
    </row>
    <row r="276">
      <c r="A276" s="52"/>
      <c r="B276" s="61"/>
      <c r="C276" s="61"/>
      <c r="D276" s="52"/>
      <c r="E276" s="61"/>
      <c r="F276" s="61"/>
      <c r="G276" s="61"/>
      <c r="H276" s="61"/>
      <c r="I276" s="61"/>
      <c r="J276" s="61"/>
      <c r="K276" s="61"/>
      <c r="L276" s="61"/>
      <c r="M276" s="61"/>
      <c r="N276" s="61"/>
      <c r="O276" s="61"/>
      <c r="P276" s="61"/>
      <c r="Q276" s="61"/>
      <c r="R276" s="61"/>
      <c r="S276" s="61"/>
      <c r="T276" s="61"/>
      <c r="U276" s="61"/>
      <c r="V276" s="61"/>
      <c r="W276" s="61"/>
      <c r="X276" s="61"/>
      <c r="Y276" s="61"/>
    </row>
    <row r="277">
      <c r="A277" s="52"/>
      <c r="B277" s="61"/>
      <c r="C277" s="61"/>
      <c r="D277" s="52"/>
      <c r="E277" s="61"/>
      <c r="F277" s="61"/>
      <c r="G277" s="61"/>
      <c r="H277" s="61"/>
      <c r="I277" s="61"/>
      <c r="J277" s="61"/>
      <c r="K277" s="61"/>
      <c r="L277" s="61"/>
      <c r="M277" s="61"/>
      <c r="N277" s="61"/>
      <c r="O277" s="61"/>
      <c r="P277" s="61"/>
      <c r="Q277" s="61"/>
      <c r="R277" s="61"/>
      <c r="S277" s="61"/>
      <c r="T277" s="61"/>
      <c r="U277" s="61"/>
      <c r="V277" s="61"/>
      <c r="W277" s="61"/>
      <c r="X277" s="61"/>
      <c r="Y277" s="61"/>
    </row>
    <row r="278">
      <c r="A278" s="52"/>
      <c r="B278" s="61"/>
      <c r="C278" s="61"/>
      <c r="D278" s="52"/>
      <c r="E278" s="61"/>
      <c r="F278" s="61"/>
      <c r="G278" s="61"/>
      <c r="H278" s="61"/>
      <c r="I278" s="61"/>
      <c r="J278" s="61"/>
      <c r="K278" s="61"/>
      <c r="L278" s="61"/>
      <c r="M278" s="61"/>
      <c r="N278" s="61"/>
      <c r="O278" s="61"/>
      <c r="P278" s="61"/>
      <c r="Q278" s="61"/>
      <c r="R278" s="61"/>
      <c r="S278" s="61"/>
      <c r="T278" s="61"/>
      <c r="U278" s="61"/>
      <c r="V278" s="61"/>
      <c r="W278" s="61"/>
      <c r="X278" s="61"/>
      <c r="Y278" s="61"/>
    </row>
    <row r="279">
      <c r="A279" s="52"/>
      <c r="B279" s="61"/>
      <c r="C279" s="61"/>
      <c r="D279" s="52"/>
      <c r="E279" s="61"/>
      <c r="F279" s="61"/>
      <c r="G279" s="61"/>
      <c r="H279" s="61"/>
      <c r="I279" s="61"/>
      <c r="J279" s="61"/>
      <c r="K279" s="61"/>
      <c r="L279" s="61"/>
      <c r="M279" s="61"/>
      <c r="N279" s="61"/>
      <c r="O279" s="61"/>
      <c r="P279" s="61"/>
      <c r="Q279" s="61"/>
      <c r="R279" s="61"/>
      <c r="S279" s="61"/>
      <c r="T279" s="61"/>
      <c r="U279" s="61"/>
      <c r="V279" s="61"/>
      <c r="W279" s="61"/>
      <c r="X279" s="61"/>
      <c r="Y279" s="61"/>
    </row>
    <row r="280">
      <c r="A280" s="52"/>
      <c r="B280" s="61"/>
      <c r="C280" s="61"/>
      <c r="D280" s="52"/>
      <c r="E280" s="61"/>
      <c r="F280" s="61"/>
      <c r="G280" s="61"/>
      <c r="H280" s="61"/>
      <c r="I280" s="61"/>
      <c r="J280" s="61"/>
      <c r="K280" s="61"/>
      <c r="L280" s="61"/>
      <c r="M280" s="61"/>
      <c r="N280" s="61"/>
      <c r="O280" s="61"/>
      <c r="P280" s="61"/>
      <c r="Q280" s="61"/>
      <c r="R280" s="61"/>
      <c r="S280" s="61"/>
      <c r="T280" s="61"/>
      <c r="U280" s="61"/>
      <c r="V280" s="61"/>
      <c r="W280" s="61"/>
      <c r="X280" s="61"/>
      <c r="Y280" s="61"/>
    </row>
    <row r="281">
      <c r="A281" s="52"/>
      <c r="B281" s="61"/>
      <c r="C281" s="61"/>
      <c r="D281" s="52"/>
      <c r="E281" s="61"/>
      <c r="F281" s="61"/>
      <c r="G281" s="61"/>
      <c r="H281" s="61"/>
      <c r="I281" s="61"/>
      <c r="J281" s="61"/>
      <c r="K281" s="61"/>
      <c r="L281" s="61"/>
      <c r="M281" s="61"/>
      <c r="N281" s="61"/>
      <c r="O281" s="61"/>
      <c r="P281" s="61"/>
      <c r="Q281" s="61"/>
      <c r="R281" s="61"/>
      <c r="S281" s="61"/>
      <c r="T281" s="61"/>
      <c r="U281" s="61"/>
      <c r="V281" s="61"/>
      <c r="W281" s="61"/>
      <c r="X281" s="61"/>
      <c r="Y281" s="61"/>
    </row>
    <row r="282">
      <c r="A282" s="52"/>
      <c r="B282" s="61"/>
      <c r="C282" s="61"/>
      <c r="D282" s="52"/>
      <c r="E282" s="61"/>
      <c r="F282" s="61"/>
      <c r="G282" s="61"/>
      <c r="H282" s="61"/>
      <c r="I282" s="61"/>
      <c r="J282" s="61"/>
      <c r="K282" s="61"/>
      <c r="L282" s="61"/>
      <c r="M282" s="61"/>
      <c r="N282" s="61"/>
      <c r="O282" s="61"/>
      <c r="P282" s="61"/>
      <c r="Q282" s="61"/>
      <c r="R282" s="61"/>
      <c r="S282" s="61"/>
      <c r="T282" s="61"/>
      <c r="U282" s="61"/>
      <c r="V282" s="61"/>
      <c r="W282" s="61"/>
      <c r="X282" s="61"/>
      <c r="Y282" s="61"/>
    </row>
    <row r="283">
      <c r="A283" s="52"/>
      <c r="B283" s="61"/>
      <c r="C283" s="61"/>
      <c r="D283" s="52"/>
      <c r="E283" s="61"/>
      <c r="F283" s="61"/>
      <c r="G283" s="61"/>
      <c r="H283" s="61"/>
      <c r="I283" s="61"/>
      <c r="J283" s="61"/>
      <c r="K283" s="61"/>
      <c r="L283" s="61"/>
      <c r="M283" s="61"/>
      <c r="N283" s="61"/>
      <c r="O283" s="61"/>
      <c r="P283" s="61"/>
      <c r="Q283" s="61"/>
      <c r="R283" s="61"/>
      <c r="S283" s="61"/>
      <c r="T283" s="61"/>
      <c r="U283" s="61"/>
      <c r="V283" s="61"/>
      <c r="W283" s="61"/>
      <c r="X283" s="61"/>
      <c r="Y283" s="61"/>
    </row>
    <row r="284">
      <c r="A284" s="52"/>
      <c r="B284" s="61"/>
      <c r="C284" s="61"/>
      <c r="D284" s="52"/>
      <c r="E284" s="61"/>
      <c r="F284" s="61"/>
      <c r="G284" s="61"/>
      <c r="H284" s="61"/>
      <c r="I284" s="61"/>
      <c r="J284" s="61"/>
      <c r="K284" s="61"/>
      <c r="L284" s="61"/>
      <c r="M284" s="61"/>
      <c r="N284" s="61"/>
      <c r="O284" s="61"/>
      <c r="P284" s="61"/>
      <c r="Q284" s="61"/>
      <c r="R284" s="61"/>
      <c r="S284" s="61"/>
      <c r="T284" s="61"/>
      <c r="U284" s="61"/>
      <c r="V284" s="61"/>
      <c r="W284" s="61"/>
      <c r="X284" s="61"/>
      <c r="Y284" s="61"/>
    </row>
    <row r="285">
      <c r="A285" s="52"/>
      <c r="B285" s="61"/>
      <c r="C285" s="61"/>
      <c r="D285" s="52"/>
      <c r="E285" s="61"/>
      <c r="F285" s="61"/>
      <c r="G285" s="61"/>
      <c r="H285" s="61"/>
      <c r="I285" s="61"/>
      <c r="J285" s="61"/>
      <c r="K285" s="61"/>
      <c r="L285" s="61"/>
      <c r="M285" s="61"/>
      <c r="N285" s="61"/>
      <c r="O285" s="61"/>
      <c r="P285" s="61"/>
      <c r="Q285" s="61"/>
      <c r="R285" s="61"/>
      <c r="S285" s="61"/>
      <c r="T285" s="61"/>
      <c r="U285" s="61"/>
      <c r="V285" s="61"/>
      <c r="W285" s="61"/>
      <c r="X285" s="61"/>
      <c r="Y285" s="61"/>
    </row>
    <row r="286">
      <c r="A286" s="52"/>
      <c r="B286" s="61"/>
      <c r="C286" s="61"/>
      <c r="D286" s="52"/>
      <c r="E286" s="61"/>
      <c r="F286" s="61"/>
      <c r="G286" s="61"/>
      <c r="H286" s="61"/>
      <c r="I286" s="61"/>
      <c r="J286" s="61"/>
      <c r="K286" s="61"/>
      <c r="L286" s="61"/>
      <c r="M286" s="61"/>
      <c r="N286" s="61"/>
      <c r="O286" s="61"/>
      <c r="P286" s="61"/>
      <c r="Q286" s="61"/>
      <c r="R286" s="61"/>
      <c r="S286" s="61"/>
      <c r="T286" s="61"/>
      <c r="U286" s="61"/>
      <c r="V286" s="61"/>
      <c r="W286" s="61"/>
      <c r="X286" s="61"/>
      <c r="Y286" s="61"/>
    </row>
    <row r="287">
      <c r="A287" s="52"/>
      <c r="B287" s="61"/>
      <c r="C287" s="61"/>
      <c r="D287" s="52"/>
      <c r="E287" s="61"/>
      <c r="F287" s="61"/>
      <c r="G287" s="61"/>
      <c r="H287" s="61"/>
      <c r="I287" s="61"/>
      <c r="J287" s="61"/>
      <c r="K287" s="61"/>
      <c r="L287" s="61"/>
      <c r="M287" s="61"/>
      <c r="N287" s="61"/>
      <c r="O287" s="61"/>
      <c r="P287" s="61"/>
      <c r="Q287" s="61"/>
      <c r="R287" s="61"/>
      <c r="S287" s="61"/>
      <c r="T287" s="61"/>
      <c r="U287" s="61"/>
      <c r="V287" s="61"/>
      <c r="W287" s="61"/>
      <c r="X287" s="61"/>
      <c r="Y287" s="61"/>
    </row>
    <row r="288">
      <c r="A288" s="52"/>
      <c r="B288" s="61"/>
      <c r="C288" s="61"/>
      <c r="D288" s="52"/>
      <c r="E288" s="61"/>
      <c r="F288" s="61"/>
      <c r="G288" s="61"/>
      <c r="H288" s="61"/>
      <c r="I288" s="61"/>
      <c r="J288" s="61"/>
      <c r="K288" s="61"/>
      <c r="L288" s="61"/>
      <c r="M288" s="61"/>
      <c r="N288" s="61"/>
      <c r="O288" s="61"/>
      <c r="P288" s="61"/>
      <c r="Q288" s="61"/>
      <c r="R288" s="61"/>
      <c r="S288" s="61"/>
      <c r="T288" s="61"/>
      <c r="U288" s="61"/>
      <c r="V288" s="61"/>
      <c r="W288" s="61"/>
      <c r="X288" s="61"/>
      <c r="Y288" s="61"/>
    </row>
    <row r="289">
      <c r="A289" s="52"/>
      <c r="B289" s="61"/>
      <c r="C289" s="61"/>
      <c r="D289" s="52"/>
      <c r="E289" s="61"/>
      <c r="F289" s="61"/>
      <c r="G289" s="61"/>
      <c r="H289" s="61"/>
      <c r="I289" s="61"/>
      <c r="J289" s="61"/>
      <c r="K289" s="61"/>
      <c r="L289" s="61"/>
      <c r="M289" s="61"/>
      <c r="N289" s="61"/>
      <c r="O289" s="61"/>
      <c r="P289" s="61"/>
      <c r="Q289" s="61"/>
      <c r="R289" s="61"/>
      <c r="S289" s="61"/>
      <c r="T289" s="61"/>
      <c r="U289" s="61"/>
      <c r="V289" s="61"/>
      <c r="W289" s="61"/>
      <c r="X289" s="61"/>
      <c r="Y289" s="61"/>
    </row>
    <row r="290">
      <c r="A290" s="52"/>
      <c r="B290" s="61"/>
      <c r="C290" s="61"/>
      <c r="D290" s="52"/>
      <c r="E290" s="61"/>
      <c r="F290" s="61"/>
      <c r="G290" s="61"/>
      <c r="H290" s="61"/>
      <c r="I290" s="61"/>
      <c r="J290" s="61"/>
      <c r="K290" s="61"/>
      <c r="L290" s="61"/>
      <c r="M290" s="61"/>
      <c r="N290" s="61"/>
      <c r="O290" s="61"/>
      <c r="P290" s="61"/>
      <c r="Q290" s="61"/>
      <c r="R290" s="61"/>
      <c r="S290" s="61"/>
      <c r="T290" s="61"/>
      <c r="U290" s="61"/>
      <c r="V290" s="61"/>
      <c r="W290" s="61"/>
      <c r="X290" s="61"/>
      <c r="Y290" s="61"/>
    </row>
    <row r="291">
      <c r="A291" s="52"/>
      <c r="B291" s="61"/>
      <c r="C291" s="61"/>
      <c r="D291" s="52"/>
      <c r="E291" s="61"/>
      <c r="F291" s="61"/>
      <c r="G291" s="61"/>
      <c r="H291" s="61"/>
      <c r="I291" s="61"/>
      <c r="J291" s="61"/>
      <c r="K291" s="61"/>
      <c r="L291" s="61"/>
      <c r="M291" s="61"/>
      <c r="N291" s="61"/>
      <c r="O291" s="61"/>
      <c r="P291" s="61"/>
      <c r="Q291" s="61"/>
      <c r="R291" s="61"/>
      <c r="S291" s="61"/>
      <c r="T291" s="61"/>
      <c r="U291" s="61"/>
      <c r="V291" s="61"/>
      <c r="W291" s="61"/>
      <c r="X291" s="61"/>
      <c r="Y291" s="61"/>
    </row>
    <row r="292">
      <c r="A292" s="52"/>
      <c r="B292" s="61"/>
      <c r="C292" s="61"/>
      <c r="D292" s="52"/>
      <c r="E292" s="61"/>
      <c r="F292" s="61"/>
      <c r="G292" s="61"/>
      <c r="H292" s="61"/>
      <c r="I292" s="61"/>
      <c r="J292" s="61"/>
      <c r="K292" s="61"/>
      <c r="L292" s="61"/>
      <c r="M292" s="61"/>
      <c r="N292" s="61"/>
      <c r="O292" s="61"/>
      <c r="P292" s="61"/>
      <c r="Q292" s="61"/>
      <c r="R292" s="61"/>
      <c r="S292" s="61"/>
      <c r="T292" s="61"/>
      <c r="U292" s="61"/>
      <c r="V292" s="61"/>
      <c r="W292" s="61"/>
      <c r="X292" s="61"/>
      <c r="Y292" s="61"/>
    </row>
    <row r="293">
      <c r="A293" s="52"/>
      <c r="B293" s="61"/>
      <c r="C293" s="61"/>
      <c r="D293" s="52"/>
      <c r="E293" s="61"/>
      <c r="F293" s="61"/>
      <c r="G293" s="61"/>
      <c r="H293" s="61"/>
      <c r="I293" s="61"/>
      <c r="J293" s="61"/>
      <c r="K293" s="61"/>
      <c r="L293" s="61"/>
      <c r="M293" s="61"/>
      <c r="N293" s="61"/>
      <c r="O293" s="61"/>
      <c r="P293" s="61"/>
      <c r="Q293" s="61"/>
      <c r="R293" s="61"/>
      <c r="S293" s="61"/>
      <c r="T293" s="61"/>
      <c r="U293" s="61"/>
      <c r="V293" s="61"/>
      <c r="W293" s="61"/>
      <c r="X293" s="61"/>
      <c r="Y293" s="61"/>
    </row>
    <row r="294">
      <c r="A294" s="52"/>
      <c r="B294" s="61"/>
      <c r="C294" s="61"/>
      <c r="D294" s="52"/>
      <c r="E294" s="61"/>
      <c r="F294" s="61"/>
      <c r="G294" s="61"/>
      <c r="H294" s="61"/>
      <c r="I294" s="61"/>
      <c r="J294" s="61"/>
      <c r="K294" s="61"/>
      <c r="L294" s="61"/>
      <c r="M294" s="61"/>
      <c r="N294" s="61"/>
      <c r="O294" s="61"/>
      <c r="P294" s="61"/>
      <c r="Q294" s="61"/>
      <c r="R294" s="61"/>
      <c r="S294" s="61"/>
      <c r="T294" s="61"/>
      <c r="U294" s="61"/>
      <c r="V294" s="61"/>
      <c r="W294" s="61"/>
      <c r="X294" s="61"/>
      <c r="Y294" s="61"/>
    </row>
    <row r="295">
      <c r="A295" s="52"/>
      <c r="B295" s="61"/>
      <c r="C295" s="61"/>
      <c r="D295" s="52"/>
      <c r="E295" s="61"/>
      <c r="F295" s="61"/>
      <c r="G295" s="61"/>
      <c r="H295" s="61"/>
      <c r="I295" s="61"/>
      <c r="J295" s="61"/>
      <c r="K295" s="61"/>
      <c r="L295" s="61"/>
      <c r="M295" s="61"/>
      <c r="N295" s="61"/>
      <c r="O295" s="61"/>
      <c r="P295" s="61"/>
      <c r="Q295" s="61"/>
      <c r="R295" s="61"/>
      <c r="S295" s="61"/>
      <c r="T295" s="61"/>
      <c r="U295" s="61"/>
      <c r="V295" s="61"/>
      <c r="W295" s="61"/>
      <c r="X295" s="61"/>
      <c r="Y295" s="61"/>
    </row>
    <row r="296">
      <c r="A296" s="52"/>
      <c r="B296" s="61"/>
      <c r="C296" s="61"/>
      <c r="D296" s="52"/>
      <c r="E296" s="61"/>
      <c r="F296" s="61"/>
      <c r="G296" s="61"/>
      <c r="H296" s="61"/>
      <c r="I296" s="61"/>
      <c r="J296" s="61"/>
      <c r="K296" s="61"/>
      <c r="L296" s="61"/>
      <c r="M296" s="61"/>
      <c r="N296" s="61"/>
      <c r="O296" s="61"/>
      <c r="P296" s="61"/>
      <c r="Q296" s="61"/>
      <c r="R296" s="61"/>
      <c r="S296" s="61"/>
      <c r="T296" s="61"/>
      <c r="U296" s="61"/>
      <c r="V296" s="61"/>
      <c r="W296" s="61"/>
      <c r="X296" s="61"/>
      <c r="Y296" s="61"/>
    </row>
    <row r="297">
      <c r="A297" s="52"/>
      <c r="B297" s="61"/>
      <c r="C297" s="61"/>
      <c r="D297" s="52"/>
      <c r="E297" s="61"/>
      <c r="F297" s="61"/>
      <c r="G297" s="61"/>
      <c r="H297" s="61"/>
      <c r="I297" s="61"/>
      <c r="J297" s="61"/>
      <c r="K297" s="61"/>
      <c r="L297" s="61"/>
      <c r="M297" s="61"/>
      <c r="N297" s="61"/>
      <c r="O297" s="61"/>
      <c r="P297" s="61"/>
      <c r="Q297" s="61"/>
      <c r="R297" s="61"/>
      <c r="S297" s="61"/>
      <c r="T297" s="61"/>
      <c r="U297" s="61"/>
      <c r="V297" s="61"/>
      <c r="W297" s="61"/>
      <c r="X297" s="61"/>
      <c r="Y297" s="61"/>
    </row>
    <row r="298">
      <c r="A298" s="52"/>
      <c r="B298" s="61"/>
      <c r="C298" s="61"/>
      <c r="D298" s="52"/>
      <c r="E298" s="61"/>
      <c r="F298" s="61"/>
      <c r="G298" s="61"/>
      <c r="H298" s="61"/>
      <c r="I298" s="61"/>
      <c r="J298" s="61"/>
      <c r="K298" s="61"/>
      <c r="L298" s="61"/>
      <c r="M298" s="61"/>
      <c r="N298" s="61"/>
      <c r="O298" s="61"/>
      <c r="P298" s="61"/>
      <c r="Q298" s="61"/>
      <c r="R298" s="61"/>
      <c r="S298" s="61"/>
      <c r="T298" s="61"/>
      <c r="U298" s="61"/>
      <c r="V298" s="61"/>
      <c r="W298" s="61"/>
      <c r="X298" s="61"/>
      <c r="Y298" s="61"/>
    </row>
    <row r="299">
      <c r="A299" s="52"/>
      <c r="B299" s="61"/>
      <c r="C299" s="61"/>
      <c r="D299" s="52"/>
      <c r="E299" s="61"/>
      <c r="F299" s="61"/>
      <c r="G299" s="61"/>
      <c r="H299" s="61"/>
      <c r="I299" s="61"/>
      <c r="J299" s="61"/>
      <c r="K299" s="61"/>
      <c r="L299" s="61"/>
      <c r="M299" s="61"/>
      <c r="N299" s="61"/>
      <c r="O299" s="61"/>
      <c r="P299" s="61"/>
      <c r="Q299" s="61"/>
      <c r="R299" s="61"/>
      <c r="S299" s="61"/>
      <c r="T299" s="61"/>
      <c r="U299" s="61"/>
      <c r="V299" s="61"/>
      <c r="W299" s="61"/>
      <c r="X299" s="61"/>
      <c r="Y299" s="61"/>
    </row>
    <row r="300">
      <c r="A300" s="52"/>
      <c r="B300" s="61"/>
      <c r="C300" s="61"/>
      <c r="D300" s="52"/>
      <c r="E300" s="61"/>
      <c r="F300" s="61"/>
      <c r="G300" s="61"/>
      <c r="H300" s="61"/>
      <c r="I300" s="61"/>
      <c r="J300" s="61"/>
      <c r="K300" s="61"/>
      <c r="L300" s="61"/>
      <c r="M300" s="61"/>
      <c r="N300" s="61"/>
      <c r="O300" s="61"/>
      <c r="P300" s="61"/>
      <c r="Q300" s="61"/>
      <c r="R300" s="61"/>
      <c r="S300" s="61"/>
      <c r="T300" s="61"/>
      <c r="U300" s="61"/>
      <c r="V300" s="61"/>
      <c r="W300" s="61"/>
      <c r="X300" s="61"/>
      <c r="Y300" s="61"/>
    </row>
    <row r="301">
      <c r="A301" s="52"/>
      <c r="B301" s="61"/>
      <c r="C301" s="61"/>
      <c r="D301" s="52"/>
      <c r="E301" s="61"/>
      <c r="F301" s="61"/>
      <c r="G301" s="61"/>
      <c r="H301" s="61"/>
      <c r="I301" s="61"/>
      <c r="J301" s="61"/>
      <c r="K301" s="61"/>
      <c r="L301" s="61"/>
      <c r="M301" s="61"/>
      <c r="N301" s="61"/>
      <c r="O301" s="61"/>
      <c r="P301" s="61"/>
      <c r="Q301" s="61"/>
      <c r="R301" s="61"/>
      <c r="S301" s="61"/>
      <c r="T301" s="61"/>
      <c r="U301" s="61"/>
      <c r="V301" s="61"/>
      <c r="W301" s="61"/>
      <c r="X301" s="61"/>
      <c r="Y301" s="61"/>
    </row>
    <row r="302">
      <c r="A302" s="52"/>
      <c r="B302" s="61"/>
      <c r="C302" s="61"/>
      <c r="D302" s="52"/>
      <c r="E302" s="61"/>
      <c r="F302" s="61"/>
      <c r="G302" s="61"/>
      <c r="H302" s="61"/>
      <c r="I302" s="61"/>
      <c r="J302" s="61"/>
      <c r="K302" s="61"/>
      <c r="L302" s="61"/>
      <c r="M302" s="61"/>
      <c r="N302" s="61"/>
      <c r="O302" s="61"/>
      <c r="P302" s="61"/>
      <c r="Q302" s="61"/>
      <c r="R302" s="61"/>
      <c r="S302" s="61"/>
      <c r="T302" s="61"/>
      <c r="U302" s="61"/>
      <c r="V302" s="61"/>
      <c r="W302" s="61"/>
      <c r="X302" s="61"/>
      <c r="Y302" s="61"/>
    </row>
    <row r="303">
      <c r="A303" s="52"/>
      <c r="B303" s="61"/>
      <c r="C303" s="61"/>
      <c r="D303" s="52"/>
      <c r="E303" s="61"/>
      <c r="F303" s="61"/>
      <c r="G303" s="61"/>
      <c r="H303" s="61"/>
      <c r="I303" s="61"/>
      <c r="J303" s="61"/>
      <c r="K303" s="61"/>
      <c r="L303" s="61"/>
      <c r="M303" s="61"/>
      <c r="N303" s="61"/>
      <c r="O303" s="61"/>
      <c r="P303" s="61"/>
      <c r="Q303" s="61"/>
      <c r="R303" s="61"/>
      <c r="S303" s="61"/>
      <c r="T303" s="61"/>
      <c r="U303" s="61"/>
      <c r="V303" s="61"/>
      <c r="W303" s="61"/>
      <c r="X303" s="61"/>
      <c r="Y303" s="61"/>
    </row>
    <row r="304">
      <c r="A304" s="52"/>
      <c r="B304" s="61"/>
      <c r="C304" s="61"/>
      <c r="D304" s="52"/>
      <c r="E304" s="61"/>
      <c r="F304" s="61"/>
      <c r="G304" s="61"/>
      <c r="H304" s="61"/>
      <c r="I304" s="61"/>
      <c r="J304" s="61"/>
      <c r="K304" s="61"/>
      <c r="L304" s="61"/>
      <c r="M304" s="61"/>
      <c r="N304" s="61"/>
      <c r="O304" s="61"/>
      <c r="P304" s="61"/>
      <c r="Q304" s="61"/>
      <c r="R304" s="61"/>
      <c r="S304" s="61"/>
      <c r="T304" s="61"/>
      <c r="U304" s="61"/>
      <c r="V304" s="61"/>
      <c r="W304" s="61"/>
      <c r="X304" s="61"/>
      <c r="Y304" s="61"/>
    </row>
    <row r="305">
      <c r="A305" s="52"/>
      <c r="B305" s="61"/>
      <c r="C305" s="61"/>
      <c r="D305" s="52"/>
      <c r="E305" s="61"/>
      <c r="F305" s="61"/>
      <c r="G305" s="61"/>
      <c r="H305" s="61"/>
      <c r="I305" s="61"/>
      <c r="J305" s="61"/>
      <c r="K305" s="61"/>
      <c r="L305" s="61"/>
      <c r="M305" s="61"/>
      <c r="N305" s="61"/>
      <c r="O305" s="61"/>
      <c r="P305" s="61"/>
      <c r="Q305" s="61"/>
      <c r="R305" s="61"/>
      <c r="S305" s="61"/>
      <c r="T305" s="61"/>
      <c r="U305" s="61"/>
      <c r="V305" s="61"/>
      <c r="W305" s="61"/>
      <c r="X305" s="61"/>
      <c r="Y305" s="61"/>
    </row>
    <row r="306">
      <c r="A306" s="52"/>
      <c r="B306" s="61"/>
      <c r="C306" s="61"/>
      <c r="D306" s="52"/>
      <c r="E306" s="61"/>
      <c r="F306" s="61"/>
      <c r="G306" s="61"/>
      <c r="H306" s="61"/>
      <c r="I306" s="61"/>
      <c r="J306" s="61"/>
      <c r="K306" s="61"/>
      <c r="L306" s="61"/>
      <c r="M306" s="61"/>
      <c r="N306" s="61"/>
      <c r="O306" s="61"/>
      <c r="P306" s="61"/>
      <c r="Q306" s="61"/>
      <c r="R306" s="61"/>
      <c r="S306" s="61"/>
      <c r="T306" s="61"/>
      <c r="U306" s="61"/>
      <c r="V306" s="61"/>
      <c r="W306" s="61"/>
      <c r="X306" s="61"/>
      <c r="Y306" s="61"/>
    </row>
    <row r="307">
      <c r="A307" s="52"/>
      <c r="B307" s="61"/>
      <c r="C307" s="61"/>
      <c r="D307" s="52"/>
      <c r="E307" s="61"/>
      <c r="F307" s="61"/>
      <c r="G307" s="61"/>
      <c r="H307" s="61"/>
      <c r="I307" s="61"/>
      <c r="J307" s="61"/>
      <c r="K307" s="61"/>
      <c r="L307" s="61"/>
      <c r="M307" s="61"/>
      <c r="N307" s="61"/>
      <c r="O307" s="61"/>
      <c r="P307" s="61"/>
      <c r="Q307" s="61"/>
      <c r="R307" s="61"/>
      <c r="S307" s="61"/>
      <c r="T307" s="61"/>
      <c r="U307" s="61"/>
      <c r="V307" s="61"/>
      <c r="W307" s="61"/>
      <c r="X307" s="61"/>
      <c r="Y307" s="61"/>
    </row>
    <row r="308">
      <c r="A308" s="52"/>
      <c r="B308" s="61"/>
      <c r="C308" s="61"/>
      <c r="D308" s="52"/>
      <c r="E308" s="61"/>
      <c r="F308" s="61"/>
      <c r="G308" s="61"/>
      <c r="H308" s="61"/>
      <c r="I308" s="61"/>
      <c r="J308" s="61"/>
      <c r="K308" s="61"/>
      <c r="L308" s="61"/>
      <c r="M308" s="61"/>
      <c r="N308" s="61"/>
      <c r="O308" s="61"/>
      <c r="P308" s="61"/>
      <c r="Q308" s="61"/>
      <c r="R308" s="61"/>
      <c r="S308" s="61"/>
      <c r="T308" s="61"/>
      <c r="U308" s="61"/>
      <c r="V308" s="61"/>
      <c r="W308" s="61"/>
      <c r="X308" s="61"/>
      <c r="Y308" s="61"/>
    </row>
    <row r="309">
      <c r="A309" s="52"/>
      <c r="B309" s="61"/>
      <c r="C309" s="61"/>
      <c r="D309" s="52"/>
      <c r="E309" s="61"/>
      <c r="F309" s="61"/>
      <c r="G309" s="61"/>
      <c r="H309" s="61"/>
      <c r="I309" s="61"/>
      <c r="J309" s="61"/>
      <c r="K309" s="61"/>
      <c r="L309" s="61"/>
      <c r="M309" s="61"/>
      <c r="N309" s="61"/>
      <c r="O309" s="61"/>
      <c r="P309" s="61"/>
      <c r="Q309" s="61"/>
      <c r="R309" s="61"/>
      <c r="S309" s="61"/>
      <c r="T309" s="61"/>
      <c r="U309" s="61"/>
      <c r="V309" s="61"/>
      <c r="W309" s="61"/>
      <c r="X309" s="61"/>
      <c r="Y309" s="61"/>
    </row>
    <row r="310">
      <c r="A310" s="52"/>
      <c r="B310" s="61"/>
      <c r="C310" s="61"/>
      <c r="D310" s="52"/>
      <c r="E310" s="61"/>
      <c r="F310" s="61"/>
      <c r="G310" s="61"/>
      <c r="H310" s="61"/>
      <c r="I310" s="61"/>
      <c r="J310" s="61"/>
      <c r="K310" s="61"/>
      <c r="L310" s="61"/>
      <c r="M310" s="61"/>
      <c r="N310" s="61"/>
      <c r="O310" s="61"/>
      <c r="P310" s="61"/>
      <c r="Q310" s="61"/>
      <c r="R310" s="61"/>
      <c r="S310" s="61"/>
      <c r="T310" s="61"/>
      <c r="U310" s="61"/>
      <c r="V310" s="61"/>
      <c r="W310" s="61"/>
      <c r="X310" s="61"/>
      <c r="Y310" s="61"/>
    </row>
    <row r="311">
      <c r="A311" s="52"/>
      <c r="B311" s="61"/>
      <c r="C311" s="61"/>
      <c r="D311" s="52"/>
      <c r="E311" s="61"/>
      <c r="F311" s="61"/>
      <c r="G311" s="61"/>
      <c r="H311" s="61"/>
      <c r="I311" s="61"/>
      <c r="J311" s="61"/>
      <c r="K311" s="61"/>
      <c r="L311" s="61"/>
      <c r="M311" s="61"/>
      <c r="N311" s="61"/>
      <c r="O311" s="61"/>
      <c r="P311" s="61"/>
      <c r="Q311" s="61"/>
      <c r="R311" s="61"/>
      <c r="S311" s="61"/>
      <c r="T311" s="61"/>
      <c r="U311" s="61"/>
      <c r="V311" s="61"/>
      <c r="W311" s="61"/>
      <c r="X311" s="61"/>
      <c r="Y311" s="61"/>
    </row>
    <row r="312">
      <c r="A312" s="52"/>
      <c r="B312" s="61"/>
      <c r="C312" s="61"/>
      <c r="D312" s="52"/>
      <c r="E312" s="61"/>
      <c r="F312" s="61"/>
      <c r="G312" s="61"/>
      <c r="H312" s="61"/>
      <c r="I312" s="61"/>
      <c r="J312" s="61"/>
      <c r="K312" s="61"/>
      <c r="L312" s="61"/>
      <c r="M312" s="61"/>
      <c r="N312" s="61"/>
      <c r="O312" s="61"/>
      <c r="P312" s="61"/>
      <c r="Q312" s="61"/>
      <c r="R312" s="61"/>
      <c r="S312" s="61"/>
      <c r="T312" s="61"/>
      <c r="U312" s="61"/>
      <c r="V312" s="61"/>
      <c r="W312" s="61"/>
      <c r="X312" s="61"/>
      <c r="Y312" s="61"/>
    </row>
    <row r="313">
      <c r="A313" s="52"/>
      <c r="B313" s="61"/>
      <c r="C313" s="61"/>
      <c r="D313" s="52"/>
      <c r="E313" s="61"/>
      <c r="F313" s="61"/>
      <c r="G313" s="61"/>
      <c r="H313" s="61"/>
      <c r="I313" s="61"/>
      <c r="J313" s="61"/>
      <c r="K313" s="61"/>
      <c r="L313" s="61"/>
      <c r="M313" s="61"/>
      <c r="N313" s="61"/>
      <c r="O313" s="61"/>
      <c r="P313" s="61"/>
      <c r="Q313" s="61"/>
      <c r="R313" s="61"/>
      <c r="S313" s="61"/>
      <c r="T313" s="61"/>
      <c r="U313" s="61"/>
      <c r="V313" s="61"/>
      <c r="W313" s="61"/>
      <c r="X313" s="61"/>
      <c r="Y313" s="61"/>
    </row>
    <row r="314">
      <c r="A314" s="52"/>
      <c r="B314" s="61"/>
      <c r="C314" s="61"/>
      <c r="D314" s="52"/>
      <c r="E314" s="61"/>
      <c r="F314" s="61"/>
      <c r="G314" s="61"/>
      <c r="H314" s="61"/>
      <c r="I314" s="61"/>
      <c r="J314" s="61"/>
      <c r="K314" s="61"/>
      <c r="L314" s="61"/>
      <c r="M314" s="61"/>
      <c r="N314" s="61"/>
      <c r="O314" s="61"/>
      <c r="P314" s="61"/>
      <c r="Q314" s="61"/>
      <c r="R314" s="61"/>
      <c r="S314" s="61"/>
      <c r="T314" s="61"/>
      <c r="U314" s="61"/>
      <c r="V314" s="61"/>
      <c r="W314" s="61"/>
      <c r="X314" s="61"/>
      <c r="Y314" s="61"/>
    </row>
    <row r="315">
      <c r="A315" s="52"/>
      <c r="B315" s="61"/>
      <c r="C315" s="61"/>
      <c r="D315" s="52"/>
      <c r="E315" s="61"/>
      <c r="F315" s="61"/>
      <c r="G315" s="61"/>
      <c r="H315" s="61"/>
      <c r="I315" s="61"/>
      <c r="J315" s="61"/>
      <c r="K315" s="61"/>
      <c r="L315" s="61"/>
      <c r="M315" s="61"/>
      <c r="N315" s="61"/>
      <c r="O315" s="61"/>
      <c r="P315" s="61"/>
      <c r="Q315" s="61"/>
      <c r="R315" s="61"/>
      <c r="S315" s="61"/>
      <c r="T315" s="61"/>
      <c r="U315" s="61"/>
      <c r="V315" s="61"/>
      <c r="W315" s="61"/>
      <c r="X315" s="61"/>
      <c r="Y315" s="61"/>
    </row>
    <row r="316">
      <c r="A316" s="52"/>
      <c r="B316" s="61"/>
      <c r="C316" s="61"/>
      <c r="D316" s="52"/>
      <c r="E316" s="61"/>
      <c r="F316" s="61"/>
      <c r="G316" s="61"/>
      <c r="H316" s="61"/>
      <c r="I316" s="61"/>
      <c r="J316" s="61"/>
      <c r="K316" s="61"/>
      <c r="L316" s="61"/>
      <c r="M316" s="61"/>
      <c r="N316" s="61"/>
      <c r="O316" s="61"/>
      <c r="P316" s="61"/>
      <c r="Q316" s="61"/>
      <c r="R316" s="61"/>
      <c r="S316" s="61"/>
      <c r="T316" s="61"/>
      <c r="U316" s="61"/>
      <c r="V316" s="61"/>
      <c r="W316" s="61"/>
      <c r="X316" s="61"/>
      <c r="Y316" s="61"/>
    </row>
    <row r="317">
      <c r="A317" s="52"/>
      <c r="B317" s="61"/>
      <c r="C317" s="61"/>
      <c r="D317" s="52"/>
      <c r="E317" s="61"/>
      <c r="F317" s="61"/>
      <c r="G317" s="61"/>
      <c r="H317" s="61"/>
      <c r="I317" s="61"/>
      <c r="J317" s="61"/>
      <c r="K317" s="61"/>
      <c r="L317" s="61"/>
      <c r="M317" s="61"/>
      <c r="N317" s="61"/>
      <c r="O317" s="61"/>
      <c r="P317" s="61"/>
      <c r="Q317" s="61"/>
      <c r="R317" s="61"/>
      <c r="S317" s="61"/>
      <c r="T317" s="61"/>
      <c r="U317" s="61"/>
      <c r="V317" s="61"/>
      <c r="W317" s="61"/>
      <c r="X317" s="61"/>
      <c r="Y317" s="61"/>
    </row>
    <row r="318">
      <c r="A318" s="52"/>
      <c r="B318" s="61"/>
      <c r="C318" s="61"/>
      <c r="D318" s="52"/>
      <c r="E318" s="61"/>
      <c r="F318" s="61"/>
      <c r="G318" s="61"/>
      <c r="H318" s="61"/>
      <c r="I318" s="61"/>
      <c r="J318" s="61"/>
      <c r="K318" s="61"/>
      <c r="L318" s="61"/>
      <c r="M318" s="61"/>
      <c r="N318" s="61"/>
      <c r="O318" s="61"/>
      <c r="P318" s="61"/>
      <c r="Q318" s="61"/>
      <c r="R318" s="61"/>
      <c r="S318" s="61"/>
      <c r="T318" s="61"/>
      <c r="U318" s="61"/>
      <c r="V318" s="61"/>
      <c r="W318" s="61"/>
      <c r="X318" s="61"/>
      <c r="Y318" s="61"/>
    </row>
    <row r="319">
      <c r="A319" s="52"/>
      <c r="B319" s="61"/>
      <c r="C319" s="61"/>
      <c r="D319" s="52"/>
      <c r="E319" s="61"/>
      <c r="F319" s="61"/>
      <c r="G319" s="61"/>
      <c r="H319" s="61"/>
      <c r="I319" s="61"/>
      <c r="J319" s="61"/>
      <c r="K319" s="61"/>
      <c r="L319" s="61"/>
      <c r="M319" s="61"/>
      <c r="N319" s="61"/>
      <c r="O319" s="61"/>
      <c r="P319" s="61"/>
      <c r="Q319" s="61"/>
      <c r="R319" s="61"/>
      <c r="S319" s="61"/>
      <c r="T319" s="61"/>
      <c r="U319" s="61"/>
      <c r="V319" s="61"/>
      <c r="W319" s="61"/>
      <c r="X319" s="61"/>
      <c r="Y319" s="61"/>
    </row>
    <row r="320">
      <c r="A320" s="52"/>
      <c r="B320" s="61"/>
      <c r="C320" s="61"/>
      <c r="D320" s="52"/>
      <c r="E320" s="61"/>
      <c r="F320" s="61"/>
      <c r="G320" s="61"/>
      <c r="H320" s="61"/>
      <c r="I320" s="61"/>
      <c r="J320" s="61"/>
      <c r="K320" s="61"/>
      <c r="L320" s="61"/>
      <c r="M320" s="61"/>
      <c r="N320" s="61"/>
      <c r="O320" s="61"/>
      <c r="P320" s="61"/>
      <c r="Q320" s="61"/>
      <c r="R320" s="61"/>
      <c r="S320" s="61"/>
      <c r="T320" s="61"/>
      <c r="U320" s="61"/>
      <c r="V320" s="61"/>
      <c r="W320" s="61"/>
      <c r="X320" s="61"/>
      <c r="Y320" s="61"/>
    </row>
    <row r="321">
      <c r="A321" s="52"/>
      <c r="B321" s="61"/>
      <c r="C321" s="61"/>
      <c r="D321" s="52"/>
      <c r="E321" s="61"/>
      <c r="F321" s="61"/>
      <c r="G321" s="61"/>
      <c r="H321" s="61"/>
      <c r="I321" s="61"/>
      <c r="J321" s="61"/>
      <c r="K321" s="61"/>
      <c r="L321" s="61"/>
      <c r="M321" s="61"/>
      <c r="N321" s="61"/>
      <c r="O321" s="61"/>
      <c r="P321" s="61"/>
      <c r="Q321" s="61"/>
      <c r="R321" s="61"/>
      <c r="S321" s="61"/>
      <c r="T321" s="61"/>
      <c r="U321" s="61"/>
      <c r="V321" s="61"/>
      <c r="W321" s="61"/>
      <c r="X321" s="61"/>
      <c r="Y321" s="61"/>
    </row>
    <row r="322">
      <c r="A322" s="52"/>
      <c r="B322" s="61"/>
      <c r="C322" s="61"/>
      <c r="D322" s="52"/>
      <c r="E322" s="61"/>
      <c r="F322" s="61"/>
      <c r="G322" s="61"/>
      <c r="H322" s="61"/>
      <c r="I322" s="61"/>
      <c r="J322" s="61"/>
      <c r="K322" s="61"/>
      <c r="L322" s="61"/>
      <c r="M322" s="61"/>
      <c r="N322" s="61"/>
      <c r="O322" s="61"/>
      <c r="P322" s="61"/>
      <c r="Q322" s="61"/>
      <c r="R322" s="61"/>
      <c r="S322" s="61"/>
      <c r="T322" s="61"/>
      <c r="U322" s="61"/>
      <c r="V322" s="61"/>
      <c r="W322" s="61"/>
      <c r="X322" s="61"/>
      <c r="Y322" s="61"/>
    </row>
    <row r="323">
      <c r="A323" s="52"/>
      <c r="B323" s="61"/>
      <c r="C323" s="61"/>
      <c r="D323" s="52"/>
      <c r="E323" s="61"/>
      <c r="F323" s="61"/>
      <c r="G323" s="61"/>
      <c r="H323" s="61"/>
      <c r="I323" s="61"/>
      <c r="J323" s="61"/>
      <c r="K323" s="61"/>
      <c r="L323" s="61"/>
      <c r="M323" s="61"/>
      <c r="N323" s="61"/>
      <c r="O323" s="61"/>
      <c r="P323" s="61"/>
      <c r="Q323" s="61"/>
      <c r="R323" s="61"/>
      <c r="S323" s="61"/>
      <c r="T323" s="61"/>
      <c r="U323" s="61"/>
      <c r="V323" s="61"/>
      <c r="W323" s="61"/>
      <c r="X323" s="61"/>
      <c r="Y323" s="61"/>
    </row>
    <row r="324">
      <c r="A324" s="52"/>
      <c r="B324" s="61"/>
      <c r="C324" s="61"/>
      <c r="D324" s="52"/>
      <c r="E324" s="61"/>
      <c r="F324" s="61"/>
      <c r="G324" s="61"/>
      <c r="H324" s="61"/>
      <c r="I324" s="61"/>
      <c r="J324" s="61"/>
      <c r="K324" s="61"/>
      <c r="L324" s="61"/>
      <c r="M324" s="61"/>
      <c r="N324" s="61"/>
      <c r="O324" s="61"/>
      <c r="P324" s="61"/>
      <c r="Q324" s="61"/>
      <c r="R324" s="61"/>
      <c r="S324" s="61"/>
      <c r="T324" s="61"/>
      <c r="U324" s="61"/>
      <c r="V324" s="61"/>
      <c r="W324" s="61"/>
      <c r="X324" s="61"/>
      <c r="Y324" s="61"/>
    </row>
    <row r="325">
      <c r="A325" s="52"/>
      <c r="B325" s="61"/>
      <c r="C325" s="61"/>
      <c r="D325" s="52"/>
      <c r="E325" s="61"/>
      <c r="F325" s="61"/>
      <c r="G325" s="61"/>
      <c r="H325" s="61"/>
      <c r="I325" s="61"/>
      <c r="J325" s="61"/>
      <c r="K325" s="61"/>
      <c r="L325" s="61"/>
      <c r="M325" s="61"/>
      <c r="N325" s="61"/>
      <c r="O325" s="61"/>
      <c r="P325" s="61"/>
      <c r="Q325" s="61"/>
      <c r="R325" s="61"/>
      <c r="S325" s="61"/>
      <c r="T325" s="61"/>
      <c r="U325" s="61"/>
      <c r="V325" s="61"/>
      <c r="W325" s="61"/>
      <c r="X325" s="61"/>
      <c r="Y325" s="61"/>
    </row>
    <row r="326">
      <c r="A326" s="52"/>
      <c r="B326" s="61"/>
      <c r="C326" s="61"/>
      <c r="D326" s="52"/>
      <c r="E326" s="61"/>
      <c r="F326" s="61"/>
      <c r="G326" s="61"/>
      <c r="H326" s="61"/>
      <c r="I326" s="61"/>
      <c r="J326" s="61"/>
      <c r="K326" s="61"/>
      <c r="L326" s="61"/>
      <c r="M326" s="61"/>
      <c r="N326" s="61"/>
      <c r="O326" s="61"/>
      <c r="P326" s="61"/>
      <c r="Q326" s="61"/>
      <c r="R326" s="61"/>
      <c r="S326" s="61"/>
      <c r="T326" s="61"/>
      <c r="U326" s="61"/>
      <c r="V326" s="61"/>
      <c r="W326" s="61"/>
      <c r="X326" s="61"/>
      <c r="Y326" s="61"/>
    </row>
    <row r="327">
      <c r="A327" s="52"/>
      <c r="B327" s="61"/>
      <c r="C327" s="61"/>
      <c r="D327" s="52"/>
      <c r="E327" s="61"/>
      <c r="F327" s="61"/>
      <c r="G327" s="61"/>
      <c r="H327" s="61"/>
      <c r="I327" s="61"/>
      <c r="J327" s="61"/>
      <c r="K327" s="61"/>
      <c r="L327" s="61"/>
      <c r="M327" s="61"/>
      <c r="N327" s="61"/>
      <c r="O327" s="61"/>
      <c r="P327" s="61"/>
      <c r="Q327" s="61"/>
      <c r="R327" s="61"/>
      <c r="S327" s="61"/>
      <c r="T327" s="61"/>
      <c r="U327" s="61"/>
      <c r="V327" s="61"/>
      <c r="W327" s="61"/>
      <c r="X327" s="61"/>
      <c r="Y327" s="61"/>
    </row>
    <row r="328">
      <c r="A328" s="52"/>
      <c r="B328" s="61"/>
      <c r="C328" s="61"/>
      <c r="D328" s="52"/>
      <c r="E328" s="61"/>
      <c r="F328" s="61"/>
      <c r="G328" s="61"/>
      <c r="H328" s="61"/>
      <c r="I328" s="61"/>
      <c r="J328" s="61"/>
      <c r="K328" s="61"/>
      <c r="L328" s="61"/>
      <c r="M328" s="61"/>
      <c r="N328" s="61"/>
      <c r="O328" s="61"/>
      <c r="P328" s="61"/>
      <c r="Q328" s="61"/>
      <c r="R328" s="61"/>
      <c r="S328" s="61"/>
      <c r="T328" s="61"/>
      <c r="U328" s="61"/>
      <c r="V328" s="61"/>
      <c r="W328" s="61"/>
      <c r="X328" s="61"/>
      <c r="Y328" s="61"/>
    </row>
    <row r="329">
      <c r="A329" s="52"/>
      <c r="B329" s="61"/>
      <c r="C329" s="61"/>
      <c r="D329" s="52"/>
      <c r="E329" s="61"/>
      <c r="F329" s="61"/>
      <c r="G329" s="61"/>
      <c r="H329" s="61"/>
      <c r="I329" s="61"/>
      <c r="J329" s="61"/>
      <c r="K329" s="61"/>
      <c r="L329" s="61"/>
      <c r="M329" s="61"/>
      <c r="N329" s="61"/>
      <c r="O329" s="61"/>
      <c r="P329" s="61"/>
      <c r="Q329" s="61"/>
      <c r="R329" s="61"/>
      <c r="S329" s="61"/>
      <c r="T329" s="61"/>
      <c r="U329" s="61"/>
      <c r="V329" s="61"/>
      <c r="W329" s="61"/>
      <c r="X329" s="61"/>
      <c r="Y329" s="61"/>
    </row>
    <row r="330">
      <c r="A330" s="52"/>
      <c r="B330" s="61"/>
      <c r="C330" s="61"/>
      <c r="D330" s="52"/>
      <c r="E330" s="61"/>
      <c r="F330" s="61"/>
      <c r="G330" s="61"/>
      <c r="H330" s="61"/>
      <c r="I330" s="61"/>
      <c r="J330" s="61"/>
      <c r="K330" s="61"/>
      <c r="L330" s="61"/>
      <c r="M330" s="61"/>
      <c r="N330" s="61"/>
      <c r="O330" s="61"/>
      <c r="P330" s="61"/>
      <c r="Q330" s="61"/>
      <c r="R330" s="61"/>
      <c r="S330" s="61"/>
      <c r="T330" s="61"/>
      <c r="U330" s="61"/>
      <c r="V330" s="61"/>
      <c r="W330" s="61"/>
      <c r="X330" s="61"/>
      <c r="Y330" s="61"/>
    </row>
    <row r="331">
      <c r="A331" s="52"/>
      <c r="B331" s="61"/>
      <c r="C331" s="61"/>
      <c r="D331" s="52"/>
      <c r="E331" s="61"/>
      <c r="F331" s="61"/>
      <c r="G331" s="61"/>
      <c r="H331" s="61"/>
      <c r="I331" s="61"/>
      <c r="J331" s="61"/>
      <c r="K331" s="61"/>
      <c r="L331" s="61"/>
      <c r="M331" s="61"/>
      <c r="N331" s="61"/>
      <c r="O331" s="61"/>
      <c r="P331" s="61"/>
      <c r="Q331" s="61"/>
      <c r="R331" s="61"/>
      <c r="S331" s="61"/>
      <c r="T331" s="61"/>
      <c r="U331" s="61"/>
      <c r="V331" s="61"/>
      <c r="W331" s="61"/>
      <c r="X331" s="61"/>
      <c r="Y331" s="61"/>
    </row>
    <row r="332">
      <c r="A332" s="52"/>
      <c r="B332" s="61"/>
      <c r="C332" s="61"/>
      <c r="D332" s="52"/>
      <c r="E332" s="61"/>
      <c r="F332" s="61"/>
      <c r="G332" s="61"/>
      <c r="H332" s="61"/>
      <c r="I332" s="61"/>
      <c r="J332" s="61"/>
      <c r="K332" s="61"/>
      <c r="L332" s="61"/>
      <c r="M332" s="61"/>
      <c r="N332" s="61"/>
      <c r="O332" s="61"/>
      <c r="P332" s="61"/>
      <c r="Q332" s="61"/>
      <c r="R332" s="61"/>
      <c r="S332" s="61"/>
      <c r="T332" s="61"/>
      <c r="U332" s="61"/>
      <c r="V332" s="61"/>
      <c r="W332" s="61"/>
      <c r="X332" s="61"/>
      <c r="Y332" s="61"/>
    </row>
    <row r="333">
      <c r="A333" s="52"/>
      <c r="B333" s="61"/>
      <c r="C333" s="61"/>
      <c r="D333" s="52"/>
      <c r="E333" s="61"/>
      <c r="F333" s="61"/>
      <c r="G333" s="61"/>
      <c r="H333" s="61"/>
      <c r="I333" s="61"/>
      <c r="J333" s="61"/>
      <c r="K333" s="61"/>
      <c r="L333" s="61"/>
      <c r="M333" s="61"/>
      <c r="N333" s="61"/>
      <c r="O333" s="61"/>
      <c r="P333" s="61"/>
      <c r="Q333" s="61"/>
      <c r="R333" s="61"/>
      <c r="S333" s="61"/>
      <c r="T333" s="61"/>
      <c r="U333" s="61"/>
      <c r="V333" s="61"/>
      <c r="W333" s="61"/>
      <c r="X333" s="61"/>
      <c r="Y333" s="61"/>
    </row>
    <row r="334">
      <c r="A334" s="52"/>
      <c r="B334" s="61"/>
      <c r="C334" s="61"/>
      <c r="D334" s="52"/>
      <c r="E334" s="61"/>
      <c r="F334" s="61"/>
      <c r="G334" s="61"/>
      <c r="H334" s="61"/>
      <c r="I334" s="61"/>
      <c r="J334" s="61"/>
      <c r="K334" s="61"/>
      <c r="L334" s="61"/>
      <c r="M334" s="61"/>
      <c r="N334" s="61"/>
      <c r="O334" s="61"/>
      <c r="P334" s="61"/>
      <c r="Q334" s="61"/>
      <c r="R334" s="61"/>
      <c r="S334" s="61"/>
      <c r="T334" s="61"/>
      <c r="U334" s="61"/>
      <c r="V334" s="61"/>
      <c r="W334" s="61"/>
      <c r="X334" s="61"/>
      <c r="Y334" s="61"/>
    </row>
    <row r="335">
      <c r="A335" s="52"/>
      <c r="B335" s="61"/>
      <c r="C335" s="61"/>
      <c r="D335" s="52"/>
      <c r="E335" s="61"/>
      <c r="F335" s="61"/>
      <c r="G335" s="61"/>
      <c r="H335" s="61"/>
      <c r="I335" s="61"/>
      <c r="J335" s="61"/>
      <c r="K335" s="61"/>
      <c r="L335" s="61"/>
      <c r="M335" s="61"/>
      <c r="N335" s="61"/>
      <c r="O335" s="61"/>
      <c r="P335" s="61"/>
      <c r="Q335" s="61"/>
      <c r="R335" s="61"/>
      <c r="S335" s="61"/>
      <c r="T335" s="61"/>
      <c r="U335" s="61"/>
      <c r="V335" s="61"/>
      <c r="W335" s="61"/>
      <c r="X335" s="61"/>
      <c r="Y335" s="61"/>
    </row>
    <row r="336">
      <c r="A336" s="52"/>
      <c r="B336" s="61"/>
      <c r="C336" s="61"/>
      <c r="D336" s="52"/>
      <c r="E336" s="61"/>
      <c r="F336" s="61"/>
      <c r="G336" s="61"/>
      <c r="H336" s="61"/>
      <c r="I336" s="61"/>
      <c r="J336" s="61"/>
      <c r="K336" s="61"/>
      <c r="L336" s="61"/>
      <c r="M336" s="61"/>
      <c r="N336" s="61"/>
      <c r="O336" s="61"/>
      <c r="P336" s="61"/>
      <c r="Q336" s="61"/>
      <c r="R336" s="61"/>
      <c r="S336" s="61"/>
      <c r="T336" s="61"/>
      <c r="U336" s="61"/>
      <c r="V336" s="61"/>
      <c r="W336" s="61"/>
      <c r="X336" s="61"/>
      <c r="Y336" s="61"/>
    </row>
    <row r="337">
      <c r="A337" s="52"/>
      <c r="B337" s="61"/>
      <c r="C337" s="61"/>
      <c r="D337" s="52"/>
      <c r="E337" s="61"/>
      <c r="F337" s="61"/>
      <c r="G337" s="61"/>
      <c r="H337" s="61"/>
      <c r="I337" s="61"/>
      <c r="J337" s="61"/>
      <c r="K337" s="61"/>
      <c r="L337" s="61"/>
      <c r="M337" s="61"/>
      <c r="N337" s="61"/>
      <c r="O337" s="61"/>
      <c r="P337" s="61"/>
      <c r="Q337" s="61"/>
      <c r="R337" s="61"/>
      <c r="S337" s="61"/>
      <c r="T337" s="61"/>
      <c r="U337" s="61"/>
      <c r="V337" s="61"/>
      <c r="W337" s="61"/>
      <c r="X337" s="61"/>
      <c r="Y337" s="61"/>
    </row>
    <row r="338">
      <c r="A338" s="52"/>
      <c r="B338" s="61"/>
      <c r="C338" s="61"/>
      <c r="D338" s="52"/>
      <c r="E338" s="61"/>
      <c r="F338" s="61"/>
      <c r="G338" s="61"/>
      <c r="H338" s="61"/>
      <c r="I338" s="61"/>
      <c r="J338" s="61"/>
      <c r="K338" s="61"/>
      <c r="L338" s="61"/>
      <c r="M338" s="61"/>
      <c r="N338" s="61"/>
      <c r="O338" s="61"/>
      <c r="P338" s="61"/>
      <c r="Q338" s="61"/>
      <c r="R338" s="61"/>
      <c r="S338" s="61"/>
      <c r="T338" s="61"/>
      <c r="U338" s="61"/>
      <c r="V338" s="61"/>
      <c r="W338" s="61"/>
      <c r="X338" s="61"/>
      <c r="Y338" s="61"/>
    </row>
    <row r="339">
      <c r="A339" s="52"/>
      <c r="B339" s="61"/>
      <c r="C339" s="61"/>
      <c r="D339" s="52"/>
      <c r="E339" s="61"/>
      <c r="F339" s="61"/>
      <c r="G339" s="61"/>
      <c r="H339" s="61"/>
      <c r="I339" s="61"/>
      <c r="J339" s="61"/>
      <c r="K339" s="61"/>
      <c r="L339" s="61"/>
      <c r="M339" s="61"/>
      <c r="N339" s="61"/>
      <c r="O339" s="61"/>
      <c r="P339" s="61"/>
      <c r="Q339" s="61"/>
      <c r="R339" s="61"/>
      <c r="S339" s="61"/>
      <c r="T339" s="61"/>
      <c r="U339" s="61"/>
      <c r="V339" s="61"/>
      <c r="W339" s="61"/>
      <c r="X339" s="61"/>
      <c r="Y339" s="61"/>
    </row>
    <row r="340">
      <c r="A340" s="52"/>
      <c r="B340" s="61"/>
      <c r="C340" s="61"/>
      <c r="D340" s="52"/>
      <c r="E340" s="61"/>
      <c r="F340" s="61"/>
      <c r="G340" s="61"/>
      <c r="H340" s="61"/>
      <c r="I340" s="61"/>
      <c r="J340" s="61"/>
      <c r="K340" s="61"/>
      <c r="L340" s="61"/>
      <c r="M340" s="61"/>
      <c r="N340" s="61"/>
      <c r="O340" s="61"/>
      <c r="P340" s="61"/>
      <c r="Q340" s="61"/>
      <c r="R340" s="61"/>
      <c r="S340" s="61"/>
      <c r="T340" s="61"/>
      <c r="U340" s="61"/>
      <c r="V340" s="61"/>
      <c r="W340" s="61"/>
      <c r="X340" s="61"/>
      <c r="Y340" s="61"/>
    </row>
    <row r="341">
      <c r="A341" s="52"/>
      <c r="B341" s="61"/>
      <c r="C341" s="61"/>
      <c r="D341" s="52"/>
      <c r="E341" s="61"/>
      <c r="F341" s="61"/>
      <c r="G341" s="61"/>
      <c r="H341" s="61"/>
      <c r="I341" s="61"/>
      <c r="J341" s="61"/>
      <c r="K341" s="61"/>
      <c r="L341" s="61"/>
      <c r="M341" s="61"/>
      <c r="N341" s="61"/>
      <c r="O341" s="61"/>
      <c r="P341" s="61"/>
      <c r="Q341" s="61"/>
      <c r="R341" s="61"/>
      <c r="S341" s="61"/>
      <c r="T341" s="61"/>
      <c r="U341" s="61"/>
      <c r="V341" s="61"/>
      <c r="W341" s="61"/>
      <c r="X341" s="61"/>
      <c r="Y341" s="61"/>
    </row>
    <row r="342">
      <c r="A342" s="52"/>
      <c r="B342" s="61"/>
      <c r="C342" s="61"/>
      <c r="D342" s="52"/>
      <c r="E342" s="61"/>
      <c r="F342" s="61"/>
      <c r="G342" s="61"/>
      <c r="H342" s="61"/>
      <c r="I342" s="61"/>
      <c r="J342" s="61"/>
      <c r="K342" s="61"/>
      <c r="L342" s="61"/>
      <c r="M342" s="61"/>
      <c r="N342" s="61"/>
      <c r="O342" s="61"/>
      <c r="P342" s="61"/>
      <c r="Q342" s="61"/>
      <c r="R342" s="61"/>
      <c r="S342" s="61"/>
      <c r="T342" s="61"/>
      <c r="U342" s="61"/>
      <c r="V342" s="61"/>
      <c r="W342" s="61"/>
      <c r="X342" s="61"/>
      <c r="Y342" s="61"/>
    </row>
    <row r="343">
      <c r="A343" s="52"/>
      <c r="B343" s="61"/>
      <c r="C343" s="61"/>
      <c r="D343" s="52"/>
      <c r="E343" s="61"/>
      <c r="F343" s="61"/>
      <c r="G343" s="61"/>
      <c r="H343" s="61"/>
      <c r="I343" s="61"/>
      <c r="J343" s="61"/>
      <c r="K343" s="61"/>
      <c r="L343" s="61"/>
      <c r="M343" s="61"/>
      <c r="N343" s="61"/>
      <c r="O343" s="61"/>
      <c r="P343" s="61"/>
      <c r="Q343" s="61"/>
      <c r="R343" s="61"/>
      <c r="S343" s="61"/>
      <c r="T343" s="61"/>
      <c r="U343" s="61"/>
      <c r="V343" s="61"/>
      <c r="W343" s="61"/>
      <c r="X343" s="61"/>
      <c r="Y343" s="61"/>
    </row>
    <row r="344">
      <c r="A344" s="52"/>
      <c r="B344" s="61"/>
      <c r="C344" s="61"/>
      <c r="D344" s="52"/>
      <c r="E344" s="61"/>
      <c r="F344" s="61"/>
      <c r="G344" s="61"/>
      <c r="H344" s="61"/>
      <c r="I344" s="61"/>
      <c r="J344" s="61"/>
      <c r="K344" s="61"/>
      <c r="L344" s="61"/>
      <c r="M344" s="61"/>
      <c r="N344" s="61"/>
      <c r="O344" s="61"/>
      <c r="P344" s="61"/>
      <c r="Q344" s="61"/>
      <c r="R344" s="61"/>
      <c r="S344" s="61"/>
      <c r="T344" s="61"/>
      <c r="U344" s="61"/>
      <c r="V344" s="61"/>
      <c r="W344" s="61"/>
      <c r="X344" s="61"/>
      <c r="Y344" s="61"/>
    </row>
    <row r="345">
      <c r="A345" s="52"/>
      <c r="B345" s="61"/>
      <c r="C345" s="61"/>
      <c r="D345" s="52"/>
      <c r="E345" s="61"/>
      <c r="F345" s="61"/>
      <c r="G345" s="61"/>
      <c r="H345" s="61"/>
      <c r="I345" s="61"/>
      <c r="J345" s="61"/>
      <c r="K345" s="61"/>
      <c r="L345" s="61"/>
      <c r="M345" s="61"/>
      <c r="N345" s="61"/>
      <c r="O345" s="61"/>
      <c r="P345" s="61"/>
      <c r="Q345" s="61"/>
      <c r="R345" s="61"/>
      <c r="S345" s="61"/>
      <c r="T345" s="61"/>
      <c r="U345" s="61"/>
      <c r="V345" s="61"/>
      <c r="W345" s="61"/>
      <c r="X345" s="61"/>
      <c r="Y345" s="61"/>
    </row>
    <row r="346">
      <c r="A346" s="52"/>
      <c r="B346" s="61"/>
      <c r="C346" s="61"/>
      <c r="D346" s="52"/>
      <c r="E346" s="61"/>
      <c r="F346" s="61"/>
      <c r="G346" s="61"/>
      <c r="H346" s="61"/>
      <c r="I346" s="61"/>
      <c r="J346" s="61"/>
      <c r="K346" s="61"/>
      <c r="L346" s="61"/>
      <c r="M346" s="61"/>
      <c r="N346" s="61"/>
      <c r="O346" s="61"/>
      <c r="P346" s="61"/>
      <c r="Q346" s="61"/>
      <c r="R346" s="61"/>
      <c r="S346" s="61"/>
      <c r="T346" s="61"/>
      <c r="U346" s="61"/>
      <c r="V346" s="61"/>
      <c r="W346" s="61"/>
      <c r="X346" s="61"/>
      <c r="Y346" s="61"/>
    </row>
    <row r="347">
      <c r="A347" s="52"/>
      <c r="B347" s="61"/>
      <c r="C347" s="61"/>
      <c r="D347" s="52"/>
      <c r="E347" s="61"/>
      <c r="F347" s="61"/>
      <c r="G347" s="61"/>
      <c r="H347" s="61"/>
      <c r="I347" s="61"/>
      <c r="J347" s="61"/>
      <c r="K347" s="61"/>
      <c r="L347" s="61"/>
      <c r="M347" s="61"/>
      <c r="N347" s="61"/>
      <c r="O347" s="61"/>
      <c r="P347" s="61"/>
      <c r="Q347" s="61"/>
      <c r="R347" s="61"/>
      <c r="S347" s="61"/>
      <c r="T347" s="61"/>
      <c r="U347" s="61"/>
      <c r="V347" s="61"/>
      <c r="W347" s="61"/>
      <c r="X347" s="61"/>
      <c r="Y347" s="61"/>
    </row>
    <row r="348">
      <c r="A348" s="52"/>
      <c r="B348" s="61"/>
      <c r="C348" s="61"/>
      <c r="D348" s="52"/>
      <c r="E348" s="61"/>
      <c r="F348" s="61"/>
      <c r="G348" s="61"/>
      <c r="H348" s="61"/>
      <c r="I348" s="61"/>
      <c r="J348" s="61"/>
      <c r="K348" s="61"/>
      <c r="L348" s="61"/>
      <c r="M348" s="61"/>
      <c r="N348" s="61"/>
      <c r="O348" s="61"/>
      <c r="P348" s="61"/>
      <c r="Q348" s="61"/>
      <c r="R348" s="61"/>
      <c r="S348" s="61"/>
      <c r="T348" s="61"/>
      <c r="U348" s="61"/>
      <c r="V348" s="61"/>
      <c r="W348" s="61"/>
      <c r="X348" s="61"/>
      <c r="Y348" s="61"/>
    </row>
    <row r="349">
      <c r="A349" s="52"/>
      <c r="B349" s="61"/>
      <c r="C349" s="61"/>
      <c r="D349" s="52"/>
      <c r="E349" s="61"/>
      <c r="F349" s="61"/>
      <c r="G349" s="61"/>
      <c r="H349" s="61"/>
      <c r="I349" s="61"/>
      <c r="J349" s="61"/>
      <c r="K349" s="61"/>
      <c r="L349" s="61"/>
      <c r="M349" s="61"/>
      <c r="N349" s="61"/>
      <c r="O349" s="61"/>
      <c r="P349" s="61"/>
      <c r="Q349" s="61"/>
      <c r="R349" s="61"/>
      <c r="S349" s="61"/>
      <c r="T349" s="61"/>
      <c r="U349" s="61"/>
      <c r="V349" s="61"/>
      <c r="W349" s="61"/>
      <c r="X349" s="61"/>
      <c r="Y349" s="61"/>
    </row>
    <row r="350">
      <c r="A350" s="52"/>
      <c r="B350" s="61"/>
      <c r="C350" s="61"/>
      <c r="D350" s="52"/>
      <c r="E350" s="61"/>
      <c r="F350" s="61"/>
      <c r="G350" s="61"/>
      <c r="H350" s="61"/>
      <c r="I350" s="61"/>
      <c r="J350" s="61"/>
      <c r="K350" s="61"/>
      <c r="L350" s="61"/>
      <c r="M350" s="61"/>
      <c r="N350" s="61"/>
      <c r="O350" s="61"/>
      <c r="P350" s="61"/>
      <c r="Q350" s="61"/>
      <c r="R350" s="61"/>
      <c r="S350" s="61"/>
      <c r="T350" s="61"/>
      <c r="U350" s="61"/>
      <c r="V350" s="61"/>
      <c r="W350" s="61"/>
      <c r="X350" s="61"/>
      <c r="Y350" s="61"/>
    </row>
    <row r="351">
      <c r="A351" s="52"/>
      <c r="B351" s="61"/>
      <c r="C351" s="61"/>
      <c r="D351" s="52"/>
      <c r="E351" s="61"/>
      <c r="F351" s="61"/>
      <c r="G351" s="61"/>
      <c r="H351" s="61"/>
      <c r="I351" s="61"/>
      <c r="J351" s="61"/>
      <c r="K351" s="61"/>
      <c r="L351" s="61"/>
      <c r="M351" s="61"/>
      <c r="N351" s="61"/>
      <c r="O351" s="61"/>
      <c r="P351" s="61"/>
      <c r="Q351" s="61"/>
      <c r="R351" s="61"/>
      <c r="S351" s="61"/>
      <c r="T351" s="61"/>
      <c r="U351" s="61"/>
      <c r="V351" s="61"/>
      <c r="W351" s="61"/>
      <c r="X351" s="61"/>
      <c r="Y351" s="61"/>
    </row>
    <row r="352">
      <c r="A352" s="52"/>
      <c r="B352" s="61"/>
      <c r="C352" s="61"/>
      <c r="D352" s="52"/>
      <c r="E352" s="61"/>
      <c r="F352" s="61"/>
      <c r="G352" s="61"/>
      <c r="H352" s="61"/>
      <c r="I352" s="61"/>
      <c r="J352" s="61"/>
      <c r="K352" s="61"/>
      <c r="L352" s="61"/>
      <c r="M352" s="61"/>
      <c r="N352" s="61"/>
      <c r="O352" s="61"/>
      <c r="P352" s="61"/>
      <c r="Q352" s="61"/>
      <c r="R352" s="61"/>
      <c r="S352" s="61"/>
      <c r="T352" s="61"/>
      <c r="U352" s="61"/>
      <c r="V352" s="61"/>
      <c r="W352" s="61"/>
      <c r="X352" s="61"/>
      <c r="Y352" s="61"/>
    </row>
    <row r="353">
      <c r="A353" s="52"/>
      <c r="B353" s="61"/>
      <c r="C353" s="61"/>
      <c r="D353" s="52"/>
      <c r="E353" s="61"/>
      <c r="F353" s="61"/>
      <c r="G353" s="61"/>
      <c r="H353" s="61"/>
      <c r="I353" s="61"/>
      <c r="J353" s="61"/>
      <c r="K353" s="61"/>
      <c r="L353" s="61"/>
      <c r="M353" s="61"/>
      <c r="N353" s="61"/>
      <c r="O353" s="61"/>
      <c r="P353" s="61"/>
      <c r="Q353" s="61"/>
      <c r="R353" s="61"/>
      <c r="S353" s="61"/>
      <c r="T353" s="61"/>
      <c r="U353" s="61"/>
      <c r="V353" s="61"/>
      <c r="W353" s="61"/>
      <c r="X353" s="61"/>
      <c r="Y353" s="61"/>
    </row>
    <row r="354">
      <c r="A354" s="52"/>
      <c r="B354" s="61"/>
      <c r="C354" s="61"/>
      <c r="D354" s="52"/>
      <c r="E354" s="61"/>
      <c r="F354" s="61"/>
      <c r="G354" s="61"/>
      <c r="H354" s="61"/>
      <c r="I354" s="61"/>
      <c r="J354" s="61"/>
      <c r="K354" s="61"/>
      <c r="L354" s="61"/>
      <c r="M354" s="61"/>
      <c r="N354" s="61"/>
      <c r="O354" s="61"/>
      <c r="P354" s="61"/>
      <c r="Q354" s="61"/>
      <c r="R354" s="61"/>
      <c r="S354" s="61"/>
      <c r="T354" s="61"/>
      <c r="U354" s="61"/>
      <c r="V354" s="61"/>
      <c r="W354" s="61"/>
      <c r="X354" s="61"/>
      <c r="Y354" s="61"/>
    </row>
    <row r="355">
      <c r="A355" s="52"/>
      <c r="B355" s="61"/>
      <c r="C355" s="61"/>
      <c r="D355" s="52"/>
      <c r="E355" s="61"/>
      <c r="F355" s="61"/>
      <c r="G355" s="61"/>
      <c r="H355" s="61"/>
      <c r="I355" s="61"/>
      <c r="J355" s="61"/>
      <c r="K355" s="61"/>
      <c r="L355" s="61"/>
      <c r="M355" s="61"/>
      <c r="N355" s="61"/>
      <c r="O355" s="61"/>
      <c r="P355" s="61"/>
      <c r="Q355" s="61"/>
      <c r="R355" s="61"/>
      <c r="S355" s="61"/>
      <c r="T355" s="61"/>
      <c r="U355" s="61"/>
      <c r="V355" s="61"/>
      <c r="W355" s="61"/>
      <c r="X355" s="61"/>
      <c r="Y355" s="61"/>
    </row>
    <row r="356">
      <c r="A356" s="52"/>
      <c r="B356" s="61"/>
      <c r="C356" s="61"/>
      <c r="D356" s="52"/>
      <c r="E356" s="61"/>
      <c r="F356" s="61"/>
      <c r="G356" s="61"/>
      <c r="H356" s="61"/>
      <c r="I356" s="61"/>
      <c r="J356" s="61"/>
      <c r="K356" s="61"/>
      <c r="L356" s="61"/>
      <c r="M356" s="61"/>
      <c r="N356" s="61"/>
      <c r="O356" s="61"/>
      <c r="P356" s="61"/>
      <c r="Q356" s="61"/>
      <c r="R356" s="61"/>
      <c r="S356" s="61"/>
      <c r="T356" s="61"/>
      <c r="U356" s="61"/>
      <c r="V356" s="61"/>
      <c r="W356" s="61"/>
      <c r="X356" s="61"/>
      <c r="Y356" s="61"/>
    </row>
    <row r="357">
      <c r="A357" s="52"/>
      <c r="B357" s="61"/>
      <c r="C357" s="61"/>
      <c r="D357" s="52"/>
      <c r="E357" s="61"/>
      <c r="F357" s="61"/>
      <c r="G357" s="61"/>
      <c r="H357" s="61"/>
      <c r="I357" s="61"/>
      <c r="J357" s="61"/>
      <c r="K357" s="61"/>
      <c r="L357" s="61"/>
      <c r="M357" s="61"/>
      <c r="N357" s="61"/>
      <c r="O357" s="61"/>
      <c r="P357" s="61"/>
      <c r="Q357" s="61"/>
      <c r="R357" s="61"/>
      <c r="S357" s="61"/>
      <c r="T357" s="61"/>
      <c r="U357" s="61"/>
      <c r="V357" s="61"/>
      <c r="W357" s="61"/>
      <c r="X357" s="61"/>
      <c r="Y357" s="61"/>
    </row>
    <row r="358">
      <c r="A358" s="52"/>
      <c r="B358" s="61"/>
      <c r="C358" s="61"/>
      <c r="D358" s="52"/>
      <c r="E358" s="61"/>
      <c r="F358" s="61"/>
      <c r="G358" s="61"/>
      <c r="H358" s="61"/>
      <c r="I358" s="61"/>
      <c r="J358" s="61"/>
      <c r="K358" s="61"/>
      <c r="L358" s="61"/>
      <c r="M358" s="61"/>
      <c r="N358" s="61"/>
      <c r="O358" s="61"/>
      <c r="P358" s="61"/>
      <c r="Q358" s="61"/>
      <c r="R358" s="61"/>
      <c r="S358" s="61"/>
      <c r="T358" s="61"/>
      <c r="U358" s="61"/>
      <c r="V358" s="61"/>
      <c r="W358" s="61"/>
      <c r="X358" s="61"/>
      <c r="Y358" s="61"/>
    </row>
    <row r="359">
      <c r="A359" s="52"/>
      <c r="B359" s="61"/>
      <c r="C359" s="61"/>
      <c r="D359" s="52"/>
      <c r="E359" s="61"/>
      <c r="F359" s="61"/>
      <c r="G359" s="61"/>
      <c r="H359" s="61"/>
      <c r="I359" s="61"/>
      <c r="J359" s="61"/>
      <c r="K359" s="61"/>
      <c r="L359" s="61"/>
      <c r="M359" s="61"/>
      <c r="N359" s="61"/>
      <c r="O359" s="61"/>
      <c r="P359" s="61"/>
      <c r="Q359" s="61"/>
      <c r="R359" s="61"/>
      <c r="S359" s="61"/>
      <c r="T359" s="61"/>
      <c r="U359" s="61"/>
      <c r="V359" s="61"/>
      <c r="W359" s="61"/>
      <c r="X359" s="61"/>
      <c r="Y359" s="61"/>
    </row>
    <row r="360">
      <c r="A360" s="52"/>
      <c r="B360" s="61"/>
      <c r="C360" s="61"/>
      <c r="D360" s="52"/>
      <c r="E360" s="61"/>
      <c r="F360" s="61"/>
      <c r="G360" s="61"/>
      <c r="H360" s="61"/>
      <c r="I360" s="61"/>
      <c r="J360" s="61"/>
      <c r="K360" s="61"/>
      <c r="L360" s="61"/>
      <c r="M360" s="61"/>
      <c r="N360" s="61"/>
      <c r="O360" s="61"/>
      <c r="P360" s="61"/>
      <c r="Q360" s="61"/>
      <c r="R360" s="61"/>
      <c r="S360" s="61"/>
      <c r="T360" s="61"/>
      <c r="U360" s="61"/>
      <c r="V360" s="61"/>
      <c r="W360" s="61"/>
      <c r="X360" s="61"/>
      <c r="Y360" s="61"/>
    </row>
    <row r="361">
      <c r="A361" s="52"/>
      <c r="B361" s="61"/>
      <c r="C361" s="61"/>
      <c r="D361" s="52"/>
      <c r="E361" s="61"/>
      <c r="F361" s="61"/>
      <c r="G361" s="61"/>
      <c r="H361" s="61"/>
      <c r="I361" s="61"/>
      <c r="J361" s="61"/>
      <c r="K361" s="61"/>
      <c r="L361" s="61"/>
      <c r="M361" s="61"/>
      <c r="N361" s="61"/>
      <c r="O361" s="61"/>
      <c r="P361" s="61"/>
      <c r="Q361" s="61"/>
      <c r="R361" s="61"/>
      <c r="S361" s="61"/>
      <c r="T361" s="61"/>
      <c r="U361" s="61"/>
      <c r="V361" s="61"/>
      <c r="W361" s="61"/>
      <c r="X361" s="61"/>
      <c r="Y361" s="61"/>
    </row>
    <row r="362">
      <c r="A362" s="52"/>
      <c r="B362" s="61"/>
      <c r="C362" s="61"/>
      <c r="D362" s="52"/>
      <c r="E362" s="61"/>
      <c r="F362" s="61"/>
      <c r="G362" s="61"/>
      <c r="H362" s="61"/>
      <c r="I362" s="61"/>
      <c r="J362" s="61"/>
      <c r="K362" s="61"/>
      <c r="L362" s="61"/>
      <c r="M362" s="61"/>
      <c r="N362" s="61"/>
      <c r="O362" s="61"/>
      <c r="P362" s="61"/>
      <c r="Q362" s="61"/>
      <c r="R362" s="61"/>
      <c r="S362" s="61"/>
      <c r="T362" s="61"/>
      <c r="U362" s="61"/>
      <c r="V362" s="61"/>
      <c r="W362" s="61"/>
      <c r="X362" s="61"/>
      <c r="Y362" s="61"/>
    </row>
    <row r="363">
      <c r="A363" s="52"/>
      <c r="B363" s="61"/>
      <c r="C363" s="61"/>
      <c r="D363" s="52"/>
      <c r="E363" s="61"/>
      <c r="F363" s="61"/>
      <c r="G363" s="61"/>
      <c r="H363" s="61"/>
      <c r="I363" s="61"/>
      <c r="J363" s="61"/>
      <c r="K363" s="61"/>
      <c r="L363" s="61"/>
      <c r="M363" s="61"/>
      <c r="N363" s="61"/>
      <c r="O363" s="61"/>
      <c r="P363" s="61"/>
      <c r="Q363" s="61"/>
      <c r="R363" s="61"/>
      <c r="S363" s="61"/>
      <c r="T363" s="61"/>
      <c r="U363" s="61"/>
      <c r="V363" s="61"/>
      <c r="W363" s="61"/>
      <c r="X363" s="61"/>
      <c r="Y363" s="61"/>
    </row>
    <row r="364">
      <c r="A364" s="52"/>
      <c r="B364" s="61"/>
      <c r="C364" s="61"/>
      <c r="D364" s="52"/>
      <c r="E364" s="61"/>
      <c r="F364" s="61"/>
      <c r="G364" s="61"/>
      <c r="H364" s="61"/>
      <c r="I364" s="61"/>
      <c r="J364" s="61"/>
      <c r="K364" s="61"/>
      <c r="L364" s="61"/>
      <c r="M364" s="61"/>
      <c r="N364" s="61"/>
      <c r="O364" s="61"/>
      <c r="P364" s="61"/>
      <c r="Q364" s="61"/>
      <c r="R364" s="61"/>
      <c r="S364" s="61"/>
      <c r="T364" s="61"/>
      <c r="U364" s="61"/>
      <c r="V364" s="61"/>
      <c r="W364" s="61"/>
      <c r="X364" s="61"/>
      <c r="Y364" s="61"/>
    </row>
    <row r="365">
      <c r="A365" s="52"/>
      <c r="B365" s="61"/>
      <c r="C365" s="61"/>
      <c r="D365" s="52"/>
      <c r="E365" s="61"/>
      <c r="F365" s="61"/>
      <c r="G365" s="61"/>
      <c r="H365" s="61"/>
      <c r="I365" s="61"/>
      <c r="J365" s="61"/>
      <c r="K365" s="61"/>
      <c r="L365" s="61"/>
      <c r="M365" s="61"/>
      <c r="N365" s="61"/>
      <c r="O365" s="61"/>
      <c r="P365" s="61"/>
      <c r="Q365" s="61"/>
      <c r="R365" s="61"/>
      <c r="S365" s="61"/>
      <c r="T365" s="61"/>
      <c r="U365" s="61"/>
      <c r="V365" s="61"/>
      <c r="W365" s="61"/>
      <c r="X365" s="61"/>
      <c r="Y365" s="61"/>
    </row>
    <row r="366">
      <c r="A366" s="52"/>
      <c r="B366" s="61"/>
      <c r="C366" s="61"/>
      <c r="D366" s="52"/>
      <c r="E366" s="61"/>
      <c r="F366" s="61"/>
      <c r="G366" s="61"/>
      <c r="H366" s="61"/>
      <c r="I366" s="61"/>
      <c r="J366" s="61"/>
      <c r="K366" s="61"/>
      <c r="L366" s="61"/>
      <c r="M366" s="61"/>
      <c r="N366" s="61"/>
      <c r="O366" s="61"/>
      <c r="P366" s="61"/>
      <c r="Q366" s="61"/>
      <c r="R366" s="61"/>
      <c r="S366" s="61"/>
      <c r="T366" s="61"/>
      <c r="U366" s="61"/>
      <c r="V366" s="61"/>
      <c r="W366" s="61"/>
      <c r="X366" s="61"/>
      <c r="Y366" s="61"/>
    </row>
    <row r="367">
      <c r="A367" s="52"/>
      <c r="B367" s="61"/>
      <c r="C367" s="61"/>
      <c r="D367" s="52"/>
      <c r="E367" s="61"/>
      <c r="F367" s="61"/>
      <c r="G367" s="61"/>
      <c r="H367" s="61"/>
      <c r="I367" s="61"/>
      <c r="J367" s="61"/>
      <c r="K367" s="61"/>
      <c r="L367" s="61"/>
      <c r="M367" s="61"/>
      <c r="N367" s="61"/>
      <c r="O367" s="61"/>
      <c r="P367" s="61"/>
      <c r="Q367" s="61"/>
      <c r="R367" s="61"/>
      <c r="S367" s="61"/>
      <c r="T367" s="61"/>
      <c r="U367" s="61"/>
      <c r="V367" s="61"/>
      <c r="W367" s="61"/>
      <c r="X367" s="61"/>
      <c r="Y367" s="61"/>
    </row>
    <row r="368">
      <c r="A368" s="52"/>
      <c r="B368" s="61"/>
      <c r="C368" s="61"/>
      <c r="D368" s="52"/>
      <c r="E368" s="61"/>
      <c r="F368" s="61"/>
      <c r="G368" s="61"/>
      <c r="H368" s="61"/>
      <c r="I368" s="61"/>
      <c r="J368" s="61"/>
      <c r="K368" s="61"/>
      <c r="L368" s="61"/>
      <c r="M368" s="61"/>
      <c r="N368" s="61"/>
      <c r="O368" s="61"/>
      <c r="P368" s="61"/>
      <c r="Q368" s="61"/>
      <c r="R368" s="61"/>
      <c r="S368" s="61"/>
      <c r="T368" s="61"/>
      <c r="U368" s="61"/>
      <c r="V368" s="61"/>
      <c r="W368" s="61"/>
      <c r="X368" s="61"/>
      <c r="Y368" s="61"/>
    </row>
    <row r="369">
      <c r="A369" s="52"/>
      <c r="B369" s="61"/>
      <c r="C369" s="61"/>
      <c r="D369" s="52"/>
      <c r="E369" s="61"/>
      <c r="F369" s="61"/>
      <c r="G369" s="61"/>
      <c r="H369" s="61"/>
      <c r="I369" s="61"/>
      <c r="J369" s="61"/>
      <c r="K369" s="61"/>
      <c r="L369" s="61"/>
      <c r="M369" s="61"/>
      <c r="N369" s="61"/>
      <c r="O369" s="61"/>
      <c r="P369" s="61"/>
      <c r="Q369" s="61"/>
      <c r="R369" s="61"/>
      <c r="S369" s="61"/>
      <c r="T369" s="61"/>
      <c r="U369" s="61"/>
      <c r="V369" s="61"/>
      <c r="W369" s="61"/>
      <c r="X369" s="61"/>
      <c r="Y369" s="61"/>
    </row>
    <row r="370">
      <c r="A370" s="52"/>
      <c r="B370" s="61"/>
      <c r="C370" s="61"/>
      <c r="D370" s="52"/>
      <c r="E370" s="61"/>
      <c r="F370" s="61"/>
      <c r="G370" s="61"/>
      <c r="H370" s="61"/>
      <c r="I370" s="61"/>
      <c r="J370" s="61"/>
      <c r="K370" s="61"/>
      <c r="L370" s="61"/>
      <c r="M370" s="61"/>
      <c r="N370" s="61"/>
      <c r="O370" s="61"/>
      <c r="P370" s="61"/>
      <c r="Q370" s="61"/>
      <c r="R370" s="61"/>
      <c r="S370" s="61"/>
      <c r="T370" s="61"/>
      <c r="U370" s="61"/>
      <c r="V370" s="61"/>
      <c r="W370" s="61"/>
      <c r="X370" s="61"/>
      <c r="Y370" s="61"/>
    </row>
    <row r="371">
      <c r="A371" s="52"/>
      <c r="B371" s="61"/>
      <c r="C371" s="61"/>
      <c r="D371" s="52"/>
      <c r="E371" s="61"/>
      <c r="F371" s="61"/>
      <c r="G371" s="61"/>
      <c r="H371" s="61"/>
      <c r="I371" s="61"/>
      <c r="J371" s="61"/>
      <c r="K371" s="61"/>
      <c r="L371" s="61"/>
      <c r="M371" s="61"/>
      <c r="N371" s="61"/>
      <c r="O371" s="61"/>
      <c r="P371" s="61"/>
      <c r="Q371" s="61"/>
      <c r="R371" s="61"/>
      <c r="S371" s="61"/>
      <c r="T371" s="61"/>
      <c r="U371" s="61"/>
      <c r="V371" s="61"/>
      <c r="W371" s="61"/>
      <c r="X371" s="61"/>
      <c r="Y371" s="61"/>
    </row>
    <row r="372">
      <c r="A372" s="52"/>
      <c r="B372" s="61"/>
      <c r="C372" s="61"/>
      <c r="D372" s="52"/>
      <c r="E372" s="61"/>
      <c r="F372" s="61"/>
      <c r="G372" s="61"/>
      <c r="H372" s="61"/>
      <c r="I372" s="61"/>
      <c r="J372" s="61"/>
      <c r="K372" s="61"/>
      <c r="L372" s="61"/>
      <c r="M372" s="61"/>
      <c r="N372" s="61"/>
      <c r="O372" s="61"/>
      <c r="P372" s="61"/>
      <c r="Q372" s="61"/>
      <c r="R372" s="61"/>
      <c r="S372" s="61"/>
      <c r="T372" s="61"/>
      <c r="U372" s="61"/>
      <c r="V372" s="61"/>
      <c r="W372" s="61"/>
      <c r="X372" s="61"/>
      <c r="Y372" s="61"/>
    </row>
    <row r="373">
      <c r="A373" s="52"/>
      <c r="B373" s="61"/>
      <c r="C373" s="61"/>
      <c r="D373" s="52"/>
      <c r="E373" s="61"/>
      <c r="F373" s="61"/>
      <c r="G373" s="61"/>
      <c r="H373" s="61"/>
      <c r="I373" s="61"/>
      <c r="J373" s="61"/>
      <c r="K373" s="61"/>
      <c r="L373" s="61"/>
      <c r="M373" s="61"/>
      <c r="N373" s="61"/>
      <c r="O373" s="61"/>
      <c r="P373" s="61"/>
      <c r="Q373" s="61"/>
      <c r="R373" s="61"/>
      <c r="S373" s="61"/>
      <c r="T373" s="61"/>
      <c r="U373" s="61"/>
      <c r="V373" s="61"/>
      <c r="W373" s="61"/>
      <c r="X373" s="61"/>
      <c r="Y373" s="61"/>
    </row>
    <row r="374">
      <c r="A374" s="52"/>
      <c r="B374" s="61"/>
      <c r="C374" s="61"/>
      <c r="D374" s="52"/>
      <c r="E374" s="61"/>
      <c r="F374" s="61"/>
      <c r="G374" s="61"/>
      <c r="H374" s="61"/>
      <c r="I374" s="61"/>
      <c r="J374" s="61"/>
      <c r="K374" s="61"/>
      <c r="L374" s="61"/>
      <c r="M374" s="61"/>
      <c r="N374" s="61"/>
      <c r="O374" s="61"/>
      <c r="P374" s="61"/>
      <c r="Q374" s="61"/>
      <c r="R374" s="61"/>
      <c r="S374" s="61"/>
      <c r="T374" s="61"/>
      <c r="U374" s="61"/>
      <c r="V374" s="61"/>
      <c r="W374" s="61"/>
      <c r="X374" s="61"/>
      <c r="Y374" s="61"/>
    </row>
    <row r="375">
      <c r="A375" s="52"/>
      <c r="B375" s="61"/>
      <c r="C375" s="61"/>
      <c r="D375" s="52"/>
      <c r="E375" s="61"/>
      <c r="F375" s="61"/>
      <c r="G375" s="61"/>
      <c r="H375" s="61"/>
      <c r="I375" s="61"/>
      <c r="J375" s="61"/>
      <c r="K375" s="61"/>
      <c r="L375" s="61"/>
      <c r="M375" s="61"/>
      <c r="N375" s="61"/>
      <c r="O375" s="61"/>
      <c r="P375" s="61"/>
      <c r="Q375" s="61"/>
      <c r="R375" s="61"/>
      <c r="S375" s="61"/>
      <c r="T375" s="61"/>
      <c r="U375" s="61"/>
      <c r="V375" s="61"/>
      <c r="W375" s="61"/>
      <c r="X375" s="61"/>
      <c r="Y375" s="61"/>
    </row>
    <row r="376">
      <c r="A376" s="52"/>
      <c r="B376" s="61"/>
      <c r="C376" s="61"/>
      <c r="D376" s="52"/>
      <c r="E376" s="61"/>
      <c r="F376" s="61"/>
      <c r="G376" s="61"/>
      <c r="H376" s="61"/>
      <c r="I376" s="61"/>
      <c r="J376" s="61"/>
      <c r="K376" s="61"/>
      <c r="L376" s="61"/>
      <c r="M376" s="61"/>
      <c r="N376" s="61"/>
      <c r="O376" s="61"/>
      <c r="P376" s="61"/>
      <c r="Q376" s="61"/>
      <c r="R376" s="61"/>
      <c r="S376" s="61"/>
      <c r="T376" s="61"/>
      <c r="U376" s="61"/>
      <c r="V376" s="61"/>
      <c r="W376" s="61"/>
      <c r="X376" s="61"/>
      <c r="Y376" s="61"/>
    </row>
    <row r="377">
      <c r="A377" s="52"/>
      <c r="B377" s="61"/>
      <c r="C377" s="61"/>
      <c r="D377" s="52"/>
      <c r="E377" s="61"/>
      <c r="F377" s="61"/>
      <c r="G377" s="61"/>
      <c r="H377" s="61"/>
      <c r="I377" s="61"/>
      <c r="J377" s="61"/>
      <c r="K377" s="61"/>
      <c r="L377" s="61"/>
      <c r="M377" s="61"/>
      <c r="N377" s="61"/>
      <c r="O377" s="61"/>
      <c r="P377" s="61"/>
      <c r="Q377" s="61"/>
      <c r="R377" s="61"/>
      <c r="S377" s="61"/>
      <c r="T377" s="61"/>
      <c r="U377" s="61"/>
      <c r="V377" s="61"/>
      <c r="W377" s="61"/>
      <c r="X377" s="61"/>
      <c r="Y377" s="61"/>
    </row>
    <row r="378">
      <c r="A378" s="52"/>
      <c r="B378" s="61"/>
      <c r="C378" s="61"/>
      <c r="D378" s="52"/>
      <c r="E378" s="61"/>
      <c r="F378" s="61"/>
      <c r="G378" s="61"/>
      <c r="H378" s="61"/>
      <c r="I378" s="61"/>
      <c r="J378" s="61"/>
      <c r="K378" s="61"/>
      <c r="L378" s="61"/>
      <c r="M378" s="61"/>
      <c r="N378" s="61"/>
      <c r="O378" s="61"/>
      <c r="P378" s="61"/>
      <c r="Q378" s="61"/>
      <c r="R378" s="61"/>
      <c r="S378" s="61"/>
      <c r="T378" s="61"/>
      <c r="U378" s="61"/>
      <c r="V378" s="61"/>
      <c r="W378" s="61"/>
      <c r="X378" s="61"/>
      <c r="Y378" s="61"/>
    </row>
    <row r="379">
      <c r="A379" s="52"/>
      <c r="B379" s="61"/>
      <c r="C379" s="61"/>
      <c r="D379" s="52"/>
      <c r="E379" s="61"/>
      <c r="F379" s="61"/>
      <c r="G379" s="61"/>
      <c r="H379" s="61"/>
      <c r="I379" s="61"/>
      <c r="J379" s="61"/>
      <c r="K379" s="61"/>
      <c r="L379" s="61"/>
      <c r="M379" s="61"/>
      <c r="N379" s="61"/>
      <c r="O379" s="61"/>
      <c r="P379" s="61"/>
      <c r="Q379" s="61"/>
      <c r="R379" s="61"/>
      <c r="S379" s="61"/>
      <c r="T379" s="61"/>
      <c r="U379" s="61"/>
      <c r="V379" s="61"/>
      <c r="W379" s="61"/>
      <c r="X379" s="61"/>
      <c r="Y379" s="61"/>
    </row>
    <row r="380">
      <c r="A380" s="52"/>
      <c r="B380" s="61"/>
      <c r="C380" s="61"/>
      <c r="D380" s="52"/>
      <c r="E380" s="61"/>
      <c r="F380" s="61"/>
      <c r="G380" s="61"/>
      <c r="H380" s="61"/>
      <c r="I380" s="61"/>
      <c r="J380" s="61"/>
      <c r="K380" s="61"/>
      <c r="L380" s="61"/>
      <c r="M380" s="61"/>
      <c r="N380" s="61"/>
      <c r="O380" s="61"/>
      <c r="P380" s="61"/>
      <c r="Q380" s="61"/>
      <c r="R380" s="61"/>
      <c r="S380" s="61"/>
      <c r="T380" s="61"/>
      <c r="U380" s="61"/>
      <c r="V380" s="61"/>
      <c r="W380" s="61"/>
      <c r="X380" s="61"/>
      <c r="Y380" s="61"/>
    </row>
    <row r="381">
      <c r="A381" s="52"/>
      <c r="B381" s="61"/>
      <c r="C381" s="61"/>
      <c r="D381" s="52"/>
      <c r="E381" s="61"/>
      <c r="F381" s="61"/>
      <c r="G381" s="61"/>
      <c r="H381" s="61"/>
      <c r="I381" s="61"/>
      <c r="J381" s="61"/>
      <c r="K381" s="61"/>
      <c r="L381" s="61"/>
      <c r="M381" s="61"/>
      <c r="N381" s="61"/>
      <c r="O381" s="61"/>
      <c r="P381" s="61"/>
      <c r="Q381" s="61"/>
      <c r="R381" s="61"/>
      <c r="S381" s="61"/>
      <c r="T381" s="61"/>
      <c r="U381" s="61"/>
      <c r="V381" s="61"/>
      <c r="W381" s="61"/>
      <c r="X381" s="61"/>
      <c r="Y381" s="61"/>
    </row>
    <row r="382">
      <c r="A382" s="52"/>
      <c r="B382" s="61"/>
      <c r="C382" s="61"/>
      <c r="D382" s="52"/>
      <c r="E382" s="61"/>
      <c r="F382" s="61"/>
      <c r="G382" s="61"/>
      <c r="H382" s="61"/>
      <c r="I382" s="61"/>
      <c r="J382" s="61"/>
      <c r="K382" s="61"/>
      <c r="L382" s="61"/>
      <c r="M382" s="61"/>
      <c r="N382" s="61"/>
      <c r="O382" s="61"/>
      <c r="P382" s="61"/>
      <c r="Q382" s="61"/>
      <c r="R382" s="61"/>
      <c r="S382" s="61"/>
      <c r="T382" s="61"/>
      <c r="U382" s="61"/>
      <c r="V382" s="61"/>
      <c r="W382" s="61"/>
      <c r="X382" s="61"/>
      <c r="Y382" s="61"/>
    </row>
    <row r="383">
      <c r="A383" s="52"/>
      <c r="B383" s="61"/>
      <c r="C383" s="61"/>
      <c r="D383" s="52"/>
      <c r="E383" s="61"/>
      <c r="F383" s="61"/>
      <c r="G383" s="61"/>
      <c r="H383" s="61"/>
      <c r="I383" s="61"/>
      <c r="J383" s="61"/>
      <c r="K383" s="61"/>
      <c r="L383" s="61"/>
      <c r="M383" s="61"/>
      <c r="N383" s="61"/>
      <c r="O383" s="61"/>
      <c r="P383" s="61"/>
      <c r="Q383" s="61"/>
      <c r="R383" s="61"/>
      <c r="S383" s="61"/>
      <c r="T383" s="61"/>
      <c r="U383" s="61"/>
      <c r="V383" s="61"/>
      <c r="W383" s="61"/>
      <c r="X383" s="61"/>
      <c r="Y383" s="61"/>
    </row>
    <row r="384">
      <c r="A384" s="52"/>
      <c r="B384" s="61"/>
      <c r="C384" s="61"/>
      <c r="D384" s="52"/>
      <c r="E384" s="61"/>
      <c r="F384" s="61"/>
      <c r="G384" s="61"/>
      <c r="H384" s="61"/>
      <c r="I384" s="61"/>
      <c r="J384" s="61"/>
      <c r="K384" s="61"/>
      <c r="L384" s="61"/>
      <c r="M384" s="61"/>
      <c r="N384" s="61"/>
      <c r="O384" s="61"/>
      <c r="P384" s="61"/>
      <c r="Q384" s="61"/>
      <c r="R384" s="61"/>
      <c r="S384" s="61"/>
      <c r="T384" s="61"/>
      <c r="U384" s="61"/>
      <c r="V384" s="61"/>
      <c r="W384" s="61"/>
      <c r="X384" s="61"/>
      <c r="Y384" s="61"/>
    </row>
    <row r="385">
      <c r="A385" s="52"/>
      <c r="B385" s="61"/>
      <c r="C385" s="61"/>
      <c r="D385" s="52"/>
      <c r="E385" s="61"/>
      <c r="F385" s="61"/>
      <c r="G385" s="61"/>
      <c r="H385" s="61"/>
      <c r="I385" s="61"/>
      <c r="J385" s="61"/>
      <c r="K385" s="61"/>
      <c r="L385" s="61"/>
      <c r="M385" s="61"/>
      <c r="N385" s="61"/>
      <c r="O385" s="61"/>
      <c r="P385" s="61"/>
      <c r="Q385" s="61"/>
      <c r="R385" s="61"/>
      <c r="S385" s="61"/>
      <c r="T385" s="61"/>
      <c r="U385" s="61"/>
      <c r="V385" s="61"/>
      <c r="W385" s="61"/>
      <c r="X385" s="61"/>
      <c r="Y385" s="61"/>
    </row>
    <row r="386">
      <c r="A386" s="52"/>
      <c r="B386" s="61"/>
      <c r="C386" s="61"/>
      <c r="D386" s="52"/>
      <c r="E386" s="61"/>
      <c r="F386" s="61"/>
      <c r="G386" s="61"/>
      <c r="H386" s="61"/>
      <c r="I386" s="61"/>
      <c r="J386" s="61"/>
      <c r="K386" s="61"/>
      <c r="L386" s="61"/>
      <c r="M386" s="61"/>
      <c r="N386" s="61"/>
      <c r="O386" s="61"/>
      <c r="P386" s="61"/>
      <c r="Q386" s="61"/>
      <c r="R386" s="61"/>
      <c r="S386" s="61"/>
      <c r="T386" s="61"/>
      <c r="U386" s="61"/>
      <c r="V386" s="61"/>
      <c r="W386" s="61"/>
      <c r="X386" s="61"/>
      <c r="Y386" s="61"/>
    </row>
    <row r="387">
      <c r="A387" s="52"/>
      <c r="B387" s="61"/>
      <c r="C387" s="61"/>
      <c r="D387" s="52"/>
      <c r="E387" s="61"/>
      <c r="F387" s="61"/>
      <c r="G387" s="61"/>
      <c r="H387" s="61"/>
      <c r="I387" s="61"/>
      <c r="J387" s="61"/>
      <c r="K387" s="61"/>
      <c r="L387" s="61"/>
      <c r="M387" s="61"/>
      <c r="N387" s="61"/>
      <c r="O387" s="61"/>
      <c r="P387" s="61"/>
      <c r="Q387" s="61"/>
      <c r="R387" s="61"/>
      <c r="S387" s="61"/>
      <c r="T387" s="61"/>
      <c r="U387" s="61"/>
      <c r="V387" s="61"/>
      <c r="W387" s="61"/>
      <c r="X387" s="61"/>
      <c r="Y387" s="61"/>
    </row>
    <row r="388">
      <c r="A388" s="52"/>
      <c r="B388" s="61"/>
      <c r="C388" s="61"/>
      <c r="D388" s="52"/>
      <c r="E388" s="61"/>
      <c r="F388" s="61"/>
      <c r="G388" s="61"/>
      <c r="H388" s="61"/>
      <c r="I388" s="61"/>
      <c r="J388" s="61"/>
      <c r="K388" s="61"/>
      <c r="L388" s="61"/>
      <c r="M388" s="61"/>
      <c r="N388" s="61"/>
      <c r="O388" s="61"/>
      <c r="P388" s="61"/>
      <c r="Q388" s="61"/>
      <c r="R388" s="61"/>
      <c r="S388" s="61"/>
      <c r="T388" s="61"/>
      <c r="U388" s="61"/>
      <c r="V388" s="61"/>
      <c r="W388" s="61"/>
      <c r="X388" s="61"/>
      <c r="Y388" s="61"/>
    </row>
    <row r="389">
      <c r="A389" s="52"/>
      <c r="B389" s="61"/>
      <c r="C389" s="61"/>
      <c r="D389" s="52"/>
      <c r="E389" s="61"/>
      <c r="F389" s="61"/>
      <c r="G389" s="61"/>
      <c r="H389" s="61"/>
      <c r="I389" s="61"/>
      <c r="J389" s="61"/>
      <c r="K389" s="61"/>
      <c r="L389" s="61"/>
      <c r="M389" s="61"/>
      <c r="N389" s="61"/>
      <c r="O389" s="61"/>
      <c r="P389" s="61"/>
      <c r="Q389" s="61"/>
      <c r="R389" s="61"/>
      <c r="S389" s="61"/>
      <c r="T389" s="61"/>
      <c r="U389" s="61"/>
      <c r="V389" s="61"/>
      <c r="W389" s="61"/>
      <c r="X389" s="61"/>
      <c r="Y389" s="61"/>
    </row>
    <row r="390">
      <c r="A390" s="52"/>
      <c r="B390" s="61"/>
      <c r="C390" s="61"/>
      <c r="D390" s="52"/>
      <c r="E390" s="61"/>
      <c r="F390" s="61"/>
      <c r="G390" s="61"/>
      <c r="H390" s="61"/>
      <c r="I390" s="61"/>
      <c r="J390" s="61"/>
      <c r="K390" s="61"/>
      <c r="L390" s="61"/>
      <c r="M390" s="61"/>
      <c r="N390" s="61"/>
      <c r="O390" s="61"/>
      <c r="P390" s="61"/>
      <c r="Q390" s="61"/>
      <c r="R390" s="61"/>
      <c r="S390" s="61"/>
      <c r="T390" s="61"/>
      <c r="U390" s="61"/>
      <c r="V390" s="61"/>
      <c r="W390" s="61"/>
      <c r="X390" s="61"/>
      <c r="Y390" s="61"/>
    </row>
    <row r="391">
      <c r="A391" s="52"/>
      <c r="B391" s="61"/>
      <c r="C391" s="61"/>
      <c r="D391" s="52"/>
      <c r="E391" s="61"/>
      <c r="F391" s="61"/>
      <c r="G391" s="61"/>
      <c r="H391" s="61"/>
      <c r="I391" s="61"/>
      <c r="J391" s="61"/>
      <c r="K391" s="61"/>
      <c r="L391" s="61"/>
      <c r="M391" s="61"/>
      <c r="N391" s="61"/>
      <c r="O391" s="61"/>
      <c r="P391" s="61"/>
      <c r="Q391" s="61"/>
      <c r="R391" s="61"/>
      <c r="S391" s="61"/>
      <c r="T391" s="61"/>
      <c r="U391" s="61"/>
      <c r="V391" s="61"/>
      <c r="W391" s="61"/>
      <c r="X391" s="61"/>
      <c r="Y391" s="61"/>
    </row>
    <row r="392">
      <c r="A392" s="52"/>
      <c r="B392" s="61"/>
      <c r="C392" s="61"/>
      <c r="D392" s="52"/>
      <c r="E392" s="61"/>
      <c r="F392" s="61"/>
      <c r="G392" s="61"/>
      <c r="H392" s="61"/>
      <c r="I392" s="61"/>
      <c r="J392" s="61"/>
      <c r="K392" s="61"/>
      <c r="L392" s="61"/>
      <c r="M392" s="61"/>
      <c r="N392" s="61"/>
      <c r="O392" s="61"/>
      <c r="P392" s="61"/>
      <c r="Q392" s="61"/>
      <c r="R392" s="61"/>
      <c r="S392" s="61"/>
      <c r="T392" s="61"/>
      <c r="U392" s="61"/>
      <c r="V392" s="61"/>
      <c r="W392" s="61"/>
      <c r="X392" s="61"/>
      <c r="Y392" s="61"/>
    </row>
    <row r="393">
      <c r="A393" s="52"/>
      <c r="B393" s="61"/>
      <c r="C393" s="61"/>
      <c r="D393" s="52"/>
      <c r="E393" s="61"/>
      <c r="F393" s="61"/>
      <c r="G393" s="61"/>
      <c r="H393" s="61"/>
      <c r="I393" s="61"/>
      <c r="J393" s="61"/>
      <c r="K393" s="61"/>
      <c r="L393" s="61"/>
      <c r="M393" s="61"/>
      <c r="N393" s="61"/>
      <c r="O393" s="61"/>
      <c r="P393" s="61"/>
      <c r="Q393" s="61"/>
      <c r="R393" s="61"/>
      <c r="S393" s="61"/>
      <c r="T393" s="61"/>
      <c r="U393" s="61"/>
      <c r="V393" s="61"/>
      <c r="W393" s="61"/>
      <c r="X393" s="61"/>
      <c r="Y393" s="61"/>
    </row>
    <row r="394">
      <c r="A394" s="52"/>
      <c r="B394" s="61"/>
      <c r="C394" s="61"/>
      <c r="D394" s="52"/>
      <c r="E394" s="61"/>
      <c r="F394" s="61"/>
      <c r="G394" s="61"/>
      <c r="H394" s="61"/>
      <c r="I394" s="61"/>
      <c r="J394" s="61"/>
      <c r="K394" s="61"/>
      <c r="L394" s="61"/>
      <c r="M394" s="61"/>
      <c r="N394" s="61"/>
      <c r="O394" s="61"/>
      <c r="P394" s="61"/>
      <c r="Q394" s="61"/>
      <c r="R394" s="61"/>
      <c r="S394" s="61"/>
      <c r="T394" s="61"/>
      <c r="U394" s="61"/>
      <c r="V394" s="61"/>
      <c r="W394" s="61"/>
      <c r="X394" s="61"/>
      <c r="Y394" s="61"/>
    </row>
    <row r="395">
      <c r="A395" s="52"/>
      <c r="B395" s="61"/>
      <c r="C395" s="61"/>
      <c r="D395" s="52"/>
      <c r="E395" s="61"/>
      <c r="F395" s="61"/>
      <c r="G395" s="61"/>
      <c r="H395" s="61"/>
      <c r="I395" s="61"/>
      <c r="J395" s="61"/>
      <c r="K395" s="61"/>
      <c r="L395" s="61"/>
      <c r="M395" s="61"/>
      <c r="N395" s="61"/>
      <c r="O395" s="61"/>
      <c r="P395" s="61"/>
      <c r="Q395" s="61"/>
      <c r="R395" s="61"/>
      <c r="S395" s="61"/>
      <c r="T395" s="61"/>
      <c r="U395" s="61"/>
      <c r="V395" s="61"/>
      <c r="W395" s="61"/>
      <c r="X395" s="61"/>
      <c r="Y395" s="61"/>
    </row>
    <row r="396">
      <c r="A396" s="52"/>
      <c r="B396" s="61"/>
      <c r="C396" s="61"/>
      <c r="D396" s="52"/>
      <c r="E396" s="61"/>
      <c r="F396" s="61"/>
      <c r="G396" s="61"/>
      <c r="H396" s="61"/>
      <c r="I396" s="61"/>
      <c r="J396" s="61"/>
      <c r="K396" s="61"/>
      <c r="L396" s="61"/>
      <c r="M396" s="61"/>
      <c r="N396" s="61"/>
      <c r="O396" s="61"/>
      <c r="P396" s="61"/>
      <c r="Q396" s="61"/>
      <c r="R396" s="61"/>
      <c r="S396" s="61"/>
      <c r="T396" s="61"/>
      <c r="U396" s="61"/>
      <c r="V396" s="61"/>
      <c r="W396" s="61"/>
      <c r="X396" s="61"/>
      <c r="Y396" s="61"/>
    </row>
    <row r="397">
      <c r="A397" s="52"/>
      <c r="B397" s="61"/>
      <c r="C397" s="61"/>
      <c r="D397" s="52"/>
      <c r="E397" s="61"/>
      <c r="F397" s="61"/>
      <c r="G397" s="61"/>
      <c r="H397" s="61"/>
      <c r="I397" s="61"/>
      <c r="J397" s="61"/>
      <c r="K397" s="61"/>
      <c r="L397" s="61"/>
      <c r="M397" s="61"/>
      <c r="N397" s="61"/>
      <c r="O397" s="61"/>
      <c r="P397" s="61"/>
      <c r="Q397" s="61"/>
      <c r="R397" s="61"/>
      <c r="S397" s="61"/>
      <c r="T397" s="61"/>
      <c r="U397" s="61"/>
      <c r="V397" s="61"/>
      <c r="W397" s="61"/>
      <c r="X397" s="61"/>
      <c r="Y397" s="61"/>
    </row>
    <row r="398">
      <c r="A398" s="52"/>
      <c r="B398" s="61"/>
      <c r="C398" s="61"/>
      <c r="D398" s="52"/>
      <c r="E398" s="61"/>
      <c r="F398" s="61"/>
      <c r="G398" s="61"/>
      <c r="H398" s="61"/>
      <c r="I398" s="61"/>
      <c r="J398" s="61"/>
      <c r="K398" s="61"/>
      <c r="L398" s="61"/>
      <c r="M398" s="61"/>
      <c r="N398" s="61"/>
      <c r="O398" s="61"/>
      <c r="P398" s="61"/>
      <c r="Q398" s="61"/>
      <c r="R398" s="61"/>
      <c r="S398" s="61"/>
      <c r="T398" s="61"/>
      <c r="U398" s="61"/>
      <c r="V398" s="61"/>
      <c r="W398" s="61"/>
      <c r="X398" s="61"/>
      <c r="Y398" s="61"/>
    </row>
    <row r="399">
      <c r="A399" s="52"/>
      <c r="B399" s="61"/>
      <c r="C399" s="61"/>
      <c r="D399" s="52"/>
      <c r="E399" s="61"/>
      <c r="F399" s="61"/>
      <c r="G399" s="61"/>
      <c r="H399" s="61"/>
      <c r="I399" s="61"/>
      <c r="J399" s="61"/>
      <c r="K399" s="61"/>
      <c r="L399" s="61"/>
      <c r="M399" s="61"/>
      <c r="N399" s="61"/>
      <c r="O399" s="61"/>
      <c r="P399" s="61"/>
      <c r="Q399" s="61"/>
      <c r="R399" s="61"/>
      <c r="S399" s="61"/>
      <c r="T399" s="61"/>
      <c r="U399" s="61"/>
      <c r="V399" s="61"/>
      <c r="W399" s="61"/>
      <c r="X399" s="61"/>
      <c r="Y399" s="61"/>
    </row>
    <row r="400">
      <c r="A400" s="52"/>
      <c r="B400" s="61"/>
      <c r="C400" s="61"/>
      <c r="D400" s="52"/>
      <c r="E400" s="61"/>
      <c r="F400" s="61"/>
      <c r="G400" s="61"/>
      <c r="H400" s="61"/>
      <c r="I400" s="61"/>
      <c r="J400" s="61"/>
      <c r="K400" s="61"/>
      <c r="L400" s="61"/>
      <c r="M400" s="61"/>
      <c r="N400" s="61"/>
      <c r="O400" s="61"/>
      <c r="P400" s="61"/>
      <c r="Q400" s="61"/>
      <c r="R400" s="61"/>
      <c r="S400" s="61"/>
      <c r="T400" s="61"/>
      <c r="U400" s="61"/>
      <c r="V400" s="61"/>
      <c r="W400" s="61"/>
      <c r="X400" s="61"/>
      <c r="Y400" s="61"/>
    </row>
    <row r="401">
      <c r="A401" s="52"/>
      <c r="B401" s="61"/>
      <c r="C401" s="61"/>
      <c r="D401" s="52"/>
      <c r="E401" s="61"/>
      <c r="F401" s="61"/>
      <c r="G401" s="61"/>
      <c r="H401" s="61"/>
      <c r="I401" s="61"/>
      <c r="J401" s="61"/>
      <c r="K401" s="61"/>
      <c r="L401" s="61"/>
      <c r="M401" s="61"/>
      <c r="N401" s="61"/>
      <c r="O401" s="61"/>
      <c r="P401" s="61"/>
      <c r="Q401" s="61"/>
      <c r="R401" s="61"/>
      <c r="S401" s="61"/>
      <c r="T401" s="61"/>
      <c r="U401" s="61"/>
      <c r="V401" s="61"/>
      <c r="W401" s="61"/>
      <c r="X401" s="61"/>
      <c r="Y401" s="61"/>
    </row>
    <row r="402">
      <c r="A402" s="52"/>
      <c r="B402" s="61"/>
      <c r="C402" s="61"/>
      <c r="D402" s="52"/>
      <c r="E402" s="61"/>
      <c r="F402" s="61"/>
      <c r="G402" s="61"/>
      <c r="H402" s="61"/>
      <c r="I402" s="61"/>
      <c r="J402" s="61"/>
      <c r="K402" s="61"/>
      <c r="L402" s="61"/>
      <c r="M402" s="61"/>
      <c r="N402" s="61"/>
      <c r="O402" s="61"/>
      <c r="P402" s="61"/>
      <c r="Q402" s="61"/>
      <c r="R402" s="61"/>
      <c r="S402" s="61"/>
      <c r="T402" s="61"/>
      <c r="U402" s="61"/>
      <c r="V402" s="61"/>
      <c r="W402" s="61"/>
      <c r="X402" s="61"/>
      <c r="Y402" s="61"/>
    </row>
    <row r="403">
      <c r="A403" s="52"/>
      <c r="B403" s="61"/>
      <c r="C403" s="61"/>
      <c r="D403" s="52"/>
      <c r="E403" s="61"/>
      <c r="F403" s="61"/>
      <c r="G403" s="61"/>
      <c r="H403" s="61"/>
      <c r="I403" s="61"/>
      <c r="J403" s="61"/>
      <c r="K403" s="61"/>
      <c r="L403" s="61"/>
      <c r="M403" s="61"/>
      <c r="N403" s="61"/>
      <c r="O403" s="61"/>
      <c r="P403" s="61"/>
      <c r="Q403" s="61"/>
      <c r="R403" s="61"/>
      <c r="S403" s="61"/>
      <c r="T403" s="61"/>
      <c r="U403" s="61"/>
      <c r="V403" s="61"/>
      <c r="W403" s="61"/>
      <c r="X403" s="61"/>
      <c r="Y403" s="61"/>
    </row>
    <row r="404">
      <c r="A404" s="52"/>
      <c r="B404" s="61"/>
      <c r="C404" s="61"/>
      <c r="D404" s="52"/>
      <c r="E404" s="61"/>
      <c r="F404" s="61"/>
      <c r="G404" s="61"/>
      <c r="H404" s="61"/>
      <c r="I404" s="61"/>
      <c r="J404" s="61"/>
      <c r="K404" s="61"/>
      <c r="L404" s="61"/>
      <c r="M404" s="61"/>
      <c r="N404" s="61"/>
      <c r="O404" s="61"/>
      <c r="P404" s="61"/>
      <c r="Q404" s="61"/>
      <c r="R404" s="61"/>
      <c r="S404" s="61"/>
      <c r="T404" s="61"/>
      <c r="U404" s="61"/>
      <c r="V404" s="61"/>
      <c r="W404" s="61"/>
      <c r="X404" s="61"/>
      <c r="Y404" s="61"/>
    </row>
    <row r="405">
      <c r="A405" s="52"/>
      <c r="B405" s="61"/>
      <c r="C405" s="61"/>
      <c r="D405" s="52"/>
      <c r="E405" s="61"/>
      <c r="F405" s="61"/>
      <c r="G405" s="61"/>
      <c r="H405" s="61"/>
      <c r="I405" s="61"/>
      <c r="J405" s="61"/>
      <c r="K405" s="61"/>
      <c r="L405" s="61"/>
      <c r="M405" s="61"/>
      <c r="N405" s="61"/>
      <c r="O405" s="61"/>
      <c r="P405" s="61"/>
      <c r="Q405" s="61"/>
      <c r="R405" s="61"/>
      <c r="S405" s="61"/>
      <c r="T405" s="61"/>
      <c r="U405" s="61"/>
      <c r="V405" s="61"/>
      <c r="W405" s="61"/>
      <c r="X405" s="61"/>
      <c r="Y405" s="61"/>
    </row>
    <row r="406">
      <c r="A406" s="52"/>
      <c r="B406" s="61"/>
      <c r="C406" s="61"/>
      <c r="D406" s="52"/>
      <c r="E406" s="61"/>
      <c r="F406" s="61"/>
      <c r="G406" s="61"/>
      <c r="H406" s="61"/>
      <c r="I406" s="61"/>
      <c r="J406" s="61"/>
      <c r="K406" s="61"/>
      <c r="L406" s="61"/>
      <c r="M406" s="61"/>
      <c r="N406" s="61"/>
      <c r="O406" s="61"/>
      <c r="P406" s="61"/>
      <c r="Q406" s="61"/>
      <c r="R406" s="61"/>
      <c r="S406" s="61"/>
      <c r="T406" s="61"/>
      <c r="U406" s="61"/>
      <c r="V406" s="61"/>
      <c r="W406" s="61"/>
      <c r="X406" s="61"/>
      <c r="Y406" s="61"/>
    </row>
    <row r="407">
      <c r="A407" s="52"/>
      <c r="B407" s="61"/>
      <c r="C407" s="61"/>
      <c r="D407" s="52"/>
      <c r="E407" s="61"/>
      <c r="F407" s="61"/>
      <c r="G407" s="61"/>
      <c r="H407" s="61"/>
      <c r="I407" s="61"/>
      <c r="J407" s="61"/>
      <c r="K407" s="61"/>
      <c r="L407" s="61"/>
      <c r="M407" s="61"/>
      <c r="N407" s="61"/>
      <c r="O407" s="61"/>
      <c r="P407" s="61"/>
      <c r="Q407" s="61"/>
      <c r="R407" s="61"/>
      <c r="S407" s="61"/>
      <c r="T407" s="61"/>
      <c r="U407" s="61"/>
      <c r="V407" s="61"/>
      <c r="W407" s="61"/>
      <c r="X407" s="61"/>
      <c r="Y407" s="61"/>
    </row>
    <row r="408">
      <c r="A408" s="52"/>
      <c r="B408" s="61"/>
      <c r="C408" s="61"/>
      <c r="D408" s="52"/>
      <c r="E408" s="61"/>
      <c r="F408" s="61"/>
      <c r="G408" s="61"/>
      <c r="H408" s="61"/>
      <c r="I408" s="61"/>
      <c r="J408" s="61"/>
      <c r="K408" s="61"/>
      <c r="L408" s="61"/>
      <c r="M408" s="61"/>
      <c r="N408" s="61"/>
      <c r="O408" s="61"/>
      <c r="P408" s="61"/>
      <c r="Q408" s="61"/>
      <c r="R408" s="61"/>
      <c r="S408" s="61"/>
      <c r="T408" s="61"/>
      <c r="U408" s="61"/>
      <c r="V408" s="61"/>
      <c r="W408" s="61"/>
      <c r="X408" s="61"/>
      <c r="Y408" s="61"/>
    </row>
    <row r="409">
      <c r="A409" s="52"/>
      <c r="B409" s="61"/>
      <c r="C409" s="61"/>
      <c r="D409" s="52"/>
      <c r="E409" s="61"/>
      <c r="F409" s="61"/>
      <c r="G409" s="61"/>
      <c r="H409" s="61"/>
      <c r="I409" s="61"/>
      <c r="J409" s="61"/>
      <c r="K409" s="61"/>
      <c r="L409" s="61"/>
      <c r="M409" s="61"/>
      <c r="N409" s="61"/>
      <c r="O409" s="61"/>
      <c r="P409" s="61"/>
      <c r="Q409" s="61"/>
      <c r="R409" s="61"/>
      <c r="S409" s="61"/>
      <c r="T409" s="61"/>
      <c r="U409" s="61"/>
      <c r="V409" s="61"/>
      <c r="W409" s="61"/>
      <c r="X409" s="61"/>
      <c r="Y409" s="61"/>
    </row>
    <row r="410">
      <c r="A410" s="52"/>
      <c r="B410" s="61"/>
      <c r="C410" s="61"/>
      <c r="D410" s="52"/>
      <c r="E410" s="61"/>
      <c r="F410" s="61"/>
      <c r="G410" s="61"/>
      <c r="H410" s="61"/>
      <c r="I410" s="61"/>
      <c r="J410" s="61"/>
      <c r="K410" s="61"/>
      <c r="L410" s="61"/>
      <c r="M410" s="61"/>
      <c r="N410" s="61"/>
      <c r="O410" s="61"/>
      <c r="P410" s="61"/>
      <c r="Q410" s="61"/>
      <c r="R410" s="61"/>
      <c r="S410" s="61"/>
      <c r="T410" s="61"/>
      <c r="U410" s="61"/>
      <c r="V410" s="61"/>
      <c r="W410" s="61"/>
      <c r="X410" s="61"/>
      <c r="Y410" s="61"/>
    </row>
    <row r="411">
      <c r="A411" s="52"/>
      <c r="B411" s="61"/>
      <c r="C411" s="61"/>
      <c r="D411" s="52"/>
      <c r="E411" s="61"/>
      <c r="F411" s="61"/>
      <c r="G411" s="61"/>
      <c r="H411" s="61"/>
      <c r="I411" s="61"/>
      <c r="J411" s="61"/>
      <c r="K411" s="61"/>
      <c r="L411" s="61"/>
      <c r="M411" s="61"/>
      <c r="N411" s="61"/>
      <c r="O411" s="61"/>
      <c r="P411" s="61"/>
      <c r="Q411" s="61"/>
      <c r="R411" s="61"/>
      <c r="S411" s="61"/>
      <c r="T411" s="61"/>
      <c r="U411" s="61"/>
      <c r="V411" s="61"/>
      <c r="W411" s="61"/>
      <c r="X411" s="61"/>
      <c r="Y411" s="61"/>
    </row>
    <row r="412">
      <c r="A412" s="52"/>
      <c r="B412" s="61"/>
      <c r="C412" s="61"/>
      <c r="D412" s="52"/>
      <c r="E412" s="61"/>
      <c r="F412" s="61"/>
      <c r="G412" s="61"/>
      <c r="H412" s="61"/>
      <c r="I412" s="61"/>
      <c r="J412" s="61"/>
      <c r="K412" s="61"/>
      <c r="L412" s="61"/>
      <c r="M412" s="61"/>
      <c r="N412" s="61"/>
      <c r="O412" s="61"/>
      <c r="P412" s="61"/>
      <c r="Q412" s="61"/>
      <c r="R412" s="61"/>
      <c r="S412" s="61"/>
      <c r="T412" s="61"/>
      <c r="U412" s="61"/>
      <c r="V412" s="61"/>
      <c r="W412" s="61"/>
      <c r="X412" s="61"/>
      <c r="Y412" s="61"/>
    </row>
    <row r="413">
      <c r="A413" s="52"/>
      <c r="B413" s="61"/>
      <c r="C413" s="61"/>
      <c r="D413" s="52"/>
      <c r="E413" s="61"/>
      <c r="F413" s="61"/>
      <c r="G413" s="61"/>
      <c r="H413" s="61"/>
      <c r="I413" s="61"/>
      <c r="J413" s="61"/>
      <c r="K413" s="61"/>
      <c r="L413" s="61"/>
      <c r="M413" s="61"/>
      <c r="N413" s="61"/>
      <c r="O413" s="61"/>
      <c r="P413" s="61"/>
      <c r="Q413" s="61"/>
      <c r="R413" s="61"/>
      <c r="S413" s="61"/>
      <c r="T413" s="61"/>
      <c r="U413" s="61"/>
      <c r="V413" s="61"/>
      <c r="W413" s="61"/>
      <c r="X413" s="61"/>
      <c r="Y413" s="61"/>
    </row>
    <row r="414">
      <c r="A414" s="52"/>
      <c r="B414" s="61"/>
      <c r="C414" s="61"/>
      <c r="D414" s="52"/>
      <c r="E414" s="61"/>
      <c r="F414" s="61"/>
      <c r="G414" s="61"/>
      <c r="H414" s="61"/>
      <c r="I414" s="61"/>
      <c r="J414" s="61"/>
      <c r="K414" s="61"/>
      <c r="L414" s="61"/>
      <c r="M414" s="61"/>
      <c r="N414" s="61"/>
      <c r="O414" s="61"/>
      <c r="P414" s="61"/>
      <c r="Q414" s="61"/>
      <c r="R414" s="61"/>
      <c r="S414" s="61"/>
      <c r="T414" s="61"/>
      <c r="U414" s="61"/>
      <c r="V414" s="61"/>
      <c r="W414" s="61"/>
      <c r="X414" s="61"/>
      <c r="Y414" s="61"/>
    </row>
    <row r="415">
      <c r="A415" s="52"/>
      <c r="B415" s="61"/>
      <c r="C415" s="61"/>
      <c r="D415" s="52"/>
      <c r="E415" s="61"/>
      <c r="F415" s="61"/>
      <c r="G415" s="61"/>
      <c r="H415" s="61"/>
      <c r="I415" s="61"/>
      <c r="J415" s="61"/>
      <c r="K415" s="61"/>
      <c r="L415" s="61"/>
      <c r="M415" s="61"/>
      <c r="N415" s="61"/>
      <c r="O415" s="61"/>
      <c r="P415" s="61"/>
      <c r="Q415" s="61"/>
      <c r="R415" s="61"/>
      <c r="S415" s="61"/>
      <c r="T415" s="61"/>
      <c r="U415" s="61"/>
      <c r="V415" s="61"/>
      <c r="W415" s="61"/>
      <c r="X415" s="61"/>
      <c r="Y415" s="61"/>
    </row>
    <row r="416">
      <c r="A416" s="52"/>
      <c r="B416" s="61"/>
      <c r="C416" s="61"/>
      <c r="D416" s="52"/>
      <c r="E416" s="61"/>
      <c r="F416" s="61"/>
      <c r="G416" s="61"/>
      <c r="H416" s="61"/>
      <c r="I416" s="61"/>
      <c r="J416" s="61"/>
      <c r="K416" s="61"/>
      <c r="L416" s="61"/>
      <c r="M416" s="61"/>
      <c r="N416" s="61"/>
      <c r="O416" s="61"/>
      <c r="P416" s="61"/>
      <c r="Q416" s="61"/>
      <c r="R416" s="61"/>
      <c r="S416" s="61"/>
      <c r="T416" s="61"/>
      <c r="U416" s="61"/>
      <c r="V416" s="61"/>
      <c r="W416" s="61"/>
      <c r="X416" s="61"/>
      <c r="Y416" s="61"/>
    </row>
    <row r="417">
      <c r="A417" s="52"/>
      <c r="B417" s="61"/>
      <c r="C417" s="61"/>
      <c r="D417" s="52"/>
      <c r="E417" s="61"/>
      <c r="F417" s="61"/>
      <c r="G417" s="61"/>
      <c r="H417" s="61"/>
      <c r="I417" s="61"/>
      <c r="J417" s="61"/>
      <c r="K417" s="61"/>
      <c r="L417" s="61"/>
      <c r="M417" s="61"/>
      <c r="N417" s="61"/>
      <c r="O417" s="61"/>
      <c r="P417" s="61"/>
      <c r="Q417" s="61"/>
      <c r="R417" s="61"/>
      <c r="S417" s="61"/>
      <c r="T417" s="61"/>
      <c r="U417" s="61"/>
      <c r="V417" s="61"/>
      <c r="W417" s="61"/>
      <c r="X417" s="61"/>
      <c r="Y417" s="61"/>
    </row>
    <row r="418">
      <c r="A418" s="52"/>
      <c r="B418" s="61"/>
      <c r="C418" s="61"/>
      <c r="D418" s="52"/>
      <c r="E418" s="61"/>
      <c r="F418" s="61"/>
      <c r="G418" s="61"/>
      <c r="H418" s="61"/>
      <c r="I418" s="61"/>
      <c r="J418" s="61"/>
      <c r="K418" s="61"/>
      <c r="L418" s="61"/>
      <c r="M418" s="61"/>
      <c r="N418" s="61"/>
      <c r="O418" s="61"/>
      <c r="P418" s="61"/>
      <c r="Q418" s="61"/>
      <c r="R418" s="61"/>
      <c r="S418" s="61"/>
      <c r="T418" s="61"/>
      <c r="U418" s="61"/>
      <c r="V418" s="61"/>
      <c r="W418" s="61"/>
      <c r="X418" s="61"/>
      <c r="Y418" s="61"/>
    </row>
    <row r="419">
      <c r="A419" s="52"/>
      <c r="B419" s="61"/>
      <c r="C419" s="61"/>
      <c r="D419" s="52"/>
      <c r="E419" s="61"/>
      <c r="F419" s="61"/>
      <c r="G419" s="61"/>
      <c r="H419" s="61"/>
      <c r="I419" s="61"/>
      <c r="J419" s="61"/>
      <c r="K419" s="61"/>
      <c r="L419" s="61"/>
      <c r="M419" s="61"/>
      <c r="N419" s="61"/>
      <c r="O419" s="61"/>
      <c r="P419" s="61"/>
      <c r="Q419" s="61"/>
      <c r="R419" s="61"/>
      <c r="S419" s="61"/>
      <c r="T419" s="61"/>
      <c r="U419" s="61"/>
      <c r="V419" s="61"/>
      <c r="W419" s="61"/>
      <c r="X419" s="61"/>
      <c r="Y419" s="61"/>
    </row>
    <row r="420">
      <c r="A420" s="52"/>
      <c r="B420" s="61"/>
      <c r="C420" s="61"/>
      <c r="D420" s="52"/>
      <c r="E420" s="61"/>
      <c r="F420" s="61"/>
      <c r="G420" s="61"/>
      <c r="H420" s="61"/>
      <c r="I420" s="61"/>
      <c r="J420" s="61"/>
      <c r="K420" s="61"/>
      <c r="L420" s="61"/>
      <c r="M420" s="61"/>
      <c r="N420" s="61"/>
      <c r="O420" s="61"/>
      <c r="P420" s="61"/>
      <c r="Q420" s="61"/>
      <c r="R420" s="61"/>
      <c r="S420" s="61"/>
      <c r="T420" s="61"/>
      <c r="U420" s="61"/>
      <c r="V420" s="61"/>
      <c r="W420" s="61"/>
      <c r="X420" s="61"/>
      <c r="Y420" s="61"/>
    </row>
    <row r="421">
      <c r="A421" s="52"/>
      <c r="B421" s="61"/>
      <c r="C421" s="61"/>
      <c r="D421" s="52"/>
      <c r="E421" s="61"/>
      <c r="F421" s="61"/>
      <c r="G421" s="61"/>
      <c r="H421" s="61"/>
      <c r="I421" s="61"/>
      <c r="J421" s="61"/>
      <c r="K421" s="61"/>
      <c r="L421" s="61"/>
      <c r="M421" s="61"/>
      <c r="N421" s="61"/>
      <c r="O421" s="61"/>
      <c r="P421" s="61"/>
      <c r="Q421" s="61"/>
      <c r="R421" s="61"/>
      <c r="S421" s="61"/>
      <c r="T421" s="61"/>
      <c r="U421" s="61"/>
      <c r="V421" s="61"/>
      <c r="W421" s="61"/>
      <c r="X421" s="61"/>
      <c r="Y421" s="61"/>
    </row>
    <row r="422">
      <c r="A422" s="52"/>
      <c r="B422" s="61"/>
      <c r="C422" s="61"/>
      <c r="D422" s="52"/>
      <c r="E422" s="61"/>
      <c r="F422" s="61"/>
      <c r="G422" s="61"/>
      <c r="H422" s="61"/>
      <c r="I422" s="61"/>
      <c r="J422" s="61"/>
      <c r="K422" s="61"/>
      <c r="L422" s="61"/>
      <c r="M422" s="61"/>
      <c r="N422" s="61"/>
      <c r="O422" s="61"/>
      <c r="P422" s="61"/>
      <c r="Q422" s="61"/>
      <c r="R422" s="61"/>
      <c r="S422" s="61"/>
      <c r="T422" s="61"/>
      <c r="U422" s="61"/>
      <c r="V422" s="61"/>
      <c r="W422" s="61"/>
      <c r="X422" s="61"/>
      <c r="Y422" s="61"/>
    </row>
    <row r="423">
      <c r="A423" s="52"/>
      <c r="B423" s="61"/>
      <c r="C423" s="61"/>
      <c r="D423" s="52"/>
      <c r="E423" s="61"/>
      <c r="F423" s="61"/>
      <c r="G423" s="61"/>
      <c r="H423" s="61"/>
      <c r="I423" s="61"/>
      <c r="J423" s="61"/>
      <c r="K423" s="61"/>
      <c r="L423" s="61"/>
      <c r="M423" s="61"/>
      <c r="N423" s="61"/>
      <c r="O423" s="61"/>
      <c r="P423" s="61"/>
      <c r="Q423" s="61"/>
      <c r="R423" s="61"/>
      <c r="S423" s="61"/>
      <c r="T423" s="61"/>
      <c r="U423" s="61"/>
      <c r="V423" s="61"/>
      <c r="W423" s="61"/>
      <c r="X423" s="61"/>
      <c r="Y423" s="61"/>
    </row>
    <row r="424">
      <c r="A424" s="52"/>
      <c r="B424" s="61"/>
      <c r="C424" s="61"/>
      <c r="D424" s="52"/>
      <c r="E424" s="61"/>
      <c r="F424" s="61"/>
      <c r="G424" s="61"/>
      <c r="H424" s="61"/>
      <c r="I424" s="61"/>
      <c r="J424" s="61"/>
      <c r="K424" s="61"/>
      <c r="L424" s="61"/>
      <c r="M424" s="61"/>
      <c r="N424" s="61"/>
      <c r="O424" s="61"/>
      <c r="P424" s="61"/>
      <c r="Q424" s="61"/>
      <c r="R424" s="61"/>
      <c r="S424" s="61"/>
      <c r="T424" s="61"/>
      <c r="U424" s="61"/>
      <c r="V424" s="61"/>
      <c r="W424" s="61"/>
      <c r="X424" s="61"/>
      <c r="Y424" s="61"/>
    </row>
    <row r="425">
      <c r="A425" s="52"/>
      <c r="B425" s="61"/>
      <c r="C425" s="61"/>
      <c r="D425" s="52"/>
      <c r="E425" s="61"/>
      <c r="F425" s="61"/>
      <c r="G425" s="61"/>
      <c r="H425" s="61"/>
      <c r="I425" s="61"/>
      <c r="J425" s="61"/>
      <c r="K425" s="61"/>
      <c r="L425" s="61"/>
      <c r="M425" s="61"/>
      <c r="N425" s="61"/>
      <c r="O425" s="61"/>
      <c r="P425" s="61"/>
      <c r="Q425" s="61"/>
      <c r="R425" s="61"/>
      <c r="S425" s="61"/>
      <c r="T425" s="61"/>
      <c r="U425" s="61"/>
      <c r="V425" s="61"/>
      <c r="W425" s="61"/>
      <c r="X425" s="61"/>
      <c r="Y425" s="61"/>
    </row>
    <row r="426">
      <c r="A426" s="52"/>
      <c r="B426" s="61"/>
      <c r="C426" s="61"/>
      <c r="D426" s="52"/>
      <c r="E426" s="61"/>
      <c r="F426" s="61"/>
      <c r="G426" s="61"/>
      <c r="H426" s="61"/>
      <c r="I426" s="61"/>
      <c r="J426" s="61"/>
      <c r="K426" s="61"/>
      <c r="L426" s="61"/>
      <c r="M426" s="61"/>
      <c r="N426" s="61"/>
      <c r="O426" s="61"/>
      <c r="P426" s="61"/>
      <c r="Q426" s="61"/>
      <c r="R426" s="61"/>
      <c r="S426" s="61"/>
      <c r="T426" s="61"/>
      <c r="U426" s="61"/>
      <c r="V426" s="61"/>
      <c r="W426" s="61"/>
      <c r="X426" s="61"/>
      <c r="Y426" s="61"/>
    </row>
    <row r="427">
      <c r="A427" s="52"/>
      <c r="B427" s="61"/>
      <c r="C427" s="61"/>
      <c r="D427" s="52"/>
      <c r="E427" s="61"/>
      <c r="F427" s="61"/>
      <c r="G427" s="61"/>
      <c r="H427" s="61"/>
      <c r="I427" s="61"/>
      <c r="J427" s="61"/>
      <c r="K427" s="61"/>
      <c r="L427" s="61"/>
      <c r="M427" s="61"/>
      <c r="N427" s="61"/>
      <c r="O427" s="61"/>
      <c r="P427" s="61"/>
      <c r="Q427" s="61"/>
      <c r="R427" s="61"/>
      <c r="S427" s="61"/>
      <c r="T427" s="61"/>
      <c r="U427" s="61"/>
      <c r="V427" s="61"/>
      <c r="W427" s="61"/>
      <c r="X427" s="61"/>
      <c r="Y427" s="61"/>
    </row>
    <row r="428">
      <c r="A428" s="52"/>
      <c r="B428" s="61"/>
      <c r="C428" s="61"/>
      <c r="D428" s="52"/>
      <c r="E428" s="61"/>
      <c r="F428" s="61"/>
      <c r="G428" s="61"/>
      <c r="H428" s="61"/>
      <c r="I428" s="61"/>
      <c r="J428" s="61"/>
      <c r="K428" s="61"/>
      <c r="L428" s="61"/>
      <c r="M428" s="61"/>
      <c r="N428" s="61"/>
      <c r="O428" s="61"/>
      <c r="P428" s="61"/>
      <c r="Q428" s="61"/>
      <c r="R428" s="61"/>
      <c r="S428" s="61"/>
      <c r="T428" s="61"/>
      <c r="U428" s="61"/>
      <c r="V428" s="61"/>
      <c r="W428" s="61"/>
      <c r="X428" s="61"/>
      <c r="Y428" s="61"/>
    </row>
    <row r="429">
      <c r="A429" s="52"/>
      <c r="B429" s="61"/>
      <c r="C429" s="61"/>
      <c r="D429" s="52"/>
      <c r="E429" s="61"/>
      <c r="F429" s="61"/>
      <c r="G429" s="61"/>
      <c r="H429" s="61"/>
      <c r="I429" s="61"/>
      <c r="J429" s="61"/>
      <c r="K429" s="61"/>
      <c r="L429" s="61"/>
      <c r="M429" s="61"/>
      <c r="N429" s="61"/>
      <c r="O429" s="61"/>
      <c r="P429" s="61"/>
      <c r="Q429" s="61"/>
      <c r="R429" s="61"/>
      <c r="S429" s="61"/>
      <c r="T429" s="61"/>
      <c r="U429" s="61"/>
      <c r="V429" s="61"/>
      <c r="W429" s="61"/>
      <c r="X429" s="61"/>
      <c r="Y429" s="61"/>
    </row>
    <row r="430">
      <c r="A430" s="52"/>
      <c r="B430" s="61"/>
      <c r="C430" s="61"/>
      <c r="D430" s="52"/>
      <c r="E430" s="61"/>
      <c r="F430" s="61"/>
      <c r="G430" s="61"/>
      <c r="H430" s="61"/>
      <c r="I430" s="61"/>
      <c r="J430" s="61"/>
      <c r="K430" s="61"/>
      <c r="L430" s="61"/>
      <c r="M430" s="61"/>
      <c r="N430" s="61"/>
      <c r="O430" s="61"/>
      <c r="P430" s="61"/>
      <c r="Q430" s="61"/>
      <c r="R430" s="61"/>
      <c r="S430" s="61"/>
      <c r="T430" s="61"/>
      <c r="U430" s="61"/>
      <c r="V430" s="61"/>
      <c r="W430" s="61"/>
      <c r="X430" s="61"/>
      <c r="Y430" s="61"/>
    </row>
    <row r="431">
      <c r="A431" s="52"/>
      <c r="B431" s="61"/>
      <c r="C431" s="61"/>
      <c r="D431" s="52"/>
      <c r="E431" s="61"/>
      <c r="F431" s="61"/>
      <c r="G431" s="61"/>
      <c r="H431" s="61"/>
      <c r="I431" s="61"/>
      <c r="J431" s="61"/>
      <c r="K431" s="61"/>
      <c r="L431" s="61"/>
      <c r="M431" s="61"/>
      <c r="N431" s="61"/>
      <c r="O431" s="61"/>
      <c r="P431" s="61"/>
      <c r="Q431" s="61"/>
      <c r="R431" s="61"/>
      <c r="S431" s="61"/>
      <c r="T431" s="61"/>
      <c r="U431" s="61"/>
      <c r="V431" s="61"/>
      <c r="W431" s="61"/>
      <c r="X431" s="61"/>
      <c r="Y431" s="61"/>
    </row>
    <row r="432">
      <c r="A432" s="52"/>
      <c r="B432" s="61"/>
      <c r="C432" s="61"/>
      <c r="D432" s="52"/>
      <c r="E432" s="61"/>
      <c r="F432" s="61"/>
      <c r="G432" s="61"/>
      <c r="H432" s="61"/>
      <c r="I432" s="61"/>
      <c r="J432" s="61"/>
      <c r="K432" s="61"/>
      <c r="L432" s="61"/>
      <c r="M432" s="61"/>
      <c r="N432" s="61"/>
      <c r="O432" s="61"/>
      <c r="P432" s="61"/>
      <c r="Q432" s="61"/>
      <c r="R432" s="61"/>
      <c r="S432" s="61"/>
      <c r="T432" s="61"/>
      <c r="U432" s="61"/>
      <c r="V432" s="61"/>
      <c r="W432" s="61"/>
      <c r="X432" s="61"/>
      <c r="Y432" s="61"/>
    </row>
    <row r="433">
      <c r="A433" s="52"/>
      <c r="B433" s="61"/>
      <c r="C433" s="61"/>
      <c r="D433" s="52"/>
      <c r="E433" s="61"/>
      <c r="F433" s="61"/>
      <c r="G433" s="61"/>
      <c r="H433" s="61"/>
      <c r="I433" s="61"/>
      <c r="J433" s="61"/>
      <c r="K433" s="61"/>
      <c r="L433" s="61"/>
      <c r="M433" s="61"/>
      <c r="N433" s="61"/>
      <c r="O433" s="61"/>
      <c r="P433" s="61"/>
      <c r="Q433" s="61"/>
      <c r="R433" s="61"/>
      <c r="S433" s="61"/>
      <c r="T433" s="61"/>
      <c r="U433" s="61"/>
      <c r="V433" s="61"/>
      <c r="W433" s="61"/>
      <c r="X433" s="61"/>
      <c r="Y433" s="61"/>
    </row>
    <row r="434">
      <c r="A434" s="52"/>
      <c r="B434" s="61"/>
      <c r="C434" s="61"/>
      <c r="D434" s="52"/>
      <c r="E434" s="61"/>
      <c r="F434" s="61"/>
      <c r="G434" s="61"/>
      <c r="H434" s="61"/>
      <c r="I434" s="61"/>
      <c r="J434" s="61"/>
      <c r="K434" s="61"/>
      <c r="L434" s="61"/>
      <c r="M434" s="61"/>
      <c r="N434" s="61"/>
      <c r="O434" s="61"/>
      <c r="P434" s="61"/>
      <c r="Q434" s="61"/>
      <c r="R434" s="61"/>
      <c r="S434" s="61"/>
      <c r="T434" s="61"/>
      <c r="U434" s="61"/>
      <c r="V434" s="61"/>
      <c r="W434" s="61"/>
      <c r="X434" s="61"/>
      <c r="Y434" s="61"/>
    </row>
    <row r="435">
      <c r="A435" s="52"/>
      <c r="B435" s="61"/>
      <c r="C435" s="61"/>
      <c r="D435" s="52"/>
      <c r="E435" s="61"/>
      <c r="F435" s="61"/>
      <c r="G435" s="61"/>
      <c r="H435" s="61"/>
      <c r="I435" s="61"/>
      <c r="J435" s="61"/>
      <c r="K435" s="61"/>
      <c r="L435" s="61"/>
      <c r="M435" s="61"/>
      <c r="N435" s="61"/>
      <c r="O435" s="61"/>
      <c r="P435" s="61"/>
      <c r="Q435" s="61"/>
      <c r="R435" s="61"/>
      <c r="S435" s="61"/>
      <c r="T435" s="61"/>
      <c r="U435" s="61"/>
      <c r="V435" s="61"/>
      <c r="W435" s="61"/>
      <c r="X435" s="61"/>
      <c r="Y435" s="61"/>
    </row>
    <row r="436">
      <c r="A436" s="52"/>
      <c r="B436" s="61"/>
      <c r="C436" s="61"/>
      <c r="D436" s="52"/>
      <c r="E436" s="61"/>
      <c r="F436" s="61"/>
      <c r="G436" s="61"/>
      <c r="H436" s="61"/>
      <c r="I436" s="61"/>
      <c r="J436" s="61"/>
      <c r="K436" s="61"/>
      <c r="L436" s="61"/>
      <c r="M436" s="61"/>
      <c r="N436" s="61"/>
      <c r="O436" s="61"/>
      <c r="P436" s="61"/>
      <c r="Q436" s="61"/>
      <c r="R436" s="61"/>
      <c r="S436" s="61"/>
      <c r="T436" s="61"/>
      <c r="U436" s="61"/>
      <c r="V436" s="61"/>
      <c r="W436" s="61"/>
      <c r="X436" s="61"/>
      <c r="Y436" s="61"/>
    </row>
    <row r="437">
      <c r="A437" s="52"/>
      <c r="B437" s="61"/>
      <c r="C437" s="61"/>
      <c r="D437" s="52"/>
      <c r="E437" s="61"/>
      <c r="F437" s="61"/>
      <c r="G437" s="61"/>
      <c r="H437" s="61"/>
      <c r="I437" s="61"/>
      <c r="J437" s="61"/>
      <c r="K437" s="61"/>
      <c r="L437" s="61"/>
      <c r="M437" s="61"/>
      <c r="N437" s="61"/>
      <c r="O437" s="61"/>
      <c r="P437" s="61"/>
      <c r="Q437" s="61"/>
      <c r="R437" s="61"/>
      <c r="S437" s="61"/>
      <c r="T437" s="61"/>
      <c r="U437" s="61"/>
      <c r="V437" s="61"/>
      <c r="W437" s="61"/>
      <c r="X437" s="61"/>
      <c r="Y437" s="61"/>
    </row>
    <row r="438">
      <c r="A438" s="52"/>
      <c r="B438" s="61"/>
      <c r="C438" s="61"/>
      <c r="D438" s="52"/>
      <c r="E438" s="61"/>
      <c r="F438" s="61"/>
      <c r="G438" s="61"/>
      <c r="H438" s="61"/>
      <c r="I438" s="61"/>
      <c r="J438" s="61"/>
      <c r="K438" s="61"/>
      <c r="L438" s="61"/>
      <c r="M438" s="61"/>
      <c r="N438" s="61"/>
      <c r="O438" s="61"/>
      <c r="P438" s="61"/>
      <c r="Q438" s="61"/>
      <c r="R438" s="61"/>
      <c r="S438" s="61"/>
      <c r="T438" s="61"/>
      <c r="U438" s="61"/>
      <c r="V438" s="61"/>
      <c r="W438" s="61"/>
      <c r="X438" s="61"/>
      <c r="Y438" s="61"/>
    </row>
    <row r="439">
      <c r="A439" s="52"/>
      <c r="B439" s="61"/>
      <c r="C439" s="61"/>
      <c r="D439" s="52"/>
      <c r="E439" s="61"/>
      <c r="F439" s="61"/>
      <c r="G439" s="61"/>
      <c r="H439" s="61"/>
      <c r="I439" s="61"/>
      <c r="J439" s="61"/>
      <c r="K439" s="61"/>
      <c r="L439" s="61"/>
      <c r="M439" s="61"/>
      <c r="N439" s="61"/>
      <c r="O439" s="61"/>
      <c r="P439" s="61"/>
      <c r="Q439" s="61"/>
      <c r="R439" s="61"/>
      <c r="S439" s="61"/>
      <c r="T439" s="61"/>
      <c r="U439" s="61"/>
      <c r="V439" s="61"/>
      <c r="W439" s="61"/>
      <c r="X439" s="61"/>
      <c r="Y439" s="61"/>
    </row>
    <row r="440">
      <c r="A440" s="52"/>
      <c r="B440" s="61"/>
      <c r="C440" s="61"/>
      <c r="D440" s="52"/>
      <c r="E440" s="61"/>
      <c r="F440" s="61"/>
      <c r="G440" s="61"/>
      <c r="H440" s="61"/>
      <c r="I440" s="61"/>
      <c r="J440" s="61"/>
      <c r="K440" s="61"/>
      <c r="L440" s="61"/>
      <c r="M440" s="61"/>
      <c r="N440" s="61"/>
      <c r="O440" s="61"/>
      <c r="P440" s="61"/>
      <c r="Q440" s="61"/>
      <c r="R440" s="61"/>
      <c r="S440" s="61"/>
      <c r="T440" s="61"/>
      <c r="U440" s="61"/>
      <c r="V440" s="61"/>
      <c r="W440" s="61"/>
      <c r="X440" s="61"/>
      <c r="Y440" s="61"/>
    </row>
    <row r="441">
      <c r="A441" s="52"/>
      <c r="B441" s="61"/>
      <c r="C441" s="61"/>
      <c r="D441" s="52"/>
      <c r="E441" s="61"/>
      <c r="F441" s="61"/>
      <c r="G441" s="61"/>
      <c r="H441" s="61"/>
      <c r="I441" s="61"/>
      <c r="J441" s="61"/>
      <c r="K441" s="61"/>
      <c r="L441" s="61"/>
      <c r="M441" s="61"/>
      <c r="N441" s="61"/>
      <c r="O441" s="61"/>
      <c r="P441" s="61"/>
      <c r="Q441" s="61"/>
      <c r="R441" s="61"/>
      <c r="S441" s="61"/>
      <c r="T441" s="61"/>
      <c r="U441" s="61"/>
      <c r="V441" s="61"/>
      <c r="W441" s="61"/>
      <c r="X441" s="61"/>
      <c r="Y441" s="61"/>
    </row>
    <row r="442">
      <c r="A442" s="52"/>
      <c r="B442" s="61"/>
      <c r="C442" s="61"/>
      <c r="D442" s="52"/>
      <c r="E442" s="61"/>
      <c r="F442" s="61"/>
      <c r="G442" s="61"/>
      <c r="H442" s="61"/>
      <c r="I442" s="61"/>
      <c r="J442" s="61"/>
      <c r="K442" s="61"/>
      <c r="L442" s="61"/>
      <c r="M442" s="61"/>
      <c r="N442" s="61"/>
      <c r="O442" s="61"/>
      <c r="P442" s="61"/>
      <c r="Q442" s="61"/>
      <c r="R442" s="61"/>
      <c r="S442" s="61"/>
      <c r="T442" s="61"/>
      <c r="U442" s="61"/>
      <c r="V442" s="61"/>
      <c r="W442" s="61"/>
      <c r="X442" s="61"/>
      <c r="Y442" s="61"/>
    </row>
    <row r="443">
      <c r="A443" s="52"/>
      <c r="B443" s="61"/>
      <c r="C443" s="61"/>
      <c r="D443" s="52"/>
      <c r="E443" s="61"/>
      <c r="F443" s="61"/>
      <c r="G443" s="61"/>
      <c r="H443" s="61"/>
      <c r="I443" s="61"/>
      <c r="J443" s="61"/>
      <c r="K443" s="61"/>
      <c r="L443" s="61"/>
      <c r="M443" s="61"/>
      <c r="N443" s="61"/>
      <c r="O443" s="61"/>
      <c r="P443" s="61"/>
      <c r="Q443" s="61"/>
      <c r="R443" s="61"/>
      <c r="S443" s="61"/>
      <c r="T443" s="61"/>
      <c r="U443" s="61"/>
      <c r="V443" s="61"/>
      <c r="W443" s="61"/>
      <c r="X443" s="61"/>
      <c r="Y443" s="61"/>
    </row>
    <row r="444">
      <c r="A444" s="52"/>
      <c r="B444" s="61"/>
      <c r="C444" s="61"/>
      <c r="D444" s="52"/>
      <c r="E444" s="61"/>
      <c r="F444" s="61"/>
      <c r="G444" s="61"/>
      <c r="H444" s="61"/>
      <c r="I444" s="61"/>
      <c r="J444" s="61"/>
      <c r="K444" s="61"/>
      <c r="L444" s="61"/>
      <c r="M444" s="61"/>
      <c r="N444" s="61"/>
      <c r="O444" s="61"/>
      <c r="P444" s="61"/>
      <c r="Q444" s="61"/>
      <c r="R444" s="61"/>
      <c r="S444" s="61"/>
      <c r="T444" s="61"/>
      <c r="U444" s="61"/>
      <c r="V444" s="61"/>
      <c r="W444" s="61"/>
      <c r="X444" s="61"/>
      <c r="Y444" s="61"/>
    </row>
    <row r="445">
      <c r="A445" s="52"/>
      <c r="B445" s="61"/>
      <c r="C445" s="61"/>
      <c r="D445" s="52"/>
      <c r="E445" s="61"/>
      <c r="F445" s="61"/>
      <c r="G445" s="61"/>
      <c r="H445" s="61"/>
      <c r="I445" s="61"/>
      <c r="J445" s="61"/>
      <c r="K445" s="61"/>
      <c r="L445" s="61"/>
      <c r="M445" s="61"/>
      <c r="N445" s="61"/>
      <c r="O445" s="61"/>
      <c r="P445" s="61"/>
      <c r="Q445" s="61"/>
      <c r="R445" s="61"/>
      <c r="S445" s="61"/>
      <c r="T445" s="61"/>
      <c r="U445" s="61"/>
      <c r="V445" s="61"/>
      <c r="W445" s="61"/>
      <c r="X445" s="61"/>
      <c r="Y445" s="61"/>
    </row>
    <row r="446">
      <c r="A446" s="52"/>
      <c r="B446" s="61"/>
      <c r="C446" s="61"/>
      <c r="D446" s="52"/>
      <c r="E446" s="61"/>
      <c r="F446" s="61"/>
      <c r="G446" s="61"/>
      <c r="H446" s="61"/>
      <c r="I446" s="61"/>
      <c r="J446" s="61"/>
      <c r="K446" s="61"/>
      <c r="L446" s="61"/>
      <c r="M446" s="61"/>
      <c r="N446" s="61"/>
      <c r="O446" s="61"/>
      <c r="P446" s="61"/>
      <c r="Q446" s="61"/>
      <c r="R446" s="61"/>
      <c r="S446" s="61"/>
      <c r="T446" s="61"/>
      <c r="U446" s="61"/>
      <c r="V446" s="61"/>
      <c r="W446" s="61"/>
      <c r="X446" s="61"/>
      <c r="Y446" s="61"/>
    </row>
    <row r="447">
      <c r="A447" s="52"/>
      <c r="B447" s="61"/>
      <c r="C447" s="61"/>
      <c r="D447" s="52"/>
      <c r="E447" s="61"/>
      <c r="F447" s="61"/>
      <c r="G447" s="61"/>
      <c r="H447" s="61"/>
      <c r="I447" s="61"/>
      <c r="J447" s="61"/>
      <c r="K447" s="61"/>
      <c r="L447" s="61"/>
      <c r="M447" s="61"/>
      <c r="N447" s="61"/>
      <c r="O447" s="61"/>
      <c r="P447" s="61"/>
      <c r="Q447" s="61"/>
      <c r="R447" s="61"/>
      <c r="S447" s="61"/>
      <c r="T447" s="61"/>
      <c r="U447" s="61"/>
      <c r="V447" s="61"/>
      <c r="W447" s="61"/>
      <c r="X447" s="61"/>
      <c r="Y447" s="61"/>
    </row>
    <row r="448">
      <c r="A448" s="52"/>
      <c r="B448" s="61"/>
      <c r="C448" s="61"/>
      <c r="D448" s="52"/>
      <c r="E448" s="61"/>
      <c r="F448" s="61"/>
      <c r="G448" s="61"/>
      <c r="H448" s="61"/>
      <c r="I448" s="61"/>
      <c r="J448" s="61"/>
      <c r="K448" s="61"/>
      <c r="L448" s="61"/>
      <c r="M448" s="61"/>
      <c r="N448" s="61"/>
      <c r="O448" s="61"/>
      <c r="P448" s="61"/>
      <c r="Q448" s="61"/>
      <c r="R448" s="61"/>
      <c r="S448" s="61"/>
      <c r="T448" s="61"/>
      <c r="U448" s="61"/>
      <c r="V448" s="61"/>
      <c r="W448" s="61"/>
      <c r="X448" s="61"/>
      <c r="Y448" s="61"/>
    </row>
    <row r="449">
      <c r="A449" s="52"/>
      <c r="B449" s="61"/>
      <c r="C449" s="61"/>
      <c r="D449" s="52"/>
      <c r="E449" s="61"/>
      <c r="F449" s="61"/>
      <c r="G449" s="61"/>
      <c r="H449" s="61"/>
      <c r="I449" s="61"/>
      <c r="J449" s="61"/>
      <c r="K449" s="61"/>
      <c r="L449" s="61"/>
      <c r="M449" s="61"/>
      <c r="N449" s="61"/>
      <c r="O449" s="61"/>
      <c r="P449" s="61"/>
      <c r="Q449" s="61"/>
      <c r="R449" s="61"/>
      <c r="S449" s="61"/>
      <c r="T449" s="61"/>
      <c r="U449" s="61"/>
      <c r="V449" s="61"/>
      <c r="W449" s="61"/>
      <c r="X449" s="61"/>
      <c r="Y449" s="61"/>
    </row>
    <row r="450">
      <c r="A450" s="52"/>
      <c r="B450" s="61"/>
      <c r="C450" s="61"/>
      <c r="D450" s="52"/>
      <c r="E450" s="61"/>
      <c r="F450" s="61"/>
      <c r="G450" s="61"/>
      <c r="H450" s="61"/>
      <c r="I450" s="61"/>
      <c r="J450" s="61"/>
      <c r="K450" s="61"/>
      <c r="L450" s="61"/>
      <c r="M450" s="61"/>
      <c r="N450" s="61"/>
      <c r="O450" s="61"/>
      <c r="P450" s="61"/>
      <c r="Q450" s="61"/>
      <c r="R450" s="61"/>
      <c r="S450" s="61"/>
      <c r="T450" s="61"/>
      <c r="U450" s="61"/>
      <c r="V450" s="61"/>
      <c r="W450" s="61"/>
      <c r="X450" s="61"/>
      <c r="Y450" s="61"/>
    </row>
    <row r="451">
      <c r="A451" s="52"/>
      <c r="B451" s="61"/>
      <c r="C451" s="61"/>
      <c r="D451" s="52"/>
      <c r="E451" s="61"/>
      <c r="F451" s="61"/>
      <c r="G451" s="61"/>
      <c r="H451" s="61"/>
      <c r="I451" s="61"/>
      <c r="J451" s="61"/>
      <c r="K451" s="61"/>
      <c r="L451" s="61"/>
      <c r="M451" s="61"/>
      <c r="N451" s="61"/>
      <c r="O451" s="61"/>
      <c r="P451" s="61"/>
      <c r="Q451" s="61"/>
      <c r="R451" s="61"/>
      <c r="S451" s="61"/>
      <c r="T451" s="61"/>
      <c r="U451" s="61"/>
      <c r="V451" s="61"/>
      <c r="W451" s="61"/>
      <c r="X451" s="61"/>
      <c r="Y451" s="61"/>
    </row>
    <row r="452">
      <c r="A452" s="52"/>
      <c r="B452" s="61"/>
      <c r="C452" s="61"/>
      <c r="D452" s="52"/>
      <c r="E452" s="61"/>
      <c r="F452" s="61"/>
      <c r="G452" s="61"/>
      <c r="H452" s="61"/>
      <c r="I452" s="61"/>
      <c r="J452" s="61"/>
      <c r="K452" s="61"/>
      <c r="L452" s="61"/>
      <c r="M452" s="61"/>
      <c r="N452" s="61"/>
      <c r="O452" s="61"/>
      <c r="P452" s="61"/>
      <c r="Q452" s="61"/>
      <c r="R452" s="61"/>
      <c r="S452" s="61"/>
      <c r="T452" s="61"/>
      <c r="U452" s="61"/>
      <c r="V452" s="61"/>
      <c r="W452" s="61"/>
      <c r="X452" s="61"/>
      <c r="Y452" s="61"/>
    </row>
    <row r="453">
      <c r="A453" s="52"/>
      <c r="B453" s="61"/>
      <c r="C453" s="61"/>
      <c r="D453" s="52"/>
      <c r="E453" s="61"/>
      <c r="F453" s="61"/>
      <c r="G453" s="61"/>
      <c r="H453" s="61"/>
      <c r="I453" s="61"/>
      <c r="J453" s="61"/>
      <c r="K453" s="61"/>
      <c r="L453" s="61"/>
      <c r="M453" s="61"/>
      <c r="N453" s="61"/>
      <c r="O453" s="61"/>
      <c r="P453" s="61"/>
      <c r="Q453" s="61"/>
      <c r="R453" s="61"/>
      <c r="S453" s="61"/>
      <c r="T453" s="61"/>
      <c r="U453" s="61"/>
      <c r="V453" s="61"/>
      <c r="W453" s="61"/>
      <c r="X453" s="61"/>
      <c r="Y453" s="61"/>
    </row>
    <row r="454">
      <c r="A454" s="52"/>
      <c r="B454" s="61"/>
      <c r="C454" s="61"/>
      <c r="D454" s="52"/>
      <c r="E454" s="61"/>
      <c r="F454" s="61"/>
      <c r="G454" s="61"/>
      <c r="H454" s="61"/>
      <c r="I454" s="61"/>
      <c r="J454" s="61"/>
      <c r="K454" s="61"/>
      <c r="L454" s="61"/>
      <c r="M454" s="61"/>
      <c r="N454" s="61"/>
      <c r="O454" s="61"/>
      <c r="P454" s="61"/>
      <c r="Q454" s="61"/>
      <c r="R454" s="61"/>
      <c r="S454" s="61"/>
      <c r="T454" s="61"/>
      <c r="U454" s="61"/>
      <c r="V454" s="61"/>
      <c r="W454" s="61"/>
      <c r="X454" s="61"/>
      <c r="Y454" s="61"/>
    </row>
    <row r="455">
      <c r="A455" s="52"/>
      <c r="B455" s="61"/>
      <c r="C455" s="61"/>
      <c r="D455" s="52"/>
      <c r="E455" s="61"/>
      <c r="F455" s="61"/>
      <c r="G455" s="61"/>
      <c r="H455" s="61"/>
      <c r="I455" s="61"/>
      <c r="J455" s="61"/>
      <c r="K455" s="61"/>
      <c r="L455" s="61"/>
      <c r="M455" s="61"/>
      <c r="N455" s="61"/>
      <c r="O455" s="61"/>
      <c r="P455" s="61"/>
      <c r="Q455" s="61"/>
      <c r="R455" s="61"/>
      <c r="S455" s="61"/>
      <c r="T455" s="61"/>
      <c r="U455" s="61"/>
      <c r="V455" s="61"/>
      <c r="W455" s="61"/>
      <c r="X455" s="61"/>
      <c r="Y455" s="61"/>
    </row>
    <row r="456">
      <c r="A456" s="52"/>
      <c r="B456" s="61"/>
      <c r="C456" s="61"/>
      <c r="D456" s="52"/>
      <c r="E456" s="61"/>
      <c r="F456" s="61"/>
      <c r="G456" s="61"/>
      <c r="H456" s="61"/>
      <c r="I456" s="61"/>
      <c r="J456" s="61"/>
      <c r="K456" s="61"/>
      <c r="L456" s="61"/>
      <c r="M456" s="61"/>
      <c r="N456" s="61"/>
      <c r="O456" s="61"/>
      <c r="P456" s="61"/>
      <c r="Q456" s="61"/>
      <c r="R456" s="61"/>
      <c r="S456" s="61"/>
      <c r="T456" s="61"/>
      <c r="U456" s="61"/>
      <c r="V456" s="61"/>
      <c r="W456" s="61"/>
      <c r="X456" s="61"/>
      <c r="Y456" s="61"/>
    </row>
    <row r="457">
      <c r="A457" s="52"/>
      <c r="B457" s="61"/>
      <c r="C457" s="61"/>
      <c r="D457" s="52"/>
      <c r="E457" s="61"/>
      <c r="F457" s="61"/>
      <c r="G457" s="61"/>
      <c r="H457" s="61"/>
      <c r="I457" s="61"/>
      <c r="J457" s="61"/>
      <c r="K457" s="61"/>
      <c r="L457" s="61"/>
      <c r="M457" s="61"/>
      <c r="N457" s="61"/>
      <c r="O457" s="61"/>
      <c r="P457" s="61"/>
      <c r="Q457" s="61"/>
      <c r="R457" s="61"/>
      <c r="S457" s="61"/>
      <c r="T457" s="61"/>
      <c r="U457" s="61"/>
      <c r="V457" s="61"/>
      <c r="W457" s="61"/>
      <c r="X457" s="61"/>
      <c r="Y457" s="61"/>
    </row>
    <row r="458">
      <c r="A458" s="52"/>
      <c r="B458" s="61"/>
      <c r="C458" s="61"/>
      <c r="D458" s="52"/>
      <c r="E458" s="61"/>
      <c r="F458" s="61"/>
      <c r="G458" s="61"/>
      <c r="H458" s="61"/>
      <c r="I458" s="61"/>
      <c r="J458" s="61"/>
      <c r="K458" s="61"/>
      <c r="L458" s="61"/>
      <c r="M458" s="61"/>
      <c r="N458" s="61"/>
      <c r="O458" s="61"/>
      <c r="P458" s="61"/>
      <c r="Q458" s="61"/>
      <c r="R458" s="61"/>
      <c r="S458" s="61"/>
      <c r="T458" s="61"/>
      <c r="U458" s="61"/>
      <c r="V458" s="61"/>
      <c r="W458" s="61"/>
      <c r="X458" s="61"/>
      <c r="Y458" s="61"/>
    </row>
    <row r="459">
      <c r="A459" s="52"/>
      <c r="B459" s="61"/>
      <c r="C459" s="61"/>
      <c r="D459" s="52"/>
      <c r="E459" s="61"/>
      <c r="F459" s="61"/>
      <c r="G459" s="61"/>
      <c r="H459" s="61"/>
      <c r="I459" s="61"/>
      <c r="J459" s="61"/>
      <c r="K459" s="61"/>
      <c r="L459" s="61"/>
      <c r="M459" s="61"/>
      <c r="N459" s="61"/>
      <c r="O459" s="61"/>
      <c r="P459" s="61"/>
      <c r="Q459" s="61"/>
      <c r="R459" s="61"/>
      <c r="S459" s="61"/>
      <c r="T459" s="61"/>
      <c r="U459" s="61"/>
      <c r="V459" s="61"/>
      <c r="W459" s="61"/>
      <c r="X459" s="61"/>
      <c r="Y459" s="61"/>
    </row>
    <row r="460">
      <c r="A460" s="52"/>
      <c r="B460" s="61"/>
      <c r="C460" s="61"/>
      <c r="D460" s="52"/>
      <c r="E460" s="61"/>
      <c r="F460" s="61"/>
      <c r="G460" s="61"/>
      <c r="H460" s="61"/>
      <c r="I460" s="61"/>
      <c r="J460" s="61"/>
      <c r="K460" s="61"/>
      <c r="L460" s="61"/>
      <c r="M460" s="61"/>
      <c r="N460" s="61"/>
      <c r="O460" s="61"/>
      <c r="P460" s="61"/>
      <c r="Q460" s="61"/>
      <c r="R460" s="61"/>
      <c r="S460" s="61"/>
      <c r="T460" s="61"/>
      <c r="U460" s="61"/>
      <c r="V460" s="61"/>
      <c r="W460" s="61"/>
      <c r="X460" s="61"/>
      <c r="Y460" s="61"/>
    </row>
    <row r="461">
      <c r="A461" s="52"/>
      <c r="B461" s="61"/>
      <c r="C461" s="61"/>
      <c r="D461" s="52"/>
      <c r="E461" s="61"/>
      <c r="F461" s="61"/>
      <c r="G461" s="61"/>
      <c r="H461" s="61"/>
      <c r="I461" s="61"/>
      <c r="J461" s="61"/>
      <c r="K461" s="61"/>
      <c r="L461" s="61"/>
      <c r="M461" s="61"/>
      <c r="N461" s="61"/>
      <c r="O461" s="61"/>
      <c r="P461" s="61"/>
      <c r="Q461" s="61"/>
      <c r="R461" s="61"/>
      <c r="S461" s="61"/>
      <c r="T461" s="61"/>
      <c r="U461" s="61"/>
      <c r="V461" s="61"/>
      <c r="W461" s="61"/>
      <c r="X461" s="61"/>
      <c r="Y461" s="61"/>
    </row>
    <row r="462">
      <c r="A462" s="52"/>
      <c r="B462" s="61"/>
      <c r="C462" s="61"/>
      <c r="D462" s="52"/>
      <c r="E462" s="61"/>
      <c r="F462" s="61"/>
      <c r="G462" s="61"/>
      <c r="H462" s="61"/>
      <c r="I462" s="61"/>
      <c r="J462" s="61"/>
      <c r="K462" s="61"/>
      <c r="L462" s="61"/>
      <c r="M462" s="61"/>
      <c r="N462" s="61"/>
      <c r="O462" s="61"/>
      <c r="P462" s="61"/>
      <c r="Q462" s="61"/>
      <c r="R462" s="61"/>
      <c r="S462" s="61"/>
      <c r="T462" s="61"/>
      <c r="U462" s="61"/>
      <c r="V462" s="61"/>
      <c r="W462" s="61"/>
      <c r="X462" s="61"/>
      <c r="Y462" s="61"/>
    </row>
    <row r="463">
      <c r="A463" s="52"/>
      <c r="B463" s="61"/>
      <c r="C463" s="61"/>
      <c r="D463" s="52"/>
      <c r="E463" s="61"/>
      <c r="F463" s="61"/>
      <c r="G463" s="61"/>
      <c r="H463" s="61"/>
      <c r="I463" s="61"/>
      <c r="J463" s="61"/>
      <c r="K463" s="61"/>
      <c r="L463" s="61"/>
      <c r="M463" s="61"/>
      <c r="N463" s="61"/>
      <c r="O463" s="61"/>
      <c r="P463" s="61"/>
      <c r="Q463" s="61"/>
      <c r="R463" s="61"/>
      <c r="S463" s="61"/>
      <c r="T463" s="61"/>
      <c r="U463" s="61"/>
      <c r="V463" s="61"/>
      <c r="W463" s="61"/>
      <c r="X463" s="61"/>
      <c r="Y463" s="61"/>
    </row>
    <row r="464">
      <c r="A464" s="52"/>
      <c r="B464" s="61"/>
      <c r="C464" s="61"/>
      <c r="D464" s="52"/>
      <c r="E464" s="61"/>
      <c r="F464" s="61"/>
      <c r="G464" s="61"/>
      <c r="H464" s="61"/>
      <c r="I464" s="61"/>
      <c r="J464" s="61"/>
      <c r="K464" s="61"/>
      <c r="L464" s="61"/>
      <c r="M464" s="61"/>
      <c r="N464" s="61"/>
      <c r="O464" s="61"/>
      <c r="P464" s="61"/>
      <c r="Q464" s="61"/>
      <c r="R464" s="61"/>
      <c r="S464" s="61"/>
      <c r="T464" s="61"/>
      <c r="U464" s="61"/>
      <c r="V464" s="61"/>
      <c r="W464" s="61"/>
      <c r="X464" s="61"/>
      <c r="Y464" s="61"/>
    </row>
    <row r="465">
      <c r="A465" s="52"/>
      <c r="B465" s="61"/>
      <c r="C465" s="61"/>
      <c r="D465" s="52"/>
      <c r="E465" s="61"/>
      <c r="F465" s="61"/>
      <c r="G465" s="61"/>
      <c r="H465" s="61"/>
      <c r="I465" s="61"/>
      <c r="J465" s="61"/>
      <c r="K465" s="61"/>
      <c r="L465" s="61"/>
      <c r="M465" s="61"/>
      <c r="N465" s="61"/>
      <c r="O465" s="61"/>
      <c r="P465" s="61"/>
      <c r="Q465" s="61"/>
      <c r="R465" s="61"/>
      <c r="S465" s="61"/>
      <c r="T465" s="61"/>
      <c r="U465" s="61"/>
      <c r="V465" s="61"/>
      <c r="W465" s="61"/>
      <c r="X465" s="61"/>
      <c r="Y465" s="61"/>
    </row>
    <row r="466">
      <c r="A466" s="52"/>
      <c r="B466" s="61"/>
      <c r="C466" s="61"/>
      <c r="D466" s="52"/>
      <c r="E466" s="61"/>
      <c r="F466" s="61"/>
      <c r="G466" s="61"/>
      <c r="H466" s="61"/>
      <c r="I466" s="61"/>
      <c r="J466" s="61"/>
      <c r="K466" s="61"/>
      <c r="L466" s="61"/>
      <c r="M466" s="61"/>
      <c r="N466" s="61"/>
      <c r="O466" s="61"/>
      <c r="P466" s="61"/>
      <c r="Q466" s="61"/>
      <c r="R466" s="61"/>
      <c r="S466" s="61"/>
      <c r="T466" s="61"/>
      <c r="U466" s="61"/>
      <c r="V466" s="61"/>
      <c r="W466" s="61"/>
      <c r="X466" s="61"/>
      <c r="Y466" s="61"/>
    </row>
    <row r="467">
      <c r="A467" s="52"/>
      <c r="B467" s="61"/>
      <c r="C467" s="61"/>
      <c r="D467" s="52"/>
      <c r="E467" s="61"/>
      <c r="F467" s="61"/>
      <c r="G467" s="61"/>
      <c r="H467" s="61"/>
      <c r="I467" s="61"/>
      <c r="J467" s="61"/>
      <c r="K467" s="61"/>
      <c r="L467" s="61"/>
      <c r="M467" s="61"/>
      <c r="N467" s="61"/>
      <c r="O467" s="61"/>
      <c r="P467" s="61"/>
      <c r="Q467" s="61"/>
      <c r="R467" s="61"/>
      <c r="S467" s="61"/>
      <c r="T467" s="61"/>
      <c r="U467" s="61"/>
      <c r="V467" s="61"/>
      <c r="W467" s="61"/>
      <c r="X467" s="61"/>
      <c r="Y467" s="61"/>
    </row>
    <row r="468">
      <c r="A468" s="52"/>
      <c r="B468" s="61"/>
      <c r="C468" s="61"/>
      <c r="D468" s="52"/>
      <c r="E468" s="61"/>
      <c r="F468" s="61"/>
      <c r="G468" s="61"/>
      <c r="H468" s="61"/>
      <c r="I468" s="61"/>
      <c r="J468" s="61"/>
      <c r="K468" s="61"/>
      <c r="L468" s="61"/>
      <c r="M468" s="61"/>
      <c r="N468" s="61"/>
      <c r="O468" s="61"/>
      <c r="P468" s="61"/>
      <c r="Q468" s="61"/>
      <c r="R468" s="61"/>
      <c r="S468" s="61"/>
      <c r="T468" s="61"/>
      <c r="U468" s="61"/>
      <c r="V468" s="61"/>
      <c r="W468" s="61"/>
      <c r="X468" s="61"/>
      <c r="Y468" s="61"/>
    </row>
    <row r="469">
      <c r="A469" s="52"/>
      <c r="B469" s="61"/>
      <c r="C469" s="61"/>
      <c r="D469" s="52"/>
      <c r="E469" s="61"/>
      <c r="F469" s="61"/>
      <c r="G469" s="61"/>
      <c r="H469" s="61"/>
      <c r="I469" s="61"/>
      <c r="J469" s="61"/>
      <c r="K469" s="61"/>
      <c r="L469" s="61"/>
      <c r="M469" s="61"/>
      <c r="N469" s="61"/>
      <c r="O469" s="61"/>
      <c r="P469" s="61"/>
      <c r="Q469" s="61"/>
      <c r="R469" s="61"/>
      <c r="S469" s="61"/>
      <c r="T469" s="61"/>
      <c r="U469" s="61"/>
      <c r="V469" s="61"/>
      <c r="W469" s="61"/>
      <c r="X469" s="61"/>
      <c r="Y469" s="61"/>
    </row>
    <row r="470">
      <c r="A470" s="52"/>
      <c r="B470" s="61"/>
      <c r="C470" s="61"/>
      <c r="D470" s="52"/>
      <c r="E470" s="61"/>
      <c r="F470" s="61"/>
      <c r="G470" s="61"/>
      <c r="H470" s="61"/>
      <c r="I470" s="61"/>
      <c r="J470" s="61"/>
      <c r="K470" s="61"/>
      <c r="L470" s="61"/>
      <c r="M470" s="61"/>
      <c r="N470" s="61"/>
      <c r="O470" s="61"/>
      <c r="P470" s="61"/>
      <c r="Q470" s="61"/>
      <c r="R470" s="61"/>
      <c r="S470" s="61"/>
      <c r="T470" s="61"/>
      <c r="U470" s="61"/>
      <c r="V470" s="61"/>
      <c r="W470" s="61"/>
      <c r="X470" s="61"/>
      <c r="Y470" s="61"/>
    </row>
    <row r="471">
      <c r="A471" s="52"/>
      <c r="B471" s="61"/>
      <c r="C471" s="61"/>
      <c r="D471" s="52"/>
      <c r="E471" s="61"/>
      <c r="F471" s="61"/>
      <c r="G471" s="61"/>
      <c r="H471" s="61"/>
      <c r="I471" s="61"/>
      <c r="J471" s="61"/>
      <c r="K471" s="61"/>
      <c r="L471" s="61"/>
      <c r="M471" s="61"/>
      <c r="N471" s="61"/>
      <c r="O471" s="61"/>
      <c r="P471" s="61"/>
      <c r="Q471" s="61"/>
      <c r="R471" s="61"/>
      <c r="S471" s="61"/>
      <c r="T471" s="61"/>
      <c r="U471" s="61"/>
      <c r="V471" s="61"/>
      <c r="W471" s="61"/>
      <c r="X471" s="61"/>
      <c r="Y471" s="61"/>
    </row>
    <row r="472">
      <c r="A472" s="52"/>
      <c r="B472" s="61"/>
      <c r="C472" s="61"/>
      <c r="D472" s="52"/>
      <c r="E472" s="61"/>
      <c r="F472" s="61"/>
      <c r="G472" s="61"/>
      <c r="H472" s="61"/>
      <c r="I472" s="61"/>
      <c r="J472" s="61"/>
      <c r="K472" s="61"/>
      <c r="L472" s="61"/>
      <c r="M472" s="61"/>
      <c r="N472" s="61"/>
      <c r="O472" s="61"/>
      <c r="P472" s="61"/>
      <c r="Q472" s="61"/>
      <c r="R472" s="61"/>
      <c r="S472" s="61"/>
      <c r="T472" s="61"/>
      <c r="U472" s="61"/>
      <c r="V472" s="61"/>
      <c r="W472" s="61"/>
      <c r="X472" s="61"/>
      <c r="Y472" s="61"/>
    </row>
    <row r="473">
      <c r="A473" s="52"/>
      <c r="B473" s="61"/>
      <c r="C473" s="61"/>
      <c r="D473" s="52"/>
      <c r="E473" s="61"/>
      <c r="F473" s="61"/>
      <c r="G473" s="61"/>
      <c r="H473" s="61"/>
      <c r="I473" s="61"/>
      <c r="J473" s="61"/>
      <c r="K473" s="61"/>
      <c r="L473" s="61"/>
      <c r="M473" s="61"/>
      <c r="N473" s="61"/>
      <c r="O473" s="61"/>
      <c r="P473" s="61"/>
      <c r="Q473" s="61"/>
      <c r="R473" s="61"/>
      <c r="S473" s="61"/>
      <c r="T473" s="61"/>
      <c r="U473" s="61"/>
      <c r="V473" s="61"/>
      <c r="W473" s="61"/>
      <c r="X473" s="61"/>
      <c r="Y473" s="61"/>
    </row>
    <row r="474">
      <c r="A474" s="52"/>
      <c r="B474" s="61"/>
      <c r="C474" s="61"/>
      <c r="D474" s="52"/>
      <c r="E474" s="61"/>
      <c r="F474" s="61"/>
      <c r="G474" s="61"/>
      <c r="H474" s="61"/>
      <c r="I474" s="61"/>
      <c r="J474" s="61"/>
      <c r="K474" s="61"/>
      <c r="L474" s="61"/>
      <c r="M474" s="61"/>
      <c r="N474" s="61"/>
      <c r="O474" s="61"/>
      <c r="P474" s="61"/>
      <c r="Q474" s="61"/>
      <c r="R474" s="61"/>
      <c r="S474" s="61"/>
      <c r="T474" s="61"/>
      <c r="U474" s="61"/>
      <c r="V474" s="61"/>
      <c r="W474" s="61"/>
      <c r="X474" s="61"/>
      <c r="Y474" s="61"/>
    </row>
    <row r="475">
      <c r="A475" s="52"/>
      <c r="B475" s="61"/>
      <c r="C475" s="61"/>
      <c r="D475" s="52"/>
      <c r="E475" s="61"/>
      <c r="F475" s="61"/>
      <c r="G475" s="61"/>
      <c r="H475" s="61"/>
      <c r="I475" s="61"/>
      <c r="J475" s="61"/>
      <c r="K475" s="61"/>
      <c r="L475" s="61"/>
      <c r="M475" s="61"/>
      <c r="N475" s="61"/>
      <c r="O475" s="61"/>
      <c r="P475" s="61"/>
      <c r="Q475" s="61"/>
      <c r="R475" s="61"/>
      <c r="S475" s="61"/>
      <c r="T475" s="61"/>
      <c r="U475" s="61"/>
      <c r="V475" s="61"/>
      <c r="W475" s="61"/>
      <c r="X475" s="61"/>
      <c r="Y475" s="61"/>
    </row>
    <row r="476">
      <c r="A476" s="52"/>
      <c r="B476" s="61"/>
      <c r="C476" s="61"/>
      <c r="D476" s="52"/>
      <c r="E476" s="61"/>
      <c r="F476" s="61"/>
      <c r="G476" s="61"/>
      <c r="H476" s="61"/>
      <c r="I476" s="61"/>
      <c r="J476" s="61"/>
      <c r="K476" s="61"/>
      <c r="L476" s="61"/>
      <c r="M476" s="61"/>
      <c r="N476" s="61"/>
      <c r="O476" s="61"/>
      <c r="P476" s="61"/>
      <c r="Q476" s="61"/>
      <c r="R476" s="61"/>
      <c r="S476" s="61"/>
      <c r="T476" s="61"/>
      <c r="U476" s="61"/>
      <c r="V476" s="61"/>
      <c r="W476" s="61"/>
      <c r="X476" s="61"/>
      <c r="Y476" s="61"/>
    </row>
    <row r="477">
      <c r="A477" s="52"/>
      <c r="B477" s="61"/>
      <c r="C477" s="61"/>
      <c r="D477" s="52"/>
      <c r="E477" s="61"/>
      <c r="F477" s="61"/>
      <c r="G477" s="61"/>
      <c r="H477" s="61"/>
      <c r="I477" s="61"/>
      <c r="J477" s="61"/>
      <c r="K477" s="61"/>
      <c r="L477" s="61"/>
      <c r="M477" s="61"/>
      <c r="N477" s="61"/>
      <c r="O477" s="61"/>
      <c r="P477" s="61"/>
      <c r="Q477" s="61"/>
      <c r="R477" s="61"/>
      <c r="S477" s="61"/>
      <c r="T477" s="61"/>
      <c r="U477" s="61"/>
      <c r="V477" s="61"/>
      <c r="W477" s="61"/>
      <c r="X477" s="61"/>
      <c r="Y477" s="61"/>
    </row>
    <row r="478">
      <c r="A478" s="52"/>
      <c r="B478" s="61"/>
      <c r="C478" s="61"/>
      <c r="D478" s="52"/>
      <c r="E478" s="61"/>
      <c r="F478" s="61"/>
      <c r="G478" s="61"/>
      <c r="H478" s="61"/>
      <c r="I478" s="61"/>
      <c r="J478" s="61"/>
      <c r="K478" s="61"/>
      <c r="L478" s="61"/>
      <c r="M478" s="61"/>
      <c r="N478" s="61"/>
      <c r="O478" s="61"/>
      <c r="P478" s="61"/>
      <c r="Q478" s="61"/>
      <c r="R478" s="61"/>
      <c r="S478" s="61"/>
      <c r="T478" s="61"/>
      <c r="U478" s="61"/>
      <c r="V478" s="61"/>
      <c r="W478" s="61"/>
      <c r="X478" s="61"/>
      <c r="Y478" s="61"/>
    </row>
    <row r="479">
      <c r="A479" s="52"/>
      <c r="B479" s="61"/>
      <c r="C479" s="61"/>
      <c r="D479" s="52"/>
      <c r="E479" s="61"/>
      <c r="F479" s="61"/>
      <c r="G479" s="61"/>
      <c r="H479" s="61"/>
      <c r="I479" s="61"/>
      <c r="J479" s="61"/>
      <c r="K479" s="61"/>
      <c r="L479" s="61"/>
      <c r="M479" s="61"/>
      <c r="N479" s="61"/>
      <c r="O479" s="61"/>
      <c r="P479" s="61"/>
      <c r="Q479" s="61"/>
      <c r="R479" s="61"/>
      <c r="S479" s="61"/>
      <c r="T479" s="61"/>
      <c r="U479" s="61"/>
      <c r="V479" s="61"/>
      <c r="W479" s="61"/>
      <c r="X479" s="61"/>
      <c r="Y479" s="61"/>
    </row>
    <row r="480">
      <c r="A480" s="52"/>
      <c r="B480" s="61"/>
      <c r="C480" s="61"/>
      <c r="D480" s="52"/>
      <c r="E480" s="61"/>
      <c r="F480" s="61"/>
      <c r="G480" s="61"/>
      <c r="H480" s="61"/>
      <c r="I480" s="61"/>
      <c r="J480" s="61"/>
      <c r="K480" s="61"/>
      <c r="L480" s="61"/>
      <c r="M480" s="61"/>
      <c r="N480" s="61"/>
      <c r="O480" s="61"/>
      <c r="P480" s="61"/>
      <c r="Q480" s="61"/>
      <c r="R480" s="61"/>
      <c r="S480" s="61"/>
      <c r="T480" s="61"/>
      <c r="U480" s="61"/>
      <c r="V480" s="61"/>
      <c r="W480" s="61"/>
      <c r="X480" s="61"/>
      <c r="Y480" s="61"/>
    </row>
    <row r="481">
      <c r="A481" s="52"/>
      <c r="B481" s="61"/>
      <c r="C481" s="61"/>
      <c r="D481" s="52"/>
      <c r="E481" s="61"/>
      <c r="F481" s="61"/>
      <c r="G481" s="61"/>
      <c r="H481" s="61"/>
      <c r="I481" s="61"/>
      <c r="J481" s="61"/>
      <c r="K481" s="61"/>
      <c r="L481" s="61"/>
      <c r="M481" s="61"/>
      <c r="N481" s="61"/>
      <c r="O481" s="61"/>
      <c r="P481" s="61"/>
      <c r="Q481" s="61"/>
      <c r="R481" s="61"/>
      <c r="S481" s="61"/>
      <c r="T481" s="61"/>
      <c r="U481" s="61"/>
      <c r="V481" s="61"/>
      <c r="W481" s="61"/>
      <c r="X481" s="61"/>
      <c r="Y481" s="61"/>
    </row>
    <row r="482">
      <c r="A482" s="52"/>
      <c r="B482" s="61"/>
      <c r="C482" s="61"/>
      <c r="D482" s="52"/>
      <c r="E482" s="61"/>
      <c r="F482" s="61"/>
      <c r="G482" s="61"/>
      <c r="H482" s="61"/>
      <c r="I482" s="61"/>
      <c r="J482" s="61"/>
      <c r="K482" s="61"/>
      <c r="L482" s="61"/>
      <c r="M482" s="61"/>
      <c r="N482" s="61"/>
      <c r="O482" s="61"/>
      <c r="P482" s="61"/>
      <c r="Q482" s="61"/>
      <c r="R482" s="61"/>
      <c r="S482" s="61"/>
      <c r="T482" s="61"/>
      <c r="U482" s="61"/>
      <c r="V482" s="61"/>
      <c r="W482" s="61"/>
      <c r="X482" s="61"/>
      <c r="Y482" s="61"/>
    </row>
    <row r="483">
      <c r="A483" s="52"/>
      <c r="B483" s="61"/>
      <c r="C483" s="61"/>
      <c r="D483" s="52"/>
      <c r="E483" s="61"/>
      <c r="F483" s="61"/>
      <c r="G483" s="61"/>
      <c r="H483" s="61"/>
      <c r="I483" s="61"/>
      <c r="J483" s="61"/>
      <c r="K483" s="61"/>
      <c r="L483" s="61"/>
      <c r="M483" s="61"/>
      <c r="N483" s="61"/>
      <c r="O483" s="61"/>
      <c r="P483" s="61"/>
      <c r="Q483" s="61"/>
      <c r="R483" s="61"/>
      <c r="S483" s="61"/>
      <c r="T483" s="61"/>
      <c r="U483" s="61"/>
      <c r="V483" s="61"/>
      <c r="W483" s="61"/>
      <c r="X483" s="61"/>
      <c r="Y483" s="61"/>
    </row>
    <row r="484">
      <c r="A484" s="52"/>
      <c r="B484" s="61"/>
      <c r="C484" s="61"/>
      <c r="D484" s="52"/>
      <c r="E484" s="61"/>
      <c r="F484" s="61"/>
      <c r="G484" s="61"/>
      <c r="H484" s="61"/>
      <c r="I484" s="61"/>
      <c r="J484" s="61"/>
      <c r="K484" s="61"/>
      <c r="L484" s="61"/>
      <c r="M484" s="61"/>
      <c r="N484" s="61"/>
      <c r="O484" s="61"/>
      <c r="P484" s="61"/>
      <c r="Q484" s="61"/>
      <c r="R484" s="61"/>
      <c r="S484" s="61"/>
      <c r="T484" s="61"/>
      <c r="U484" s="61"/>
      <c r="V484" s="61"/>
      <c r="W484" s="61"/>
      <c r="X484" s="61"/>
      <c r="Y484" s="61"/>
    </row>
    <row r="485">
      <c r="A485" s="52"/>
      <c r="B485" s="61"/>
      <c r="C485" s="61"/>
      <c r="D485" s="52"/>
      <c r="E485" s="61"/>
      <c r="F485" s="61"/>
      <c r="G485" s="61"/>
      <c r="H485" s="61"/>
      <c r="I485" s="61"/>
      <c r="J485" s="61"/>
      <c r="K485" s="61"/>
      <c r="L485" s="61"/>
      <c r="M485" s="61"/>
      <c r="N485" s="61"/>
      <c r="O485" s="61"/>
      <c r="P485" s="61"/>
      <c r="Q485" s="61"/>
      <c r="R485" s="61"/>
      <c r="S485" s="61"/>
      <c r="T485" s="61"/>
      <c r="U485" s="61"/>
      <c r="V485" s="61"/>
      <c r="W485" s="61"/>
      <c r="X485" s="61"/>
      <c r="Y485" s="61"/>
    </row>
    <row r="486">
      <c r="A486" s="52"/>
      <c r="B486" s="61"/>
      <c r="C486" s="61"/>
      <c r="D486" s="52"/>
      <c r="E486" s="61"/>
      <c r="F486" s="61"/>
      <c r="G486" s="61"/>
      <c r="H486" s="61"/>
      <c r="I486" s="61"/>
      <c r="J486" s="61"/>
      <c r="K486" s="61"/>
      <c r="L486" s="61"/>
      <c r="M486" s="61"/>
      <c r="N486" s="61"/>
      <c r="O486" s="61"/>
      <c r="P486" s="61"/>
      <c r="Q486" s="61"/>
      <c r="R486" s="61"/>
      <c r="S486" s="61"/>
      <c r="T486" s="61"/>
      <c r="U486" s="61"/>
      <c r="V486" s="61"/>
      <c r="W486" s="61"/>
      <c r="X486" s="61"/>
      <c r="Y486" s="61"/>
    </row>
    <row r="487">
      <c r="A487" s="52"/>
      <c r="B487" s="61"/>
      <c r="C487" s="61"/>
      <c r="D487" s="52"/>
      <c r="E487" s="61"/>
      <c r="F487" s="61"/>
      <c r="G487" s="61"/>
      <c r="H487" s="61"/>
      <c r="I487" s="61"/>
      <c r="J487" s="61"/>
      <c r="K487" s="61"/>
      <c r="L487" s="61"/>
      <c r="M487" s="61"/>
      <c r="N487" s="61"/>
      <c r="O487" s="61"/>
      <c r="P487" s="61"/>
      <c r="Q487" s="61"/>
      <c r="R487" s="61"/>
      <c r="S487" s="61"/>
      <c r="T487" s="61"/>
      <c r="U487" s="61"/>
      <c r="V487" s="61"/>
      <c r="W487" s="61"/>
      <c r="X487" s="61"/>
      <c r="Y487" s="61"/>
    </row>
    <row r="488">
      <c r="A488" s="52"/>
      <c r="B488" s="61"/>
      <c r="C488" s="61"/>
      <c r="D488" s="52"/>
      <c r="E488" s="61"/>
      <c r="F488" s="61"/>
      <c r="G488" s="61"/>
      <c r="H488" s="61"/>
      <c r="I488" s="61"/>
      <c r="J488" s="61"/>
      <c r="K488" s="61"/>
      <c r="L488" s="61"/>
      <c r="M488" s="61"/>
      <c r="N488" s="61"/>
      <c r="O488" s="61"/>
      <c r="P488" s="61"/>
      <c r="Q488" s="61"/>
      <c r="R488" s="61"/>
      <c r="S488" s="61"/>
      <c r="T488" s="61"/>
      <c r="U488" s="61"/>
      <c r="V488" s="61"/>
      <c r="W488" s="61"/>
      <c r="X488" s="61"/>
      <c r="Y488" s="61"/>
    </row>
    <row r="489">
      <c r="A489" s="52"/>
      <c r="B489" s="61"/>
      <c r="C489" s="61"/>
      <c r="D489" s="52"/>
      <c r="E489" s="61"/>
      <c r="F489" s="61"/>
      <c r="G489" s="61"/>
      <c r="H489" s="61"/>
      <c r="I489" s="61"/>
      <c r="J489" s="61"/>
      <c r="K489" s="61"/>
      <c r="L489" s="61"/>
      <c r="M489" s="61"/>
      <c r="N489" s="61"/>
      <c r="O489" s="61"/>
      <c r="P489" s="61"/>
      <c r="Q489" s="61"/>
      <c r="R489" s="61"/>
      <c r="S489" s="61"/>
      <c r="T489" s="61"/>
      <c r="U489" s="61"/>
      <c r="V489" s="61"/>
      <c r="W489" s="61"/>
      <c r="X489" s="61"/>
      <c r="Y489" s="61"/>
    </row>
    <row r="490">
      <c r="A490" s="52"/>
      <c r="B490" s="61"/>
      <c r="C490" s="61"/>
      <c r="D490" s="52"/>
      <c r="E490" s="61"/>
      <c r="F490" s="61"/>
      <c r="G490" s="61"/>
      <c r="H490" s="61"/>
      <c r="I490" s="61"/>
      <c r="J490" s="61"/>
      <c r="K490" s="61"/>
      <c r="L490" s="61"/>
      <c r="M490" s="61"/>
      <c r="N490" s="61"/>
      <c r="O490" s="61"/>
      <c r="P490" s="61"/>
      <c r="Q490" s="61"/>
      <c r="R490" s="61"/>
      <c r="S490" s="61"/>
      <c r="T490" s="61"/>
      <c r="U490" s="61"/>
      <c r="V490" s="61"/>
      <c r="W490" s="61"/>
      <c r="X490" s="61"/>
      <c r="Y490" s="61"/>
    </row>
    <row r="491">
      <c r="A491" s="52"/>
      <c r="B491" s="61"/>
      <c r="C491" s="61"/>
      <c r="D491" s="52"/>
      <c r="E491" s="61"/>
      <c r="F491" s="61"/>
      <c r="G491" s="61"/>
      <c r="H491" s="61"/>
      <c r="I491" s="61"/>
      <c r="J491" s="61"/>
      <c r="K491" s="61"/>
      <c r="L491" s="61"/>
      <c r="M491" s="61"/>
      <c r="N491" s="61"/>
      <c r="O491" s="61"/>
      <c r="P491" s="61"/>
      <c r="Q491" s="61"/>
      <c r="R491" s="61"/>
      <c r="S491" s="61"/>
      <c r="T491" s="61"/>
      <c r="U491" s="61"/>
      <c r="V491" s="61"/>
      <c r="W491" s="61"/>
      <c r="X491" s="61"/>
      <c r="Y491" s="61"/>
    </row>
    <row r="492">
      <c r="A492" s="52"/>
      <c r="B492" s="61"/>
      <c r="C492" s="61"/>
      <c r="D492" s="52"/>
      <c r="E492" s="61"/>
      <c r="F492" s="61"/>
      <c r="G492" s="61"/>
      <c r="H492" s="61"/>
      <c r="I492" s="61"/>
      <c r="J492" s="61"/>
      <c r="K492" s="61"/>
      <c r="L492" s="61"/>
      <c r="M492" s="61"/>
      <c r="N492" s="61"/>
      <c r="O492" s="61"/>
      <c r="P492" s="61"/>
      <c r="Q492" s="61"/>
      <c r="R492" s="61"/>
      <c r="S492" s="61"/>
      <c r="T492" s="61"/>
      <c r="U492" s="61"/>
      <c r="V492" s="61"/>
      <c r="W492" s="61"/>
      <c r="X492" s="61"/>
      <c r="Y492" s="61"/>
    </row>
    <row r="493">
      <c r="A493" s="52"/>
      <c r="B493" s="61"/>
      <c r="C493" s="61"/>
      <c r="D493" s="52"/>
      <c r="E493" s="61"/>
      <c r="F493" s="61"/>
      <c r="G493" s="61"/>
      <c r="H493" s="61"/>
      <c r="I493" s="61"/>
      <c r="J493" s="61"/>
      <c r="K493" s="61"/>
      <c r="L493" s="61"/>
      <c r="M493" s="61"/>
      <c r="N493" s="61"/>
      <c r="O493" s="61"/>
      <c r="P493" s="61"/>
      <c r="Q493" s="61"/>
      <c r="R493" s="61"/>
      <c r="S493" s="61"/>
      <c r="T493" s="61"/>
      <c r="U493" s="61"/>
      <c r="V493" s="61"/>
      <c r="W493" s="61"/>
      <c r="X493" s="61"/>
      <c r="Y493" s="61"/>
    </row>
    <row r="494">
      <c r="A494" s="52"/>
      <c r="B494" s="61"/>
      <c r="C494" s="61"/>
      <c r="D494" s="52"/>
      <c r="E494" s="61"/>
      <c r="F494" s="61"/>
      <c r="G494" s="61"/>
      <c r="H494" s="61"/>
      <c r="I494" s="61"/>
      <c r="J494" s="61"/>
      <c r="K494" s="61"/>
      <c r="L494" s="61"/>
      <c r="M494" s="61"/>
      <c r="N494" s="61"/>
      <c r="O494" s="61"/>
      <c r="P494" s="61"/>
      <c r="Q494" s="61"/>
      <c r="R494" s="61"/>
      <c r="S494" s="61"/>
      <c r="T494" s="61"/>
      <c r="U494" s="61"/>
      <c r="V494" s="61"/>
      <c r="W494" s="61"/>
      <c r="X494" s="61"/>
      <c r="Y494" s="61"/>
    </row>
    <row r="495">
      <c r="A495" s="52"/>
      <c r="B495" s="61"/>
      <c r="C495" s="61"/>
      <c r="D495" s="52"/>
      <c r="E495" s="61"/>
      <c r="F495" s="61"/>
      <c r="G495" s="61"/>
      <c r="H495" s="61"/>
      <c r="I495" s="61"/>
      <c r="J495" s="61"/>
      <c r="K495" s="61"/>
      <c r="L495" s="61"/>
      <c r="M495" s="61"/>
      <c r="N495" s="61"/>
      <c r="O495" s="61"/>
      <c r="P495" s="61"/>
      <c r="Q495" s="61"/>
      <c r="R495" s="61"/>
      <c r="S495" s="61"/>
      <c r="T495" s="61"/>
      <c r="U495" s="61"/>
      <c r="V495" s="61"/>
      <c r="W495" s="61"/>
      <c r="X495" s="61"/>
      <c r="Y495" s="61"/>
    </row>
    <row r="496">
      <c r="A496" s="52"/>
      <c r="B496" s="61"/>
      <c r="C496" s="61"/>
      <c r="D496" s="52"/>
      <c r="E496" s="61"/>
      <c r="F496" s="61"/>
      <c r="G496" s="61"/>
      <c r="H496" s="61"/>
      <c r="I496" s="61"/>
      <c r="J496" s="61"/>
      <c r="K496" s="61"/>
      <c r="L496" s="61"/>
      <c r="M496" s="61"/>
      <c r="N496" s="61"/>
      <c r="O496" s="61"/>
      <c r="P496" s="61"/>
      <c r="Q496" s="61"/>
      <c r="R496" s="61"/>
      <c r="S496" s="61"/>
      <c r="T496" s="61"/>
      <c r="U496" s="61"/>
      <c r="V496" s="61"/>
      <c r="W496" s="61"/>
      <c r="X496" s="61"/>
      <c r="Y496" s="61"/>
    </row>
    <row r="497">
      <c r="A497" s="52"/>
      <c r="B497" s="61"/>
      <c r="C497" s="61"/>
      <c r="D497" s="52"/>
      <c r="E497" s="61"/>
      <c r="F497" s="61"/>
      <c r="G497" s="61"/>
      <c r="H497" s="61"/>
      <c r="I497" s="61"/>
      <c r="J497" s="61"/>
      <c r="K497" s="61"/>
      <c r="L497" s="61"/>
      <c r="M497" s="61"/>
      <c r="N497" s="61"/>
      <c r="O497" s="61"/>
      <c r="P497" s="61"/>
      <c r="Q497" s="61"/>
      <c r="R497" s="61"/>
      <c r="S497" s="61"/>
      <c r="T497" s="61"/>
      <c r="U497" s="61"/>
      <c r="V497" s="61"/>
      <c r="W497" s="61"/>
      <c r="X497" s="61"/>
      <c r="Y497" s="61"/>
    </row>
    <row r="498">
      <c r="A498" s="52"/>
      <c r="B498" s="61"/>
      <c r="C498" s="61"/>
      <c r="D498" s="52"/>
      <c r="E498" s="61"/>
      <c r="F498" s="61"/>
      <c r="G498" s="61"/>
      <c r="H498" s="61"/>
      <c r="I498" s="61"/>
      <c r="J498" s="61"/>
      <c r="K498" s="61"/>
      <c r="L498" s="61"/>
      <c r="M498" s="61"/>
      <c r="N498" s="61"/>
      <c r="O498" s="61"/>
      <c r="P498" s="61"/>
      <c r="Q498" s="61"/>
      <c r="R498" s="61"/>
      <c r="S498" s="61"/>
      <c r="T498" s="61"/>
      <c r="U498" s="61"/>
      <c r="V498" s="61"/>
      <c r="W498" s="61"/>
      <c r="X498" s="61"/>
      <c r="Y498" s="61"/>
    </row>
    <row r="499">
      <c r="A499" s="52"/>
      <c r="B499" s="61"/>
      <c r="C499" s="61"/>
      <c r="D499" s="52"/>
      <c r="E499" s="61"/>
      <c r="F499" s="61"/>
      <c r="G499" s="61"/>
      <c r="H499" s="61"/>
      <c r="I499" s="61"/>
      <c r="J499" s="61"/>
      <c r="K499" s="61"/>
      <c r="L499" s="61"/>
      <c r="M499" s="61"/>
      <c r="N499" s="61"/>
      <c r="O499" s="61"/>
      <c r="P499" s="61"/>
      <c r="Q499" s="61"/>
      <c r="R499" s="61"/>
      <c r="S499" s="61"/>
      <c r="T499" s="61"/>
      <c r="U499" s="61"/>
      <c r="V499" s="61"/>
      <c r="W499" s="61"/>
      <c r="X499" s="61"/>
      <c r="Y499" s="61"/>
    </row>
    <row r="500">
      <c r="A500" s="52"/>
      <c r="B500" s="61"/>
      <c r="C500" s="61"/>
      <c r="D500" s="52"/>
      <c r="E500" s="61"/>
      <c r="F500" s="61"/>
      <c r="G500" s="61"/>
      <c r="H500" s="61"/>
      <c r="I500" s="61"/>
      <c r="J500" s="61"/>
      <c r="K500" s="61"/>
      <c r="L500" s="61"/>
      <c r="M500" s="61"/>
      <c r="N500" s="61"/>
      <c r="O500" s="61"/>
      <c r="P500" s="61"/>
      <c r="Q500" s="61"/>
      <c r="R500" s="61"/>
      <c r="S500" s="61"/>
      <c r="T500" s="61"/>
      <c r="U500" s="61"/>
      <c r="V500" s="61"/>
      <c r="W500" s="61"/>
      <c r="X500" s="61"/>
      <c r="Y500" s="61"/>
    </row>
    <row r="501">
      <c r="A501" s="52"/>
      <c r="B501" s="61"/>
      <c r="C501" s="61"/>
      <c r="D501" s="52"/>
      <c r="E501" s="61"/>
      <c r="F501" s="61"/>
      <c r="G501" s="61"/>
      <c r="H501" s="61"/>
      <c r="I501" s="61"/>
      <c r="J501" s="61"/>
      <c r="K501" s="61"/>
      <c r="L501" s="61"/>
      <c r="M501" s="61"/>
      <c r="N501" s="61"/>
      <c r="O501" s="61"/>
      <c r="P501" s="61"/>
      <c r="Q501" s="61"/>
      <c r="R501" s="61"/>
      <c r="S501" s="61"/>
      <c r="T501" s="61"/>
      <c r="U501" s="61"/>
      <c r="V501" s="61"/>
      <c r="W501" s="61"/>
      <c r="X501" s="61"/>
      <c r="Y501" s="61"/>
    </row>
    <row r="502">
      <c r="A502" s="52"/>
      <c r="B502" s="61"/>
      <c r="C502" s="61"/>
      <c r="D502" s="52"/>
      <c r="E502" s="61"/>
      <c r="F502" s="61"/>
      <c r="G502" s="61"/>
      <c r="H502" s="61"/>
      <c r="I502" s="61"/>
      <c r="J502" s="61"/>
      <c r="K502" s="61"/>
      <c r="L502" s="61"/>
      <c r="M502" s="61"/>
      <c r="N502" s="61"/>
      <c r="O502" s="61"/>
      <c r="P502" s="61"/>
      <c r="Q502" s="61"/>
      <c r="R502" s="61"/>
      <c r="S502" s="61"/>
      <c r="T502" s="61"/>
      <c r="U502" s="61"/>
      <c r="V502" s="61"/>
      <c r="W502" s="61"/>
      <c r="X502" s="61"/>
      <c r="Y502" s="61"/>
    </row>
    <row r="503">
      <c r="A503" s="52"/>
      <c r="B503" s="61"/>
      <c r="C503" s="61"/>
      <c r="D503" s="52"/>
      <c r="E503" s="61"/>
      <c r="F503" s="61"/>
      <c r="G503" s="61"/>
      <c r="H503" s="61"/>
      <c r="I503" s="61"/>
      <c r="J503" s="61"/>
      <c r="K503" s="61"/>
      <c r="L503" s="61"/>
      <c r="M503" s="61"/>
      <c r="N503" s="61"/>
      <c r="O503" s="61"/>
      <c r="P503" s="61"/>
      <c r="Q503" s="61"/>
      <c r="R503" s="61"/>
      <c r="S503" s="61"/>
      <c r="T503" s="61"/>
      <c r="U503" s="61"/>
      <c r="V503" s="61"/>
      <c r="W503" s="61"/>
      <c r="X503" s="61"/>
      <c r="Y503" s="61"/>
    </row>
    <row r="504">
      <c r="A504" s="52"/>
      <c r="B504" s="61"/>
      <c r="C504" s="61"/>
      <c r="D504" s="52"/>
      <c r="E504" s="61"/>
      <c r="F504" s="61"/>
      <c r="G504" s="61"/>
      <c r="H504" s="61"/>
      <c r="I504" s="61"/>
      <c r="J504" s="61"/>
      <c r="K504" s="61"/>
      <c r="L504" s="61"/>
      <c r="M504" s="61"/>
      <c r="N504" s="61"/>
      <c r="O504" s="61"/>
      <c r="P504" s="61"/>
      <c r="Q504" s="61"/>
      <c r="R504" s="61"/>
      <c r="S504" s="61"/>
      <c r="T504" s="61"/>
      <c r="U504" s="61"/>
      <c r="V504" s="61"/>
      <c r="W504" s="61"/>
      <c r="X504" s="61"/>
      <c r="Y504" s="61"/>
    </row>
    <row r="505">
      <c r="A505" s="52"/>
      <c r="B505" s="61"/>
      <c r="C505" s="61"/>
      <c r="D505" s="52"/>
      <c r="E505" s="61"/>
      <c r="F505" s="61"/>
      <c r="G505" s="61"/>
      <c r="H505" s="61"/>
      <c r="I505" s="61"/>
      <c r="J505" s="61"/>
      <c r="K505" s="61"/>
      <c r="L505" s="61"/>
      <c r="M505" s="61"/>
      <c r="N505" s="61"/>
      <c r="O505" s="61"/>
      <c r="P505" s="61"/>
      <c r="Q505" s="61"/>
      <c r="R505" s="61"/>
      <c r="S505" s="61"/>
      <c r="T505" s="61"/>
      <c r="U505" s="61"/>
      <c r="V505" s="61"/>
      <c r="W505" s="61"/>
      <c r="X505" s="61"/>
      <c r="Y505" s="61"/>
    </row>
    <row r="506">
      <c r="A506" s="52"/>
      <c r="B506" s="61"/>
      <c r="C506" s="61"/>
      <c r="D506" s="52"/>
      <c r="E506" s="61"/>
      <c r="F506" s="61"/>
      <c r="G506" s="61"/>
      <c r="H506" s="61"/>
      <c r="I506" s="61"/>
      <c r="J506" s="61"/>
      <c r="K506" s="61"/>
      <c r="L506" s="61"/>
      <c r="M506" s="61"/>
      <c r="N506" s="61"/>
      <c r="O506" s="61"/>
      <c r="P506" s="61"/>
      <c r="Q506" s="61"/>
      <c r="R506" s="61"/>
      <c r="S506" s="61"/>
      <c r="T506" s="61"/>
      <c r="U506" s="61"/>
      <c r="V506" s="61"/>
      <c r="W506" s="61"/>
      <c r="X506" s="61"/>
      <c r="Y506" s="61"/>
    </row>
    <row r="507">
      <c r="A507" s="52"/>
      <c r="B507" s="61"/>
      <c r="C507" s="61"/>
      <c r="D507" s="52"/>
      <c r="E507" s="61"/>
      <c r="F507" s="61"/>
      <c r="G507" s="61"/>
      <c r="H507" s="61"/>
      <c r="I507" s="61"/>
      <c r="J507" s="61"/>
      <c r="K507" s="61"/>
      <c r="L507" s="61"/>
      <c r="M507" s="61"/>
      <c r="N507" s="61"/>
      <c r="O507" s="61"/>
      <c r="P507" s="61"/>
      <c r="Q507" s="61"/>
      <c r="R507" s="61"/>
      <c r="S507" s="61"/>
      <c r="T507" s="61"/>
      <c r="U507" s="61"/>
      <c r="V507" s="61"/>
      <c r="W507" s="61"/>
      <c r="X507" s="61"/>
      <c r="Y507" s="61"/>
    </row>
    <row r="508">
      <c r="A508" s="52"/>
      <c r="B508" s="61"/>
      <c r="C508" s="61"/>
      <c r="D508" s="52"/>
      <c r="E508" s="61"/>
      <c r="F508" s="61"/>
      <c r="G508" s="61"/>
      <c r="H508" s="61"/>
      <c r="I508" s="61"/>
      <c r="J508" s="61"/>
      <c r="K508" s="61"/>
      <c r="L508" s="61"/>
      <c r="M508" s="61"/>
      <c r="N508" s="61"/>
      <c r="O508" s="61"/>
      <c r="P508" s="61"/>
      <c r="Q508" s="61"/>
      <c r="R508" s="61"/>
      <c r="S508" s="61"/>
      <c r="T508" s="61"/>
      <c r="U508" s="61"/>
      <c r="V508" s="61"/>
      <c r="W508" s="61"/>
      <c r="X508" s="61"/>
      <c r="Y508" s="61"/>
    </row>
    <row r="509">
      <c r="A509" s="52"/>
      <c r="B509" s="61"/>
      <c r="C509" s="61"/>
      <c r="D509" s="52"/>
      <c r="E509" s="61"/>
      <c r="F509" s="61"/>
      <c r="G509" s="61"/>
      <c r="H509" s="61"/>
      <c r="I509" s="61"/>
      <c r="J509" s="61"/>
      <c r="K509" s="61"/>
      <c r="L509" s="61"/>
      <c r="M509" s="61"/>
      <c r="N509" s="61"/>
      <c r="O509" s="61"/>
      <c r="P509" s="61"/>
      <c r="Q509" s="61"/>
      <c r="R509" s="61"/>
      <c r="S509" s="61"/>
      <c r="T509" s="61"/>
      <c r="U509" s="61"/>
      <c r="V509" s="61"/>
      <c r="W509" s="61"/>
      <c r="X509" s="61"/>
      <c r="Y509" s="61"/>
    </row>
    <row r="510">
      <c r="A510" s="52"/>
      <c r="B510" s="61"/>
      <c r="C510" s="61"/>
      <c r="D510" s="52"/>
      <c r="E510" s="61"/>
      <c r="F510" s="61"/>
      <c r="G510" s="61"/>
      <c r="H510" s="61"/>
      <c r="I510" s="61"/>
      <c r="J510" s="61"/>
      <c r="K510" s="61"/>
      <c r="L510" s="61"/>
      <c r="M510" s="61"/>
      <c r="N510" s="61"/>
      <c r="O510" s="61"/>
      <c r="P510" s="61"/>
      <c r="Q510" s="61"/>
      <c r="R510" s="61"/>
      <c r="S510" s="61"/>
      <c r="T510" s="61"/>
      <c r="U510" s="61"/>
      <c r="V510" s="61"/>
      <c r="W510" s="61"/>
      <c r="X510" s="61"/>
      <c r="Y510" s="61"/>
    </row>
    <row r="511">
      <c r="A511" s="52"/>
      <c r="B511" s="61"/>
      <c r="C511" s="61"/>
      <c r="D511" s="52"/>
      <c r="E511" s="61"/>
      <c r="F511" s="61"/>
      <c r="G511" s="61"/>
      <c r="H511" s="61"/>
      <c r="I511" s="61"/>
      <c r="J511" s="61"/>
      <c r="K511" s="61"/>
      <c r="L511" s="61"/>
      <c r="M511" s="61"/>
      <c r="N511" s="61"/>
      <c r="O511" s="61"/>
      <c r="P511" s="61"/>
      <c r="Q511" s="61"/>
      <c r="R511" s="61"/>
      <c r="S511" s="61"/>
      <c r="T511" s="61"/>
      <c r="U511" s="61"/>
      <c r="V511" s="61"/>
      <c r="W511" s="61"/>
      <c r="X511" s="61"/>
      <c r="Y511" s="61"/>
    </row>
    <row r="512">
      <c r="A512" s="52"/>
      <c r="B512" s="61"/>
      <c r="C512" s="61"/>
      <c r="D512" s="52"/>
      <c r="E512" s="61"/>
      <c r="F512" s="61"/>
      <c r="G512" s="61"/>
      <c r="H512" s="61"/>
      <c r="I512" s="61"/>
      <c r="J512" s="61"/>
      <c r="K512" s="61"/>
      <c r="L512" s="61"/>
      <c r="M512" s="61"/>
      <c r="N512" s="61"/>
      <c r="O512" s="61"/>
      <c r="P512" s="61"/>
      <c r="Q512" s="61"/>
      <c r="R512" s="61"/>
      <c r="S512" s="61"/>
      <c r="T512" s="61"/>
      <c r="U512" s="61"/>
      <c r="V512" s="61"/>
      <c r="W512" s="61"/>
      <c r="X512" s="61"/>
      <c r="Y512" s="61"/>
    </row>
    <row r="513">
      <c r="A513" s="52"/>
      <c r="B513" s="61"/>
      <c r="C513" s="61"/>
      <c r="D513" s="52"/>
      <c r="E513" s="61"/>
      <c r="F513" s="61"/>
      <c r="G513" s="61"/>
      <c r="H513" s="61"/>
      <c r="I513" s="61"/>
      <c r="J513" s="61"/>
      <c r="K513" s="61"/>
      <c r="L513" s="61"/>
      <c r="M513" s="61"/>
      <c r="N513" s="61"/>
      <c r="O513" s="61"/>
      <c r="P513" s="61"/>
      <c r="Q513" s="61"/>
      <c r="R513" s="61"/>
      <c r="S513" s="61"/>
      <c r="T513" s="61"/>
      <c r="U513" s="61"/>
      <c r="V513" s="61"/>
      <c r="W513" s="61"/>
      <c r="X513" s="61"/>
      <c r="Y513" s="61"/>
    </row>
    <row r="514">
      <c r="A514" s="52"/>
      <c r="B514" s="61"/>
      <c r="C514" s="61"/>
      <c r="D514" s="52"/>
      <c r="E514" s="61"/>
      <c r="F514" s="61"/>
      <c r="G514" s="61"/>
      <c r="H514" s="61"/>
      <c r="I514" s="61"/>
      <c r="J514" s="61"/>
      <c r="K514" s="61"/>
      <c r="L514" s="61"/>
      <c r="M514" s="61"/>
      <c r="N514" s="61"/>
      <c r="O514" s="61"/>
      <c r="P514" s="61"/>
      <c r="Q514" s="61"/>
      <c r="R514" s="61"/>
      <c r="S514" s="61"/>
      <c r="T514" s="61"/>
      <c r="U514" s="61"/>
      <c r="V514" s="61"/>
      <c r="W514" s="61"/>
      <c r="X514" s="61"/>
      <c r="Y514" s="61"/>
    </row>
    <row r="515">
      <c r="A515" s="52"/>
      <c r="B515" s="61"/>
      <c r="C515" s="61"/>
      <c r="D515" s="52"/>
      <c r="E515" s="61"/>
      <c r="F515" s="61"/>
      <c r="G515" s="61"/>
      <c r="H515" s="61"/>
      <c r="I515" s="61"/>
      <c r="J515" s="61"/>
      <c r="K515" s="61"/>
      <c r="L515" s="61"/>
      <c r="M515" s="61"/>
      <c r="N515" s="61"/>
      <c r="O515" s="61"/>
      <c r="P515" s="61"/>
      <c r="Q515" s="61"/>
      <c r="R515" s="61"/>
      <c r="S515" s="61"/>
      <c r="T515" s="61"/>
      <c r="U515" s="61"/>
      <c r="V515" s="61"/>
      <c r="W515" s="61"/>
      <c r="X515" s="61"/>
      <c r="Y515" s="61"/>
    </row>
    <row r="516">
      <c r="A516" s="52"/>
      <c r="B516" s="61"/>
      <c r="C516" s="61"/>
      <c r="D516" s="52"/>
      <c r="E516" s="61"/>
      <c r="F516" s="61"/>
      <c r="G516" s="61"/>
      <c r="H516" s="61"/>
      <c r="I516" s="61"/>
      <c r="J516" s="61"/>
      <c r="K516" s="61"/>
      <c r="L516" s="61"/>
      <c r="M516" s="61"/>
      <c r="N516" s="61"/>
      <c r="O516" s="61"/>
      <c r="P516" s="61"/>
      <c r="Q516" s="61"/>
      <c r="R516" s="61"/>
      <c r="S516" s="61"/>
      <c r="T516" s="61"/>
      <c r="U516" s="61"/>
      <c r="V516" s="61"/>
      <c r="W516" s="61"/>
      <c r="X516" s="61"/>
      <c r="Y516" s="61"/>
    </row>
    <row r="517">
      <c r="A517" s="52"/>
      <c r="B517" s="61"/>
      <c r="C517" s="61"/>
      <c r="D517" s="52"/>
      <c r="E517" s="61"/>
      <c r="F517" s="61"/>
      <c r="G517" s="61"/>
      <c r="H517" s="61"/>
      <c r="I517" s="61"/>
      <c r="J517" s="61"/>
      <c r="K517" s="61"/>
      <c r="L517" s="61"/>
      <c r="M517" s="61"/>
      <c r="N517" s="61"/>
      <c r="O517" s="61"/>
      <c r="P517" s="61"/>
      <c r="Q517" s="61"/>
      <c r="R517" s="61"/>
      <c r="S517" s="61"/>
      <c r="T517" s="61"/>
      <c r="U517" s="61"/>
      <c r="V517" s="61"/>
      <c r="W517" s="61"/>
      <c r="X517" s="61"/>
      <c r="Y517" s="61"/>
    </row>
    <row r="518">
      <c r="A518" s="52"/>
      <c r="B518" s="61"/>
      <c r="C518" s="61"/>
      <c r="D518" s="52"/>
      <c r="E518" s="61"/>
      <c r="F518" s="61"/>
      <c r="G518" s="61"/>
      <c r="H518" s="61"/>
      <c r="I518" s="61"/>
      <c r="J518" s="61"/>
      <c r="K518" s="61"/>
      <c r="L518" s="61"/>
      <c r="M518" s="61"/>
      <c r="N518" s="61"/>
      <c r="O518" s="61"/>
      <c r="P518" s="61"/>
      <c r="Q518" s="61"/>
      <c r="R518" s="61"/>
      <c r="S518" s="61"/>
      <c r="T518" s="61"/>
      <c r="U518" s="61"/>
      <c r="V518" s="61"/>
      <c r="W518" s="61"/>
      <c r="X518" s="61"/>
      <c r="Y518" s="61"/>
    </row>
    <row r="519">
      <c r="A519" s="52"/>
      <c r="B519" s="61"/>
      <c r="C519" s="61"/>
      <c r="D519" s="52"/>
      <c r="E519" s="61"/>
      <c r="F519" s="61"/>
      <c r="G519" s="61"/>
      <c r="H519" s="61"/>
      <c r="I519" s="61"/>
      <c r="J519" s="61"/>
      <c r="K519" s="61"/>
      <c r="L519" s="61"/>
      <c r="M519" s="61"/>
      <c r="N519" s="61"/>
      <c r="O519" s="61"/>
      <c r="P519" s="61"/>
      <c r="Q519" s="61"/>
      <c r="R519" s="61"/>
      <c r="S519" s="61"/>
      <c r="T519" s="61"/>
      <c r="U519" s="61"/>
      <c r="V519" s="61"/>
      <c r="W519" s="61"/>
      <c r="X519" s="61"/>
      <c r="Y519" s="61"/>
    </row>
    <row r="520">
      <c r="A520" s="52"/>
      <c r="B520" s="61"/>
      <c r="C520" s="61"/>
      <c r="D520" s="52"/>
      <c r="E520" s="61"/>
      <c r="F520" s="61"/>
      <c r="G520" s="61"/>
      <c r="H520" s="61"/>
      <c r="I520" s="61"/>
      <c r="J520" s="61"/>
      <c r="K520" s="61"/>
      <c r="L520" s="61"/>
      <c r="M520" s="61"/>
      <c r="N520" s="61"/>
      <c r="O520" s="61"/>
      <c r="P520" s="61"/>
      <c r="Q520" s="61"/>
      <c r="R520" s="61"/>
      <c r="S520" s="61"/>
      <c r="T520" s="61"/>
      <c r="U520" s="61"/>
      <c r="V520" s="61"/>
      <c r="W520" s="61"/>
      <c r="X520" s="61"/>
      <c r="Y520" s="61"/>
    </row>
    <row r="521">
      <c r="A521" s="52"/>
      <c r="B521" s="61"/>
      <c r="C521" s="61"/>
      <c r="D521" s="52"/>
      <c r="E521" s="61"/>
      <c r="F521" s="61"/>
      <c r="G521" s="61"/>
      <c r="H521" s="61"/>
      <c r="I521" s="61"/>
      <c r="J521" s="61"/>
      <c r="K521" s="61"/>
      <c r="L521" s="61"/>
      <c r="M521" s="61"/>
      <c r="N521" s="61"/>
      <c r="O521" s="61"/>
      <c r="P521" s="61"/>
      <c r="Q521" s="61"/>
      <c r="R521" s="61"/>
      <c r="S521" s="61"/>
      <c r="T521" s="61"/>
      <c r="U521" s="61"/>
      <c r="V521" s="61"/>
      <c r="W521" s="61"/>
      <c r="X521" s="61"/>
      <c r="Y521" s="61"/>
    </row>
    <row r="522">
      <c r="A522" s="52"/>
      <c r="B522" s="61"/>
      <c r="C522" s="61"/>
      <c r="D522" s="52"/>
      <c r="E522" s="61"/>
      <c r="F522" s="61"/>
      <c r="G522" s="61"/>
      <c r="H522" s="61"/>
      <c r="I522" s="61"/>
      <c r="J522" s="61"/>
      <c r="K522" s="61"/>
      <c r="L522" s="61"/>
      <c r="M522" s="61"/>
      <c r="N522" s="61"/>
      <c r="O522" s="61"/>
      <c r="P522" s="61"/>
      <c r="Q522" s="61"/>
      <c r="R522" s="61"/>
      <c r="S522" s="61"/>
      <c r="T522" s="61"/>
      <c r="U522" s="61"/>
      <c r="V522" s="61"/>
      <c r="W522" s="61"/>
      <c r="X522" s="61"/>
      <c r="Y522" s="61"/>
    </row>
    <row r="523">
      <c r="A523" s="52"/>
      <c r="B523" s="61"/>
      <c r="C523" s="61"/>
      <c r="D523" s="52"/>
      <c r="E523" s="61"/>
      <c r="F523" s="61"/>
      <c r="G523" s="61"/>
      <c r="H523" s="61"/>
      <c r="I523" s="61"/>
      <c r="J523" s="61"/>
      <c r="K523" s="61"/>
      <c r="L523" s="61"/>
      <c r="M523" s="61"/>
      <c r="N523" s="61"/>
      <c r="O523" s="61"/>
      <c r="P523" s="61"/>
      <c r="Q523" s="61"/>
      <c r="R523" s="61"/>
      <c r="S523" s="61"/>
      <c r="T523" s="61"/>
      <c r="U523" s="61"/>
      <c r="V523" s="61"/>
      <c r="W523" s="61"/>
      <c r="X523" s="61"/>
      <c r="Y523" s="61"/>
    </row>
    <row r="524">
      <c r="A524" s="52"/>
      <c r="B524" s="61"/>
      <c r="C524" s="61"/>
      <c r="D524" s="52"/>
      <c r="E524" s="61"/>
      <c r="F524" s="61"/>
      <c r="G524" s="61"/>
      <c r="H524" s="61"/>
      <c r="I524" s="61"/>
      <c r="J524" s="61"/>
      <c r="K524" s="61"/>
      <c r="L524" s="61"/>
      <c r="M524" s="61"/>
      <c r="N524" s="61"/>
      <c r="O524" s="61"/>
      <c r="P524" s="61"/>
      <c r="Q524" s="61"/>
      <c r="R524" s="61"/>
      <c r="S524" s="61"/>
      <c r="T524" s="61"/>
      <c r="U524" s="61"/>
      <c r="V524" s="61"/>
      <c r="W524" s="61"/>
      <c r="X524" s="61"/>
      <c r="Y524" s="61"/>
    </row>
    <row r="525">
      <c r="A525" s="52"/>
      <c r="B525" s="61"/>
      <c r="C525" s="61"/>
      <c r="D525" s="52"/>
      <c r="E525" s="61"/>
      <c r="F525" s="61"/>
      <c r="G525" s="61"/>
      <c r="H525" s="61"/>
      <c r="I525" s="61"/>
      <c r="J525" s="61"/>
      <c r="K525" s="61"/>
      <c r="L525" s="61"/>
      <c r="M525" s="61"/>
      <c r="N525" s="61"/>
      <c r="O525" s="61"/>
      <c r="P525" s="61"/>
      <c r="Q525" s="61"/>
      <c r="R525" s="61"/>
      <c r="S525" s="61"/>
      <c r="T525" s="61"/>
      <c r="U525" s="61"/>
      <c r="V525" s="61"/>
      <c r="W525" s="61"/>
      <c r="X525" s="61"/>
      <c r="Y525" s="61"/>
    </row>
    <row r="526">
      <c r="A526" s="52"/>
      <c r="B526" s="61"/>
      <c r="C526" s="61"/>
      <c r="D526" s="52"/>
      <c r="E526" s="61"/>
      <c r="F526" s="61"/>
      <c r="G526" s="61"/>
      <c r="H526" s="61"/>
      <c r="I526" s="61"/>
      <c r="J526" s="61"/>
      <c r="K526" s="61"/>
      <c r="L526" s="61"/>
      <c r="M526" s="61"/>
      <c r="N526" s="61"/>
      <c r="O526" s="61"/>
      <c r="P526" s="61"/>
      <c r="Q526" s="61"/>
      <c r="R526" s="61"/>
      <c r="S526" s="61"/>
      <c r="T526" s="61"/>
      <c r="U526" s="61"/>
      <c r="V526" s="61"/>
      <c r="W526" s="61"/>
      <c r="X526" s="61"/>
      <c r="Y526" s="61"/>
    </row>
    <row r="527">
      <c r="A527" s="52"/>
      <c r="B527" s="61"/>
      <c r="C527" s="61"/>
      <c r="D527" s="52"/>
      <c r="E527" s="61"/>
      <c r="F527" s="61"/>
      <c r="G527" s="61"/>
      <c r="H527" s="61"/>
      <c r="I527" s="61"/>
      <c r="J527" s="61"/>
      <c r="K527" s="61"/>
      <c r="L527" s="61"/>
      <c r="M527" s="61"/>
      <c r="N527" s="61"/>
      <c r="O527" s="61"/>
      <c r="P527" s="61"/>
      <c r="Q527" s="61"/>
      <c r="R527" s="61"/>
      <c r="S527" s="61"/>
      <c r="T527" s="61"/>
      <c r="U527" s="61"/>
      <c r="V527" s="61"/>
      <c r="W527" s="61"/>
      <c r="X527" s="61"/>
      <c r="Y527" s="61"/>
    </row>
    <row r="528">
      <c r="A528" s="52"/>
      <c r="B528" s="61"/>
      <c r="C528" s="61"/>
      <c r="D528" s="52"/>
      <c r="E528" s="61"/>
      <c r="F528" s="61"/>
      <c r="G528" s="61"/>
      <c r="H528" s="61"/>
      <c r="I528" s="61"/>
      <c r="J528" s="61"/>
      <c r="K528" s="61"/>
      <c r="L528" s="61"/>
      <c r="M528" s="61"/>
      <c r="N528" s="61"/>
      <c r="O528" s="61"/>
      <c r="P528" s="61"/>
      <c r="Q528" s="61"/>
      <c r="R528" s="61"/>
      <c r="S528" s="61"/>
      <c r="T528" s="61"/>
      <c r="U528" s="61"/>
      <c r="V528" s="61"/>
      <c r="W528" s="61"/>
      <c r="X528" s="61"/>
      <c r="Y528" s="61"/>
    </row>
    <row r="529">
      <c r="A529" s="52"/>
      <c r="B529" s="61"/>
      <c r="C529" s="61"/>
      <c r="D529" s="52"/>
      <c r="E529" s="61"/>
      <c r="F529" s="61"/>
      <c r="G529" s="61"/>
      <c r="H529" s="61"/>
      <c r="I529" s="61"/>
      <c r="J529" s="61"/>
      <c r="K529" s="61"/>
      <c r="L529" s="61"/>
      <c r="M529" s="61"/>
      <c r="N529" s="61"/>
      <c r="O529" s="61"/>
      <c r="P529" s="61"/>
      <c r="Q529" s="61"/>
      <c r="R529" s="61"/>
      <c r="S529" s="61"/>
      <c r="T529" s="61"/>
      <c r="U529" s="61"/>
      <c r="V529" s="61"/>
      <c r="W529" s="61"/>
      <c r="X529" s="61"/>
      <c r="Y529" s="61"/>
    </row>
    <row r="530">
      <c r="A530" s="52"/>
      <c r="B530" s="61"/>
      <c r="C530" s="61"/>
      <c r="D530" s="52"/>
      <c r="E530" s="61"/>
      <c r="F530" s="61"/>
      <c r="G530" s="61"/>
      <c r="H530" s="61"/>
      <c r="I530" s="61"/>
      <c r="J530" s="61"/>
      <c r="K530" s="61"/>
      <c r="L530" s="61"/>
      <c r="M530" s="61"/>
      <c r="N530" s="61"/>
      <c r="O530" s="61"/>
      <c r="P530" s="61"/>
      <c r="Q530" s="61"/>
      <c r="R530" s="61"/>
      <c r="S530" s="61"/>
      <c r="T530" s="61"/>
      <c r="U530" s="61"/>
      <c r="V530" s="61"/>
      <c r="W530" s="61"/>
      <c r="X530" s="61"/>
      <c r="Y530" s="61"/>
    </row>
    <row r="531">
      <c r="A531" s="52"/>
      <c r="B531" s="61"/>
      <c r="C531" s="61"/>
      <c r="D531" s="52"/>
      <c r="E531" s="61"/>
      <c r="F531" s="61"/>
      <c r="G531" s="61"/>
      <c r="H531" s="61"/>
      <c r="I531" s="61"/>
      <c r="J531" s="61"/>
      <c r="K531" s="61"/>
      <c r="L531" s="61"/>
      <c r="M531" s="61"/>
      <c r="N531" s="61"/>
      <c r="O531" s="61"/>
      <c r="P531" s="61"/>
      <c r="Q531" s="61"/>
      <c r="R531" s="61"/>
      <c r="S531" s="61"/>
      <c r="T531" s="61"/>
      <c r="U531" s="61"/>
      <c r="V531" s="61"/>
      <c r="W531" s="61"/>
      <c r="X531" s="61"/>
      <c r="Y531" s="61"/>
    </row>
    <row r="532">
      <c r="A532" s="52"/>
      <c r="B532" s="61"/>
      <c r="C532" s="61"/>
      <c r="D532" s="52"/>
      <c r="E532" s="61"/>
      <c r="F532" s="61"/>
      <c r="G532" s="61"/>
      <c r="H532" s="61"/>
      <c r="I532" s="61"/>
      <c r="J532" s="61"/>
      <c r="K532" s="61"/>
      <c r="L532" s="61"/>
      <c r="M532" s="61"/>
      <c r="N532" s="61"/>
      <c r="O532" s="61"/>
      <c r="P532" s="61"/>
      <c r="Q532" s="61"/>
      <c r="R532" s="61"/>
      <c r="S532" s="61"/>
      <c r="T532" s="61"/>
      <c r="U532" s="61"/>
      <c r="V532" s="61"/>
      <c r="W532" s="61"/>
      <c r="X532" s="61"/>
      <c r="Y532" s="61"/>
    </row>
    <row r="533">
      <c r="A533" s="52"/>
      <c r="B533" s="61"/>
      <c r="C533" s="61"/>
      <c r="D533" s="52"/>
      <c r="E533" s="61"/>
      <c r="F533" s="61"/>
      <c r="G533" s="61"/>
      <c r="H533" s="61"/>
      <c r="I533" s="61"/>
      <c r="J533" s="61"/>
      <c r="K533" s="61"/>
      <c r="L533" s="61"/>
      <c r="M533" s="61"/>
      <c r="N533" s="61"/>
      <c r="O533" s="61"/>
      <c r="P533" s="61"/>
      <c r="Q533" s="61"/>
      <c r="R533" s="61"/>
      <c r="S533" s="61"/>
      <c r="T533" s="61"/>
      <c r="U533" s="61"/>
      <c r="V533" s="61"/>
      <c r="W533" s="61"/>
      <c r="X533" s="61"/>
      <c r="Y533" s="61"/>
    </row>
    <row r="534">
      <c r="A534" s="52"/>
      <c r="B534" s="61"/>
      <c r="C534" s="61"/>
      <c r="D534" s="52"/>
      <c r="E534" s="61"/>
      <c r="F534" s="61"/>
      <c r="G534" s="61"/>
      <c r="H534" s="61"/>
      <c r="I534" s="61"/>
      <c r="J534" s="61"/>
      <c r="K534" s="61"/>
      <c r="L534" s="61"/>
      <c r="M534" s="61"/>
      <c r="N534" s="61"/>
      <c r="O534" s="61"/>
      <c r="P534" s="61"/>
      <c r="Q534" s="61"/>
      <c r="R534" s="61"/>
      <c r="S534" s="61"/>
      <c r="T534" s="61"/>
      <c r="U534" s="61"/>
      <c r="V534" s="61"/>
      <c r="W534" s="61"/>
      <c r="X534" s="61"/>
      <c r="Y534" s="61"/>
    </row>
    <row r="535">
      <c r="A535" s="52"/>
      <c r="B535" s="61"/>
      <c r="C535" s="61"/>
      <c r="D535" s="52"/>
      <c r="E535" s="61"/>
      <c r="F535" s="61"/>
      <c r="G535" s="61"/>
      <c r="H535" s="61"/>
      <c r="I535" s="61"/>
      <c r="J535" s="61"/>
      <c r="K535" s="61"/>
      <c r="L535" s="61"/>
      <c r="M535" s="61"/>
      <c r="N535" s="61"/>
      <c r="O535" s="61"/>
      <c r="P535" s="61"/>
      <c r="Q535" s="61"/>
      <c r="R535" s="61"/>
      <c r="S535" s="61"/>
      <c r="T535" s="61"/>
      <c r="U535" s="61"/>
      <c r="V535" s="61"/>
      <c r="W535" s="61"/>
      <c r="X535" s="61"/>
      <c r="Y535" s="61"/>
    </row>
    <row r="536">
      <c r="A536" s="52"/>
      <c r="B536" s="61"/>
      <c r="C536" s="61"/>
      <c r="D536" s="52"/>
      <c r="E536" s="61"/>
      <c r="F536" s="61"/>
      <c r="G536" s="61"/>
      <c r="H536" s="61"/>
      <c r="I536" s="61"/>
      <c r="J536" s="61"/>
      <c r="K536" s="61"/>
      <c r="L536" s="61"/>
      <c r="M536" s="61"/>
      <c r="N536" s="61"/>
      <c r="O536" s="61"/>
      <c r="P536" s="61"/>
      <c r="Q536" s="61"/>
      <c r="R536" s="61"/>
      <c r="S536" s="61"/>
      <c r="T536" s="61"/>
      <c r="U536" s="61"/>
      <c r="V536" s="61"/>
      <c r="W536" s="61"/>
      <c r="X536" s="61"/>
      <c r="Y536" s="61"/>
    </row>
    <row r="537">
      <c r="A537" s="52"/>
      <c r="B537" s="61"/>
      <c r="C537" s="61"/>
      <c r="D537" s="52"/>
      <c r="E537" s="61"/>
      <c r="F537" s="61"/>
      <c r="G537" s="61"/>
      <c r="H537" s="61"/>
      <c r="I537" s="61"/>
      <c r="J537" s="61"/>
      <c r="K537" s="61"/>
      <c r="L537" s="61"/>
      <c r="M537" s="61"/>
      <c r="N537" s="61"/>
      <c r="O537" s="61"/>
      <c r="P537" s="61"/>
      <c r="Q537" s="61"/>
      <c r="R537" s="61"/>
      <c r="S537" s="61"/>
      <c r="T537" s="61"/>
      <c r="U537" s="61"/>
      <c r="V537" s="61"/>
      <c r="W537" s="61"/>
      <c r="X537" s="61"/>
      <c r="Y537" s="61"/>
    </row>
    <row r="538">
      <c r="A538" s="52"/>
      <c r="B538" s="61"/>
      <c r="C538" s="61"/>
      <c r="D538" s="52"/>
      <c r="E538" s="61"/>
      <c r="F538" s="61"/>
      <c r="G538" s="61"/>
      <c r="H538" s="61"/>
      <c r="I538" s="61"/>
      <c r="J538" s="61"/>
      <c r="K538" s="61"/>
      <c r="L538" s="61"/>
      <c r="M538" s="61"/>
      <c r="N538" s="61"/>
      <c r="O538" s="61"/>
      <c r="P538" s="61"/>
      <c r="Q538" s="61"/>
      <c r="R538" s="61"/>
      <c r="S538" s="61"/>
      <c r="T538" s="61"/>
      <c r="U538" s="61"/>
      <c r="V538" s="61"/>
      <c r="W538" s="61"/>
      <c r="X538" s="61"/>
      <c r="Y538" s="61"/>
    </row>
    <row r="539">
      <c r="A539" s="52"/>
      <c r="B539" s="61"/>
      <c r="C539" s="61"/>
      <c r="D539" s="52"/>
      <c r="E539" s="61"/>
      <c r="F539" s="61"/>
      <c r="G539" s="61"/>
      <c r="H539" s="61"/>
      <c r="I539" s="61"/>
      <c r="J539" s="61"/>
      <c r="K539" s="61"/>
      <c r="L539" s="61"/>
      <c r="M539" s="61"/>
      <c r="N539" s="61"/>
      <c r="O539" s="61"/>
      <c r="P539" s="61"/>
      <c r="Q539" s="61"/>
      <c r="R539" s="61"/>
      <c r="S539" s="61"/>
      <c r="T539" s="61"/>
      <c r="U539" s="61"/>
      <c r="V539" s="61"/>
      <c r="W539" s="61"/>
      <c r="X539" s="61"/>
      <c r="Y539" s="61"/>
    </row>
    <row r="540">
      <c r="A540" s="52"/>
      <c r="B540" s="61"/>
      <c r="C540" s="61"/>
      <c r="D540" s="52"/>
      <c r="E540" s="61"/>
      <c r="F540" s="61"/>
      <c r="G540" s="61"/>
      <c r="H540" s="61"/>
      <c r="I540" s="61"/>
      <c r="J540" s="61"/>
      <c r="K540" s="61"/>
      <c r="L540" s="61"/>
      <c r="M540" s="61"/>
      <c r="N540" s="61"/>
      <c r="O540" s="61"/>
      <c r="P540" s="61"/>
      <c r="Q540" s="61"/>
      <c r="R540" s="61"/>
      <c r="S540" s="61"/>
      <c r="T540" s="61"/>
      <c r="U540" s="61"/>
      <c r="V540" s="61"/>
      <c r="W540" s="61"/>
      <c r="X540" s="61"/>
      <c r="Y540" s="61"/>
    </row>
    <row r="541">
      <c r="A541" s="52"/>
      <c r="B541" s="61"/>
      <c r="C541" s="61"/>
      <c r="D541" s="52"/>
      <c r="E541" s="61"/>
      <c r="F541" s="61"/>
      <c r="G541" s="61"/>
      <c r="H541" s="61"/>
      <c r="I541" s="61"/>
      <c r="J541" s="61"/>
      <c r="K541" s="61"/>
      <c r="L541" s="61"/>
      <c r="M541" s="61"/>
      <c r="N541" s="61"/>
      <c r="O541" s="61"/>
      <c r="P541" s="61"/>
      <c r="Q541" s="61"/>
      <c r="R541" s="61"/>
      <c r="S541" s="61"/>
      <c r="T541" s="61"/>
      <c r="U541" s="61"/>
      <c r="V541" s="61"/>
      <c r="W541" s="61"/>
      <c r="X541" s="61"/>
      <c r="Y541" s="61"/>
    </row>
    <row r="542">
      <c r="A542" s="52"/>
      <c r="B542" s="61"/>
      <c r="C542" s="61"/>
      <c r="D542" s="52"/>
      <c r="E542" s="61"/>
      <c r="F542" s="61"/>
      <c r="G542" s="61"/>
      <c r="H542" s="61"/>
      <c r="I542" s="61"/>
      <c r="J542" s="61"/>
      <c r="K542" s="61"/>
      <c r="L542" s="61"/>
      <c r="M542" s="61"/>
      <c r="N542" s="61"/>
      <c r="O542" s="61"/>
      <c r="P542" s="61"/>
      <c r="Q542" s="61"/>
      <c r="R542" s="61"/>
      <c r="S542" s="61"/>
      <c r="T542" s="61"/>
      <c r="U542" s="61"/>
      <c r="V542" s="61"/>
      <c r="W542" s="61"/>
      <c r="X542" s="61"/>
      <c r="Y542" s="61"/>
    </row>
    <row r="543">
      <c r="A543" s="52"/>
      <c r="B543" s="61"/>
      <c r="C543" s="61"/>
      <c r="D543" s="52"/>
      <c r="E543" s="61"/>
      <c r="F543" s="61"/>
      <c r="G543" s="61"/>
      <c r="H543" s="61"/>
      <c r="I543" s="61"/>
      <c r="J543" s="61"/>
      <c r="K543" s="61"/>
      <c r="L543" s="61"/>
      <c r="M543" s="61"/>
      <c r="N543" s="61"/>
      <c r="O543" s="61"/>
      <c r="P543" s="61"/>
      <c r="Q543" s="61"/>
      <c r="R543" s="61"/>
      <c r="S543" s="61"/>
      <c r="T543" s="61"/>
      <c r="U543" s="61"/>
      <c r="V543" s="61"/>
      <c r="W543" s="61"/>
      <c r="X543" s="61"/>
      <c r="Y543" s="61"/>
    </row>
    <row r="544">
      <c r="A544" s="52"/>
      <c r="B544" s="61"/>
      <c r="C544" s="61"/>
      <c r="D544" s="52"/>
      <c r="E544" s="61"/>
      <c r="F544" s="61"/>
      <c r="G544" s="61"/>
      <c r="H544" s="61"/>
      <c r="I544" s="61"/>
      <c r="J544" s="61"/>
      <c r="K544" s="61"/>
      <c r="L544" s="61"/>
      <c r="M544" s="61"/>
      <c r="N544" s="61"/>
      <c r="O544" s="61"/>
      <c r="P544" s="61"/>
      <c r="Q544" s="61"/>
      <c r="R544" s="61"/>
      <c r="S544" s="61"/>
      <c r="T544" s="61"/>
      <c r="U544" s="61"/>
      <c r="V544" s="61"/>
      <c r="W544" s="61"/>
      <c r="X544" s="61"/>
      <c r="Y544" s="61"/>
    </row>
    <row r="545">
      <c r="A545" s="52"/>
      <c r="B545" s="61"/>
      <c r="C545" s="61"/>
      <c r="D545" s="52"/>
      <c r="E545" s="61"/>
      <c r="F545" s="61"/>
      <c r="G545" s="61"/>
      <c r="H545" s="61"/>
      <c r="I545" s="61"/>
      <c r="J545" s="61"/>
      <c r="K545" s="61"/>
      <c r="L545" s="61"/>
      <c r="M545" s="61"/>
      <c r="N545" s="61"/>
      <c r="O545" s="61"/>
      <c r="P545" s="61"/>
      <c r="Q545" s="61"/>
      <c r="R545" s="61"/>
      <c r="S545" s="61"/>
      <c r="T545" s="61"/>
      <c r="U545" s="61"/>
      <c r="V545" s="61"/>
      <c r="W545" s="61"/>
      <c r="X545" s="61"/>
      <c r="Y545" s="61"/>
    </row>
    <row r="546">
      <c r="A546" s="52"/>
      <c r="B546" s="61"/>
      <c r="C546" s="61"/>
      <c r="D546" s="52"/>
      <c r="E546" s="61"/>
      <c r="F546" s="61"/>
      <c r="G546" s="61"/>
      <c r="H546" s="61"/>
      <c r="I546" s="61"/>
      <c r="J546" s="61"/>
      <c r="K546" s="61"/>
      <c r="L546" s="61"/>
      <c r="M546" s="61"/>
      <c r="N546" s="61"/>
      <c r="O546" s="61"/>
      <c r="P546" s="61"/>
      <c r="Q546" s="61"/>
      <c r="R546" s="61"/>
      <c r="S546" s="61"/>
      <c r="T546" s="61"/>
      <c r="U546" s="61"/>
      <c r="V546" s="61"/>
      <c r="W546" s="61"/>
      <c r="X546" s="61"/>
      <c r="Y546" s="61"/>
    </row>
    <row r="547">
      <c r="A547" s="52"/>
      <c r="B547" s="61"/>
      <c r="C547" s="61"/>
      <c r="D547" s="52"/>
      <c r="E547" s="61"/>
      <c r="F547" s="61"/>
      <c r="G547" s="61"/>
      <c r="H547" s="61"/>
      <c r="I547" s="61"/>
      <c r="J547" s="61"/>
      <c r="K547" s="61"/>
      <c r="L547" s="61"/>
      <c r="M547" s="61"/>
      <c r="N547" s="61"/>
      <c r="O547" s="61"/>
      <c r="P547" s="61"/>
      <c r="Q547" s="61"/>
      <c r="R547" s="61"/>
      <c r="S547" s="61"/>
      <c r="T547" s="61"/>
      <c r="U547" s="61"/>
      <c r="V547" s="61"/>
      <c r="W547" s="61"/>
      <c r="X547" s="61"/>
      <c r="Y547" s="61"/>
    </row>
    <row r="548">
      <c r="A548" s="52"/>
      <c r="B548" s="61"/>
      <c r="C548" s="61"/>
      <c r="D548" s="52"/>
      <c r="E548" s="61"/>
      <c r="F548" s="61"/>
      <c r="G548" s="61"/>
      <c r="H548" s="61"/>
      <c r="I548" s="61"/>
      <c r="J548" s="61"/>
      <c r="K548" s="61"/>
      <c r="L548" s="61"/>
      <c r="M548" s="61"/>
      <c r="N548" s="61"/>
      <c r="O548" s="61"/>
      <c r="P548" s="61"/>
      <c r="Q548" s="61"/>
      <c r="R548" s="61"/>
      <c r="S548" s="61"/>
      <c r="T548" s="61"/>
      <c r="U548" s="61"/>
      <c r="V548" s="61"/>
      <c r="W548" s="61"/>
      <c r="X548" s="61"/>
      <c r="Y548" s="61"/>
    </row>
    <row r="549">
      <c r="A549" s="52"/>
      <c r="B549" s="61"/>
      <c r="C549" s="61"/>
      <c r="D549" s="52"/>
      <c r="E549" s="61"/>
      <c r="F549" s="61"/>
      <c r="G549" s="61"/>
      <c r="H549" s="61"/>
      <c r="I549" s="61"/>
      <c r="J549" s="61"/>
      <c r="K549" s="61"/>
      <c r="L549" s="61"/>
      <c r="M549" s="61"/>
      <c r="N549" s="61"/>
      <c r="O549" s="61"/>
      <c r="P549" s="61"/>
      <c r="Q549" s="61"/>
      <c r="R549" s="61"/>
      <c r="S549" s="61"/>
      <c r="T549" s="61"/>
      <c r="U549" s="61"/>
      <c r="V549" s="61"/>
      <c r="W549" s="61"/>
      <c r="X549" s="61"/>
      <c r="Y549" s="61"/>
    </row>
    <row r="550">
      <c r="A550" s="52"/>
      <c r="B550" s="61"/>
      <c r="C550" s="61"/>
      <c r="D550" s="52"/>
      <c r="E550" s="61"/>
      <c r="F550" s="61"/>
      <c r="G550" s="61"/>
      <c r="H550" s="61"/>
      <c r="I550" s="61"/>
      <c r="J550" s="61"/>
      <c r="K550" s="61"/>
      <c r="L550" s="61"/>
      <c r="M550" s="61"/>
      <c r="N550" s="61"/>
      <c r="O550" s="61"/>
      <c r="P550" s="61"/>
      <c r="Q550" s="61"/>
      <c r="R550" s="61"/>
      <c r="S550" s="61"/>
      <c r="T550" s="61"/>
      <c r="U550" s="61"/>
      <c r="V550" s="61"/>
      <c r="W550" s="61"/>
      <c r="X550" s="61"/>
      <c r="Y550" s="61"/>
    </row>
    <row r="551">
      <c r="A551" s="52"/>
      <c r="B551" s="61"/>
      <c r="C551" s="61"/>
      <c r="D551" s="52"/>
      <c r="E551" s="61"/>
      <c r="F551" s="61"/>
      <c r="G551" s="61"/>
      <c r="H551" s="61"/>
      <c r="I551" s="61"/>
      <c r="J551" s="61"/>
      <c r="K551" s="61"/>
      <c r="L551" s="61"/>
      <c r="M551" s="61"/>
      <c r="N551" s="61"/>
      <c r="O551" s="61"/>
      <c r="P551" s="61"/>
      <c r="Q551" s="61"/>
      <c r="R551" s="61"/>
      <c r="S551" s="61"/>
      <c r="T551" s="61"/>
      <c r="U551" s="61"/>
      <c r="V551" s="61"/>
      <c r="W551" s="61"/>
      <c r="X551" s="61"/>
      <c r="Y551" s="61"/>
    </row>
    <row r="552">
      <c r="A552" s="52"/>
      <c r="B552" s="61"/>
      <c r="C552" s="61"/>
      <c r="D552" s="52"/>
      <c r="E552" s="61"/>
      <c r="F552" s="61"/>
      <c r="G552" s="61"/>
      <c r="H552" s="61"/>
      <c r="I552" s="61"/>
      <c r="J552" s="61"/>
      <c r="K552" s="61"/>
      <c r="L552" s="61"/>
      <c r="M552" s="61"/>
      <c r="N552" s="61"/>
      <c r="O552" s="61"/>
      <c r="P552" s="61"/>
      <c r="Q552" s="61"/>
      <c r="R552" s="61"/>
      <c r="S552" s="61"/>
      <c r="T552" s="61"/>
      <c r="U552" s="61"/>
      <c r="V552" s="61"/>
      <c r="W552" s="61"/>
      <c r="X552" s="61"/>
      <c r="Y552" s="61"/>
    </row>
    <row r="553">
      <c r="A553" s="52"/>
      <c r="B553" s="61"/>
      <c r="C553" s="61"/>
      <c r="D553" s="52"/>
      <c r="E553" s="61"/>
      <c r="F553" s="61"/>
      <c r="G553" s="61"/>
      <c r="H553" s="61"/>
      <c r="I553" s="61"/>
      <c r="J553" s="61"/>
      <c r="K553" s="61"/>
      <c r="L553" s="61"/>
      <c r="M553" s="61"/>
      <c r="N553" s="61"/>
      <c r="O553" s="61"/>
      <c r="P553" s="61"/>
      <c r="Q553" s="61"/>
      <c r="R553" s="61"/>
      <c r="S553" s="61"/>
      <c r="T553" s="61"/>
      <c r="U553" s="61"/>
      <c r="V553" s="61"/>
      <c r="W553" s="61"/>
      <c r="X553" s="61"/>
      <c r="Y553" s="61"/>
    </row>
    <row r="554">
      <c r="A554" s="52"/>
      <c r="B554" s="61"/>
      <c r="C554" s="61"/>
      <c r="D554" s="52"/>
      <c r="E554" s="61"/>
      <c r="F554" s="61"/>
      <c r="G554" s="61"/>
      <c r="H554" s="61"/>
      <c r="I554" s="61"/>
      <c r="J554" s="61"/>
      <c r="K554" s="61"/>
      <c r="L554" s="61"/>
      <c r="M554" s="61"/>
      <c r="N554" s="61"/>
      <c r="O554" s="61"/>
      <c r="P554" s="61"/>
      <c r="Q554" s="61"/>
      <c r="R554" s="61"/>
      <c r="S554" s="61"/>
      <c r="T554" s="61"/>
      <c r="U554" s="61"/>
      <c r="V554" s="61"/>
      <c r="W554" s="61"/>
      <c r="X554" s="61"/>
      <c r="Y554" s="61"/>
    </row>
    <row r="555">
      <c r="A555" s="52"/>
      <c r="B555" s="61"/>
      <c r="C555" s="61"/>
      <c r="D555" s="52"/>
      <c r="E555" s="61"/>
      <c r="F555" s="61"/>
      <c r="G555" s="61"/>
      <c r="H555" s="61"/>
      <c r="I555" s="61"/>
      <c r="J555" s="61"/>
      <c r="K555" s="61"/>
      <c r="L555" s="61"/>
      <c r="M555" s="61"/>
      <c r="N555" s="61"/>
      <c r="O555" s="61"/>
      <c r="P555" s="61"/>
      <c r="Q555" s="61"/>
      <c r="R555" s="61"/>
      <c r="S555" s="61"/>
      <c r="T555" s="61"/>
      <c r="U555" s="61"/>
      <c r="V555" s="61"/>
      <c r="W555" s="61"/>
      <c r="X555" s="61"/>
      <c r="Y555" s="61"/>
    </row>
    <row r="556">
      <c r="A556" s="52"/>
      <c r="B556" s="61"/>
      <c r="C556" s="61"/>
      <c r="D556" s="52"/>
      <c r="E556" s="61"/>
      <c r="F556" s="61"/>
      <c r="G556" s="61"/>
      <c r="H556" s="61"/>
      <c r="I556" s="61"/>
      <c r="J556" s="61"/>
      <c r="K556" s="61"/>
      <c r="L556" s="61"/>
      <c r="M556" s="61"/>
      <c r="N556" s="61"/>
      <c r="O556" s="61"/>
      <c r="P556" s="61"/>
      <c r="Q556" s="61"/>
      <c r="R556" s="61"/>
      <c r="S556" s="61"/>
      <c r="T556" s="61"/>
      <c r="U556" s="61"/>
      <c r="V556" s="61"/>
      <c r="W556" s="61"/>
      <c r="X556" s="61"/>
      <c r="Y556" s="61"/>
    </row>
    <row r="557">
      <c r="A557" s="52"/>
      <c r="B557" s="61"/>
      <c r="C557" s="61"/>
      <c r="D557" s="52"/>
      <c r="E557" s="61"/>
      <c r="F557" s="61"/>
      <c r="G557" s="61"/>
      <c r="H557" s="61"/>
      <c r="I557" s="61"/>
      <c r="J557" s="61"/>
      <c r="K557" s="61"/>
      <c r="L557" s="61"/>
      <c r="M557" s="61"/>
      <c r="N557" s="61"/>
      <c r="O557" s="61"/>
      <c r="P557" s="61"/>
      <c r="Q557" s="61"/>
      <c r="R557" s="61"/>
      <c r="S557" s="61"/>
      <c r="T557" s="61"/>
      <c r="U557" s="61"/>
      <c r="V557" s="61"/>
      <c r="W557" s="61"/>
      <c r="X557" s="61"/>
      <c r="Y557" s="61"/>
    </row>
    <row r="558">
      <c r="A558" s="52"/>
      <c r="B558" s="61"/>
      <c r="C558" s="61"/>
      <c r="D558" s="52"/>
      <c r="E558" s="61"/>
      <c r="F558" s="61"/>
      <c r="G558" s="61"/>
      <c r="H558" s="61"/>
      <c r="I558" s="61"/>
      <c r="J558" s="61"/>
      <c r="K558" s="61"/>
      <c r="L558" s="61"/>
      <c r="M558" s="61"/>
      <c r="N558" s="61"/>
      <c r="O558" s="61"/>
      <c r="P558" s="61"/>
      <c r="Q558" s="61"/>
      <c r="R558" s="61"/>
      <c r="S558" s="61"/>
      <c r="T558" s="61"/>
      <c r="U558" s="61"/>
      <c r="V558" s="61"/>
      <c r="W558" s="61"/>
      <c r="X558" s="61"/>
      <c r="Y558" s="61"/>
    </row>
    <row r="559">
      <c r="A559" s="52"/>
      <c r="B559" s="61"/>
      <c r="C559" s="61"/>
      <c r="D559" s="52"/>
      <c r="E559" s="61"/>
      <c r="F559" s="61"/>
      <c r="G559" s="61"/>
      <c r="H559" s="61"/>
      <c r="I559" s="61"/>
      <c r="J559" s="61"/>
      <c r="K559" s="61"/>
      <c r="L559" s="61"/>
      <c r="M559" s="61"/>
      <c r="N559" s="61"/>
      <c r="O559" s="61"/>
      <c r="P559" s="61"/>
      <c r="Q559" s="61"/>
      <c r="R559" s="61"/>
      <c r="S559" s="61"/>
      <c r="T559" s="61"/>
      <c r="U559" s="61"/>
      <c r="V559" s="61"/>
      <c r="W559" s="61"/>
      <c r="X559" s="61"/>
      <c r="Y559" s="61"/>
    </row>
    <row r="560">
      <c r="A560" s="52"/>
      <c r="B560" s="61"/>
      <c r="C560" s="61"/>
      <c r="D560" s="52"/>
      <c r="E560" s="61"/>
      <c r="F560" s="61"/>
      <c r="G560" s="61"/>
      <c r="H560" s="61"/>
      <c r="I560" s="61"/>
      <c r="J560" s="61"/>
      <c r="K560" s="61"/>
      <c r="L560" s="61"/>
      <c r="M560" s="61"/>
      <c r="N560" s="61"/>
      <c r="O560" s="61"/>
      <c r="P560" s="61"/>
      <c r="Q560" s="61"/>
      <c r="R560" s="61"/>
      <c r="S560" s="61"/>
      <c r="T560" s="61"/>
      <c r="U560" s="61"/>
      <c r="V560" s="61"/>
      <c r="W560" s="61"/>
      <c r="X560" s="61"/>
      <c r="Y560" s="61"/>
    </row>
    <row r="561">
      <c r="A561" s="52"/>
      <c r="B561" s="61"/>
      <c r="C561" s="61"/>
      <c r="D561" s="52"/>
      <c r="E561" s="61"/>
      <c r="F561" s="61"/>
      <c r="G561" s="61"/>
      <c r="H561" s="61"/>
      <c r="I561" s="61"/>
      <c r="J561" s="61"/>
      <c r="K561" s="61"/>
      <c r="L561" s="61"/>
      <c r="M561" s="61"/>
      <c r="N561" s="61"/>
      <c r="O561" s="61"/>
      <c r="P561" s="61"/>
      <c r="Q561" s="61"/>
      <c r="R561" s="61"/>
      <c r="S561" s="61"/>
      <c r="T561" s="61"/>
      <c r="U561" s="61"/>
      <c r="V561" s="61"/>
      <c r="W561" s="61"/>
      <c r="X561" s="61"/>
      <c r="Y561" s="61"/>
    </row>
    <row r="562">
      <c r="A562" s="52"/>
      <c r="B562" s="61"/>
      <c r="C562" s="61"/>
      <c r="D562" s="52"/>
      <c r="E562" s="61"/>
      <c r="F562" s="61"/>
      <c r="G562" s="61"/>
      <c r="H562" s="61"/>
      <c r="I562" s="61"/>
      <c r="J562" s="61"/>
      <c r="K562" s="61"/>
      <c r="L562" s="61"/>
      <c r="M562" s="61"/>
      <c r="N562" s="61"/>
      <c r="O562" s="61"/>
      <c r="P562" s="61"/>
      <c r="Q562" s="61"/>
      <c r="R562" s="61"/>
      <c r="S562" s="61"/>
      <c r="T562" s="61"/>
      <c r="U562" s="61"/>
      <c r="V562" s="61"/>
      <c r="W562" s="61"/>
      <c r="X562" s="61"/>
      <c r="Y562" s="61"/>
    </row>
    <row r="563">
      <c r="A563" s="52"/>
      <c r="B563" s="61"/>
      <c r="C563" s="61"/>
      <c r="D563" s="52"/>
      <c r="E563" s="61"/>
      <c r="F563" s="61"/>
      <c r="G563" s="61"/>
      <c r="H563" s="61"/>
      <c r="I563" s="61"/>
      <c r="J563" s="61"/>
      <c r="K563" s="61"/>
      <c r="L563" s="61"/>
      <c r="M563" s="61"/>
      <c r="N563" s="61"/>
      <c r="O563" s="61"/>
      <c r="P563" s="61"/>
      <c r="Q563" s="61"/>
      <c r="R563" s="61"/>
      <c r="S563" s="61"/>
      <c r="T563" s="61"/>
      <c r="U563" s="61"/>
      <c r="V563" s="61"/>
      <c r="W563" s="61"/>
      <c r="X563" s="61"/>
      <c r="Y563" s="61"/>
    </row>
    <row r="564">
      <c r="A564" s="52"/>
      <c r="B564" s="61"/>
      <c r="C564" s="61"/>
      <c r="D564" s="52"/>
      <c r="E564" s="61"/>
      <c r="F564" s="61"/>
      <c r="G564" s="61"/>
      <c r="H564" s="61"/>
      <c r="I564" s="61"/>
      <c r="J564" s="61"/>
      <c r="K564" s="61"/>
      <c r="L564" s="61"/>
      <c r="M564" s="61"/>
      <c r="N564" s="61"/>
      <c r="O564" s="61"/>
      <c r="P564" s="61"/>
      <c r="Q564" s="61"/>
      <c r="R564" s="61"/>
      <c r="S564" s="61"/>
      <c r="T564" s="61"/>
      <c r="U564" s="61"/>
      <c r="V564" s="61"/>
      <c r="W564" s="61"/>
      <c r="X564" s="61"/>
      <c r="Y564" s="61"/>
    </row>
    <row r="565">
      <c r="A565" s="52"/>
      <c r="B565" s="61"/>
      <c r="C565" s="61"/>
      <c r="D565" s="52"/>
      <c r="E565" s="61"/>
      <c r="F565" s="61"/>
      <c r="G565" s="61"/>
      <c r="H565" s="61"/>
      <c r="I565" s="61"/>
      <c r="J565" s="61"/>
      <c r="K565" s="61"/>
      <c r="L565" s="61"/>
      <c r="M565" s="61"/>
      <c r="N565" s="61"/>
      <c r="O565" s="61"/>
      <c r="P565" s="61"/>
      <c r="Q565" s="61"/>
      <c r="R565" s="61"/>
      <c r="S565" s="61"/>
      <c r="T565" s="61"/>
      <c r="U565" s="61"/>
      <c r="V565" s="61"/>
      <c r="W565" s="61"/>
      <c r="X565" s="61"/>
      <c r="Y565" s="61"/>
    </row>
    <row r="566">
      <c r="A566" s="52"/>
      <c r="B566" s="61"/>
      <c r="C566" s="61"/>
      <c r="D566" s="52"/>
      <c r="E566" s="61"/>
      <c r="F566" s="61"/>
      <c r="G566" s="61"/>
      <c r="H566" s="61"/>
      <c r="I566" s="61"/>
      <c r="J566" s="61"/>
      <c r="K566" s="61"/>
      <c r="L566" s="61"/>
      <c r="M566" s="61"/>
      <c r="N566" s="61"/>
      <c r="O566" s="61"/>
      <c r="P566" s="61"/>
      <c r="Q566" s="61"/>
      <c r="R566" s="61"/>
      <c r="S566" s="61"/>
      <c r="T566" s="61"/>
      <c r="U566" s="61"/>
      <c r="V566" s="61"/>
      <c r="W566" s="61"/>
      <c r="X566" s="61"/>
      <c r="Y566" s="61"/>
    </row>
    <row r="567">
      <c r="A567" s="52"/>
      <c r="B567" s="61"/>
      <c r="C567" s="61"/>
      <c r="D567" s="52"/>
      <c r="E567" s="61"/>
      <c r="F567" s="61"/>
      <c r="G567" s="61"/>
      <c r="H567" s="61"/>
      <c r="I567" s="61"/>
      <c r="J567" s="61"/>
      <c r="K567" s="61"/>
      <c r="L567" s="61"/>
      <c r="M567" s="61"/>
      <c r="N567" s="61"/>
      <c r="O567" s="61"/>
      <c r="P567" s="61"/>
      <c r="Q567" s="61"/>
      <c r="R567" s="61"/>
      <c r="S567" s="61"/>
      <c r="T567" s="61"/>
      <c r="U567" s="61"/>
      <c r="V567" s="61"/>
      <c r="W567" s="61"/>
      <c r="X567" s="61"/>
      <c r="Y567" s="61"/>
    </row>
    <row r="568">
      <c r="A568" s="52"/>
      <c r="B568" s="61"/>
      <c r="C568" s="61"/>
      <c r="D568" s="52"/>
      <c r="E568" s="61"/>
      <c r="F568" s="61"/>
      <c r="G568" s="61"/>
      <c r="H568" s="61"/>
      <c r="I568" s="61"/>
      <c r="J568" s="61"/>
      <c r="K568" s="61"/>
      <c r="L568" s="61"/>
      <c r="M568" s="61"/>
      <c r="N568" s="61"/>
      <c r="O568" s="61"/>
      <c r="P568" s="61"/>
      <c r="Q568" s="61"/>
      <c r="R568" s="61"/>
      <c r="S568" s="61"/>
      <c r="T568" s="61"/>
      <c r="U568" s="61"/>
      <c r="V568" s="61"/>
      <c r="W568" s="61"/>
      <c r="X568" s="61"/>
      <c r="Y568" s="61"/>
    </row>
    <row r="569">
      <c r="A569" s="52"/>
      <c r="B569" s="61"/>
      <c r="C569" s="61"/>
      <c r="D569" s="52"/>
      <c r="E569" s="61"/>
      <c r="F569" s="61"/>
      <c r="G569" s="61"/>
      <c r="H569" s="61"/>
      <c r="I569" s="61"/>
      <c r="J569" s="61"/>
      <c r="K569" s="61"/>
      <c r="L569" s="61"/>
      <c r="M569" s="61"/>
      <c r="N569" s="61"/>
      <c r="O569" s="61"/>
      <c r="P569" s="61"/>
      <c r="Q569" s="61"/>
      <c r="R569" s="61"/>
      <c r="S569" s="61"/>
      <c r="T569" s="61"/>
      <c r="U569" s="61"/>
      <c r="V569" s="61"/>
      <c r="W569" s="61"/>
      <c r="X569" s="61"/>
      <c r="Y569" s="61"/>
    </row>
    <row r="570">
      <c r="A570" s="52"/>
      <c r="B570" s="61"/>
      <c r="C570" s="61"/>
      <c r="D570" s="52"/>
      <c r="E570" s="61"/>
      <c r="F570" s="61"/>
      <c r="G570" s="61"/>
      <c r="H570" s="61"/>
      <c r="I570" s="61"/>
      <c r="J570" s="61"/>
      <c r="K570" s="61"/>
      <c r="L570" s="61"/>
      <c r="M570" s="61"/>
      <c r="N570" s="61"/>
      <c r="O570" s="61"/>
      <c r="P570" s="61"/>
      <c r="Q570" s="61"/>
      <c r="R570" s="61"/>
      <c r="S570" s="61"/>
      <c r="T570" s="61"/>
      <c r="U570" s="61"/>
      <c r="V570" s="61"/>
      <c r="W570" s="61"/>
      <c r="X570" s="61"/>
      <c r="Y570" s="61"/>
    </row>
    <row r="571">
      <c r="A571" s="52"/>
      <c r="B571" s="61"/>
      <c r="C571" s="61"/>
      <c r="D571" s="52"/>
      <c r="E571" s="61"/>
      <c r="F571" s="61"/>
      <c r="G571" s="61"/>
      <c r="H571" s="61"/>
      <c r="I571" s="61"/>
      <c r="J571" s="61"/>
      <c r="K571" s="61"/>
      <c r="L571" s="61"/>
      <c r="M571" s="61"/>
      <c r="N571" s="61"/>
      <c r="O571" s="61"/>
      <c r="P571" s="61"/>
      <c r="Q571" s="61"/>
      <c r="R571" s="61"/>
      <c r="S571" s="61"/>
      <c r="T571" s="61"/>
      <c r="U571" s="61"/>
      <c r="V571" s="61"/>
      <c r="W571" s="61"/>
      <c r="X571" s="61"/>
      <c r="Y571" s="61"/>
    </row>
    <row r="572">
      <c r="A572" s="52"/>
      <c r="B572" s="61"/>
      <c r="C572" s="61"/>
      <c r="D572" s="52"/>
      <c r="E572" s="61"/>
      <c r="F572" s="61"/>
      <c r="G572" s="61"/>
      <c r="H572" s="61"/>
      <c r="I572" s="61"/>
      <c r="J572" s="61"/>
      <c r="K572" s="61"/>
      <c r="L572" s="61"/>
      <c r="M572" s="61"/>
      <c r="N572" s="61"/>
      <c r="O572" s="61"/>
      <c r="P572" s="61"/>
      <c r="Q572" s="61"/>
      <c r="R572" s="61"/>
      <c r="S572" s="61"/>
      <c r="T572" s="61"/>
      <c r="U572" s="61"/>
      <c r="V572" s="61"/>
      <c r="W572" s="61"/>
      <c r="X572" s="61"/>
      <c r="Y572" s="61"/>
    </row>
    <row r="573">
      <c r="A573" s="52"/>
      <c r="B573" s="61"/>
      <c r="C573" s="61"/>
      <c r="D573" s="52"/>
      <c r="E573" s="61"/>
      <c r="F573" s="61"/>
      <c r="G573" s="61"/>
      <c r="H573" s="61"/>
      <c r="I573" s="61"/>
      <c r="J573" s="61"/>
      <c r="K573" s="61"/>
      <c r="L573" s="61"/>
      <c r="M573" s="61"/>
      <c r="N573" s="61"/>
      <c r="O573" s="61"/>
      <c r="P573" s="61"/>
      <c r="Q573" s="61"/>
      <c r="R573" s="61"/>
      <c r="S573" s="61"/>
      <c r="T573" s="61"/>
      <c r="U573" s="61"/>
      <c r="V573" s="61"/>
      <c r="W573" s="61"/>
      <c r="X573" s="61"/>
      <c r="Y573" s="61"/>
    </row>
    <row r="574">
      <c r="A574" s="52"/>
      <c r="B574" s="61"/>
      <c r="C574" s="61"/>
      <c r="D574" s="52"/>
      <c r="E574" s="61"/>
      <c r="F574" s="61"/>
      <c r="G574" s="61"/>
      <c r="H574" s="61"/>
      <c r="I574" s="61"/>
      <c r="J574" s="61"/>
      <c r="K574" s="61"/>
      <c r="L574" s="61"/>
      <c r="M574" s="61"/>
      <c r="N574" s="61"/>
      <c r="O574" s="61"/>
      <c r="P574" s="61"/>
      <c r="Q574" s="61"/>
      <c r="R574" s="61"/>
      <c r="S574" s="61"/>
      <c r="T574" s="61"/>
      <c r="U574" s="61"/>
      <c r="V574" s="61"/>
      <c r="W574" s="61"/>
      <c r="X574" s="61"/>
      <c r="Y574" s="61"/>
    </row>
    <row r="575">
      <c r="A575" s="52"/>
      <c r="B575" s="61"/>
      <c r="C575" s="61"/>
      <c r="D575" s="52"/>
      <c r="E575" s="61"/>
      <c r="F575" s="61"/>
      <c r="G575" s="61"/>
      <c r="H575" s="61"/>
      <c r="I575" s="61"/>
      <c r="J575" s="61"/>
      <c r="K575" s="61"/>
      <c r="L575" s="61"/>
      <c r="M575" s="61"/>
      <c r="N575" s="61"/>
      <c r="O575" s="61"/>
      <c r="P575" s="61"/>
      <c r="Q575" s="61"/>
      <c r="R575" s="61"/>
      <c r="S575" s="61"/>
      <c r="T575" s="61"/>
      <c r="U575" s="61"/>
      <c r="V575" s="61"/>
      <c r="W575" s="61"/>
      <c r="X575" s="61"/>
      <c r="Y575" s="61"/>
    </row>
    <row r="576">
      <c r="A576" s="52"/>
      <c r="B576" s="61"/>
      <c r="C576" s="61"/>
      <c r="D576" s="52"/>
      <c r="E576" s="61"/>
      <c r="F576" s="61"/>
      <c r="G576" s="61"/>
      <c r="H576" s="61"/>
      <c r="I576" s="61"/>
      <c r="J576" s="61"/>
      <c r="K576" s="61"/>
      <c r="L576" s="61"/>
      <c r="M576" s="61"/>
      <c r="N576" s="61"/>
      <c r="O576" s="61"/>
      <c r="P576" s="61"/>
      <c r="Q576" s="61"/>
      <c r="R576" s="61"/>
      <c r="S576" s="61"/>
      <c r="T576" s="61"/>
      <c r="U576" s="61"/>
      <c r="V576" s="61"/>
      <c r="W576" s="61"/>
      <c r="X576" s="61"/>
      <c r="Y576" s="61"/>
    </row>
    <row r="577">
      <c r="A577" s="52"/>
      <c r="B577" s="61"/>
      <c r="C577" s="61"/>
      <c r="D577" s="52"/>
      <c r="E577" s="61"/>
      <c r="F577" s="61"/>
      <c r="G577" s="61"/>
      <c r="H577" s="61"/>
      <c r="I577" s="61"/>
      <c r="J577" s="61"/>
      <c r="K577" s="61"/>
      <c r="L577" s="61"/>
      <c r="M577" s="61"/>
      <c r="N577" s="61"/>
      <c r="O577" s="61"/>
      <c r="P577" s="61"/>
      <c r="Q577" s="61"/>
      <c r="R577" s="61"/>
      <c r="S577" s="61"/>
      <c r="T577" s="61"/>
      <c r="U577" s="61"/>
      <c r="V577" s="61"/>
      <c r="W577" s="61"/>
      <c r="X577" s="61"/>
      <c r="Y577" s="61"/>
    </row>
    <row r="578">
      <c r="A578" s="52"/>
      <c r="B578" s="61"/>
      <c r="C578" s="61"/>
      <c r="D578" s="52"/>
      <c r="E578" s="61"/>
      <c r="F578" s="61"/>
      <c r="G578" s="61"/>
      <c r="H578" s="61"/>
      <c r="I578" s="61"/>
      <c r="J578" s="61"/>
      <c r="K578" s="61"/>
      <c r="L578" s="61"/>
      <c r="M578" s="61"/>
      <c r="N578" s="61"/>
      <c r="O578" s="61"/>
      <c r="P578" s="61"/>
      <c r="Q578" s="61"/>
      <c r="R578" s="61"/>
      <c r="S578" s="61"/>
      <c r="T578" s="61"/>
      <c r="U578" s="61"/>
      <c r="V578" s="61"/>
      <c r="W578" s="61"/>
      <c r="X578" s="61"/>
      <c r="Y578" s="61"/>
    </row>
    <row r="579">
      <c r="A579" s="52"/>
      <c r="B579" s="61"/>
      <c r="C579" s="61"/>
      <c r="D579" s="52"/>
      <c r="E579" s="61"/>
      <c r="F579" s="61"/>
      <c r="G579" s="61"/>
      <c r="H579" s="61"/>
      <c r="I579" s="61"/>
      <c r="J579" s="61"/>
      <c r="K579" s="61"/>
      <c r="L579" s="61"/>
      <c r="M579" s="61"/>
      <c r="N579" s="61"/>
      <c r="O579" s="61"/>
      <c r="P579" s="61"/>
      <c r="Q579" s="61"/>
      <c r="R579" s="61"/>
      <c r="S579" s="61"/>
      <c r="T579" s="61"/>
      <c r="U579" s="61"/>
      <c r="V579" s="61"/>
      <c r="W579" s="61"/>
      <c r="X579" s="61"/>
      <c r="Y579" s="61"/>
    </row>
    <row r="580">
      <c r="A580" s="52"/>
      <c r="B580" s="61"/>
      <c r="C580" s="61"/>
      <c r="D580" s="52"/>
      <c r="E580" s="61"/>
      <c r="F580" s="61"/>
      <c r="G580" s="61"/>
      <c r="H580" s="61"/>
      <c r="I580" s="61"/>
      <c r="J580" s="61"/>
      <c r="K580" s="61"/>
      <c r="L580" s="61"/>
      <c r="M580" s="61"/>
      <c r="N580" s="61"/>
      <c r="O580" s="61"/>
      <c r="P580" s="61"/>
      <c r="Q580" s="61"/>
      <c r="R580" s="61"/>
      <c r="S580" s="61"/>
      <c r="T580" s="61"/>
      <c r="U580" s="61"/>
      <c r="V580" s="61"/>
      <c r="W580" s="61"/>
      <c r="X580" s="61"/>
      <c r="Y580" s="61"/>
    </row>
    <row r="581">
      <c r="A581" s="52"/>
      <c r="B581" s="61"/>
      <c r="C581" s="61"/>
      <c r="D581" s="52"/>
      <c r="E581" s="61"/>
      <c r="F581" s="61"/>
      <c r="G581" s="61"/>
      <c r="H581" s="61"/>
      <c r="I581" s="61"/>
      <c r="J581" s="61"/>
      <c r="K581" s="61"/>
      <c r="L581" s="61"/>
      <c r="M581" s="61"/>
      <c r="N581" s="61"/>
      <c r="O581" s="61"/>
      <c r="P581" s="61"/>
      <c r="Q581" s="61"/>
      <c r="R581" s="61"/>
      <c r="S581" s="61"/>
      <c r="T581" s="61"/>
      <c r="U581" s="61"/>
      <c r="V581" s="61"/>
      <c r="W581" s="61"/>
      <c r="X581" s="61"/>
      <c r="Y581" s="61"/>
    </row>
    <row r="582">
      <c r="A582" s="52"/>
      <c r="B582" s="61"/>
      <c r="C582" s="61"/>
      <c r="D582" s="52"/>
      <c r="E582" s="61"/>
      <c r="F582" s="61"/>
      <c r="G582" s="61"/>
      <c r="H582" s="61"/>
      <c r="I582" s="61"/>
      <c r="J582" s="61"/>
      <c r="K582" s="61"/>
      <c r="L582" s="61"/>
      <c r="M582" s="61"/>
      <c r="N582" s="61"/>
      <c r="O582" s="61"/>
      <c r="P582" s="61"/>
      <c r="Q582" s="61"/>
      <c r="R582" s="61"/>
      <c r="S582" s="61"/>
      <c r="T582" s="61"/>
      <c r="U582" s="61"/>
      <c r="V582" s="61"/>
      <c r="W582" s="61"/>
      <c r="X582" s="61"/>
      <c r="Y582" s="61"/>
    </row>
    <row r="583">
      <c r="A583" s="52"/>
      <c r="B583" s="61"/>
      <c r="C583" s="61"/>
      <c r="D583" s="52"/>
      <c r="E583" s="61"/>
      <c r="F583" s="61"/>
      <c r="G583" s="61"/>
      <c r="H583" s="61"/>
      <c r="I583" s="61"/>
      <c r="J583" s="61"/>
      <c r="K583" s="61"/>
      <c r="L583" s="61"/>
      <c r="M583" s="61"/>
      <c r="N583" s="61"/>
      <c r="O583" s="61"/>
      <c r="P583" s="61"/>
      <c r="Q583" s="61"/>
      <c r="R583" s="61"/>
      <c r="S583" s="61"/>
      <c r="T583" s="61"/>
      <c r="U583" s="61"/>
      <c r="V583" s="61"/>
      <c r="W583" s="61"/>
      <c r="X583" s="61"/>
      <c r="Y583" s="61"/>
    </row>
    <row r="584">
      <c r="A584" s="52"/>
      <c r="B584" s="61"/>
      <c r="C584" s="61"/>
      <c r="D584" s="52"/>
      <c r="E584" s="61"/>
      <c r="F584" s="61"/>
      <c r="G584" s="61"/>
      <c r="H584" s="61"/>
      <c r="I584" s="61"/>
      <c r="J584" s="61"/>
      <c r="K584" s="61"/>
      <c r="L584" s="61"/>
      <c r="M584" s="61"/>
      <c r="N584" s="61"/>
      <c r="O584" s="61"/>
      <c r="P584" s="61"/>
      <c r="Q584" s="61"/>
      <c r="R584" s="61"/>
      <c r="S584" s="61"/>
      <c r="T584" s="61"/>
      <c r="U584" s="61"/>
      <c r="V584" s="61"/>
      <c r="W584" s="61"/>
      <c r="X584" s="61"/>
      <c r="Y584" s="61"/>
    </row>
    <row r="585">
      <c r="A585" s="52"/>
      <c r="B585" s="61"/>
      <c r="C585" s="61"/>
      <c r="D585" s="52"/>
      <c r="E585" s="61"/>
      <c r="F585" s="61"/>
      <c r="G585" s="61"/>
      <c r="H585" s="61"/>
      <c r="I585" s="61"/>
      <c r="J585" s="61"/>
      <c r="K585" s="61"/>
      <c r="L585" s="61"/>
      <c r="M585" s="61"/>
      <c r="N585" s="61"/>
      <c r="O585" s="61"/>
      <c r="P585" s="61"/>
      <c r="Q585" s="61"/>
      <c r="R585" s="61"/>
      <c r="S585" s="61"/>
      <c r="T585" s="61"/>
      <c r="U585" s="61"/>
      <c r="V585" s="61"/>
      <c r="W585" s="61"/>
      <c r="X585" s="61"/>
      <c r="Y585" s="61"/>
    </row>
    <row r="586">
      <c r="A586" s="52"/>
      <c r="B586" s="61"/>
      <c r="C586" s="61"/>
      <c r="D586" s="52"/>
      <c r="E586" s="61"/>
      <c r="F586" s="61"/>
      <c r="G586" s="61"/>
      <c r="H586" s="61"/>
      <c r="I586" s="61"/>
      <c r="J586" s="61"/>
      <c r="K586" s="61"/>
      <c r="L586" s="61"/>
      <c r="M586" s="61"/>
      <c r="N586" s="61"/>
      <c r="O586" s="61"/>
      <c r="P586" s="61"/>
      <c r="Q586" s="61"/>
      <c r="R586" s="61"/>
      <c r="S586" s="61"/>
      <c r="T586" s="61"/>
      <c r="U586" s="61"/>
      <c r="V586" s="61"/>
      <c r="W586" s="61"/>
      <c r="X586" s="61"/>
      <c r="Y586" s="61"/>
    </row>
    <row r="587">
      <c r="A587" s="52"/>
      <c r="B587" s="61"/>
      <c r="C587" s="61"/>
      <c r="D587" s="52"/>
      <c r="E587" s="61"/>
      <c r="F587" s="61"/>
      <c r="G587" s="61"/>
      <c r="H587" s="61"/>
      <c r="I587" s="61"/>
      <c r="J587" s="61"/>
      <c r="K587" s="61"/>
      <c r="L587" s="61"/>
      <c r="M587" s="61"/>
      <c r="N587" s="61"/>
      <c r="O587" s="61"/>
      <c r="P587" s="61"/>
      <c r="Q587" s="61"/>
      <c r="R587" s="61"/>
      <c r="S587" s="61"/>
      <c r="T587" s="61"/>
      <c r="U587" s="61"/>
      <c r="V587" s="61"/>
      <c r="W587" s="61"/>
      <c r="X587" s="61"/>
      <c r="Y587" s="61"/>
    </row>
    <row r="588">
      <c r="A588" s="52"/>
      <c r="B588" s="61"/>
      <c r="C588" s="61"/>
      <c r="D588" s="52"/>
      <c r="E588" s="61"/>
      <c r="F588" s="61"/>
      <c r="G588" s="61"/>
      <c r="H588" s="61"/>
      <c r="I588" s="61"/>
      <c r="J588" s="61"/>
      <c r="K588" s="61"/>
      <c r="L588" s="61"/>
      <c r="M588" s="61"/>
      <c r="N588" s="61"/>
      <c r="O588" s="61"/>
      <c r="P588" s="61"/>
      <c r="Q588" s="61"/>
      <c r="R588" s="61"/>
      <c r="S588" s="61"/>
      <c r="T588" s="61"/>
      <c r="U588" s="61"/>
      <c r="V588" s="61"/>
      <c r="W588" s="61"/>
      <c r="X588" s="61"/>
      <c r="Y588" s="61"/>
    </row>
    <row r="589">
      <c r="A589" s="52"/>
      <c r="B589" s="61"/>
      <c r="C589" s="61"/>
      <c r="D589" s="52"/>
      <c r="E589" s="61"/>
      <c r="F589" s="61"/>
      <c r="G589" s="61"/>
      <c r="H589" s="61"/>
      <c r="I589" s="61"/>
      <c r="J589" s="61"/>
      <c r="K589" s="61"/>
      <c r="L589" s="61"/>
      <c r="M589" s="61"/>
      <c r="N589" s="61"/>
      <c r="O589" s="61"/>
      <c r="P589" s="61"/>
      <c r="Q589" s="61"/>
      <c r="R589" s="61"/>
      <c r="S589" s="61"/>
      <c r="T589" s="61"/>
      <c r="U589" s="61"/>
      <c r="V589" s="61"/>
      <c r="W589" s="61"/>
      <c r="X589" s="61"/>
      <c r="Y589" s="61"/>
    </row>
    <row r="590">
      <c r="A590" s="52"/>
      <c r="B590" s="61"/>
      <c r="C590" s="61"/>
      <c r="D590" s="52"/>
      <c r="E590" s="61"/>
      <c r="F590" s="61"/>
      <c r="G590" s="61"/>
      <c r="H590" s="61"/>
      <c r="I590" s="61"/>
      <c r="J590" s="61"/>
      <c r="K590" s="61"/>
      <c r="L590" s="61"/>
      <c r="M590" s="61"/>
      <c r="N590" s="61"/>
      <c r="O590" s="61"/>
      <c r="P590" s="61"/>
      <c r="Q590" s="61"/>
      <c r="R590" s="61"/>
      <c r="S590" s="61"/>
      <c r="T590" s="61"/>
      <c r="U590" s="61"/>
      <c r="V590" s="61"/>
      <c r="W590" s="61"/>
      <c r="X590" s="61"/>
      <c r="Y590" s="61"/>
    </row>
    <row r="591">
      <c r="A591" s="52"/>
      <c r="B591" s="61"/>
      <c r="C591" s="61"/>
      <c r="D591" s="52"/>
      <c r="E591" s="61"/>
      <c r="F591" s="61"/>
      <c r="G591" s="61"/>
      <c r="H591" s="61"/>
      <c r="I591" s="61"/>
      <c r="J591" s="61"/>
      <c r="K591" s="61"/>
      <c r="L591" s="61"/>
      <c r="M591" s="61"/>
      <c r="N591" s="61"/>
      <c r="O591" s="61"/>
      <c r="P591" s="61"/>
      <c r="Q591" s="61"/>
      <c r="R591" s="61"/>
      <c r="S591" s="61"/>
      <c r="T591" s="61"/>
      <c r="U591" s="61"/>
      <c r="V591" s="61"/>
      <c r="W591" s="61"/>
      <c r="X591" s="61"/>
      <c r="Y591" s="61"/>
    </row>
    <row r="592">
      <c r="A592" s="52"/>
      <c r="B592" s="61"/>
      <c r="C592" s="61"/>
      <c r="D592" s="52"/>
      <c r="E592" s="61"/>
      <c r="F592" s="61"/>
      <c r="G592" s="61"/>
      <c r="H592" s="61"/>
      <c r="I592" s="61"/>
      <c r="J592" s="61"/>
      <c r="K592" s="61"/>
      <c r="L592" s="61"/>
      <c r="M592" s="61"/>
      <c r="N592" s="61"/>
      <c r="O592" s="61"/>
      <c r="P592" s="61"/>
      <c r="Q592" s="61"/>
      <c r="R592" s="61"/>
      <c r="S592" s="61"/>
      <c r="T592" s="61"/>
      <c r="U592" s="61"/>
      <c r="V592" s="61"/>
      <c r="W592" s="61"/>
      <c r="X592" s="61"/>
      <c r="Y592" s="61"/>
    </row>
    <row r="593">
      <c r="A593" s="52"/>
      <c r="B593" s="61"/>
      <c r="C593" s="61"/>
      <c r="D593" s="52"/>
      <c r="E593" s="61"/>
      <c r="F593" s="61"/>
      <c r="G593" s="61"/>
      <c r="H593" s="61"/>
      <c r="I593" s="61"/>
      <c r="J593" s="61"/>
      <c r="K593" s="61"/>
      <c r="L593" s="61"/>
      <c r="M593" s="61"/>
      <c r="N593" s="61"/>
      <c r="O593" s="61"/>
      <c r="P593" s="61"/>
      <c r="Q593" s="61"/>
      <c r="R593" s="61"/>
      <c r="S593" s="61"/>
      <c r="T593" s="61"/>
      <c r="U593" s="61"/>
      <c r="V593" s="61"/>
      <c r="W593" s="61"/>
      <c r="X593" s="61"/>
      <c r="Y593" s="61"/>
    </row>
    <row r="594">
      <c r="A594" s="52"/>
      <c r="B594" s="61"/>
      <c r="C594" s="61"/>
      <c r="D594" s="52"/>
      <c r="E594" s="61"/>
      <c r="F594" s="61"/>
      <c r="G594" s="61"/>
      <c r="H594" s="61"/>
      <c r="I594" s="61"/>
      <c r="J594" s="61"/>
      <c r="K594" s="61"/>
      <c r="L594" s="61"/>
      <c r="M594" s="61"/>
      <c r="N594" s="61"/>
      <c r="O594" s="61"/>
      <c r="P594" s="61"/>
      <c r="Q594" s="61"/>
      <c r="R594" s="61"/>
      <c r="S594" s="61"/>
      <c r="T594" s="61"/>
      <c r="U594" s="61"/>
      <c r="V594" s="61"/>
      <c r="W594" s="61"/>
      <c r="X594" s="61"/>
      <c r="Y594" s="61"/>
    </row>
    <row r="595">
      <c r="A595" s="52"/>
      <c r="B595" s="61"/>
      <c r="C595" s="61"/>
      <c r="D595" s="52"/>
      <c r="E595" s="61"/>
      <c r="F595" s="61"/>
      <c r="G595" s="61"/>
      <c r="H595" s="61"/>
      <c r="I595" s="61"/>
      <c r="J595" s="61"/>
      <c r="K595" s="61"/>
      <c r="L595" s="61"/>
      <c r="M595" s="61"/>
      <c r="N595" s="61"/>
      <c r="O595" s="61"/>
      <c r="P595" s="61"/>
      <c r="Q595" s="61"/>
      <c r="R595" s="61"/>
      <c r="S595" s="61"/>
      <c r="T595" s="61"/>
      <c r="U595" s="61"/>
      <c r="V595" s="61"/>
      <c r="W595" s="61"/>
      <c r="X595" s="61"/>
      <c r="Y595" s="61"/>
    </row>
    <row r="596">
      <c r="A596" s="52"/>
      <c r="B596" s="61"/>
      <c r="C596" s="61"/>
      <c r="D596" s="52"/>
      <c r="E596" s="61"/>
      <c r="F596" s="61"/>
      <c r="G596" s="61"/>
      <c r="H596" s="61"/>
      <c r="I596" s="61"/>
      <c r="J596" s="61"/>
      <c r="K596" s="61"/>
      <c r="L596" s="61"/>
      <c r="M596" s="61"/>
      <c r="N596" s="61"/>
      <c r="O596" s="61"/>
      <c r="P596" s="61"/>
      <c r="Q596" s="61"/>
      <c r="R596" s="61"/>
      <c r="S596" s="61"/>
      <c r="T596" s="61"/>
      <c r="U596" s="61"/>
      <c r="V596" s="61"/>
      <c r="W596" s="61"/>
      <c r="X596" s="61"/>
      <c r="Y596" s="61"/>
    </row>
    <row r="597">
      <c r="A597" s="52"/>
      <c r="B597" s="61"/>
      <c r="C597" s="61"/>
      <c r="D597" s="52"/>
      <c r="E597" s="61"/>
      <c r="F597" s="61"/>
      <c r="G597" s="61"/>
      <c r="H597" s="61"/>
      <c r="I597" s="61"/>
      <c r="J597" s="61"/>
      <c r="K597" s="61"/>
      <c r="L597" s="61"/>
      <c r="M597" s="61"/>
      <c r="N597" s="61"/>
      <c r="O597" s="61"/>
      <c r="P597" s="61"/>
      <c r="Q597" s="61"/>
      <c r="R597" s="61"/>
      <c r="S597" s="61"/>
      <c r="T597" s="61"/>
      <c r="U597" s="61"/>
      <c r="V597" s="61"/>
      <c r="W597" s="61"/>
      <c r="X597" s="61"/>
      <c r="Y597" s="61"/>
    </row>
    <row r="598">
      <c r="A598" s="52"/>
      <c r="B598" s="61"/>
      <c r="C598" s="61"/>
      <c r="D598" s="52"/>
      <c r="E598" s="61"/>
      <c r="F598" s="61"/>
      <c r="G598" s="61"/>
      <c r="H598" s="61"/>
      <c r="I598" s="61"/>
      <c r="J598" s="61"/>
      <c r="K598" s="61"/>
      <c r="L598" s="61"/>
      <c r="M598" s="61"/>
      <c r="N598" s="61"/>
      <c r="O598" s="61"/>
      <c r="P598" s="61"/>
      <c r="Q598" s="61"/>
      <c r="R598" s="61"/>
      <c r="S598" s="61"/>
      <c r="T598" s="61"/>
      <c r="U598" s="61"/>
      <c r="V598" s="61"/>
      <c r="W598" s="61"/>
      <c r="X598" s="61"/>
      <c r="Y598" s="61"/>
    </row>
    <row r="599">
      <c r="A599" s="52"/>
      <c r="B599" s="61"/>
      <c r="C599" s="61"/>
      <c r="D599" s="52"/>
      <c r="E599" s="61"/>
      <c r="F599" s="61"/>
      <c r="G599" s="61"/>
      <c r="H599" s="61"/>
      <c r="I599" s="61"/>
      <c r="J599" s="61"/>
      <c r="K599" s="61"/>
      <c r="L599" s="61"/>
      <c r="M599" s="61"/>
      <c r="N599" s="61"/>
      <c r="O599" s="61"/>
      <c r="P599" s="61"/>
      <c r="Q599" s="61"/>
      <c r="R599" s="61"/>
      <c r="S599" s="61"/>
      <c r="T599" s="61"/>
      <c r="U599" s="61"/>
      <c r="V599" s="61"/>
      <c r="W599" s="61"/>
      <c r="X599" s="61"/>
      <c r="Y599" s="61"/>
    </row>
    <row r="600">
      <c r="A600" s="52"/>
      <c r="B600" s="61"/>
      <c r="C600" s="61"/>
      <c r="D600" s="52"/>
      <c r="E600" s="61"/>
      <c r="F600" s="61"/>
      <c r="G600" s="61"/>
      <c r="H600" s="61"/>
      <c r="I600" s="61"/>
      <c r="J600" s="61"/>
      <c r="K600" s="61"/>
      <c r="L600" s="61"/>
      <c r="M600" s="61"/>
      <c r="N600" s="61"/>
      <c r="O600" s="61"/>
      <c r="P600" s="61"/>
      <c r="Q600" s="61"/>
      <c r="R600" s="61"/>
      <c r="S600" s="61"/>
      <c r="T600" s="61"/>
      <c r="U600" s="61"/>
      <c r="V600" s="61"/>
      <c r="W600" s="61"/>
      <c r="X600" s="61"/>
      <c r="Y600" s="61"/>
    </row>
    <row r="601">
      <c r="A601" s="52"/>
      <c r="B601" s="61"/>
      <c r="C601" s="61"/>
      <c r="D601" s="52"/>
      <c r="E601" s="61"/>
      <c r="F601" s="61"/>
      <c r="G601" s="61"/>
      <c r="H601" s="61"/>
      <c r="I601" s="61"/>
      <c r="J601" s="61"/>
      <c r="K601" s="61"/>
      <c r="L601" s="61"/>
      <c r="M601" s="61"/>
      <c r="N601" s="61"/>
      <c r="O601" s="61"/>
      <c r="P601" s="61"/>
      <c r="Q601" s="61"/>
      <c r="R601" s="61"/>
      <c r="S601" s="61"/>
      <c r="T601" s="61"/>
      <c r="U601" s="61"/>
      <c r="V601" s="61"/>
      <c r="W601" s="61"/>
      <c r="X601" s="61"/>
      <c r="Y601" s="61"/>
    </row>
    <row r="602">
      <c r="A602" s="52"/>
      <c r="B602" s="61"/>
      <c r="C602" s="61"/>
      <c r="D602" s="52"/>
      <c r="E602" s="61"/>
      <c r="F602" s="61"/>
      <c r="G602" s="61"/>
      <c r="H602" s="61"/>
      <c r="I602" s="61"/>
      <c r="J602" s="61"/>
      <c r="K602" s="61"/>
      <c r="L602" s="61"/>
      <c r="M602" s="61"/>
      <c r="N602" s="61"/>
      <c r="O602" s="61"/>
      <c r="P602" s="61"/>
      <c r="Q602" s="61"/>
      <c r="R602" s="61"/>
      <c r="S602" s="61"/>
      <c r="T602" s="61"/>
      <c r="U602" s="61"/>
      <c r="V602" s="61"/>
      <c r="W602" s="61"/>
      <c r="X602" s="61"/>
      <c r="Y602" s="61"/>
    </row>
    <row r="603">
      <c r="A603" s="52"/>
      <c r="B603" s="61"/>
      <c r="C603" s="61"/>
      <c r="D603" s="52"/>
      <c r="E603" s="61"/>
      <c r="F603" s="61"/>
      <c r="G603" s="61"/>
      <c r="H603" s="61"/>
      <c r="I603" s="61"/>
      <c r="J603" s="61"/>
      <c r="K603" s="61"/>
      <c r="L603" s="61"/>
      <c r="M603" s="61"/>
      <c r="N603" s="61"/>
      <c r="O603" s="61"/>
      <c r="P603" s="61"/>
      <c r="Q603" s="61"/>
      <c r="R603" s="61"/>
      <c r="S603" s="61"/>
      <c r="T603" s="61"/>
      <c r="U603" s="61"/>
      <c r="V603" s="61"/>
      <c r="W603" s="61"/>
      <c r="X603" s="61"/>
      <c r="Y603" s="61"/>
    </row>
    <row r="604">
      <c r="A604" s="52"/>
      <c r="B604" s="61"/>
      <c r="C604" s="61"/>
      <c r="D604" s="52"/>
      <c r="E604" s="61"/>
      <c r="F604" s="61"/>
      <c r="G604" s="61"/>
      <c r="H604" s="61"/>
      <c r="I604" s="61"/>
      <c r="J604" s="61"/>
      <c r="K604" s="61"/>
      <c r="L604" s="61"/>
      <c r="M604" s="61"/>
      <c r="N604" s="61"/>
      <c r="O604" s="61"/>
      <c r="P604" s="61"/>
      <c r="Q604" s="61"/>
      <c r="R604" s="61"/>
      <c r="S604" s="61"/>
      <c r="T604" s="61"/>
      <c r="U604" s="61"/>
      <c r="V604" s="61"/>
      <c r="W604" s="61"/>
      <c r="X604" s="61"/>
      <c r="Y604" s="61"/>
    </row>
    <row r="605">
      <c r="A605" s="52"/>
      <c r="B605" s="61"/>
      <c r="C605" s="61"/>
      <c r="D605" s="52"/>
      <c r="E605" s="61"/>
      <c r="F605" s="61"/>
      <c r="G605" s="61"/>
      <c r="H605" s="61"/>
      <c r="I605" s="61"/>
      <c r="J605" s="61"/>
      <c r="K605" s="61"/>
      <c r="L605" s="61"/>
      <c r="M605" s="61"/>
      <c r="N605" s="61"/>
      <c r="O605" s="61"/>
      <c r="P605" s="61"/>
      <c r="Q605" s="61"/>
      <c r="R605" s="61"/>
      <c r="S605" s="61"/>
      <c r="T605" s="61"/>
      <c r="U605" s="61"/>
      <c r="V605" s="61"/>
      <c r="W605" s="61"/>
      <c r="X605" s="61"/>
      <c r="Y605" s="61"/>
    </row>
    <row r="606">
      <c r="A606" s="52"/>
      <c r="B606" s="61"/>
      <c r="C606" s="61"/>
      <c r="D606" s="52"/>
      <c r="E606" s="61"/>
      <c r="F606" s="61"/>
      <c r="G606" s="61"/>
      <c r="H606" s="61"/>
      <c r="I606" s="61"/>
      <c r="J606" s="61"/>
      <c r="K606" s="61"/>
      <c r="L606" s="61"/>
      <c r="M606" s="61"/>
      <c r="N606" s="61"/>
      <c r="O606" s="61"/>
      <c r="P606" s="61"/>
      <c r="Q606" s="61"/>
      <c r="R606" s="61"/>
      <c r="S606" s="61"/>
      <c r="T606" s="61"/>
      <c r="U606" s="61"/>
      <c r="V606" s="61"/>
      <c r="W606" s="61"/>
      <c r="X606" s="61"/>
      <c r="Y606" s="61"/>
    </row>
    <row r="607">
      <c r="A607" s="52"/>
      <c r="B607" s="61"/>
      <c r="C607" s="61"/>
      <c r="D607" s="52"/>
      <c r="E607" s="61"/>
      <c r="F607" s="61"/>
      <c r="G607" s="61"/>
      <c r="H607" s="61"/>
      <c r="I607" s="61"/>
      <c r="J607" s="61"/>
      <c r="K607" s="61"/>
      <c r="L607" s="61"/>
      <c r="M607" s="61"/>
      <c r="N607" s="61"/>
      <c r="O607" s="61"/>
      <c r="P607" s="61"/>
      <c r="Q607" s="61"/>
      <c r="R607" s="61"/>
      <c r="S607" s="61"/>
      <c r="T607" s="61"/>
      <c r="U607" s="61"/>
      <c r="V607" s="61"/>
      <c r="W607" s="61"/>
      <c r="X607" s="61"/>
      <c r="Y607" s="61"/>
    </row>
    <row r="608">
      <c r="A608" s="52"/>
      <c r="B608" s="61"/>
      <c r="C608" s="61"/>
      <c r="D608" s="52"/>
      <c r="E608" s="61"/>
      <c r="F608" s="61"/>
      <c r="G608" s="61"/>
      <c r="H608" s="61"/>
      <c r="I608" s="61"/>
      <c r="J608" s="61"/>
      <c r="K608" s="61"/>
      <c r="L608" s="61"/>
      <c r="M608" s="61"/>
      <c r="N608" s="61"/>
      <c r="O608" s="61"/>
      <c r="P608" s="61"/>
      <c r="Q608" s="61"/>
      <c r="R608" s="61"/>
      <c r="S608" s="61"/>
      <c r="T608" s="61"/>
      <c r="U608" s="61"/>
      <c r="V608" s="61"/>
      <c r="W608" s="61"/>
      <c r="X608" s="61"/>
      <c r="Y608" s="61"/>
    </row>
    <row r="609">
      <c r="A609" s="52"/>
      <c r="B609" s="61"/>
      <c r="C609" s="61"/>
      <c r="D609" s="52"/>
      <c r="E609" s="61"/>
      <c r="F609" s="61"/>
      <c r="G609" s="61"/>
      <c r="H609" s="61"/>
      <c r="I609" s="61"/>
      <c r="J609" s="61"/>
      <c r="K609" s="61"/>
      <c r="L609" s="61"/>
      <c r="M609" s="61"/>
      <c r="N609" s="61"/>
      <c r="O609" s="61"/>
      <c r="P609" s="61"/>
      <c r="Q609" s="61"/>
      <c r="R609" s="61"/>
      <c r="S609" s="61"/>
      <c r="T609" s="61"/>
      <c r="U609" s="61"/>
      <c r="V609" s="61"/>
      <c r="W609" s="61"/>
      <c r="X609" s="61"/>
      <c r="Y609" s="61"/>
    </row>
    <row r="610">
      <c r="A610" s="52"/>
      <c r="B610" s="61"/>
      <c r="C610" s="61"/>
      <c r="D610" s="52"/>
      <c r="E610" s="61"/>
      <c r="F610" s="61"/>
      <c r="G610" s="61"/>
      <c r="H610" s="61"/>
      <c r="I610" s="61"/>
      <c r="J610" s="61"/>
      <c r="K610" s="61"/>
      <c r="L610" s="61"/>
      <c r="M610" s="61"/>
      <c r="N610" s="61"/>
      <c r="O610" s="61"/>
      <c r="P610" s="61"/>
      <c r="Q610" s="61"/>
      <c r="R610" s="61"/>
      <c r="S610" s="61"/>
      <c r="T610" s="61"/>
      <c r="U610" s="61"/>
      <c r="V610" s="61"/>
      <c r="W610" s="61"/>
      <c r="X610" s="61"/>
      <c r="Y610" s="61"/>
    </row>
    <row r="611">
      <c r="A611" s="52"/>
      <c r="B611" s="61"/>
      <c r="C611" s="61"/>
      <c r="D611" s="52"/>
      <c r="E611" s="61"/>
      <c r="F611" s="61"/>
      <c r="G611" s="61"/>
      <c r="H611" s="61"/>
      <c r="I611" s="61"/>
      <c r="J611" s="61"/>
      <c r="K611" s="61"/>
      <c r="L611" s="61"/>
      <c r="M611" s="61"/>
      <c r="N611" s="61"/>
      <c r="O611" s="61"/>
      <c r="P611" s="61"/>
      <c r="Q611" s="61"/>
      <c r="R611" s="61"/>
      <c r="S611" s="61"/>
      <c r="T611" s="61"/>
      <c r="U611" s="61"/>
      <c r="V611" s="61"/>
      <c r="W611" s="61"/>
      <c r="X611" s="61"/>
      <c r="Y611" s="61"/>
    </row>
    <row r="612">
      <c r="A612" s="52"/>
      <c r="B612" s="61"/>
      <c r="C612" s="61"/>
      <c r="D612" s="52"/>
      <c r="E612" s="61"/>
      <c r="F612" s="61"/>
      <c r="G612" s="61"/>
      <c r="H612" s="61"/>
      <c r="I612" s="61"/>
      <c r="J612" s="61"/>
      <c r="K612" s="61"/>
      <c r="L612" s="61"/>
      <c r="M612" s="61"/>
      <c r="N612" s="61"/>
      <c r="O612" s="61"/>
      <c r="P612" s="61"/>
      <c r="Q612" s="61"/>
      <c r="R612" s="61"/>
      <c r="S612" s="61"/>
      <c r="T612" s="61"/>
      <c r="U612" s="61"/>
      <c r="V612" s="61"/>
      <c r="W612" s="61"/>
      <c r="X612" s="61"/>
      <c r="Y612" s="61"/>
    </row>
    <row r="613">
      <c r="A613" s="52"/>
      <c r="B613" s="61"/>
      <c r="C613" s="61"/>
      <c r="D613" s="52"/>
      <c r="E613" s="61"/>
      <c r="F613" s="61"/>
      <c r="G613" s="61"/>
      <c r="H613" s="61"/>
      <c r="I613" s="61"/>
      <c r="J613" s="61"/>
      <c r="K613" s="61"/>
      <c r="L613" s="61"/>
      <c r="M613" s="61"/>
      <c r="N613" s="61"/>
      <c r="O613" s="61"/>
      <c r="P613" s="61"/>
      <c r="Q613" s="61"/>
      <c r="R613" s="61"/>
      <c r="S613" s="61"/>
      <c r="T613" s="61"/>
      <c r="U613" s="61"/>
      <c r="V613" s="61"/>
      <c r="W613" s="61"/>
      <c r="X613" s="61"/>
      <c r="Y613" s="61"/>
    </row>
    <row r="614">
      <c r="A614" s="52"/>
      <c r="B614" s="61"/>
      <c r="C614" s="61"/>
      <c r="D614" s="52"/>
      <c r="E614" s="61"/>
      <c r="F614" s="61"/>
      <c r="G614" s="61"/>
      <c r="H614" s="61"/>
      <c r="I614" s="61"/>
      <c r="J614" s="61"/>
      <c r="K614" s="61"/>
      <c r="L614" s="61"/>
      <c r="M614" s="61"/>
      <c r="N614" s="61"/>
      <c r="O614" s="61"/>
      <c r="P614" s="61"/>
      <c r="Q614" s="61"/>
      <c r="R614" s="61"/>
      <c r="S614" s="61"/>
      <c r="T614" s="61"/>
      <c r="U614" s="61"/>
      <c r="V614" s="61"/>
      <c r="W614" s="61"/>
      <c r="X614" s="61"/>
      <c r="Y614" s="61"/>
    </row>
    <row r="615">
      <c r="A615" s="52"/>
      <c r="B615" s="61"/>
      <c r="C615" s="61"/>
      <c r="D615" s="52"/>
      <c r="E615" s="61"/>
      <c r="F615" s="61"/>
      <c r="G615" s="61"/>
      <c r="H615" s="61"/>
      <c r="I615" s="61"/>
      <c r="J615" s="61"/>
      <c r="K615" s="61"/>
      <c r="L615" s="61"/>
      <c r="M615" s="61"/>
      <c r="N615" s="61"/>
      <c r="O615" s="61"/>
      <c r="P615" s="61"/>
      <c r="Q615" s="61"/>
      <c r="R615" s="61"/>
      <c r="S615" s="61"/>
      <c r="T615" s="61"/>
      <c r="U615" s="61"/>
      <c r="V615" s="61"/>
      <c r="W615" s="61"/>
      <c r="X615" s="61"/>
      <c r="Y615" s="61"/>
    </row>
    <row r="616">
      <c r="A616" s="52"/>
      <c r="B616" s="61"/>
      <c r="C616" s="61"/>
      <c r="D616" s="52"/>
      <c r="E616" s="61"/>
      <c r="F616" s="61"/>
      <c r="G616" s="61"/>
      <c r="H616" s="61"/>
      <c r="I616" s="61"/>
      <c r="J616" s="61"/>
      <c r="K616" s="61"/>
      <c r="L616" s="61"/>
      <c r="M616" s="61"/>
      <c r="N616" s="61"/>
      <c r="O616" s="61"/>
      <c r="P616" s="61"/>
      <c r="Q616" s="61"/>
      <c r="R616" s="61"/>
      <c r="S616" s="61"/>
      <c r="T616" s="61"/>
      <c r="U616" s="61"/>
      <c r="V616" s="61"/>
      <c r="W616" s="61"/>
      <c r="X616" s="61"/>
      <c r="Y616" s="61"/>
    </row>
    <row r="617">
      <c r="A617" s="52"/>
      <c r="B617" s="61"/>
      <c r="C617" s="61"/>
      <c r="D617" s="52"/>
      <c r="E617" s="61"/>
      <c r="F617" s="61"/>
      <c r="G617" s="61"/>
      <c r="H617" s="61"/>
      <c r="I617" s="61"/>
      <c r="J617" s="61"/>
      <c r="K617" s="61"/>
      <c r="L617" s="61"/>
      <c r="M617" s="61"/>
      <c r="N617" s="61"/>
      <c r="O617" s="61"/>
      <c r="P617" s="61"/>
      <c r="Q617" s="61"/>
      <c r="R617" s="61"/>
      <c r="S617" s="61"/>
      <c r="T617" s="61"/>
      <c r="U617" s="61"/>
      <c r="V617" s="61"/>
      <c r="W617" s="61"/>
      <c r="X617" s="61"/>
      <c r="Y617" s="61"/>
    </row>
    <row r="618">
      <c r="A618" s="52"/>
      <c r="B618" s="61"/>
      <c r="C618" s="61"/>
      <c r="D618" s="52"/>
      <c r="E618" s="61"/>
      <c r="F618" s="61"/>
      <c r="G618" s="61"/>
      <c r="H618" s="61"/>
      <c r="I618" s="61"/>
      <c r="J618" s="61"/>
      <c r="K618" s="61"/>
      <c r="L618" s="61"/>
      <c r="M618" s="61"/>
      <c r="N618" s="61"/>
      <c r="O618" s="61"/>
      <c r="P618" s="61"/>
      <c r="Q618" s="61"/>
      <c r="R618" s="61"/>
      <c r="S618" s="61"/>
      <c r="T618" s="61"/>
      <c r="U618" s="61"/>
      <c r="V618" s="61"/>
      <c r="W618" s="61"/>
      <c r="X618" s="61"/>
      <c r="Y618" s="61"/>
    </row>
    <row r="619">
      <c r="A619" s="52"/>
      <c r="B619" s="61"/>
      <c r="C619" s="61"/>
      <c r="D619" s="52"/>
      <c r="E619" s="61"/>
      <c r="F619" s="61"/>
      <c r="G619" s="61"/>
      <c r="H619" s="61"/>
      <c r="I619" s="61"/>
      <c r="J619" s="61"/>
      <c r="K619" s="61"/>
      <c r="L619" s="61"/>
      <c r="M619" s="61"/>
      <c r="N619" s="61"/>
      <c r="O619" s="61"/>
      <c r="P619" s="61"/>
      <c r="Q619" s="61"/>
      <c r="R619" s="61"/>
      <c r="S619" s="61"/>
      <c r="T619" s="61"/>
      <c r="U619" s="61"/>
      <c r="V619" s="61"/>
      <c r="W619" s="61"/>
      <c r="X619" s="61"/>
      <c r="Y619" s="61"/>
    </row>
    <row r="620">
      <c r="A620" s="52"/>
      <c r="B620" s="61"/>
      <c r="C620" s="61"/>
      <c r="D620" s="52"/>
      <c r="E620" s="61"/>
      <c r="F620" s="61"/>
      <c r="G620" s="61"/>
      <c r="H620" s="61"/>
      <c r="I620" s="61"/>
      <c r="J620" s="61"/>
      <c r="K620" s="61"/>
      <c r="L620" s="61"/>
      <c r="M620" s="61"/>
      <c r="N620" s="61"/>
      <c r="O620" s="61"/>
      <c r="P620" s="61"/>
      <c r="Q620" s="61"/>
      <c r="R620" s="61"/>
      <c r="S620" s="61"/>
      <c r="T620" s="61"/>
      <c r="U620" s="61"/>
      <c r="V620" s="61"/>
      <c r="W620" s="61"/>
      <c r="X620" s="61"/>
      <c r="Y620" s="61"/>
    </row>
    <row r="621">
      <c r="A621" s="52"/>
      <c r="B621" s="61"/>
      <c r="C621" s="61"/>
      <c r="D621" s="52"/>
      <c r="E621" s="61"/>
      <c r="F621" s="61"/>
      <c r="G621" s="61"/>
      <c r="H621" s="61"/>
      <c r="I621" s="61"/>
      <c r="J621" s="61"/>
      <c r="K621" s="61"/>
      <c r="L621" s="61"/>
      <c r="M621" s="61"/>
      <c r="N621" s="61"/>
      <c r="O621" s="61"/>
      <c r="P621" s="61"/>
      <c r="Q621" s="61"/>
      <c r="R621" s="61"/>
      <c r="S621" s="61"/>
      <c r="T621" s="61"/>
      <c r="U621" s="61"/>
      <c r="V621" s="61"/>
      <c r="W621" s="61"/>
      <c r="X621" s="61"/>
      <c r="Y621" s="61"/>
    </row>
    <row r="622">
      <c r="A622" s="52"/>
      <c r="B622" s="61"/>
      <c r="C622" s="61"/>
      <c r="D622" s="52"/>
      <c r="E622" s="61"/>
      <c r="F622" s="61"/>
      <c r="G622" s="61"/>
      <c r="H622" s="61"/>
      <c r="I622" s="61"/>
      <c r="J622" s="61"/>
      <c r="K622" s="61"/>
      <c r="L622" s="61"/>
      <c r="M622" s="61"/>
      <c r="N622" s="61"/>
      <c r="O622" s="61"/>
      <c r="P622" s="61"/>
      <c r="Q622" s="61"/>
      <c r="R622" s="61"/>
      <c r="S622" s="61"/>
      <c r="T622" s="61"/>
      <c r="U622" s="61"/>
      <c r="V622" s="61"/>
      <c r="W622" s="61"/>
      <c r="X622" s="61"/>
      <c r="Y622" s="61"/>
    </row>
    <row r="623">
      <c r="A623" s="52"/>
      <c r="B623" s="61"/>
      <c r="C623" s="61"/>
      <c r="D623" s="52"/>
      <c r="E623" s="61"/>
      <c r="F623" s="61"/>
      <c r="G623" s="61"/>
      <c r="H623" s="61"/>
      <c r="I623" s="61"/>
      <c r="J623" s="61"/>
      <c r="K623" s="61"/>
      <c r="L623" s="61"/>
      <c r="M623" s="61"/>
      <c r="N623" s="61"/>
      <c r="O623" s="61"/>
      <c r="P623" s="61"/>
      <c r="Q623" s="61"/>
      <c r="R623" s="61"/>
      <c r="S623" s="61"/>
      <c r="T623" s="61"/>
      <c r="U623" s="61"/>
      <c r="V623" s="61"/>
      <c r="W623" s="61"/>
      <c r="X623" s="61"/>
      <c r="Y623" s="61"/>
    </row>
    <row r="624">
      <c r="A624" s="52"/>
      <c r="B624" s="61"/>
      <c r="C624" s="61"/>
      <c r="D624" s="52"/>
      <c r="E624" s="61"/>
      <c r="F624" s="61"/>
      <c r="G624" s="61"/>
      <c r="H624" s="61"/>
      <c r="I624" s="61"/>
      <c r="J624" s="61"/>
      <c r="K624" s="61"/>
      <c r="L624" s="61"/>
      <c r="M624" s="61"/>
      <c r="N624" s="61"/>
      <c r="O624" s="61"/>
      <c r="P624" s="61"/>
      <c r="Q624" s="61"/>
      <c r="R624" s="61"/>
      <c r="S624" s="61"/>
      <c r="T624" s="61"/>
      <c r="U624" s="61"/>
      <c r="V624" s="61"/>
      <c r="W624" s="61"/>
      <c r="X624" s="61"/>
      <c r="Y624" s="61"/>
    </row>
    <row r="625">
      <c r="A625" s="52"/>
      <c r="B625" s="61"/>
      <c r="C625" s="61"/>
      <c r="D625" s="52"/>
      <c r="E625" s="61"/>
      <c r="F625" s="61"/>
      <c r="G625" s="61"/>
      <c r="H625" s="61"/>
      <c r="I625" s="61"/>
      <c r="J625" s="61"/>
      <c r="K625" s="61"/>
      <c r="L625" s="61"/>
      <c r="M625" s="61"/>
      <c r="N625" s="61"/>
      <c r="O625" s="61"/>
      <c r="P625" s="61"/>
      <c r="Q625" s="61"/>
      <c r="R625" s="61"/>
      <c r="S625" s="61"/>
      <c r="T625" s="61"/>
      <c r="U625" s="61"/>
      <c r="V625" s="61"/>
      <c r="W625" s="61"/>
      <c r="X625" s="61"/>
      <c r="Y625" s="61"/>
    </row>
    <row r="626">
      <c r="A626" s="52"/>
      <c r="B626" s="61"/>
      <c r="C626" s="61"/>
      <c r="D626" s="52"/>
      <c r="E626" s="61"/>
      <c r="F626" s="61"/>
      <c r="G626" s="61"/>
      <c r="H626" s="61"/>
      <c r="I626" s="61"/>
      <c r="J626" s="61"/>
      <c r="K626" s="61"/>
      <c r="L626" s="61"/>
      <c r="M626" s="61"/>
      <c r="N626" s="61"/>
      <c r="O626" s="61"/>
      <c r="P626" s="61"/>
      <c r="Q626" s="61"/>
      <c r="R626" s="61"/>
      <c r="S626" s="61"/>
      <c r="T626" s="61"/>
      <c r="U626" s="61"/>
      <c r="V626" s="61"/>
      <c r="W626" s="61"/>
      <c r="X626" s="61"/>
      <c r="Y626" s="61"/>
    </row>
    <row r="627">
      <c r="A627" s="52"/>
      <c r="B627" s="61"/>
      <c r="C627" s="61"/>
      <c r="D627" s="52"/>
      <c r="E627" s="61"/>
      <c r="F627" s="61"/>
      <c r="G627" s="61"/>
      <c r="H627" s="61"/>
      <c r="I627" s="61"/>
      <c r="J627" s="61"/>
      <c r="K627" s="61"/>
      <c r="L627" s="61"/>
      <c r="M627" s="61"/>
      <c r="N627" s="61"/>
      <c r="O627" s="61"/>
      <c r="P627" s="61"/>
      <c r="Q627" s="61"/>
      <c r="R627" s="61"/>
      <c r="S627" s="61"/>
      <c r="T627" s="61"/>
      <c r="U627" s="61"/>
      <c r="V627" s="61"/>
      <c r="W627" s="61"/>
      <c r="X627" s="61"/>
      <c r="Y627" s="61"/>
    </row>
    <row r="628">
      <c r="A628" s="52"/>
      <c r="B628" s="61"/>
      <c r="C628" s="61"/>
      <c r="D628" s="52"/>
      <c r="E628" s="61"/>
      <c r="F628" s="61"/>
      <c r="G628" s="61"/>
      <c r="H628" s="61"/>
      <c r="I628" s="61"/>
      <c r="J628" s="61"/>
      <c r="K628" s="61"/>
      <c r="L628" s="61"/>
      <c r="M628" s="61"/>
      <c r="N628" s="61"/>
      <c r="O628" s="61"/>
      <c r="P628" s="61"/>
      <c r="Q628" s="61"/>
      <c r="R628" s="61"/>
      <c r="S628" s="61"/>
      <c r="T628" s="61"/>
      <c r="U628" s="61"/>
      <c r="V628" s="61"/>
      <c r="W628" s="61"/>
      <c r="X628" s="61"/>
      <c r="Y628" s="61"/>
    </row>
    <row r="629">
      <c r="A629" s="52"/>
      <c r="B629" s="61"/>
      <c r="C629" s="61"/>
      <c r="D629" s="52"/>
      <c r="E629" s="61"/>
      <c r="F629" s="61"/>
      <c r="G629" s="61"/>
      <c r="H629" s="61"/>
      <c r="I629" s="61"/>
      <c r="J629" s="61"/>
      <c r="K629" s="61"/>
      <c r="L629" s="61"/>
      <c r="M629" s="61"/>
      <c r="N629" s="61"/>
      <c r="O629" s="61"/>
      <c r="P629" s="61"/>
      <c r="Q629" s="61"/>
      <c r="R629" s="61"/>
      <c r="S629" s="61"/>
      <c r="T629" s="61"/>
      <c r="U629" s="61"/>
      <c r="V629" s="61"/>
      <c r="W629" s="61"/>
      <c r="X629" s="61"/>
      <c r="Y629" s="61"/>
    </row>
    <row r="630">
      <c r="A630" s="52"/>
      <c r="B630" s="61"/>
      <c r="C630" s="61"/>
      <c r="D630" s="52"/>
      <c r="E630" s="61"/>
      <c r="F630" s="61"/>
      <c r="G630" s="61"/>
      <c r="H630" s="61"/>
      <c r="I630" s="61"/>
      <c r="J630" s="61"/>
      <c r="K630" s="61"/>
      <c r="L630" s="61"/>
      <c r="M630" s="61"/>
      <c r="N630" s="61"/>
      <c r="O630" s="61"/>
      <c r="P630" s="61"/>
      <c r="Q630" s="61"/>
      <c r="R630" s="61"/>
      <c r="S630" s="61"/>
      <c r="T630" s="61"/>
      <c r="U630" s="61"/>
      <c r="V630" s="61"/>
      <c r="W630" s="61"/>
      <c r="X630" s="61"/>
      <c r="Y630" s="61"/>
    </row>
    <row r="631">
      <c r="A631" s="52"/>
      <c r="B631" s="61"/>
      <c r="C631" s="61"/>
      <c r="D631" s="52"/>
      <c r="E631" s="61"/>
      <c r="F631" s="61"/>
      <c r="G631" s="61"/>
      <c r="H631" s="61"/>
      <c r="I631" s="61"/>
      <c r="J631" s="61"/>
      <c r="K631" s="61"/>
      <c r="L631" s="61"/>
      <c r="M631" s="61"/>
      <c r="N631" s="61"/>
      <c r="O631" s="61"/>
      <c r="P631" s="61"/>
      <c r="Q631" s="61"/>
      <c r="R631" s="61"/>
      <c r="S631" s="61"/>
      <c r="T631" s="61"/>
      <c r="U631" s="61"/>
      <c r="V631" s="61"/>
      <c r="W631" s="61"/>
      <c r="X631" s="61"/>
      <c r="Y631" s="61"/>
    </row>
    <row r="632">
      <c r="A632" s="52"/>
      <c r="B632" s="61"/>
      <c r="C632" s="61"/>
      <c r="D632" s="52"/>
      <c r="E632" s="61"/>
      <c r="F632" s="61"/>
      <c r="G632" s="61"/>
      <c r="H632" s="61"/>
      <c r="I632" s="61"/>
      <c r="J632" s="61"/>
      <c r="K632" s="61"/>
      <c r="L632" s="61"/>
      <c r="M632" s="61"/>
      <c r="N632" s="61"/>
      <c r="O632" s="61"/>
      <c r="P632" s="61"/>
      <c r="Q632" s="61"/>
      <c r="R632" s="61"/>
      <c r="S632" s="61"/>
      <c r="T632" s="61"/>
      <c r="U632" s="61"/>
      <c r="V632" s="61"/>
      <c r="W632" s="61"/>
      <c r="X632" s="61"/>
      <c r="Y632" s="61"/>
    </row>
    <row r="633">
      <c r="A633" s="52"/>
      <c r="B633" s="61"/>
      <c r="C633" s="61"/>
      <c r="D633" s="52"/>
      <c r="E633" s="61"/>
      <c r="F633" s="61"/>
      <c r="G633" s="61"/>
      <c r="H633" s="61"/>
      <c r="I633" s="61"/>
      <c r="J633" s="61"/>
      <c r="K633" s="61"/>
      <c r="L633" s="61"/>
      <c r="M633" s="61"/>
      <c r="N633" s="61"/>
      <c r="O633" s="61"/>
      <c r="P633" s="61"/>
      <c r="Q633" s="61"/>
      <c r="R633" s="61"/>
      <c r="S633" s="61"/>
      <c r="T633" s="61"/>
      <c r="U633" s="61"/>
      <c r="V633" s="61"/>
      <c r="W633" s="61"/>
      <c r="X633" s="61"/>
      <c r="Y633" s="61"/>
    </row>
    <row r="634">
      <c r="A634" s="52"/>
      <c r="B634" s="61"/>
      <c r="C634" s="61"/>
      <c r="D634" s="52"/>
      <c r="E634" s="61"/>
      <c r="F634" s="61"/>
      <c r="G634" s="61"/>
      <c r="H634" s="61"/>
      <c r="I634" s="61"/>
      <c r="J634" s="61"/>
      <c r="K634" s="61"/>
      <c r="L634" s="61"/>
      <c r="M634" s="61"/>
      <c r="N634" s="61"/>
      <c r="O634" s="61"/>
      <c r="P634" s="61"/>
      <c r="Q634" s="61"/>
      <c r="R634" s="61"/>
      <c r="S634" s="61"/>
      <c r="T634" s="61"/>
      <c r="U634" s="61"/>
      <c r="V634" s="61"/>
      <c r="W634" s="61"/>
      <c r="X634" s="61"/>
      <c r="Y634" s="61"/>
    </row>
    <row r="635">
      <c r="A635" s="52"/>
      <c r="B635" s="61"/>
      <c r="C635" s="61"/>
      <c r="D635" s="52"/>
      <c r="E635" s="61"/>
      <c r="F635" s="61"/>
      <c r="G635" s="61"/>
      <c r="H635" s="61"/>
      <c r="I635" s="61"/>
      <c r="J635" s="61"/>
      <c r="K635" s="61"/>
      <c r="L635" s="61"/>
      <c r="M635" s="61"/>
      <c r="N635" s="61"/>
      <c r="O635" s="61"/>
      <c r="P635" s="61"/>
      <c r="Q635" s="61"/>
      <c r="R635" s="61"/>
      <c r="S635" s="61"/>
      <c r="T635" s="61"/>
      <c r="U635" s="61"/>
      <c r="V635" s="61"/>
      <c r="W635" s="61"/>
      <c r="X635" s="61"/>
      <c r="Y635" s="61"/>
    </row>
    <row r="636">
      <c r="A636" s="52"/>
      <c r="B636" s="61"/>
      <c r="C636" s="61"/>
      <c r="D636" s="52"/>
      <c r="E636" s="61"/>
      <c r="F636" s="61"/>
      <c r="G636" s="61"/>
      <c r="H636" s="61"/>
      <c r="I636" s="61"/>
      <c r="J636" s="61"/>
      <c r="K636" s="61"/>
      <c r="L636" s="61"/>
      <c r="M636" s="61"/>
      <c r="N636" s="61"/>
      <c r="O636" s="61"/>
      <c r="P636" s="61"/>
      <c r="Q636" s="61"/>
      <c r="R636" s="61"/>
      <c r="S636" s="61"/>
      <c r="T636" s="61"/>
      <c r="U636" s="61"/>
      <c r="V636" s="61"/>
      <c r="W636" s="61"/>
      <c r="X636" s="61"/>
      <c r="Y636" s="61"/>
    </row>
    <row r="637">
      <c r="A637" s="52"/>
      <c r="B637" s="61"/>
      <c r="C637" s="61"/>
      <c r="D637" s="52"/>
      <c r="E637" s="61"/>
      <c r="F637" s="61"/>
      <c r="G637" s="61"/>
      <c r="H637" s="61"/>
      <c r="I637" s="61"/>
      <c r="J637" s="61"/>
      <c r="K637" s="61"/>
      <c r="L637" s="61"/>
      <c r="M637" s="61"/>
      <c r="N637" s="61"/>
      <c r="O637" s="61"/>
      <c r="P637" s="61"/>
      <c r="Q637" s="61"/>
      <c r="R637" s="61"/>
      <c r="S637" s="61"/>
      <c r="T637" s="61"/>
      <c r="U637" s="61"/>
      <c r="V637" s="61"/>
      <c r="W637" s="61"/>
      <c r="X637" s="61"/>
      <c r="Y637" s="61"/>
    </row>
    <row r="638">
      <c r="A638" s="52"/>
      <c r="B638" s="61"/>
      <c r="C638" s="61"/>
      <c r="D638" s="52"/>
      <c r="E638" s="61"/>
      <c r="F638" s="61"/>
      <c r="G638" s="61"/>
      <c r="H638" s="61"/>
      <c r="I638" s="61"/>
      <c r="J638" s="61"/>
      <c r="K638" s="61"/>
      <c r="L638" s="61"/>
      <c r="M638" s="61"/>
      <c r="N638" s="61"/>
      <c r="O638" s="61"/>
      <c r="P638" s="61"/>
      <c r="Q638" s="61"/>
      <c r="R638" s="61"/>
      <c r="S638" s="61"/>
      <c r="T638" s="61"/>
      <c r="U638" s="61"/>
      <c r="V638" s="61"/>
      <c r="W638" s="61"/>
      <c r="X638" s="61"/>
      <c r="Y638" s="61"/>
    </row>
    <row r="639">
      <c r="A639" s="52"/>
      <c r="B639" s="61"/>
      <c r="C639" s="61"/>
      <c r="D639" s="52"/>
      <c r="E639" s="61"/>
      <c r="F639" s="61"/>
      <c r="G639" s="61"/>
      <c r="H639" s="61"/>
      <c r="I639" s="61"/>
      <c r="J639" s="61"/>
      <c r="K639" s="61"/>
      <c r="L639" s="61"/>
      <c r="M639" s="61"/>
      <c r="N639" s="61"/>
      <c r="O639" s="61"/>
      <c r="P639" s="61"/>
      <c r="Q639" s="61"/>
      <c r="R639" s="61"/>
      <c r="S639" s="61"/>
      <c r="T639" s="61"/>
      <c r="U639" s="61"/>
      <c r="V639" s="61"/>
      <c r="W639" s="61"/>
      <c r="X639" s="61"/>
      <c r="Y639" s="61"/>
    </row>
    <row r="640">
      <c r="A640" s="52"/>
      <c r="B640" s="61"/>
      <c r="C640" s="61"/>
      <c r="D640" s="52"/>
      <c r="E640" s="61"/>
      <c r="F640" s="61"/>
      <c r="G640" s="61"/>
      <c r="H640" s="61"/>
      <c r="I640" s="61"/>
      <c r="J640" s="61"/>
      <c r="K640" s="61"/>
      <c r="L640" s="61"/>
      <c r="M640" s="61"/>
      <c r="N640" s="61"/>
      <c r="O640" s="61"/>
      <c r="P640" s="61"/>
      <c r="Q640" s="61"/>
      <c r="R640" s="61"/>
      <c r="S640" s="61"/>
      <c r="T640" s="61"/>
      <c r="U640" s="61"/>
      <c r="V640" s="61"/>
      <c r="W640" s="61"/>
      <c r="X640" s="61"/>
      <c r="Y640" s="61"/>
    </row>
    <row r="641">
      <c r="A641" s="52"/>
      <c r="B641" s="61"/>
      <c r="C641" s="61"/>
      <c r="D641" s="52"/>
      <c r="E641" s="61"/>
      <c r="F641" s="61"/>
      <c r="G641" s="61"/>
      <c r="H641" s="61"/>
      <c r="I641" s="61"/>
      <c r="J641" s="61"/>
      <c r="K641" s="61"/>
      <c r="L641" s="61"/>
      <c r="M641" s="61"/>
      <c r="N641" s="61"/>
      <c r="O641" s="61"/>
      <c r="P641" s="61"/>
      <c r="Q641" s="61"/>
      <c r="R641" s="61"/>
      <c r="S641" s="61"/>
      <c r="T641" s="61"/>
      <c r="U641" s="61"/>
      <c r="V641" s="61"/>
      <c r="W641" s="61"/>
      <c r="X641" s="61"/>
      <c r="Y641" s="61"/>
    </row>
    <row r="642">
      <c r="A642" s="52"/>
      <c r="B642" s="61"/>
      <c r="C642" s="61"/>
      <c r="D642" s="52"/>
      <c r="E642" s="61"/>
      <c r="F642" s="61"/>
      <c r="G642" s="61"/>
      <c r="H642" s="61"/>
      <c r="I642" s="61"/>
      <c r="J642" s="61"/>
      <c r="K642" s="61"/>
      <c r="L642" s="61"/>
      <c r="M642" s="61"/>
      <c r="N642" s="61"/>
      <c r="O642" s="61"/>
      <c r="P642" s="61"/>
      <c r="Q642" s="61"/>
      <c r="R642" s="61"/>
      <c r="S642" s="61"/>
      <c r="T642" s="61"/>
      <c r="U642" s="61"/>
      <c r="V642" s="61"/>
      <c r="W642" s="61"/>
      <c r="X642" s="61"/>
      <c r="Y642" s="61"/>
    </row>
    <row r="643">
      <c r="A643" s="52"/>
      <c r="B643" s="61"/>
      <c r="C643" s="61"/>
      <c r="D643" s="52"/>
      <c r="E643" s="61"/>
      <c r="F643" s="61"/>
      <c r="G643" s="61"/>
      <c r="H643" s="61"/>
      <c r="I643" s="61"/>
      <c r="J643" s="61"/>
      <c r="K643" s="61"/>
      <c r="L643" s="61"/>
      <c r="M643" s="61"/>
      <c r="N643" s="61"/>
      <c r="O643" s="61"/>
      <c r="P643" s="61"/>
      <c r="Q643" s="61"/>
      <c r="R643" s="61"/>
      <c r="S643" s="61"/>
      <c r="T643" s="61"/>
      <c r="U643" s="61"/>
      <c r="V643" s="61"/>
      <c r="W643" s="61"/>
      <c r="X643" s="61"/>
      <c r="Y643" s="61"/>
    </row>
    <row r="644">
      <c r="A644" s="52"/>
      <c r="B644" s="61"/>
      <c r="C644" s="61"/>
      <c r="D644" s="52"/>
      <c r="E644" s="61"/>
      <c r="F644" s="61"/>
      <c r="G644" s="61"/>
      <c r="H644" s="61"/>
      <c r="I644" s="61"/>
      <c r="J644" s="61"/>
      <c r="K644" s="61"/>
      <c r="L644" s="61"/>
      <c r="M644" s="61"/>
      <c r="N644" s="61"/>
      <c r="O644" s="61"/>
      <c r="P644" s="61"/>
      <c r="Q644" s="61"/>
      <c r="R644" s="61"/>
      <c r="S644" s="61"/>
      <c r="T644" s="61"/>
      <c r="U644" s="61"/>
      <c r="V644" s="61"/>
      <c r="W644" s="61"/>
      <c r="X644" s="61"/>
      <c r="Y644" s="61"/>
    </row>
    <row r="645">
      <c r="A645" s="52"/>
      <c r="B645" s="61"/>
      <c r="C645" s="61"/>
      <c r="D645" s="52"/>
      <c r="E645" s="61"/>
      <c r="F645" s="61"/>
      <c r="G645" s="61"/>
      <c r="H645" s="61"/>
      <c r="I645" s="61"/>
      <c r="J645" s="61"/>
      <c r="K645" s="61"/>
      <c r="L645" s="61"/>
      <c r="M645" s="61"/>
      <c r="N645" s="61"/>
      <c r="O645" s="61"/>
      <c r="P645" s="61"/>
      <c r="Q645" s="61"/>
      <c r="R645" s="61"/>
      <c r="S645" s="61"/>
      <c r="T645" s="61"/>
      <c r="U645" s="61"/>
      <c r="V645" s="61"/>
      <c r="W645" s="61"/>
      <c r="X645" s="61"/>
      <c r="Y645" s="61"/>
    </row>
    <row r="646">
      <c r="A646" s="52"/>
      <c r="B646" s="61"/>
      <c r="C646" s="61"/>
      <c r="D646" s="52"/>
      <c r="E646" s="61"/>
      <c r="F646" s="61"/>
      <c r="G646" s="61"/>
      <c r="H646" s="61"/>
      <c r="I646" s="61"/>
      <c r="J646" s="61"/>
      <c r="K646" s="61"/>
      <c r="L646" s="61"/>
      <c r="M646" s="61"/>
      <c r="N646" s="61"/>
      <c r="O646" s="61"/>
      <c r="P646" s="61"/>
      <c r="Q646" s="61"/>
      <c r="R646" s="61"/>
      <c r="S646" s="61"/>
      <c r="T646" s="61"/>
      <c r="U646" s="61"/>
      <c r="V646" s="61"/>
      <c r="W646" s="61"/>
      <c r="X646" s="61"/>
      <c r="Y646" s="61"/>
    </row>
    <row r="647">
      <c r="A647" s="52"/>
      <c r="B647" s="61"/>
      <c r="C647" s="61"/>
      <c r="D647" s="52"/>
      <c r="E647" s="61"/>
      <c r="F647" s="61"/>
      <c r="G647" s="61"/>
      <c r="H647" s="61"/>
      <c r="I647" s="61"/>
      <c r="J647" s="61"/>
      <c r="K647" s="61"/>
      <c r="L647" s="61"/>
      <c r="M647" s="61"/>
      <c r="N647" s="61"/>
      <c r="O647" s="61"/>
      <c r="P647" s="61"/>
      <c r="Q647" s="61"/>
      <c r="R647" s="61"/>
      <c r="S647" s="61"/>
      <c r="T647" s="61"/>
      <c r="U647" s="61"/>
      <c r="V647" s="61"/>
      <c r="W647" s="61"/>
      <c r="X647" s="61"/>
      <c r="Y647" s="61"/>
    </row>
    <row r="648">
      <c r="A648" s="52"/>
      <c r="B648" s="61"/>
      <c r="C648" s="61"/>
      <c r="D648" s="52"/>
      <c r="E648" s="61"/>
      <c r="F648" s="61"/>
      <c r="G648" s="61"/>
      <c r="H648" s="61"/>
      <c r="I648" s="61"/>
      <c r="J648" s="61"/>
      <c r="K648" s="61"/>
      <c r="L648" s="61"/>
      <c r="M648" s="61"/>
      <c r="N648" s="61"/>
      <c r="O648" s="61"/>
      <c r="P648" s="61"/>
      <c r="Q648" s="61"/>
      <c r="R648" s="61"/>
      <c r="S648" s="61"/>
      <c r="T648" s="61"/>
      <c r="U648" s="61"/>
      <c r="V648" s="61"/>
      <c r="W648" s="61"/>
      <c r="X648" s="61"/>
      <c r="Y648" s="61"/>
    </row>
    <row r="649">
      <c r="A649" s="52"/>
      <c r="B649" s="61"/>
      <c r="C649" s="61"/>
      <c r="D649" s="52"/>
      <c r="E649" s="61"/>
      <c r="F649" s="61"/>
      <c r="G649" s="61"/>
      <c r="H649" s="61"/>
      <c r="I649" s="61"/>
      <c r="J649" s="61"/>
      <c r="K649" s="61"/>
      <c r="L649" s="61"/>
      <c r="M649" s="61"/>
      <c r="N649" s="61"/>
      <c r="O649" s="61"/>
      <c r="P649" s="61"/>
      <c r="Q649" s="61"/>
      <c r="R649" s="61"/>
      <c r="S649" s="61"/>
      <c r="T649" s="61"/>
      <c r="U649" s="61"/>
      <c r="V649" s="61"/>
      <c r="W649" s="61"/>
      <c r="X649" s="61"/>
      <c r="Y649" s="61"/>
    </row>
    <row r="650">
      <c r="A650" s="52"/>
      <c r="B650" s="61"/>
      <c r="C650" s="61"/>
      <c r="D650" s="52"/>
      <c r="E650" s="61"/>
      <c r="F650" s="61"/>
      <c r="G650" s="61"/>
      <c r="H650" s="61"/>
      <c r="I650" s="61"/>
      <c r="J650" s="61"/>
      <c r="K650" s="61"/>
      <c r="L650" s="61"/>
      <c r="M650" s="61"/>
      <c r="N650" s="61"/>
      <c r="O650" s="61"/>
      <c r="P650" s="61"/>
      <c r="Q650" s="61"/>
      <c r="R650" s="61"/>
      <c r="S650" s="61"/>
      <c r="T650" s="61"/>
      <c r="U650" s="61"/>
      <c r="V650" s="61"/>
      <c r="W650" s="61"/>
      <c r="X650" s="61"/>
      <c r="Y650" s="61"/>
    </row>
    <row r="651">
      <c r="A651" s="52"/>
      <c r="B651" s="61"/>
      <c r="C651" s="61"/>
      <c r="D651" s="52"/>
      <c r="E651" s="61"/>
      <c r="F651" s="61"/>
      <c r="G651" s="61"/>
      <c r="H651" s="61"/>
      <c r="I651" s="61"/>
      <c r="J651" s="61"/>
      <c r="K651" s="61"/>
      <c r="L651" s="61"/>
      <c r="M651" s="61"/>
      <c r="N651" s="61"/>
      <c r="O651" s="61"/>
      <c r="P651" s="61"/>
      <c r="Q651" s="61"/>
      <c r="R651" s="61"/>
      <c r="S651" s="61"/>
      <c r="T651" s="61"/>
      <c r="U651" s="61"/>
      <c r="V651" s="61"/>
      <c r="W651" s="61"/>
      <c r="X651" s="61"/>
      <c r="Y651" s="61"/>
    </row>
    <row r="652">
      <c r="A652" s="52"/>
      <c r="B652" s="61"/>
      <c r="C652" s="61"/>
      <c r="D652" s="52"/>
      <c r="E652" s="61"/>
      <c r="F652" s="61"/>
      <c r="G652" s="61"/>
      <c r="H652" s="61"/>
      <c r="I652" s="61"/>
      <c r="J652" s="61"/>
      <c r="K652" s="61"/>
      <c r="L652" s="61"/>
      <c r="M652" s="61"/>
      <c r="N652" s="61"/>
      <c r="O652" s="61"/>
      <c r="P652" s="61"/>
      <c r="Q652" s="61"/>
      <c r="R652" s="61"/>
      <c r="S652" s="61"/>
      <c r="T652" s="61"/>
      <c r="U652" s="61"/>
      <c r="V652" s="61"/>
      <c r="W652" s="61"/>
      <c r="X652" s="61"/>
      <c r="Y652" s="61"/>
    </row>
    <row r="653">
      <c r="A653" s="52"/>
      <c r="B653" s="61"/>
      <c r="C653" s="61"/>
      <c r="D653" s="52"/>
      <c r="E653" s="61"/>
      <c r="F653" s="61"/>
      <c r="G653" s="61"/>
      <c r="H653" s="61"/>
      <c r="I653" s="61"/>
      <c r="J653" s="61"/>
      <c r="K653" s="61"/>
      <c r="L653" s="61"/>
      <c r="M653" s="61"/>
      <c r="N653" s="61"/>
      <c r="O653" s="61"/>
      <c r="P653" s="61"/>
      <c r="Q653" s="61"/>
      <c r="R653" s="61"/>
      <c r="S653" s="61"/>
      <c r="T653" s="61"/>
      <c r="U653" s="61"/>
      <c r="V653" s="61"/>
      <c r="W653" s="61"/>
      <c r="X653" s="61"/>
      <c r="Y653" s="61"/>
    </row>
    <row r="654">
      <c r="A654" s="52"/>
      <c r="B654" s="61"/>
      <c r="C654" s="61"/>
      <c r="D654" s="52"/>
      <c r="E654" s="61"/>
      <c r="F654" s="61"/>
      <c r="G654" s="61"/>
      <c r="H654" s="61"/>
      <c r="I654" s="61"/>
      <c r="J654" s="61"/>
      <c r="K654" s="61"/>
      <c r="L654" s="61"/>
      <c r="M654" s="61"/>
      <c r="N654" s="61"/>
      <c r="O654" s="61"/>
      <c r="P654" s="61"/>
      <c r="Q654" s="61"/>
      <c r="R654" s="61"/>
      <c r="S654" s="61"/>
      <c r="T654" s="61"/>
      <c r="U654" s="61"/>
      <c r="V654" s="61"/>
      <c r="W654" s="61"/>
      <c r="X654" s="61"/>
      <c r="Y654" s="61"/>
    </row>
    <row r="655">
      <c r="A655" s="52"/>
      <c r="B655" s="61"/>
      <c r="C655" s="61"/>
      <c r="D655" s="52"/>
      <c r="E655" s="61"/>
      <c r="F655" s="61"/>
      <c r="G655" s="61"/>
      <c r="H655" s="61"/>
      <c r="I655" s="61"/>
      <c r="J655" s="61"/>
      <c r="K655" s="61"/>
      <c r="L655" s="61"/>
      <c r="M655" s="61"/>
      <c r="N655" s="61"/>
      <c r="O655" s="61"/>
      <c r="P655" s="61"/>
      <c r="Q655" s="61"/>
      <c r="R655" s="61"/>
      <c r="S655" s="61"/>
      <c r="T655" s="61"/>
      <c r="U655" s="61"/>
      <c r="V655" s="61"/>
      <c r="W655" s="61"/>
      <c r="X655" s="61"/>
      <c r="Y655" s="61"/>
    </row>
    <row r="656">
      <c r="A656" s="52"/>
      <c r="B656" s="61"/>
      <c r="C656" s="61"/>
      <c r="D656" s="52"/>
      <c r="E656" s="61"/>
      <c r="F656" s="61"/>
      <c r="G656" s="61"/>
      <c r="H656" s="61"/>
      <c r="I656" s="61"/>
      <c r="J656" s="61"/>
      <c r="K656" s="61"/>
      <c r="L656" s="61"/>
      <c r="M656" s="61"/>
      <c r="N656" s="61"/>
      <c r="O656" s="61"/>
      <c r="P656" s="61"/>
      <c r="Q656" s="61"/>
      <c r="R656" s="61"/>
      <c r="S656" s="61"/>
      <c r="T656" s="61"/>
      <c r="U656" s="61"/>
      <c r="V656" s="61"/>
      <c r="W656" s="61"/>
      <c r="X656" s="61"/>
      <c r="Y656" s="61"/>
    </row>
    <row r="657">
      <c r="A657" s="52"/>
      <c r="B657" s="61"/>
      <c r="C657" s="61"/>
      <c r="D657" s="52"/>
      <c r="E657" s="61"/>
      <c r="F657" s="61"/>
      <c r="G657" s="61"/>
      <c r="H657" s="61"/>
      <c r="I657" s="61"/>
      <c r="J657" s="61"/>
      <c r="K657" s="61"/>
      <c r="L657" s="61"/>
      <c r="M657" s="61"/>
      <c r="N657" s="61"/>
      <c r="O657" s="61"/>
      <c r="P657" s="61"/>
      <c r="Q657" s="61"/>
      <c r="R657" s="61"/>
      <c r="S657" s="61"/>
      <c r="T657" s="61"/>
      <c r="U657" s="61"/>
      <c r="V657" s="61"/>
      <c r="W657" s="61"/>
      <c r="X657" s="61"/>
      <c r="Y657" s="61"/>
    </row>
    <row r="658">
      <c r="A658" s="52"/>
      <c r="B658" s="61"/>
      <c r="C658" s="61"/>
      <c r="D658" s="52"/>
      <c r="E658" s="61"/>
      <c r="F658" s="61"/>
      <c r="G658" s="61"/>
      <c r="H658" s="61"/>
      <c r="I658" s="61"/>
      <c r="J658" s="61"/>
      <c r="K658" s="61"/>
      <c r="L658" s="61"/>
      <c r="M658" s="61"/>
      <c r="N658" s="61"/>
      <c r="O658" s="61"/>
      <c r="P658" s="61"/>
      <c r="Q658" s="61"/>
      <c r="R658" s="61"/>
      <c r="S658" s="61"/>
      <c r="T658" s="61"/>
      <c r="U658" s="61"/>
      <c r="V658" s="61"/>
      <c r="W658" s="61"/>
      <c r="X658" s="61"/>
      <c r="Y658" s="61"/>
    </row>
    <row r="659">
      <c r="A659" s="52"/>
      <c r="B659" s="61"/>
      <c r="C659" s="61"/>
      <c r="D659" s="52"/>
      <c r="E659" s="61"/>
      <c r="F659" s="61"/>
      <c r="G659" s="61"/>
      <c r="H659" s="61"/>
      <c r="I659" s="61"/>
      <c r="J659" s="61"/>
      <c r="K659" s="61"/>
      <c r="L659" s="61"/>
      <c r="M659" s="61"/>
      <c r="N659" s="61"/>
      <c r="O659" s="61"/>
      <c r="P659" s="61"/>
      <c r="Q659" s="61"/>
      <c r="R659" s="61"/>
      <c r="S659" s="61"/>
      <c r="T659" s="61"/>
      <c r="U659" s="61"/>
      <c r="V659" s="61"/>
      <c r="W659" s="61"/>
      <c r="X659" s="61"/>
      <c r="Y659" s="61"/>
    </row>
    <row r="660">
      <c r="A660" s="52"/>
      <c r="B660" s="61"/>
      <c r="C660" s="61"/>
      <c r="D660" s="52"/>
      <c r="E660" s="61"/>
      <c r="F660" s="61"/>
      <c r="G660" s="61"/>
      <c r="H660" s="61"/>
      <c r="I660" s="61"/>
      <c r="J660" s="61"/>
      <c r="K660" s="61"/>
      <c r="L660" s="61"/>
      <c r="M660" s="61"/>
      <c r="N660" s="61"/>
      <c r="O660" s="61"/>
      <c r="P660" s="61"/>
      <c r="Q660" s="61"/>
      <c r="R660" s="61"/>
      <c r="S660" s="61"/>
      <c r="T660" s="61"/>
      <c r="U660" s="61"/>
      <c r="V660" s="61"/>
      <c r="W660" s="61"/>
      <c r="X660" s="61"/>
      <c r="Y660" s="61"/>
    </row>
    <row r="661">
      <c r="A661" s="52"/>
      <c r="B661" s="61"/>
      <c r="C661" s="61"/>
      <c r="D661" s="52"/>
      <c r="E661" s="61"/>
      <c r="F661" s="61"/>
      <c r="G661" s="61"/>
      <c r="H661" s="61"/>
      <c r="I661" s="61"/>
      <c r="J661" s="61"/>
      <c r="K661" s="61"/>
      <c r="L661" s="61"/>
      <c r="M661" s="61"/>
      <c r="N661" s="61"/>
      <c r="O661" s="61"/>
      <c r="P661" s="61"/>
      <c r="Q661" s="61"/>
      <c r="R661" s="61"/>
      <c r="S661" s="61"/>
      <c r="T661" s="61"/>
      <c r="U661" s="61"/>
      <c r="V661" s="61"/>
      <c r="W661" s="61"/>
      <c r="X661" s="61"/>
      <c r="Y661" s="61"/>
    </row>
    <row r="662">
      <c r="A662" s="52"/>
      <c r="B662" s="61"/>
      <c r="C662" s="61"/>
      <c r="D662" s="52"/>
      <c r="E662" s="61"/>
      <c r="F662" s="61"/>
      <c r="G662" s="61"/>
      <c r="H662" s="61"/>
      <c r="I662" s="61"/>
      <c r="J662" s="61"/>
      <c r="K662" s="61"/>
      <c r="L662" s="61"/>
      <c r="M662" s="61"/>
      <c r="N662" s="61"/>
      <c r="O662" s="61"/>
      <c r="P662" s="61"/>
      <c r="Q662" s="61"/>
      <c r="R662" s="61"/>
      <c r="S662" s="61"/>
      <c r="T662" s="61"/>
      <c r="U662" s="61"/>
      <c r="V662" s="61"/>
      <c r="W662" s="61"/>
      <c r="X662" s="61"/>
      <c r="Y662" s="61"/>
    </row>
    <row r="663">
      <c r="A663" s="52"/>
      <c r="B663" s="61"/>
      <c r="C663" s="61"/>
      <c r="D663" s="52"/>
      <c r="E663" s="61"/>
      <c r="F663" s="61"/>
      <c r="G663" s="61"/>
      <c r="H663" s="61"/>
      <c r="I663" s="61"/>
      <c r="J663" s="61"/>
      <c r="K663" s="61"/>
      <c r="L663" s="61"/>
      <c r="M663" s="61"/>
      <c r="N663" s="61"/>
      <c r="O663" s="61"/>
      <c r="P663" s="61"/>
      <c r="Q663" s="61"/>
      <c r="R663" s="61"/>
      <c r="S663" s="61"/>
      <c r="T663" s="61"/>
      <c r="U663" s="61"/>
      <c r="V663" s="61"/>
      <c r="W663" s="61"/>
      <c r="X663" s="61"/>
      <c r="Y663" s="61"/>
    </row>
    <row r="664">
      <c r="A664" s="52"/>
      <c r="B664" s="61"/>
      <c r="C664" s="61"/>
      <c r="D664" s="52"/>
      <c r="E664" s="61"/>
      <c r="F664" s="61"/>
      <c r="G664" s="61"/>
      <c r="H664" s="61"/>
      <c r="I664" s="61"/>
      <c r="J664" s="61"/>
      <c r="K664" s="61"/>
      <c r="L664" s="61"/>
      <c r="M664" s="61"/>
      <c r="N664" s="61"/>
      <c r="O664" s="61"/>
      <c r="P664" s="61"/>
      <c r="Q664" s="61"/>
      <c r="R664" s="61"/>
      <c r="S664" s="61"/>
      <c r="T664" s="61"/>
      <c r="U664" s="61"/>
      <c r="V664" s="61"/>
      <c r="W664" s="61"/>
      <c r="X664" s="61"/>
      <c r="Y664" s="61"/>
    </row>
    <row r="665">
      <c r="A665" s="52"/>
      <c r="B665" s="61"/>
      <c r="C665" s="61"/>
      <c r="D665" s="52"/>
      <c r="E665" s="61"/>
      <c r="F665" s="61"/>
      <c r="G665" s="61"/>
      <c r="H665" s="61"/>
      <c r="I665" s="61"/>
      <c r="J665" s="61"/>
      <c r="K665" s="61"/>
      <c r="L665" s="61"/>
      <c r="M665" s="61"/>
      <c r="N665" s="61"/>
      <c r="O665" s="61"/>
      <c r="P665" s="61"/>
      <c r="Q665" s="61"/>
      <c r="R665" s="61"/>
      <c r="S665" s="61"/>
      <c r="T665" s="61"/>
      <c r="U665" s="61"/>
      <c r="V665" s="61"/>
      <c r="W665" s="61"/>
      <c r="X665" s="61"/>
      <c r="Y665" s="61"/>
    </row>
    <row r="666">
      <c r="A666" s="52"/>
      <c r="B666" s="61"/>
      <c r="C666" s="61"/>
      <c r="D666" s="52"/>
      <c r="E666" s="61"/>
      <c r="F666" s="61"/>
      <c r="G666" s="61"/>
      <c r="H666" s="61"/>
      <c r="I666" s="61"/>
      <c r="J666" s="61"/>
      <c r="K666" s="61"/>
      <c r="L666" s="61"/>
      <c r="M666" s="61"/>
      <c r="N666" s="61"/>
      <c r="O666" s="61"/>
      <c r="P666" s="61"/>
      <c r="Q666" s="61"/>
      <c r="R666" s="61"/>
      <c r="S666" s="61"/>
      <c r="T666" s="61"/>
      <c r="U666" s="61"/>
      <c r="V666" s="61"/>
      <c r="W666" s="61"/>
      <c r="X666" s="61"/>
      <c r="Y666" s="61"/>
    </row>
    <row r="667">
      <c r="A667" s="52"/>
      <c r="B667" s="61"/>
      <c r="C667" s="61"/>
      <c r="D667" s="52"/>
      <c r="E667" s="61"/>
      <c r="F667" s="61"/>
      <c r="G667" s="61"/>
      <c r="H667" s="61"/>
      <c r="I667" s="61"/>
      <c r="J667" s="61"/>
      <c r="K667" s="61"/>
      <c r="L667" s="61"/>
      <c r="M667" s="61"/>
      <c r="N667" s="61"/>
      <c r="O667" s="61"/>
      <c r="P667" s="61"/>
      <c r="Q667" s="61"/>
      <c r="R667" s="61"/>
      <c r="S667" s="61"/>
      <c r="T667" s="61"/>
      <c r="U667" s="61"/>
      <c r="V667" s="61"/>
      <c r="W667" s="61"/>
      <c r="X667" s="61"/>
      <c r="Y667" s="61"/>
    </row>
    <row r="668">
      <c r="A668" s="52"/>
      <c r="B668" s="61"/>
      <c r="C668" s="61"/>
      <c r="D668" s="52"/>
      <c r="E668" s="61"/>
      <c r="F668" s="61"/>
      <c r="G668" s="61"/>
      <c r="H668" s="61"/>
      <c r="I668" s="61"/>
      <c r="J668" s="61"/>
      <c r="K668" s="61"/>
      <c r="L668" s="61"/>
      <c r="M668" s="61"/>
      <c r="N668" s="61"/>
      <c r="O668" s="61"/>
      <c r="P668" s="61"/>
      <c r="Q668" s="61"/>
      <c r="R668" s="61"/>
      <c r="S668" s="61"/>
      <c r="T668" s="61"/>
      <c r="U668" s="61"/>
      <c r="V668" s="61"/>
      <c r="W668" s="61"/>
      <c r="X668" s="61"/>
      <c r="Y668" s="61"/>
    </row>
    <row r="669">
      <c r="A669" s="52"/>
      <c r="B669" s="61"/>
      <c r="C669" s="61"/>
      <c r="D669" s="52"/>
      <c r="E669" s="61"/>
      <c r="F669" s="61"/>
      <c r="G669" s="61"/>
      <c r="H669" s="61"/>
      <c r="I669" s="61"/>
      <c r="J669" s="61"/>
      <c r="K669" s="61"/>
      <c r="L669" s="61"/>
      <c r="M669" s="61"/>
      <c r="N669" s="61"/>
      <c r="O669" s="61"/>
      <c r="P669" s="61"/>
      <c r="Q669" s="61"/>
      <c r="R669" s="61"/>
      <c r="S669" s="61"/>
      <c r="T669" s="61"/>
      <c r="U669" s="61"/>
      <c r="V669" s="61"/>
      <c r="W669" s="61"/>
      <c r="X669" s="61"/>
      <c r="Y669" s="61"/>
    </row>
    <row r="670">
      <c r="A670" s="52"/>
      <c r="B670" s="61"/>
      <c r="C670" s="61"/>
      <c r="D670" s="52"/>
      <c r="E670" s="61"/>
      <c r="F670" s="61"/>
      <c r="G670" s="61"/>
      <c r="H670" s="61"/>
      <c r="I670" s="61"/>
      <c r="J670" s="61"/>
      <c r="K670" s="61"/>
      <c r="L670" s="61"/>
      <c r="M670" s="61"/>
      <c r="N670" s="61"/>
      <c r="O670" s="61"/>
      <c r="P670" s="61"/>
      <c r="Q670" s="61"/>
      <c r="R670" s="61"/>
      <c r="S670" s="61"/>
      <c r="T670" s="61"/>
      <c r="U670" s="61"/>
      <c r="V670" s="61"/>
      <c r="W670" s="61"/>
      <c r="X670" s="61"/>
      <c r="Y670" s="61"/>
    </row>
    <row r="671">
      <c r="A671" s="52"/>
      <c r="B671" s="61"/>
      <c r="C671" s="61"/>
      <c r="D671" s="52"/>
      <c r="E671" s="61"/>
      <c r="F671" s="61"/>
      <c r="G671" s="61"/>
      <c r="H671" s="61"/>
      <c r="I671" s="61"/>
      <c r="J671" s="61"/>
      <c r="K671" s="61"/>
      <c r="L671" s="61"/>
      <c r="M671" s="61"/>
      <c r="N671" s="61"/>
      <c r="O671" s="61"/>
      <c r="P671" s="61"/>
      <c r="Q671" s="61"/>
      <c r="R671" s="61"/>
      <c r="S671" s="61"/>
      <c r="T671" s="61"/>
      <c r="U671" s="61"/>
      <c r="V671" s="61"/>
      <c r="W671" s="61"/>
      <c r="X671" s="61"/>
      <c r="Y671" s="61"/>
    </row>
    <row r="672">
      <c r="A672" s="52"/>
      <c r="B672" s="61"/>
      <c r="C672" s="61"/>
      <c r="D672" s="52"/>
      <c r="E672" s="61"/>
      <c r="F672" s="61"/>
      <c r="G672" s="61"/>
      <c r="H672" s="61"/>
      <c r="I672" s="61"/>
      <c r="J672" s="61"/>
      <c r="K672" s="61"/>
      <c r="L672" s="61"/>
      <c r="M672" s="61"/>
      <c r="N672" s="61"/>
      <c r="O672" s="61"/>
      <c r="P672" s="61"/>
      <c r="Q672" s="61"/>
      <c r="R672" s="61"/>
      <c r="S672" s="61"/>
      <c r="T672" s="61"/>
      <c r="U672" s="61"/>
      <c r="V672" s="61"/>
      <c r="W672" s="61"/>
      <c r="X672" s="61"/>
      <c r="Y672" s="61"/>
    </row>
    <row r="673">
      <c r="A673" s="52"/>
      <c r="B673" s="61"/>
      <c r="C673" s="61"/>
      <c r="D673" s="52"/>
      <c r="E673" s="61"/>
      <c r="F673" s="61"/>
      <c r="G673" s="61"/>
      <c r="H673" s="61"/>
      <c r="I673" s="61"/>
      <c r="J673" s="61"/>
      <c r="K673" s="61"/>
      <c r="L673" s="61"/>
      <c r="M673" s="61"/>
      <c r="N673" s="61"/>
      <c r="O673" s="61"/>
      <c r="P673" s="61"/>
      <c r="Q673" s="61"/>
      <c r="R673" s="61"/>
      <c r="S673" s="61"/>
      <c r="T673" s="61"/>
      <c r="U673" s="61"/>
      <c r="V673" s="61"/>
      <c r="W673" s="61"/>
      <c r="X673" s="61"/>
      <c r="Y673" s="61"/>
    </row>
    <row r="674">
      <c r="A674" s="52"/>
      <c r="B674" s="61"/>
      <c r="C674" s="61"/>
      <c r="D674" s="52"/>
      <c r="E674" s="61"/>
      <c r="F674" s="61"/>
      <c r="G674" s="61"/>
      <c r="H674" s="61"/>
      <c r="I674" s="61"/>
      <c r="J674" s="61"/>
      <c r="K674" s="61"/>
      <c r="L674" s="61"/>
      <c r="M674" s="61"/>
      <c r="N674" s="61"/>
      <c r="O674" s="61"/>
      <c r="P674" s="61"/>
      <c r="Q674" s="61"/>
      <c r="R674" s="61"/>
      <c r="S674" s="61"/>
      <c r="T674" s="61"/>
      <c r="U674" s="61"/>
      <c r="V674" s="61"/>
      <c r="W674" s="61"/>
      <c r="X674" s="61"/>
      <c r="Y674" s="61"/>
    </row>
    <row r="675">
      <c r="A675" s="52"/>
      <c r="B675" s="61"/>
      <c r="C675" s="61"/>
      <c r="D675" s="52"/>
      <c r="E675" s="61"/>
      <c r="F675" s="61"/>
      <c r="G675" s="61"/>
      <c r="H675" s="61"/>
      <c r="I675" s="61"/>
      <c r="J675" s="61"/>
      <c r="K675" s="61"/>
      <c r="L675" s="61"/>
      <c r="M675" s="61"/>
      <c r="N675" s="61"/>
      <c r="O675" s="61"/>
      <c r="P675" s="61"/>
      <c r="Q675" s="61"/>
      <c r="R675" s="61"/>
      <c r="S675" s="61"/>
      <c r="T675" s="61"/>
      <c r="U675" s="61"/>
      <c r="V675" s="61"/>
      <c r="W675" s="61"/>
      <c r="X675" s="61"/>
      <c r="Y675" s="61"/>
    </row>
    <row r="676">
      <c r="A676" s="52"/>
      <c r="B676" s="61"/>
      <c r="C676" s="61"/>
      <c r="D676" s="52"/>
      <c r="E676" s="61"/>
      <c r="F676" s="61"/>
      <c r="G676" s="61"/>
      <c r="H676" s="61"/>
      <c r="I676" s="61"/>
      <c r="J676" s="61"/>
      <c r="K676" s="61"/>
      <c r="L676" s="61"/>
      <c r="M676" s="61"/>
      <c r="N676" s="61"/>
      <c r="O676" s="61"/>
      <c r="P676" s="61"/>
      <c r="Q676" s="61"/>
      <c r="R676" s="61"/>
      <c r="S676" s="61"/>
      <c r="T676" s="61"/>
      <c r="U676" s="61"/>
      <c r="V676" s="61"/>
      <c r="W676" s="61"/>
      <c r="X676" s="61"/>
      <c r="Y676" s="61"/>
    </row>
    <row r="677">
      <c r="A677" s="52"/>
      <c r="B677" s="61"/>
      <c r="C677" s="61"/>
      <c r="D677" s="52"/>
      <c r="E677" s="61"/>
      <c r="F677" s="61"/>
      <c r="G677" s="61"/>
      <c r="H677" s="61"/>
      <c r="I677" s="61"/>
      <c r="J677" s="61"/>
      <c r="K677" s="61"/>
      <c r="L677" s="61"/>
      <c r="M677" s="61"/>
      <c r="N677" s="61"/>
      <c r="O677" s="61"/>
      <c r="P677" s="61"/>
      <c r="Q677" s="61"/>
      <c r="R677" s="61"/>
      <c r="S677" s="61"/>
      <c r="T677" s="61"/>
      <c r="U677" s="61"/>
      <c r="V677" s="61"/>
      <c r="W677" s="61"/>
      <c r="X677" s="61"/>
      <c r="Y677" s="61"/>
    </row>
    <row r="678">
      <c r="A678" s="52"/>
      <c r="B678" s="61"/>
      <c r="C678" s="61"/>
      <c r="D678" s="52"/>
      <c r="E678" s="61"/>
      <c r="F678" s="61"/>
      <c r="G678" s="61"/>
      <c r="H678" s="61"/>
      <c r="I678" s="61"/>
      <c r="J678" s="61"/>
      <c r="K678" s="61"/>
      <c r="L678" s="61"/>
      <c r="M678" s="61"/>
      <c r="N678" s="61"/>
      <c r="O678" s="61"/>
      <c r="P678" s="61"/>
      <c r="Q678" s="61"/>
      <c r="R678" s="61"/>
      <c r="S678" s="61"/>
      <c r="T678" s="61"/>
      <c r="U678" s="61"/>
      <c r="V678" s="61"/>
      <c r="W678" s="61"/>
      <c r="X678" s="61"/>
      <c r="Y678" s="61"/>
    </row>
    <row r="679">
      <c r="A679" s="52"/>
      <c r="B679" s="61"/>
      <c r="C679" s="61"/>
      <c r="D679" s="52"/>
      <c r="E679" s="61"/>
      <c r="F679" s="61"/>
      <c r="G679" s="61"/>
      <c r="H679" s="61"/>
      <c r="I679" s="61"/>
      <c r="J679" s="61"/>
      <c r="K679" s="61"/>
      <c r="L679" s="61"/>
      <c r="M679" s="61"/>
      <c r="N679" s="61"/>
      <c r="O679" s="61"/>
      <c r="P679" s="61"/>
      <c r="Q679" s="61"/>
      <c r="R679" s="61"/>
      <c r="S679" s="61"/>
      <c r="T679" s="61"/>
      <c r="U679" s="61"/>
      <c r="V679" s="61"/>
      <c r="W679" s="61"/>
      <c r="X679" s="61"/>
      <c r="Y679" s="61"/>
    </row>
    <row r="680">
      <c r="A680" s="52"/>
      <c r="B680" s="61"/>
      <c r="C680" s="61"/>
      <c r="D680" s="52"/>
      <c r="E680" s="61"/>
      <c r="F680" s="61"/>
      <c r="G680" s="61"/>
      <c r="H680" s="61"/>
      <c r="I680" s="61"/>
      <c r="J680" s="61"/>
      <c r="K680" s="61"/>
      <c r="L680" s="61"/>
      <c r="M680" s="61"/>
      <c r="N680" s="61"/>
      <c r="O680" s="61"/>
      <c r="P680" s="61"/>
      <c r="Q680" s="61"/>
      <c r="R680" s="61"/>
      <c r="S680" s="61"/>
      <c r="T680" s="61"/>
      <c r="U680" s="61"/>
      <c r="V680" s="61"/>
      <c r="W680" s="61"/>
      <c r="X680" s="61"/>
      <c r="Y680" s="61"/>
    </row>
    <row r="681">
      <c r="A681" s="52"/>
      <c r="B681" s="61"/>
      <c r="C681" s="61"/>
      <c r="D681" s="52"/>
      <c r="E681" s="61"/>
      <c r="F681" s="61"/>
      <c r="G681" s="61"/>
      <c r="H681" s="61"/>
      <c r="I681" s="61"/>
      <c r="J681" s="61"/>
      <c r="K681" s="61"/>
      <c r="L681" s="61"/>
      <c r="M681" s="61"/>
      <c r="N681" s="61"/>
      <c r="O681" s="61"/>
      <c r="P681" s="61"/>
      <c r="Q681" s="61"/>
      <c r="R681" s="61"/>
      <c r="S681" s="61"/>
      <c r="T681" s="61"/>
      <c r="U681" s="61"/>
      <c r="V681" s="61"/>
      <c r="W681" s="61"/>
      <c r="X681" s="61"/>
      <c r="Y681" s="61"/>
    </row>
    <row r="682">
      <c r="A682" s="52"/>
      <c r="B682" s="61"/>
      <c r="C682" s="61"/>
      <c r="D682" s="52"/>
      <c r="E682" s="61"/>
      <c r="F682" s="61"/>
      <c r="G682" s="61"/>
      <c r="H682" s="61"/>
      <c r="I682" s="61"/>
      <c r="J682" s="61"/>
      <c r="K682" s="61"/>
      <c r="L682" s="61"/>
      <c r="M682" s="61"/>
      <c r="N682" s="61"/>
      <c r="O682" s="61"/>
      <c r="P682" s="61"/>
      <c r="Q682" s="61"/>
      <c r="R682" s="61"/>
      <c r="S682" s="61"/>
      <c r="T682" s="61"/>
      <c r="U682" s="61"/>
      <c r="V682" s="61"/>
      <c r="W682" s="61"/>
      <c r="X682" s="61"/>
      <c r="Y682" s="61"/>
    </row>
    <row r="683">
      <c r="A683" s="52"/>
      <c r="B683" s="61"/>
      <c r="C683" s="61"/>
      <c r="D683" s="52"/>
      <c r="E683" s="61"/>
      <c r="F683" s="61"/>
      <c r="G683" s="61"/>
      <c r="H683" s="61"/>
      <c r="I683" s="61"/>
      <c r="J683" s="61"/>
      <c r="K683" s="61"/>
      <c r="L683" s="61"/>
      <c r="M683" s="61"/>
      <c r="N683" s="61"/>
      <c r="O683" s="61"/>
      <c r="P683" s="61"/>
      <c r="Q683" s="61"/>
      <c r="R683" s="61"/>
      <c r="S683" s="61"/>
      <c r="T683" s="61"/>
      <c r="U683" s="61"/>
      <c r="V683" s="61"/>
      <c r="W683" s="61"/>
      <c r="X683" s="61"/>
      <c r="Y683" s="61"/>
    </row>
    <row r="684">
      <c r="A684" s="52"/>
      <c r="B684" s="61"/>
      <c r="C684" s="61"/>
      <c r="D684" s="52"/>
      <c r="E684" s="61"/>
      <c r="F684" s="61"/>
      <c r="G684" s="61"/>
      <c r="H684" s="61"/>
      <c r="I684" s="61"/>
      <c r="J684" s="61"/>
      <c r="K684" s="61"/>
      <c r="L684" s="61"/>
      <c r="M684" s="61"/>
      <c r="N684" s="61"/>
      <c r="O684" s="61"/>
      <c r="P684" s="61"/>
      <c r="Q684" s="61"/>
      <c r="R684" s="61"/>
      <c r="S684" s="61"/>
      <c r="T684" s="61"/>
      <c r="U684" s="61"/>
      <c r="V684" s="61"/>
      <c r="W684" s="61"/>
      <c r="X684" s="61"/>
      <c r="Y684" s="61"/>
    </row>
    <row r="685">
      <c r="A685" s="52"/>
      <c r="B685" s="61"/>
      <c r="C685" s="61"/>
      <c r="D685" s="52"/>
      <c r="E685" s="61"/>
      <c r="F685" s="61"/>
      <c r="G685" s="61"/>
      <c r="H685" s="61"/>
      <c r="I685" s="61"/>
      <c r="J685" s="61"/>
      <c r="K685" s="61"/>
      <c r="L685" s="61"/>
      <c r="M685" s="61"/>
      <c r="N685" s="61"/>
      <c r="O685" s="61"/>
      <c r="P685" s="61"/>
      <c r="Q685" s="61"/>
      <c r="R685" s="61"/>
      <c r="S685" s="61"/>
      <c r="T685" s="61"/>
      <c r="U685" s="61"/>
      <c r="V685" s="61"/>
      <c r="W685" s="61"/>
      <c r="X685" s="61"/>
      <c r="Y685" s="61"/>
    </row>
    <row r="686">
      <c r="A686" s="52"/>
      <c r="B686" s="61"/>
      <c r="C686" s="61"/>
      <c r="D686" s="52"/>
      <c r="E686" s="61"/>
      <c r="F686" s="61"/>
      <c r="G686" s="61"/>
      <c r="H686" s="61"/>
      <c r="I686" s="61"/>
      <c r="J686" s="61"/>
      <c r="K686" s="61"/>
      <c r="L686" s="61"/>
      <c r="M686" s="61"/>
      <c r="N686" s="61"/>
      <c r="O686" s="61"/>
      <c r="P686" s="61"/>
      <c r="Q686" s="61"/>
      <c r="R686" s="61"/>
      <c r="S686" s="61"/>
      <c r="T686" s="61"/>
      <c r="U686" s="61"/>
      <c r="V686" s="61"/>
      <c r="W686" s="61"/>
      <c r="X686" s="61"/>
      <c r="Y686" s="61"/>
    </row>
    <row r="687">
      <c r="A687" s="52"/>
      <c r="B687" s="61"/>
      <c r="C687" s="61"/>
      <c r="D687" s="52"/>
      <c r="E687" s="61"/>
      <c r="F687" s="61"/>
      <c r="G687" s="61"/>
      <c r="H687" s="61"/>
      <c r="I687" s="61"/>
      <c r="J687" s="61"/>
      <c r="K687" s="61"/>
      <c r="L687" s="61"/>
      <c r="M687" s="61"/>
      <c r="N687" s="61"/>
      <c r="O687" s="61"/>
      <c r="P687" s="61"/>
      <c r="Q687" s="61"/>
      <c r="R687" s="61"/>
      <c r="S687" s="61"/>
      <c r="T687" s="61"/>
      <c r="U687" s="61"/>
      <c r="V687" s="61"/>
      <c r="W687" s="61"/>
      <c r="X687" s="61"/>
      <c r="Y687" s="61"/>
    </row>
    <row r="688">
      <c r="A688" s="52"/>
      <c r="B688" s="61"/>
      <c r="C688" s="61"/>
      <c r="D688" s="52"/>
      <c r="E688" s="61"/>
      <c r="F688" s="61"/>
      <c r="G688" s="61"/>
      <c r="H688" s="61"/>
      <c r="I688" s="61"/>
      <c r="J688" s="61"/>
      <c r="K688" s="61"/>
      <c r="L688" s="61"/>
      <c r="M688" s="61"/>
      <c r="N688" s="61"/>
      <c r="O688" s="61"/>
      <c r="P688" s="61"/>
      <c r="Q688" s="61"/>
      <c r="R688" s="61"/>
      <c r="S688" s="61"/>
      <c r="T688" s="61"/>
      <c r="U688" s="61"/>
      <c r="V688" s="61"/>
      <c r="W688" s="61"/>
      <c r="X688" s="61"/>
      <c r="Y688" s="61"/>
    </row>
    <row r="689">
      <c r="A689" s="52"/>
      <c r="B689" s="61"/>
      <c r="C689" s="61"/>
      <c r="D689" s="52"/>
      <c r="E689" s="61"/>
      <c r="F689" s="61"/>
      <c r="G689" s="61"/>
      <c r="H689" s="61"/>
      <c r="I689" s="61"/>
      <c r="J689" s="61"/>
      <c r="K689" s="61"/>
      <c r="L689" s="61"/>
      <c r="M689" s="61"/>
      <c r="N689" s="61"/>
      <c r="O689" s="61"/>
      <c r="P689" s="61"/>
      <c r="Q689" s="61"/>
      <c r="R689" s="61"/>
      <c r="S689" s="61"/>
      <c r="T689" s="61"/>
      <c r="U689" s="61"/>
      <c r="V689" s="61"/>
      <c r="W689" s="61"/>
      <c r="X689" s="61"/>
      <c r="Y689" s="61"/>
    </row>
    <row r="690">
      <c r="A690" s="52"/>
      <c r="B690" s="61"/>
      <c r="C690" s="61"/>
      <c r="D690" s="52"/>
      <c r="E690" s="61"/>
      <c r="F690" s="61"/>
      <c r="G690" s="61"/>
      <c r="H690" s="61"/>
      <c r="I690" s="61"/>
      <c r="J690" s="61"/>
      <c r="K690" s="61"/>
      <c r="L690" s="61"/>
      <c r="M690" s="61"/>
      <c r="N690" s="61"/>
      <c r="O690" s="61"/>
      <c r="P690" s="61"/>
      <c r="Q690" s="61"/>
      <c r="R690" s="61"/>
      <c r="S690" s="61"/>
      <c r="T690" s="61"/>
      <c r="U690" s="61"/>
      <c r="V690" s="61"/>
      <c r="W690" s="61"/>
      <c r="X690" s="61"/>
      <c r="Y690" s="61"/>
    </row>
    <row r="691">
      <c r="A691" s="52"/>
      <c r="B691" s="61"/>
      <c r="C691" s="61"/>
      <c r="D691" s="52"/>
      <c r="E691" s="61"/>
      <c r="F691" s="61"/>
      <c r="G691" s="61"/>
      <c r="H691" s="61"/>
      <c r="I691" s="61"/>
      <c r="J691" s="61"/>
      <c r="K691" s="61"/>
      <c r="L691" s="61"/>
      <c r="M691" s="61"/>
      <c r="N691" s="61"/>
      <c r="O691" s="61"/>
      <c r="P691" s="61"/>
      <c r="Q691" s="61"/>
      <c r="R691" s="61"/>
      <c r="S691" s="61"/>
      <c r="T691" s="61"/>
      <c r="U691" s="61"/>
      <c r="V691" s="61"/>
      <c r="W691" s="61"/>
      <c r="X691" s="61"/>
      <c r="Y691" s="61"/>
    </row>
    <row r="692">
      <c r="A692" s="52"/>
      <c r="B692" s="61"/>
      <c r="C692" s="61"/>
      <c r="D692" s="52"/>
      <c r="E692" s="61"/>
      <c r="F692" s="61"/>
      <c r="G692" s="61"/>
      <c r="H692" s="61"/>
      <c r="I692" s="61"/>
      <c r="J692" s="61"/>
      <c r="K692" s="61"/>
      <c r="L692" s="61"/>
      <c r="M692" s="61"/>
      <c r="N692" s="61"/>
      <c r="O692" s="61"/>
      <c r="P692" s="61"/>
      <c r="Q692" s="61"/>
      <c r="R692" s="61"/>
      <c r="S692" s="61"/>
      <c r="T692" s="61"/>
      <c r="U692" s="61"/>
      <c r="V692" s="61"/>
      <c r="W692" s="61"/>
      <c r="X692" s="61"/>
      <c r="Y692" s="61"/>
    </row>
    <row r="693">
      <c r="A693" s="52"/>
      <c r="B693" s="61"/>
      <c r="C693" s="61"/>
      <c r="D693" s="52"/>
      <c r="E693" s="61"/>
      <c r="F693" s="61"/>
      <c r="G693" s="61"/>
      <c r="H693" s="61"/>
      <c r="I693" s="61"/>
      <c r="J693" s="61"/>
      <c r="K693" s="61"/>
      <c r="L693" s="61"/>
      <c r="M693" s="61"/>
      <c r="N693" s="61"/>
      <c r="O693" s="61"/>
      <c r="P693" s="61"/>
      <c r="Q693" s="61"/>
      <c r="R693" s="61"/>
      <c r="S693" s="61"/>
      <c r="T693" s="61"/>
      <c r="U693" s="61"/>
      <c r="V693" s="61"/>
      <c r="W693" s="61"/>
      <c r="X693" s="61"/>
      <c r="Y693" s="61"/>
    </row>
    <row r="694">
      <c r="A694" s="52"/>
      <c r="B694" s="61"/>
      <c r="C694" s="61"/>
      <c r="D694" s="52"/>
      <c r="E694" s="61"/>
      <c r="F694" s="61"/>
      <c r="G694" s="61"/>
      <c r="H694" s="61"/>
      <c r="I694" s="61"/>
      <c r="J694" s="61"/>
      <c r="K694" s="61"/>
      <c r="L694" s="61"/>
      <c r="M694" s="61"/>
      <c r="N694" s="61"/>
      <c r="O694" s="61"/>
      <c r="P694" s="61"/>
      <c r="Q694" s="61"/>
      <c r="R694" s="61"/>
      <c r="S694" s="61"/>
      <c r="T694" s="61"/>
      <c r="U694" s="61"/>
      <c r="V694" s="61"/>
      <c r="W694" s="61"/>
      <c r="X694" s="61"/>
      <c r="Y694" s="61"/>
    </row>
    <row r="695">
      <c r="A695" s="52"/>
      <c r="B695" s="61"/>
      <c r="C695" s="61"/>
      <c r="D695" s="52"/>
      <c r="E695" s="61"/>
      <c r="F695" s="61"/>
      <c r="G695" s="61"/>
      <c r="H695" s="61"/>
      <c r="I695" s="61"/>
      <c r="J695" s="61"/>
      <c r="K695" s="61"/>
      <c r="L695" s="61"/>
      <c r="M695" s="61"/>
      <c r="N695" s="61"/>
      <c r="O695" s="61"/>
      <c r="P695" s="61"/>
      <c r="Q695" s="61"/>
      <c r="R695" s="61"/>
      <c r="S695" s="61"/>
      <c r="T695" s="61"/>
      <c r="U695" s="61"/>
      <c r="V695" s="61"/>
      <c r="W695" s="61"/>
      <c r="X695" s="61"/>
      <c r="Y695" s="61"/>
    </row>
    <row r="696">
      <c r="A696" s="52"/>
      <c r="B696" s="61"/>
      <c r="C696" s="61"/>
      <c r="D696" s="52"/>
      <c r="E696" s="61"/>
      <c r="F696" s="61"/>
      <c r="G696" s="61"/>
      <c r="H696" s="61"/>
      <c r="I696" s="61"/>
      <c r="J696" s="61"/>
      <c r="K696" s="61"/>
      <c r="L696" s="61"/>
      <c r="M696" s="61"/>
      <c r="N696" s="61"/>
      <c r="O696" s="61"/>
      <c r="P696" s="61"/>
      <c r="Q696" s="61"/>
      <c r="R696" s="61"/>
      <c r="S696" s="61"/>
      <c r="T696" s="61"/>
      <c r="U696" s="61"/>
      <c r="V696" s="61"/>
      <c r="W696" s="61"/>
      <c r="X696" s="61"/>
      <c r="Y696" s="61"/>
    </row>
    <row r="697">
      <c r="A697" s="52"/>
      <c r="B697" s="61"/>
      <c r="C697" s="61"/>
      <c r="D697" s="52"/>
      <c r="E697" s="61"/>
      <c r="F697" s="61"/>
      <c r="G697" s="61"/>
      <c r="H697" s="61"/>
      <c r="I697" s="61"/>
      <c r="J697" s="61"/>
      <c r="K697" s="61"/>
      <c r="L697" s="61"/>
      <c r="M697" s="61"/>
      <c r="N697" s="61"/>
      <c r="O697" s="61"/>
      <c r="P697" s="61"/>
      <c r="Q697" s="61"/>
      <c r="R697" s="61"/>
      <c r="S697" s="61"/>
      <c r="T697" s="61"/>
      <c r="U697" s="61"/>
      <c r="V697" s="61"/>
      <c r="W697" s="61"/>
      <c r="X697" s="61"/>
      <c r="Y697" s="61"/>
    </row>
    <row r="698">
      <c r="A698" s="52"/>
      <c r="B698" s="61"/>
      <c r="C698" s="61"/>
      <c r="D698" s="52"/>
      <c r="E698" s="61"/>
      <c r="F698" s="61"/>
      <c r="G698" s="61"/>
      <c r="H698" s="61"/>
      <c r="I698" s="61"/>
      <c r="J698" s="61"/>
      <c r="K698" s="61"/>
      <c r="L698" s="61"/>
      <c r="M698" s="61"/>
      <c r="N698" s="61"/>
      <c r="O698" s="61"/>
      <c r="P698" s="61"/>
      <c r="Q698" s="61"/>
      <c r="R698" s="61"/>
      <c r="S698" s="61"/>
      <c r="T698" s="61"/>
      <c r="U698" s="61"/>
      <c r="V698" s="61"/>
      <c r="W698" s="61"/>
      <c r="X698" s="61"/>
      <c r="Y698" s="61"/>
    </row>
    <row r="699">
      <c r="A699" s="52"/>
      <c r="B699" s="61"/>
      <c r="C699" s="61"/>
      <c r="D699" s="52"/>
      <c r="E699" s="61"/>
      <c r="F699" s="61"/>
      <c r="G699" s="61"/>
      <c r="H699" s="61"/>
      <c r="I699" s="61"/>
      <c r="J699" s="61"/>
      <c r="K699" s="61"/>
      <c r="L699" s="61"/>
      <c r="M699" s="61"/>
      <c r="N699" s="61"/>
      <c r="O699" s="61"/>
      <c r="P699" s="61"/>
      <c r="Q699" s="61"/>
      <c r="R699" s="61"/>
      <c r="S699" s="61"/>
      <c r="T699" s="61"/>
      <c r="U699" s="61"/>
      <c r="V699" s="61"/>
      <c r="W699" s="61"/>
      <c r="X699" s="61"/>
      <c r="Y699" s="61"/>
    </row>
    <row r="700">
      <c r="A700" s="52"/>
      <c r="B700" s="61"/>
      <c r="C700" s="61"/>
      <c r="D700" s="52"/>
      <c r="E700" s="61"/>
      <c r="F700" s="61"/>
      <c r="G700" s="61"/>
      <c r="H700" s="61"/>
      <c r="I700" s="61"/>
      <c r="J700" s="61"/>
      <c r="K700" s="61"/>
      <c r="L700" s="61"/>
      <c r="M700" s="61"/>
      <c r="N700" s="61"/>
      <c r="O700" s="61"/>
      <c r="P700" s="61"/>
      <c r="Q700" s="61"/>
      <c r="R700" s="61"/>
      <c r="S700" s="61"/>
      <c r="T700" s="61"/>
      <c r="U700" s="61"/>
      <c r="V700" s="61"/>
      <c r="W700" s="61"/>
      <c r="X700" s="61"/>
      <c r="Y700" s="61"/>
    </row>
    <row r="701">
      <c r="A701" s="52"/>
      <c r="B701" s="61"/>
      <c r="C701" s="61"/>
      <c r="D701" s="52"/>
      <c r="E701" s="61"/>
      <c r="F701" s="61"/>
      <c r="G701" s="61"/>
      <c r="H701" s="61"/>
      <c r="I701" s="61"/>
      <c r="J701" s="61"/>
      <c r="K701" s="61"/>
      <c r="L701" s="61"/>
      <c r="M701" s="61"/>
      <c r="N701" s="61"/>
      <c r="O701" s="61"/>
      <c r="P701" s="61"/>
      <c r="Q701" s="61"/>
      <c r="R701" s="61"/>
      <c r="S701" s="61"/>
      <c r="T701" s="61"/>
      <c r="U701" s="61"/>
      <c r="V701" s="61"/>
      <c r="W701" s="61"/>
      <c r="X701" s="61"/>
      <c r="Y701" s="61"/>
    </row>
    <row r="702">
      <c r="A702" s="52"/>
      <c r="B702" s="61"/>
      <c r="C702" s="61"/>
      <c r="D702" s="52"/>
      <c r="E702" s="61"/>
      <c r="F702" s="61"/>
      <c r="G702" s="61"/>
      <c r="H702" s="61"/>
      <c r="I702" s="61"/>
      <c r="J702" s="61"/>
      <c r="K702" s="61"/>
      <c r="L702" s="61"/>
      <c r="M702" s="61"/>
      <c r="N702" s="61"/>
      <c r="O702" s="61"/>
      <c r="P702" s="61"/>
      <c r="Q702" s="61"/>
      <c r="R702" s="61"/>
      <c r="S702" s="61"/>
      <c r="T702" s="61"/>
      <c r="U702" s="61"/>
      <c r="V702" s="61"/>
      <c r="W702" s="61"/>
      <c r="X702" s="61"/>
      <c r="Y702" s="61"/>
    </row>
    <row r="703">
      <c r="A703" s="52"/>
      <c r="B703" s="61"/>
      <c r="C703" s="61"/>
      <c r="D703" s="52"/>
      <c r="E703" s="61"/>
      <c r="F703" s="61"/>
      <c r="G703" s="61"/>
      <c r="H703" s="61"/>
      <c r="I703" s="61"/>
      <c r="J703" s="61"/>
      <c r="K703" s="61"/>
      <c r="L703" s="61"/>
      <c r="M703" s="61"/>
      <c r="N703" s="61"/>
      <c r="O703" s="61"/>
      <c r="P703" s="61"/>
      <c r="Q703" s="61"/>
      <c r="R703" s="61"/>
      <c r="S703" s="61"/>
      <c r="T703" s="61"/>
      <c r="U703" s="61"/>
      <c r="V703" s="61"/>
      <c r="W703" s="61"/>
      <c r="X703" s="61"/>
      <c r="Y703" s="61"/>
    </row>
    <row r="704">
      <c r="A704" s="52"/>
      <c r="B704" s="61"/>
      <c r="C704" s="61"/>
      <c r="D704" s="52"/>
      <c r="E704" s="61"/>
      <c r="F704" s="61"/>
      <c r="G704" s="61"/>
      <c r="H704" s="61"/>
      <c r="I704" s="61"/>
      <c r="J704" s="61"/>
      <c r="K704" s="61"/>
      <c r="L704" s="61"/>
      <c r="M704" s="61"/>
      <c r="N704" s="61"/>
      <c r="O704" s="61"/>
      <c r="P704" s="61"/>
      <c r="Q704" s="61"/>
      <c r="R704" s="61"/>
      <c r="S704" s="61"/>
      <c r="T704" s="61"/>
      <c r="U704" s="61"/>
      <c r="V704" s="61"/>
      <c r="W704" s="61"/>
      <c r="X704" s="61"/>
      <c r="Y704" s="61"/>
    </row>
    <row r="705">
      <c r="A705" s="52"/>
      <c r="B705" s="61"/>
      <c r="C705" s="61"/>
      <c r="D705" s="52"/>
      <c r="E705" s="61"/>
      <c r="F705" s="61"/>
      <c r="G705" s="61"/>
      <c r="H705" s="61"/>
      <c r="I705" s="61"/>
      <c r="J705" s="61"/>
      <c r="K705" s="61"/>
      <c r="L705" s="61"/>
      <c r="M705" s="61"/>
      <c r="N705" s="61"/>
      <c r="O705" s="61"/>
      <c r="P705" s="61"/>
      <c r="Q705" s="61"/>
      <c r="R705" s="61"/>
      <c r="S705" s="61"/>
      <c r="T705" s="61"/>
      <c r="U705" s="61"/>
      <c r="V705" s="61"/>
      <c r="W705" s="61"/>
      <c r="X705" s="61"/>
      <c r="Y705" s="61"/>
    </row>
    <row r="706">
      <c r="A706" s="52"/>
      <c r="B706" s="61"/>
      <c r="C706" s="61"/>
      <c r="D706" s="52"/>
      <c r="E706" s="61"/>
      <c r="F706" s="61"/>
      <c r="G706" s="61"/>
      <c r="H706" s="61"/>
      <c r="I706" s="61"/>
      <c r="J706" s="61"/>
      <c r="K706" s="61"/>
      <c r="L706" s="61"/>
      <c r="M706" s="61"/>
      <c r="N706" s="61"/>
      <c r="O706" s="61"/>
      <c r="P706" s="61"/>
      <c r="Q706" s="61"/>
      <c r="R706" s="61"/>
      <c r="S706" s="61"/>
      <c r="T706" s="61"/>
      <c r="U706" s="61"/>
      <c r="V706" s="61"/>
      <c r="W706" s="61"/>
      <c r="X706" s="61"/>
      <c r="Y706" s="61"/>
    </row>
    <row r="707">
      <c r="A707" s="52"/>
      <c r="B707" s="61"/>
      <c r="C707" s="61"/>
      <c r="D707" s="52"/>
      <c r="E707" s="61"/>
      <c r="F707" s="61"/>
      <c r="G707" s="61"/>
      <c r="H707" s="61"/>
      <c r="I707" s="61"/>
      <c r="J707" s="61"/>
      <c r="K707" s="61"/>
      <c r="L707" s="61"/>
      <c r="M707" s="61"/>
      <c r="N707" s="61"/>
      <c r="O707" s="61"/>
      <c r="P707" s="61"/>
      <c r="Q707" s="61"/>
      <c r="R707" s="61"/>
      <c r="S707" s="61"/>
      <c r="T707" s="61"/>
      <c r="U707" s="61"/>
      <c r="V707" s="61"/>
      <c r="W707" s="61"/>
      <c r="X707" s="61"/>
      <c r="Y707" s="61"/>
    </row>
    <row r="708">
      <c r="A708" s="52"/>
      <c r="B708" s="61"/>
      <c r="C708" s="61"/>
      <c r="D708" s="52"/>
      <c r="E708" s="61"/>
      <c r="F708" s="61"/>
      <c r="G708" s="61"/>
      <c r="H708" s="61"/>
      <c r="I708" s="61"/>
      <c r="J708" s="61"/>
      <c r="K708" s="61"/>
      <c r="L708" s="61"/>
      <c r="M708" s="61"/>
      <c r="N708" s="61"/>
      <c r="O708" s="61"/>
      <c r="P708" s="61"/>
      <c r="Q708" s="61"/>
      <c r="R708" s="61"/>
      <c r="S708" s="61"/>
      <c r="T708" s="61"/>
      <c r="U708" s="61"/>
      <c r="V708" s="61"/>
      <c r="W708" s="61"/>
      <c r="X708" s="61"/>
      <c r="Y708" s="61"/>
    </row>
    <row r="709">
      <c r="A709" s="52"/>
      <c r="B709" s="61"/>
      <c r="C709" s="61"/>
      <c r="D709" s="52"/>
      <c r="E709" s="61"/>
      <c r="F709" s="61"/>
      <c r="G709" s="61"/>
      <c r="H709" s="61"/>
      <c r="I709" s="61"/>
      <c r="J709" s="61"/>
      <c r="K709" s="61"/>
      <c r="L709" s="61"/>
      <c r="M709" s="61"/>
      <c r="N709" s="61"/>
      <c r="O709" s="61"/>
      <c r="P709" s="61"/>
      <c r="Q709" s="61"/>
      <c r="R709" s="61"/>
      <c r="S709" s="61"/>
      <c r="T709" s="61"/>
      <c r="U709" s="61"/>
      <c r="V709" s="61"/>
      <c r="W709" s="61"/>
      <c r="X709" s="61"/>
      <c r="Y709" s="61"/>
    </row>
    <row r="710">
      <c r="A710" s="52"/>
      <c r="B710" s="61"/>
      <c r="C710" s="61"/>
      <c r="D710" s="52"/>
      <c r="E710" s="61"/>
      <c r="F710" s="61"/>
      <c r="G710" s="61"/>
      <c r="H710" s="61"/>
      <c r="I710" s="61"/>
      <c r="J710" s="61"/>
      <c r="K710" s="61"/>
      <c r="L710" s="61"/>
      <c r="M710" s="61"/>
      <c r="N710" s="61"/>
      <c r="O710" s="61"/>
      <c r="P710" s="61"/>
      <c r="Q710" s="61"/>
      <c r="R710" s="61"/>
      <c r="S710" s="61"/>
      <c r="T710" s="61"/>
      <c r="U710" s="61"/>
      <c r="V710" s="61"/>
      <c r="W710" s="61"/>
      <c r="X710" s="61"/>
      <c r="Y710" s="61"/>
    </row>
    <row r="711">
      <c r="A711" s="52"/>
      <c r="B711" s="61"/>
      <c r="C711" s="61"/>
      <c r="D711" s="52"/>
      <c r="E711" s="61"/>
      <c r="F711" s="61"/>
      <c r="G711" s="61"/>
      <c r="H711" s="61"/>
      <c r="I711" s="61"/>
      <c r="J711" s="61"/>
      <c r="K711" s="61"/>
      <c r="L711" s="61"/>
      <c r="M711" s="61"/>
      <c r="N711" s="61"/>
      <c r="O711" s="61"/>
      <c r="P711" s="61"/>
      <c r="Q711" s="61"/>
      <c r="R711" s="61"/>
      <c r="S711" s="61"/>
      <c r="T711" s="61"/>
      <c r="U711" s="61"/>
      <c r="V711" s="61"/>
      <c r="W711" s="61"/>
      <c r="X711" s="61"/>
      <c r="Y711" s="61"/>
    </row>
    <row r="712">
      <c r="A712" s="52"/>
      <c r="B712" s="61"/>
      <c r="C712" s="61"/>
      <c r="D712" s="52"/>
      <c r="E712" s="61"/>
      <c r="F712" s="61"/>
      <c r="G712" s="61"/>
      <c r="H712" s="61"/>
      <c r="I712" s="61"/>
      <c r="J712" s="61"/>
      <c r="K712" s="61"/>
      <c r="L712" s="61"/>
      <c r="M712" s="61"/>
      <c r="N712" s="61"/>
      <c r="O712" s="61"/>
      <c r="P712" s="61"/>
      <c r="Q712" s="61"/>
      <c r="R712" s="61"/>
      <c r="S712" s="61"/>
      <c r="T712" s="61"/>
      <c r="U712" s="61"/>
      <c r="V712" s="61"/>
      <c r="W712" s="61"/>
      <c r="X712" s="61"/>
      <c r="Y712" s="61"/>
    </row>
    <row r="713">
      <c r="A713" s="52"/>
      <c r="B713" s="61"/>
      <c r="C713" s="61"/>
      <c r="D713" s="52"/>
      <c r="E713" s="61"/>
      <c r="F713" s="61"/>
      <c r="G713" s="61"/>
      <c r="H713" s="61"/>
      <c r="I713" s="61"/>
      <c r="J713" s="61"/>
      <c r="K713" s="61"/>
      <c r="L713" s="61"/>
      <c r="M713" s="61"/>
      <c r="N713" s="61"/>
      <c r="O713" s="61"/>
      <c r="P713" s="61"/>
      <c r="Q713" s="61"/>
      <c r="R713" s="61"/>
      <c r="S713" s="61"/>
      <c r="T713" s="61"/>
      <c r="U713" s="61"/>
      <c r="V713" s="61"/>
      <c r="W713" s="61"/>
      <c r="X713" s="61"/>
      <c r="Y713" s="61"/>
    </row>
    <row r="714">
      <c r="A714" s="52"/>
      <c r="B714" s="61"/>
      <c r="C714" s="61"/>
      <c r="D714" s="52"/>
      <c r="E714" s="61"/>
      <c r="F714" s="61"/>
      <c r="G714" s="61"/>
      <c r="H714" s="61"/>
      <c r="I714" s="61"/>
      <c r="J714" s="61"/>
      <c r="K714" s="61"/>
      <c r="L714" s="61"/>
      <c r="M714" s="61"/>
      <c r="N714" s="61"/>
      <c r="O714" s="61"/>
      <c r="P714" s="61"/>
      <c r="Q714" s="61"/>
      <c r="R714" s="61"/>
      <c r="S714" s="61"/>
      <c r="T714" s="61"/>
      <c r="U714" s="61"/>
      <c r="V714" s="61"/>
      <c r="W714" s="61"/>
      <c r="X714" s="61"/>
      <c r="Y714" s="61"/>
    </row>
    <row r="715">
      <c r="A715" s="52"/>
      <c r="B715" s="61"/>
      <c r="C715" s="61"/>
      <c r="D715" s="52"/>
      <c r="E715" s="61"/>
      <c r="F715" s="61"/>
      <c r="G715" s="61"/>
      <c r="H715" s="61"/>
      <c r="I715" s="61"/>
      <c r="J715" s="61"/>
      <c r="K715" s="61"/>
      <c r="L715" s="61"/>
      <c r="M715" s="61"/>
      <c r="N715" s="61"/>
      <c r="O715" s="61"/>
      <c r="P715" s="61"/>
      <c r="Q715" s="61"/>
      <c r="R715" s="61"/>
      <c r="S715" s="61"/>
      <c r="T715" s="61"/>
      <c r="U715" s="61"/>
      <c r="V715" s="61"/>
      <c r="W715" s="61"/>
      <c r="X715" s="61"/>
      <c r="Y715" s="61"/>
    </row>
    <row r="716">
      <c r="A716" s="52"/>
      <c r="B716" s="61"/>
      <c r="C716" s="61"/>
      <c r="D716" s="52"/>
      <c r="E716" s="61"/>
      <c r="F716" s="61"/>
      <c r="G716" s="61"/>
      <c r="H716" s="61"/>
      <c r="I716" s="61"/>
      <c r="J716" s="61"/>
      <c r="K716" s="61"/>
      <c r="L716" s="61"/>
      <c r="M716" s="61"/>
      <c r="N716" s="61"/>
      <c r="O716" s="61"/>
      <c r="P716" s="61"/>
      <c r="Q716" s="61"/>
      <c r="R716" s="61"/>
      <c r="S716" s="61"/>
      <c r="T716" s="61"/>
      <c r="U716" s="61"/>
      <c r="V716" s="61"/>
      <c r="W716" s="61"/>
      <c r="X716" s="61"/>
      <c r="Y716" s="61"/>
    </row>
    <row r="717">
      <c r="A717" s="52"/>
      <c r="B717" s="61"/>
      <c r="C717" s="61"/>
      <c r="D717" s="52"/>
      <c r="E717" s="61"/>
      <c r="F717" s="61"/>
      <c r="G717" s="61"/>
      <c r="H717" s="61"/>
      <c r="I717" s="61"/>
      <c r="J717" s="61"/>
      <c r="K717" s="61"/>
      <c r="L717" s="61"/>
      <c r="M717" s="61"/>
      <c r="N717" s="61"/>
      <c r="O717" s="61"/>
      <c r="P717" s="61"/>
      <c r="Q717" s="61"/>
      <c r="R717" s="61"/>
      <c r="S717" s="61"/>
      <c r="T717" s="61"/>
      <c r="U717" s="61"/>
      <c r="V717" s="61"/>
      <c r="W717" s="61"/>
      <c r="X717" s="61"/>
      <c r="Y717" s="61"/>
    </row>
    <row r="718">
      <c r="A718" s="52"/>
      <c r="B718" s="61"/>
      <c r="C718" s="61"/>
      <c r="D718" s="52"/>
      <c r="E718" s="61"/>
      <c r="F718" s="61"/>
      <c r="G718" s="61"/>
      <c r="H718" s="61"/>
      <c r="I718" s="61"/>
      <c r="J718" s="61"/>
      <c r="K718" s="61"/>
      <c r="L718" s="61"/>
      <c r="M718" s="61"/>
      <c r="N718" s="61"/>
      <c r="O718" s="61"/>
      <c r="P718" s="61"/>
      <c r="Q718" s="61"/>
      <c r="R718" s="61"/>
      <c r="S718" s="61"/>
      <c r="T718" s="61"/>
      <c r="U718" s="61"/>
      <c r="V718" s="61"/>
      <c r="W718" s="61"/>
      <c r="X718" s="61"/>
      <c r="Y718" s="61"/>
    </row>
    <row r="719">
      <c r="A719" s="52"/>
      <c r="B719" s="61"/>
      <c r="C719" s="61"/>
      <c r="D719" s="52"/>
      <c r="E719" s="61"/>
      <c r="F719" s="61"/>
      <c r="G719" s="61"/>
      <c r="H719" s="61"/>
      <c r="I719" s="61"/>
      <c r="J719" s="61"/>
      <c r="K719" s="61"/>
      <c r="L719" s="61"/>
      <c r="M719" s="61"/>
      <c r="N719" s="61"/>
      <c r="O719" s="61"/>
      <c r="P719" s="61"/>
      <c r="Q719" s="61"/>
      <c r="R719" s="61"/>
      <c r="S719" s="61"/>
      <c r="T719" s="61"/>
      <c r="U719" s="61"/>
      <c r="V719" s="61"/>
      <c r="W719" s="61"/>
      <c r="X719" s="61"/>
      <c r="Y719" s="61"/>
    </row>
    <row r="720">
      <c r="A720" s="52"/>
      <c r="B720" s="61"/>
      <c r="C720" s="61"/>
      <c r="D720" s="52"/>
      <c r="E720" s="61"/>
      <c r="F720" s="61"/>
      <c r="G720" s="61"/>
      <c r="H720" s="61"/>
      <c r="I720" s="61"/>
      <c r="J720" s="61"/>
      <c r="K720" s="61"/>
      <c r="L720" s="61"/>
      <c r="M720" s="61"/>
      <c r="N720" s="61"/>
      <c r="O720" s="61"/>
      <c r="P720" s="61"/>
      <c r="Q720" s="61"/>
      <c r="R720" s="61"/>
      <c r="S720" s="61"/>
      <c r="T720" s="61"/>
      <c r="U720" s="61"/>
      <c r="V720" s="61"/>
      <c r="W720" s="61"/>
      <c r="X720" s="61"/>
      <c r="Y720" s="61"/>
    </row>
    <row r="721">
      <c r="A721" s="52"/>
      <c r="B721" s="61"/>
      <c r="C721" s="61"/>
      <c r="D721" s="52"/>
      <c r="E721" s="61"/>
      <c r="F721" s="61"/>
      <c r="G721" s="61"/>
      <c r="H721" s="61"/>
      <c r="I721" s="61"/>
      <c r="J721" s="61"/>
      <c r="K721" s="61"/>
      <c r="L721" s="61"/>
      <c r="M721" s="61"/>
      <c r="N721" s="61"/>
      <c r="O721" s="61"/>
      <c r="P721" s="61"/>
      <c r="Q721" s="61"/>
      <c r="R721" s="61"/>
      <c r="S721" s="61"/>
      <c r="T721" s="61"/>
      <c r="U721" s="61"/>
      <c r="V721" s="61"/>
      <c r="W721" s="61"/>
      <c r="X721" s="61"/>
      <c r="Y721" s="61"/>
    </row>
    <row r="722">
      <c r="A722" s="52"/>
      <c r="B722" s="61"/>
      <c r="C722" s="61"/>
      <c r="D722" s="52"/>
      <c r="E722" s="61"/>
      <c r="F722" s="61"/>
      <c r="G722" s="61"/>
      <c r="H722" s="61"/>
      <c r="I722" s="61"/>
      <c r="J722" s="61"/>
      <c r="K722" s="61"/>
      <c r="L722" s="61"/>
      <c r="M722" s="61"/>
      <c r="N722" s="61"/>
      <c r="O722" s="61"/>
      <c r="P722" s="61"/>
      <c r="Q722" s="61"/>
      <c r="R722" s="61"/>
      <c r="S722" s="61"/>
      <c r="T722" s="61"/>
      <c r="U722" s="61"/>
      <c r="V722" s="61"/>
      <c r="W722" s="61"/>
      <c r="X722" s="61"/>
      <c r="Y722" s="61"/>
    </row>
    <row r="723">
      <c r="A723" s="52"/>
      <c r="B723" s="61"/>
      <c r="C723" s="61"/>
      <c r="D723" s="52"/>
      <c r="E723" s="61"/>
      <c r="F723" s="61"/>
      <c r="G723" s="61"/>
      <c r="H723" s="61"/>
      <c r="I723" s="61"/>
      <c r="J723" s="61"/>
      <c r="K723" s="61"/>
      <c r="L723" s="61"/>
      <c r="M723" s="61"/>
      <c r="N723" s="61"/>
      <c r="O723" s="61"/>
      <c r="P723" s="61"/>
      <c r="Q723" s="61"/>
      <c r="R723" s="61"/>
      <c r="S723" s="61"/>
      <c r="T723" s="61"/>
      <c r="U723" s="61"/>
      <c r="V723" s="61"/>
      <c r="W723" s="61"/>
      <c r="X723" s="61"/>
      <c r="Y723" s="61"/>
    </row>
    <row r="724">
      <c r="A724" s="52"/>
      <c r="B724" s="61"/>
      <c r="C724" s="61"/>
      <c r="D724" s="52"/>
      <c r="E724" s="61"/>
      <c r="F724" s="61"/>
      <c r="G724" s="61"/>
      <c r="H724" s="61"/>
      <c r="I724" s="61"/>
      <c r="J724" s="61"/>
      <c r="K724" s="61"/>
      <c r="L724" s="61"/>
      <c r="M724" s="61"/>
      <c r="N724" s="61"/>
      <c r="O724" s="61"/>
      <c r="P724" s="61"/>
      <c r="Q724" s="61"/>
      <c r="R724" s="61"/>
      <c r="S724" s="61"/>
      <c r="T724" s="61"/>
      <c r="U724" s="61"/>
      <c r="V724" s="61"/>
      <c r="W724" s="61"/>
      <c r="X724" s="61"/>
      <c r="Y724" s="61"/>
    </row>
    <row r="725">
      <c r="A725" s="52"/>
      <c r="B725" s="61"/>
      <c r="C725" s="61"/>
      <c r="D725" s="52"/>
      <c r="E725" s="61"/>
      <c r="F725" s="61"/>
      <c r="G725" s="61"/>
      <c r="H725" s="61"/>
      <c r="I725" s="61"/>
      <c r="J725" s="61"/>
      <c r="K725" s="61"/>
      <c r="L725" s="61"/>
      <c r="M725" s="61"/>
      <c r="N725" s="61"/>
      <c r="O725" s="61"/>
      <c r="P725" s="61"/>
      <c r="Q725" s="61"/>
      <c r="R725" s="61"/>
      <c r="S725" s="61"/>
      <c r="T725" s="61"/>
      <c r="U725" s="61"/>
      <c r="V725" s="61"/>
      <c r="W725" s="61"/>
      <c r="X725" s="61"/>
      <c r="Y725" s="61"/>
    </row>
    <row r="726">
      <c r="A726" s="52"/>
      <c r="B726" s="61"/>
      <c r="C726" s="61"/>
      <c r="D726" s="52"/>
      <c r="E726" s="61"/>
      <c r="F726" s="61"/>
      <c r="G726" s="61"/>
      <c r="H726" s="61"/>
      <c r="I726" s="61"/>
      <c r="J726" s="61"/>
      <c r="K726" s="61"/>
      <c r="L726" s="61"/>
      <c r="M726" s="61"/>
      <c r="N726" s="61"/>
      <c r="O726" s="61"/>
      <c r="P726" s="61"/>
      <c r="Q726" s="61"/>
      <c r="R726" s="61"/>
      <c r="S726" s="61"/>
      <c r="T726" s="61"/>
      <c r="U726" s="61"/>
      <c r="V726" s="61"/>
      <c r="W726" s="61"/>
      <c r="X726" s="61"/>
      <c r="Y726" s="61"/>
    </row>
    <row r="727">
      <c r="A727" s="52"/>
      <c r="B727" s="61"/>
      <c r="C727" s="61"/>
      <c r="D727" s="52"/>
      <c r="E727" s="61"/>
      <c r="F727" s="61"/>
      <c r="G727" s="61"/>
      <c r="H727" s="61"/>
      <c r="I727" s="61"/>
      <c r="J727" s="61"/>
      <c r="K727" s="61"/>
      <c r="L727" s="61"/>
      <c r="M727" s="61"/>
      <c r="N727" s="61"/>
      <c r="O727" s="61"/>
      <c r="P727" s="61"/>
      <c r="Q727" s="61"/>
      <c r="R727" s="61"/>
      <c r="S727" s="61"/>
      <c r="T727" s="61"/>
      <c r="U727" s="61"/>
      <c r="V727" s="61"/>
      <c r="W727" s="61"/>
      <c r="X727" s="61"/>
      <c r="Y727" s="61"/>
    </row>
    <row r="728">
      <c r="A728" s="52"/>
      <c r="B728" s="61"/>
      <c r="C728" s="61"/>
      <c r="D728" s="52"/>
      <c r="E728" s="61"/>
      <c r="F728" s="61"/>
      <c r="G728" s="61"/>
      <c r="H728" s="61"/>
      <c r="I728" s="61"/>
      <c r="J728" s="61"/>
      <c r="K728" s="61"/>
      <c r="L728" s="61"/>
      <c r="M728" s="61"/>
      <c r="N728" s="61"/>
      <c r="O728" s="61"/>
      <c r="P728" s="61"/>
      <c r="Q728" s="61"/>
      <c r="R728" s="61"/>
      <c r="S728" s="61"/>
      <c r="T728" s="61"/>
      <c r="U728" s="61"/>
      <c r="V728" s="61"/>
      <c r="W728" s="61"/>
      <c r="X728" s="61"/>
      <c r="Y728" s="61"/>
    </row>
    <row r="729">
      <c r="A729" s="52"/>
      <c r="B729" s="61"/>
      <c r="C729" s="61"/>
      <c r="D729" s="52"/>
      <c r="E729" s="61"/>
      <c r="F729" s="61"/>
      <c r="G729" s="61"/>
      <c r="H729" s="61"/>
      <c r="I729" s="61"/>
      <c r="J729" s="61"/>
      <c r="K729" s="61"/>
      <c r="L729" s="61"/>
      <c r="M729" s="61"/>
      <c r="N729" s="61"/>
      <c r="O729" s="61"/>
      <c r="P729" s="61"/>
      <c r="Q729" s="61"/>
      <c r="R729" s="61"/>
      <c r="S729" s="61"/>
      <c r="T729" s="61"/>
      <c r="U729" s="61"/>
      <c r="V729" s="61"/>
      <c r="W729" s="61"/>
      <c r="X729" s="61"/>
      <c r="Y729" s="61"/>
    </row>
    <row r="730">
      <c r="A730" s="52"/>
      <c r="B730" s="61"/>
      <c r="C730" s="61"/>
      <c r="D730" s="52"/>
      <c r="E730" s="61"/>
      <c r="F730" s="61"/>
      <c r="G730" s="61"/>
      <c r="H730" s="61"/>
      <c r="I730" s="61"/>
      <c r="J730" s="61"/>
      <c r="K730" s="61"/>
      <c r="L730" s="61"/>
      <c r="M730" s="61"/>
      <c r="N730" s="61"/>
      <c r="O730" s="61"/>
      <c r="P730" s="61"/>
      <c r="Q730" s="61"/>
      <c r="R730" s="61"/>
      <c r="S730" s="61"/>
      <c r="T730" s="61"/>
      <c r="U730" s="61"/>
      <c r="V730" s="61"/>
      <c r="W730" s="61"/>
      <c r="X730" s="61"/>
      <c r="Y730" s="61"/>
    </row>
    <row r="731">
      <c r="A731" s="52"/>
      <c r="B731" s="61"/>
      <c r="C731" s="61"/>
      <c r="D731" s="52"/>
      <c r="E731" s="61"/>
      <c r="F731" s="61"/>
      <c r="G731" s="61"/>
      <c r="H731" s="61"/>
      <c r="I731" s="61"/>
      <c r="J731" s="61"/>
      <c r="K731" s="61"/>
      <c r="L731" s="61"/>
      <c r="M731" s="61"/>
      <c r="N731" s="61"/>
      <c r="O731" s="61"/>
      <c r="P731" s="61"/>
      <c r="Q731" s="61"/>
      <c r="R731" s="61"/>
      <c r="S731" s="61"/>
      <c r="T731" s="61"/>
      <c r="U731" s="61"/>
      <c r="V731" s="61"/>
      <c r="W731" s="61"/>
      <c r="X731" s="61"/>
      <c r="Y731" s="61"/>
    </row>
    <row r="732">
      <c r="A732" s="52"/>
      <c r="B732" s="61"/>
      <c r="C732" s="61"/>
      <c r="D732" s="52"/>
      <c r="E732" s="61"/>
      <c r="F732" s="61"/>
      <c r="G732" s="61"/>
      <c r="H732" s="61"/>
      <c r="I732" s="61"/>
      <c r="J732" s="61"/>
      <c r="K732" s="61"/>
      <c r="L732" s="61"/>
      <c r="M732" s="61"/>
      <c r="N732" s="61"/>
      <c r="O732" s="61"/>
      <c r="P732" s="61"/>
      <c r="Q732" s="61"/>
      <c r="R732" s="61"/>
      <c r="S732" s="61"/>
      <c r="T732" s="61"/>
      <c r="U732" s="61"/>
      <c r="V732" s="61"/>
      <c r="W732" s="61"/>
      <c r="X732" s="61"/>
      <c r="Y732" s="61"/>
    </row>
    <row r="733">
      <c r="A733" s="52"/>
      <c r="B733" s="61"/>
      <c r="C733" s="61"/>
      <c r="D733" s="52"/>
      <c r="E733" s="61"/>
      <c r="F733" s="61"/>
      <c r="G733" s="61"/>
      <c r="H733" s="61"/>
      <c r="I733" s="61"/>
      <c r="J733" s="61"/>
      <c r="K733" s="61"/>
      <c r="L733" s="61"/>
      <c r="M733" s="61"/>
      <c r="N733" s="61"/>
      <c r="O733" s="61"/>
      <c r="P733" s="61"/>
      <c r="Q733" s="61"/>
      <c r="R733" s="61"/>
      <c r="S733" s="61"/>
      <c r="T733" s="61"/>
      <c r="U733" s="61"/>
      <c r="V733" s="61"/>
      <c r="W733" s="61"/>
      <c r="X733" s="61"/>
      <c r="Y733" s="61"/>
    </row>
    <row r="734">
      <c r="A734" s="52"/>
      <c r="B734" s="61"/>
      <c r="C734" s="61"/>
      <c r="D734" s="52"/>
      <c r="E734" s="61"/>
      <c r="F734" s="61"/>
      <c r="G734" s="61"/>
      <c r="H734" s="61"/>
      <c r="I734" s="61"/>
      <c r="J734" s="61"/>
      <c r="K734" s="61"/>
      <c r="L734" s="61"/>
      <c r="M734" s="61"/>
      <c r="N734" s="61"/>
      <c r="O734" s="61"/>
      <c r="P734" s="61"/>
      <c r="Q734" s="61"/>
      <c r="R734" s="61"/>
      <c r="S734" s="61"/>
      <c r="T734" s="61"/>
      <c r="U734" s="61"/>
      <c r="V734" s="61"/>
      <c r="W734" s="61"/>
      <c r="X734" s="61"/>
      <c r="Y734" s="61"/>
    </row>
    <row r="735">
      <c r="A735" s="52"/>
      <c r="B735" s="61"/>
      <c r="C735" s="61"/>
      <c r="D735" s="52"/>
      <c r="E735" s="61"/>
      <c r="F735" s="61"/>
      <c r="G735" s="61"/>
      <c r="H735" s="61"/>
      <c r="I735" s="61"/>
      <c r="J735" s="61"/>
      <c r="K735" s="61"/>
      <c r="L735" s="61"/>
      <c r="M735" s="61"/>
      <c r="N735" s="61"/>
      <c r="O735" s="61"/>
      <c r="P735" s="61"/>
      <c r="Q735" s="61"/>
      <c r="R735" s="61"/>
      <c r="S735" s="61"/>
      <c r="T735" s="61"/>
      <c r="U735" s="61"/>
      <c r="V735" s="61"/>
      <c r="W735" s="61"/>
      <c r="X735" s="61"/>
      <c r="Y735" s="61"/>
    </row>
    <row r="736">
      <c r="A736" s="52"/>
      <c r="B736" s="61"/>
      <c r="C736" s="61"/>
      <c r="D736" s="52"/>
      <c r="E736" s="61"/>
      <c r="F736" s="61"/>
      <c r="G736" s="61"/>
      <c r="H736" s="61"/>
      <c r="I736" s="61"/>
      <c r="J736" s="61"/>
      <c r="K736" s="61"/>
      <c r="L736" s="61"/>
      <c r="M736" s="61"/>
      <c r="N736" s="61"/>
      <c r="O736" s="61"/>
      <c r="P736" s="61"/>
      <c r="Q736" s="61"/>
      <c r="R736" s="61"/>
      <c r="S736" s="61"/>
      <c r="T736" s="61"/>
      <c r="U736" s="61"/>
      <c r="V736" s="61"/>
      <c r="W736" s="61"/>
      <c r="X736" s="61"/>
      <c r="Y736" s="61"/>
    </row>
    <row r="737">
      <c r="A737" s="52"/>
      <c r="B737" s="61"/>
      <c r="C737" s="61"/>
      <c r="D737" s="52"/>
      <c r="E737" s="61"/>
      <c r="F737" s="61"/>
      <c r="G737" s="61"/>
      <c r="H737" s="61"/>
      <c r="I737" s="61"/>
      <c r="J737" s="61"/>
      <c r="K737" s="61"/>
      <c r="L737" s="61"/>
      <c r="M737" s="61"/>
      <c r="N737" s="61"/>
      <c r="O737" s="61"/>
      <c r="P737" s="61"/>
      <c r="Q737" s="61"/>
      <c r="R737" s="61"/>
      <c r="S737" s="61"/>
      <c r="T737" s="61"/>
      <c r="U737" s="61"/>
      <c r="V737" s="61"/>
      <c r="W737" s="61"/>
      <c r="X737" s="61"/>
      <c r="Y737" s="61"/>
    </row>
    <row r="738">
      <c r="A738" s="52"/>
      <c r="B738" s="61"/>
      <c r="C738" s="61"/>
      <c r="D738" s="52"/>
      <c r="E738" s="61"/>
      <c r="F738" s="61"/>
      <c r="G738" s="61"/>
      <c r="H738" s="61"/>
      <c r="I738" s="61"/>
      <c r="J738" s="61"/>
      <c r="K738" s="61"/>
      <c r="L738" s="61"/>
      <c r="M738" s="61"/>
      <c r="N738" s="61"/>
      <c r="O738" s="61"/>
      <c r="P738" s="61"/>
      <c r="Q738" s="61"/>
      <c r="R738" s="61"/>
      <c r="S738" s="61"/>
      <c r="T738" s="61"/>
      <c r="U738" s="61"/>
      <c r="V738" s="61"/>
      <c r="W738" s="61"/>
      <c r="X738" s="61"/>
      <c r="Y738" s="61"/>
    </row>
    <row r="739">
      <c r="A739" s="52"/>
      <c r="B739" s="61"/>
      <c r="C739" s="61"/>
      <c r="D739" s="52"/>
      <c r="E739" s="61"/>
      <c r="F739" s="61"/>
      <c r="G739" s="61"/>
      <c r="H739" s="61"/>
      <c r="I739" s="61"/>
      <c r="J739" s="61"/>
      <c r="K739" s="61"/>
      <c r="L739" s="61"/>
      <c r="M739" s="61"/>
      <c r="N739" s="61"/>
      <c r="O739" s="61"/>
      <c r="P739" s="61"/>
      <c r="Q739" s="61"/>
      <c r="R739" s="61"/>
      <c r="S739" s="61"/>
      <c r="T739" s="61"/>
      <c r="U739" s="61"/>
      <c r="V739" s="61"/>
      <c r="W739" s="61"/>
      <c r="X739" s="61"/>
      <c r="Y739" s="61"/>
    </row>
    <row r="740">
      <c r="A740" s="52"/>
      <c r="B740" s="61"/>
      <c r="C740" s="61"/>
      <c r="D740" s="52"/>
      <c r="E740" s="61"/>
      <c r="F740" s="61"/>
      <c r="G740" s="61"/>
      <c r="H740" s="61"/>
      <c r="I740" s="61"/>
      <c r="J740" s="61"/>
      <c r="K740" s="61"/>
      <c r="L740" s="61"/>
      <c r="M740" s="61"/>
      <c r="N740" s="61"/>
      <c r="O740" s="61"/>
      <c r="P740" s="61"/>
      <c r="Q740" s="61"/>
      <c r="R740" s="61"/>
      <c r="S740" s="61"/>
      <c r="T740" s="61"/>
      <c r="U740" s="61"/>
      <c r="V740" s="61"/>
      <c r="W740" s="61"/>
      <c r="X740" s="61"/>
      <c r="Y740" s="61"/>
    </row>
    <row r="741">
      <c r="A741" s="52"/>
      <c r="B741" s="61"/>
      <c r="C741" s="61"/>
      <c r="D741" s="52"/>
      <c r="E741" s="61"/>
      <c r="F741" s="61"/>
      <c r="G741" s="61"/>
      <c r="H741" s="61"/>
      <c r="I741" s="61"/>
      <c r="J741" s="61"/>
      <c r="K741" s="61"/>
      <c r="L741" s="61"/>
      <c r="M741" s="61"/>
      <c r="N741" s="61"/>
      <c r="O741" s="61"/>
      <c r="P741" s="61"/>
      <c r="Q741" s="61"/>
      <c r="R741" s="61"/>
      <c r="S741" s="61"/>
      <c r="T741" s="61"/>
      <c r="U741" s="61"/>
      <c r="V741" s="61"/>
      <c r="W741" s="61"/>
      <c r="X741" s="61"/>
      <c r="Y741" s="61"/>
    </row>
    <row r="742">
      <c r="A742" s="52"/>
      <c r="B742" s="61"/>
      <c r="C742" s="61"/>
      <c r="D742" s="52"/>
      <c r="E742" s="61"/>
      <c r="F742" s="61"/>
      <c r="G742" s="61"/>
      <c r="H742" s="61"/>
      <c r="I742" s="61"/>
      <c r="J742" s="61"/>
      <c r="K742" s="61"/>
      <c r="L742" s="61"/>
      <c r="M742" s="61"/>
      <c r="N742" s="61"/>
      <c r="O742" s="61"/>
      <c r="P742" s="61"/>
      <c r="Q742" s="61"/>
      <c r="R742" s="61"/>
      <c r="S742" s="61"/>
      <c r="T742" s="61"/>
      <c r="U742" s="61"/>
      <c r="V742" s="61"/>
      <c r="W742" s="61"/>
      <c r="X742" s="61"/>
      <c r="Y742" s="61"/>
    </row>
    <row r="743">
      <c r="A743" s="52"/>
      <c r="B743" s="61"/>
      <c r="C743" s="61"/>
      <c r="D743" s="52"/>
      <c r="E743" s="61"/>
      <c r="F743" s="61"/>
      <c r="G743" s="61"/>
      <c r="H743" s="61"/>
      <c r="I743" s="61"/>
      <c r="J743" s="61"/>
      <c r="K743" s="61"/>
      <c r="L743" s="61"/>
      <c r="M743" s="61"/>
      <c r="N743" s="61"/>
      <c r="O743" s="61"/>
      <c r="P743" s="61"/>
      <c r="Q743" s="61"/>
      <c r="R743" s="61"/>
      <c r="S743" s="61"/>
      <c r="T743" s="61"/>
      <c r="U743" s="61"/>
      <c r="V743" s="61"/>
      <c r="W743" s="61"/>
      <c r="X743" s="61"/>
      <c r="Y743" s="61"/>
    </row>
    <row r="744">
      <c r="A744" s="52"/>
      <c r="B744" s="61"/>
      <c r="C744" s="61"/>
      <c r="D744" s="52"/>
      <c r="E744" s="61"/>
      <c r="F744" s="61"/>
      <c r="G744" s="61"/>
      <c r="H744" s="61"/>
      <c r="I744" s="61"/>
      <c r="J744" s="61"/>
      <c r="K744" s="61"/>
      <c r="L744" s="61"/>
      <c r="M744" s="61"/>
      <c r="N744" s="61"/>
      <c r="O744" s="61"/>
      <c r="P744" s="61"/>
      <c r="Q744" s="61"/>
      <c r="R744" s="61"/>
      <c r="S744" s="61"/>
      <c r="T744" s="61"/>
      <c r="U744" s="61"/>
      <c r="V744" s="61"/>
      <c r="W744" s="61"/>
      <c r="X744" s="61"/>
      <c r="Y744" s="61"/>
    </row>
    <row r="745">
      <c r="A745" s="52"/>
      <c r="B745" s="61"/>
      <c r="C745" s="61"/>
      <c r="D745" s="52"/>
      <c r="E745" s="61"/>
      <c r="F745" s="61"/>
      <c r="G745" s="61"/>
      <c r="H745" s="61"/>
      <c r="I745" s="61"/>
      <c r="J745" s="61"/>
      <c r="K745" s="61"/>
      <c r="L745" s="61"/>
      <c r="M745" s="61"/>
      <c r="N745" s="61"/>
      <c r="O745" s="61"/>
      <c r="P745" s="61"/>
      <c r="Q745" s="61"/>
      <c r="R745" s="61"/>
      <c r="S745" s="61"/>
      <c r="T745" s="61"/>
      <c r="U745" s="61"/>
      <c r="V745" s="61"/>
      <c r="W745" s="61"/>
      <c r="X745" s="61"/>
      <c r="Y745" s="61"/>
    </row>
    <row r="746">
      <c r="A746" s="52"/>
      <c r="B746" s="61"/>
      <c r="C746" s="61"/>
      <c r="D746" s="52"/>
      <c r="E746" s="61"/>
      <c r="F746" s="61"/>
      <c r="G746" s="61"/>
      <c r="H746" s="61"/>
      <c r="I746" s="61"/>
      <c r="J746" s="61"/>
      <c r="K746" s="61"/>
      <c r="L746" s="61"/>
      <c r="M746" s="61"/>
      <c r="N746" s="61"/>
      <c r="O746" s="61"/>
      <c r="P746" s="61"/>
      <c r="Q746" s="61"/>
      <c r="R746" s="61"/>
      <c r="S746" s="61"/>
      <c r="T746" s="61"/>
      <c r="U746" s="61"/>
      <c r="V746" s="61"/>
      <c r="W746" s="61"/>
      <c r="X746" s="61"/>
      <c r="Y746" s="61"/>
    </row>
    <row r="747">
      <c r="A747" s="52"/>
      <c r="B747" s="61"/>
      <c r="C747" s="61"/>
      <c r="D747" s="52"/>
      <c r="E747" s="61"/>
      <c r="F747" s="61"/>
      <c r="G747" s="61"/>
      <c r="H747" s="61"/>
      <c r="I747" s="61"/>
      <c r="J747" s="61"/>
      <c r="K747" s="61"/>
      <c r="L747" s="61"/>
      <c r="M747" s="61"/>
      <c r="N747" s="61"/>
      <c r="O747" s="61"/>
      <c r="P747" s="61"/>
      <c r="Q747" s="61"/>
      <c r="R747" s="61"/>
      <c r="S747" s="61"/>
      <c r="T747" s="61"/>
      <c r="U747" s="61"/>
      <c r="V747" s="61"/>
      <c r="W747" s="61"/>
      <c r="X747" s="61"/>
      <c r="Y747" s="61"/>
    </row>
    <row r="748">
      <c r="A748" s="52"/>
      <c r="B748" s="61"/>
      <c r="C748" s="61"/>
      <c r="D748" s="52"/>
      <c r="E748" s="61"/>
      <c r="F748" s="61"/>
      <c r="G748" s="61"/>
      <c r="H748" s="61"/>
      <c r="I748" s="61"/>
      <c r="J748" s="61"/>
      <c r="K748" s="61"/>
      <c r="L748" s="61"/>
      <c r="M748" s="61"/>
      <c r="N748" s="61"/>
      <c r="O748" s="61"/>
      <c r="P748" s="61"/>
      <c r="Q748" s="61"/>
      <c r="R748" s="61"/>
      <c r="S748" s="61"/>
      <c r="T748" s="61"/>
      <c r="U748" s="61"/>
      <c r="V748" s="61"/>
      <c r="W748" s="61"/>
      <c r="X748" s="61"/>
      <c r="Y748" s="61"/>
    </row>
    <row r="749">
      <c r="A749" s="52"/>
      <c r="B749" s="61"/>
      <c r="C749" s="61"/>
      <c r="D749" s="52"/>
      <c r="E749" s="61"/>
      <c r="F749" s="61"/>
      <c r="G749" s="61"/>
      <c r="H749" s="61"/>
      <c r="I749" s="61"/>
      <c r="J749" s="61"/>
      <c r="K749" s="61"/>
      <c r="L749" s="61"/>
      <c r="M749" s="61"/>
      <c r="N749" s="61"/>
      <c r="O749" s="61"/>
      <c r="P749" s="61"/>
      <c r="Q749" s="61"/>
      <c r="R749" s="61"/>
      <c r="S749" s="61"/>
      <c r="T749" s="61"/>
      <c r="U749" s="61"/>
      <c r="V749" s="61"/>
      <c r="W749" s="61"/>
      <c r="X749" s="61"/>
      <c r="Y749" s="61"/>
    </row>
    <row r="750">
      <c r="A750" s="52"/>
      <c r="B750" s="61"/>
      <c r="C750" s="61"/>
      <c r="D750" s="52"/>
      <c r="E750" s="61"/>
      <c r="F750" s="61"/>
      <c r="G750" s="61"/>
      <c r="H750" s="61"/>
      <c r="I750" s="61"/>
      <c r="J750" s="61"/>
      <c r="K750" s="61"/>
      <c r="L750" s="61"/>
      <c r="M750" s="61"/>
      <c r="N750" s="61"/>
      <c r="O750" s="61"/>
      <c r="P750" s="61"/>
      <c r="Q750" s="61"/>
      <c r="R750" s="61"/>
      <c r="S750" s="61"/>
      <c r="T750" s="61"/>
      <c r="U750" s="61"/>
      <c r="V750" s="61"/>
      <c r="W750" s="61"/>
      <c r="X750" s="61"/>
      <c r="Y750" s="61"/>
    </row>
    <row r="751">
      <c r="A751" s="52"/>
      <c r="B751" s="61"/>
      <c r="C751" s="61"/>
      <c r="D751" s="52"/>
      <c r="E751" s="61"/>
      <c r="F751" s="61"/>
      <c r="G751" s="61"/>
      <c r="H751" s="61"/>
      <c r="I751" s="61"/>
      <c r="J751" s="61"/>
      <c r="K751" s="61"/>
      <c r="L751" s="61"/>
      <c r="M751" s="61"/>
      <c r="N751" s="61"/>
      <c r="O751" s="61"/>
      <c r="P751" s="61"/>
      <c r="Q751" s="61"/>
      <c r="R751" s="61"/>
      <c r="S751" s="61"/>
      <c r="T751" s="61"/>
      <c r="U751" s="61"/>
      <c r="V751" s="61"/>
      <c r="W751" s="61"/>
      <c r="X751" s="61"/>
      <c r="Y751" s="61"/>
    </row>
    <row r="752">
      <c r="A752" s="52"/>
      <c r="B752" s="61"/>
      <c r="C752" s="61"/>
      <c r="D752" s="52"/>
      <c r="E752" s="61"/>
      <c r="F752" s="61"/>
      <c r="G752" s="61"/>
      <c r="H752" s="61"/>
      <c r="I752" s="61"/>
      <c r="J752" s="61"/>
      <c r="K752" s="61"/>
      <c r="L752" s="61"/>
      <c r="M752" s="61"/>
      <c r="N752" s="61"/>
      <c r="O752" s="61"/>
      <c r="P752" s="61"/>
      <c r="Q752" s="61"/>
      <c r="R752" s="61"/>
      <c r="S752" s="61"/>
      <c r="T752" s="61"/>
      <c r="U752" s="61"/>
      <c r="V752" s="61"/>
      <c r="W752" s="61"/>
      <c r="X752" s="61"/>
      <c r="Y752" s="61"/>
    </row>
    <row r="753">
      <c r="A753" s="52"/>
      <c r="B753" s="61"/>
      <c r="C753" s="61"/>
      <c r="D753" s="52"/>
      <c r="E753" s="61"/>
      <c r="F753" s="61"/>
      <c r="G753" s="61"/>
      <c r="H753" s="61"/>
      <c r="I753" s="61"/>
      <c r="J753" s="61"/>
      <c r="K753" s="61"/>
      <c r="L753" s="61"/>
      <c r="M753" s="61"/>
      <c r="N753" s="61"/>
      <c r="O753" s="61"/>
      <c r="P753" s="61"/>
      <c r="Q753" s="61"/>
      <c r="R753" s="61"/>
      <c r="S753" s="61"/>
      <c r="T753" s="61"/>
      <c r="U753" s="61"/>
      <c r="V753" s="61"/>
      <c r="W753" s="61"/>
      <c r="X753" s="61"/>
      <c r="Y753" s="61"/>
    </row>
    <row r="754">
      <c r="A754" s="52"/>
      <c r="B754" s="61"/>
      <c r="C754" s="61"/>
      <c r="D754" s="52"/>
      <c r="E754" s="61"/>
      <c r="F754" s="61"/>
      <c r="G754" s="61"/>
      <c r="H754" s="61"/>
      <c r="I754" s="61"/>
      <c r="J754" s="61"/>
      <c r="K754" s="61"/>
      <c r="L754" s="61"/>
      <c r="M754" s="61"/>
      <c r="N754" s="61"/>
      <c r="O754" s="61"/>
      <c r="P754" s="61"/>
      <c r="Q754" s="61"/>
      <c r="R754" s="61"/>
      <c r="S754" s="61"/>
      <c r="T754" s="61"/>
      <c r="U754" s="61"/>
      <c r="V754" s="61"/>
      <c r="W754" s="61"/>
      <c r="X754" s="61"/>
      <c r="Y754" s="61"/>
    </row>
    <row r="755">
      <c r="A755" s="52"/>
      <c r="B755" s="61"/>
      <c r="C755" s="61"/>
      <c r="D755" s="52"/>
      <c r="E755" s="61"/>
      <c r="F755" s="61"/>
      <c r="G755" s="61"/>
      <c r="H755" s="61"/>
      <c r="I755" s="61"/>
      <c r="J755" s="61"/>
      <c r="K755" s="61"/>
      <c r="L755" s="61"/>
      <c r="M755" s="61"/>
      <c r="N755" s="61"/>
      <c r="O755" s="61"/>
      <c r="P755" s="61"/>
      <c r="Q755" s="61"/>
      <c r="R755" s="61"/>
      <c r="S755" s="61"/>
      <c r="T755" s="61"/>
      <c r="U755" s="61"/>
      <c r="V755" s="61"/>
      <c r="W755" s="61"/>
      <c r="X755" s="61"/>
      <c r="Y755" s="61"/>
    </row>
    <row r="756">
      <c r="A756" s="52"/>
      <c r="B756" s="61"/>
      <c r="C756" s="61"/>
      <c r="D756" s="52"/>
      <c r="E756" s="61"/>
      <c r="F756" s="61"/>
      <c r="G756" s="61"/>
      <c r="H756" s="61"/>
      <c r="I756" s="61"/>
      <c r="J756" s="61"/>
      <c r="K756" s="61"/>
      <c r="L756" s="61"/>
      <c r="M756" s="61"/>
      <c r="N756" s="61"/>
      <c r="O756" s="61"/>
      <c r="P756" s="61"/>
      <c r="Q756" s="61"/>
      <c r="R756" s="61"/>
      <c r="S756" s="61"/>
      <c r="T756" s="61"/>
      <c r="U756" s="61"/>
      <c r="V756" s="61"/>
      <c r="W756" s="61"/>
      <c r="X756" s="61"/>
      <c r="Y756" s="61"/>
    </row>
    <row r="757">
      <c r="A757" s="52"/>
      <c r="B757" s="61"/>
      <c r="C757" s="61"/>
      <c r="D757" s="52"/>
      <c r="E757" s="61"/>
      <c r="F757" s="61"/>
      <c r="G757" s="61"/>
      <c r="H757" s="61"/>
      <c r="I757" s="61"/>
      <c r="J757" s="61"/>
      <c r="K757" s="61"/>
      <c r="L757" s="61"/>
      <c r="M757" s="61"/>
      <c r="N757" s="61"/>
      <c r="O757" s="61"/>
      <c r="P757" s="61"/>
      <c r="Q757" s="61"/>
      <c r="R757" s="61"/>
      <c r="S757" s="61"/>
      <c r="T757" s="61"/>
      <c r="U757" s="61"/>
      <c r="V757" s="61"/>
      <c r="W757" s="61"/>
      <c r="X757" s="61"/>
      <c r="Y757" s="61"/>
    </row>
    <row r="758">
      <c r="A758" s="52"/>
      <c r="B758" s="61"/>
      <c r="C758" s="61"/>
      <c r="D758" s="52"/>
      <c r="E758" s="61"/>
      <c r="F758" s="61"/>
      <c r="G758" s="61"/>
      <c r="H758" s="61"/>
      <c r="I758" s="61"/>
      <c r="J758" s="61"/>
      <c r="K758" s="61"/>
      <c r="L758" s="61"/>
      <c r="M758" s="61"/>
      <c r="N758" s="61"/>
      <c r="O758" s="61"/>
      <c r="P758" s="61"/>
      <c r="Q758" s="61"/>
      <c r="R758" s="61"/>
      <c r="S758" s="61"/>
      <c r="T758" s="61"/>
      <c r="U758" s="61"/>
      <c r="V758" s="61"/>
      <c r="W758" s="61"/>
      <c r="X758" s="61"/>
      <c r="Y758" s="61"/>
    </row>
    <row r="759">
      <c r="A759" s="52"/>
      <c r="B759" s="61"/>
      <c r="C759" s="61"/>
      <c r="D759" s="52"/>
      <c r="E759" s="61"/>
      <c r="F759" s="61"/>
      <c r="G759" s="61"/>
      <c r="H759" s="61"/>
      <c r="I759" s="61"/>
      <c r="J759" s="61"/>
      <c r="K759" s="61"/>
      <c r="L759" s="61"/>
      <c r="M759" s="61"/>
      <c r="N759" s="61"/>
      <c r="O759" s="61"/>
      <c r="P759" s="61"/>
      <c r="Q759" s="61"/>
      <c r="R759" s="61"/>
      <c r="S759" s="61"/>
      <c r="T759" s="61"/>
      <c r="U759" s="61"/>
      <c r="V759" s="61"/>
      <c r="W759" s="61"/>
      <c r="X759" s="61"/>
      <c r="Y759" s="61"/>
    </row>
    <row r="760">
      <c r="A760" s="52"/>
      <c r="B760" s="61"/>
      <c r="C760" s="61"/>
      <c r="D760" s="52"/>
      <c r="E760" s="61"/>
      <c r="F760" s="61"/>
      <c r="G760" s="61"/>
      <c r="H760" s="61"/>
      <c r="I760" s="61"/>
      <c r="J760" s="61"/>
      <c r="K760" s="61"/>
      <c r="L760" s="61"/>
      <c r="M760" s="61"/>
      <c r="N760" s="61"/>
      <c r="O760" s="61"/>
      <c r="P760" s="61"/>
      <c r="Q760" s="61"/>
      <c r="R760" s="61"/>
      <c r="S760" s="61"/>
      <c r="T760" s="61"/>
      <c r="U760" s="61"/>
      <c r="V760" s="61"/>
      <c r="W760" s="61"/>
      <c r="X760" s="61"/>
      <c r="Y760" s="61"/>
    </row>
    <row r="761">
      <c r="A761" s="52"/>
      <c r="B761" s="61"/>
      <c r="C761" s="61"/>
      <c r="D761" s="52"/>
      <c r="E761" s="61"/>
      <c r="F761" s="61"/>
      <c r="G761" s="61"/>
      <c r="H761" s="61"/>
      <c r="I761" s="61"/>
      <c r="J761" s="61"/>
      <c r="K761" s="61"/>
      <c r="L761" s="61"/>
      <c r="M761" s="61"/>
      <c r="N761" s="61"/>
      <c r="O761" s="61"/>
      <c r="P761" s="61"/>
      <c r="Q761" s="61"/>
      <c r="R761" s="61"/>
      <c r="S761" s="61"/>
      <c r="T761" s="61"/>
      <c r="U761" s="61"/>
      <c r="V761" s="61"/>
      <c r="W761" s="61"/>
      <c r="X761" s="61"/>
      <c r="Y761" s="61"/>
    </row>
    <row r="762">
      <c r="A762" s="52"/>
      <c r="B762" s="61"/>
      <c r="C762" s="61"/>
      <c r="D762" s="52"/>
      <c r="E762" s="61"/>
      <c r="F762" s="61"/>
      <c r="G762" s="61"/>
      <c r="H762" s="61"/>
      <c r="I762" s="61"/>
      <c r="J762" s="61"/>
      <c r="K762" s="61"/>
      <c r="L762" s="61"/>
      <c r="M762" s="61"/>
      <c r="N762" s="61"/>
      <c r="O762" s="61"/>
      <c r="P762" s="61"/>
      <c r="Q762" s="61"/>
      <c r="R762" s="61"/>
      <c r="S762" s="61"/>
      <c r="T762" s="61"/>
      <c r="U762" s="61"/>
      <c r="V762" s="61"/>
      <c r="W762" s="61"/>
      <c r="X762" s="61"/>
      <c r="Y762" s="61"/>
    </row>
    <row r="763">
      <c r="A763" s="52"/>
      <c r="B763" s="61"/>
      <c r="C763" s="61"/>
      <c r="D763" s="52"/>
      <c r="E763" s="61"/>
      <c r="F763" s="61"/>
      <c r="G763" s="61"/>
      <c r="H763" s="61"/>
      <c r="I763" s="61"/>
      <c r="J763" s="61"/>
      <c r="K763" s="61"/>
      <c r="L763" s="61"/>
      <c r="M763" s="61"/>
      <c r="N763" s="61"/>
      <c r="O763" s="61"/>
      <c r="P763" s="61"/>
      <c r="Q763" s="61"/>
      <c r="R763" s="61"/>
      <c r="S763" s="61"/>
      <c r="T763" s="61"/>
      <c r="U763" s="61"/>
      <c r="V763" s="61"/>
      <c r="W763" s="61"/>
      <c r="X763" s="61"/>
      <c r="Y763" s="61"/>
    </row>
    <row r="764">
      <c r="A764" s="52"/>
      <c r="B764" s="61"/>
      <c r="C764" s="61"/>
      <c r="D764" s="52"/>
      <c r="E764" s="61"/>
      <c r="F764" s="61"/>
      <c r="G764" s="61"/>
      <c r="H764" s="61"/>
      <c r="I764" s="61"/>
      <c r="J764" s="61"/>
      <c r="K764" s="61"/>
      <c r="L764" s="61"/>
      <c r="M764" s="61"/>
      <c r="N764" s="61"/>
      <c r="O764" s="61"/>
      <c r="P764" s="61"/>
      <c r="Q764" s="61"/>
      <c r="R764" s="61"/>
      <c r="S764" s="61"/>
      <c r="T764" s="61"/>
      <c r="U764" s="61"/>
      <c r="V764" s="61"/>
      <c r="W764" s="61"/>
      <c r="X764" s="61"/>
      <c r="Y764" s="61"/>
    </row>
    <row r="765">
      <c r="A765" s="52"/>
      <c r="B765" s="61"/>
      <c r="C765" s="61"/>
      <c r="D765" s="52"/>
      <c r="E765" s="61"/>
      <c r="F765" s="61"/>
      <c r="G765" s="61"/>
      <c r="H765" s="61"/>
      <c r="I765" s="61"/>
      <c r="J765" s="61"/>
      <c r="K765" s="61"/>
      <c r="L765" s="61"/>
      <c r="M765" s="61"/>
      <c r="N765" s="61"/>
      <c r="O765" s="61"/>
      <c r="P765" s="61"/>
      <c r="Q765" s="61"/>
      <c r="R765" s="61"/>
      <c r="S765" s="61"/>
      <c r="T765" s="61"/>
      <c r="U765" s="61"/>
      <c r="V765" s="61"/>
      <c r="W765" s="61"/>
      <c r="X765" s="61"/>
      <c r="Y765" s="61"/>
    </row>
    <row r="766">
      <c r="A766" s="52"/>
      <c r="B766" s="61"/>
      <c r="C766" s="61"/>
      <c r="D766" s="52"/>
      <c r="E766" s="61"/>
      <c r="F766" s="61"/>
      <c r="G766" s="61"/>
      <c r="H766" s="61"/>
      <c r="I766" s="61"/>
      <c r="J766" s="61"/>
      <c r="K766" s="61"/>
      <c r="L766" s="61"/>
      <c r="M766" s="61"/>
      <c r="N766" s="61"/>
      <c r="O766" s="61"/>
      <c r="P766" s="61"/>
      <c r="Q766" s="61"/>
      <c r="R766" s="61"/>
      <c r="S766" s="61"/>
      <c r="T766" s="61"/>
      <c r="U766" s="61"/>
      <c r="V766" s="61"/>
      <c r="W766" s="61"/>
      <c r="X766" s="61"/>
      <c r="Y766" s="61"/>
    </row>
    <row r="767">
      <c r="A767" s="52"/>
      <c r="B767" s="61"/>
      <c r="C767" s="61"/>
      <c r="D767" s="52"/>
      <c r="E767" s="61"/>
      <c r="F767" s="61"/>
      <c r="G767" s="61"/>
      <c r="H767" s="61"/>
      <c r="I767" s="61"/>
      <c r="J767" s="61"/>
      <c r="K767" s="61"/>
      <c r="L767" s="61"/>
      <c r="M767" s="61"/>
      <c r="N767" s="61"/>
      <c r="O767" s="61"/>
      <c r="P767" s="61"/>
      <c r="Q767" s="61"/>
      <c r="R767" s="61"/>
      <c r="S767" s="61"/>
      <c r="T767" s="61"/>
      <c r="U767" s="61"/>
      <c r="V767" s="61"/>
      <c r="W767" s="61"/>
      <c r="X767" s="61"/>
      <c r="Y767" s="61"/>
    </row>
    <row r="768">
      <c r="A768" s="52"/>
      <c r="B768" s="61"/>
      <c r="C768" s="61"/>
      <c r="D768" s="52"/>
      <c r="E768" s="61"/>
      <c r="F768" s="61"/>
      <c r="G768" s="61"/>
      <c r="H768" s="61"/>
      <c r="I768" s="61"/>
      <c r="J768" s="61"/>
      <c r="K768" s="61"/>
      <c r="L768" s="61"/>
      <c r="M768" s="61"/>
      <c r="N768" s="61"/>
      <c r="O768" s="61"/>
      <c r="P768" s="61"/>
      <c r="Q768" s="61"/>
      <c r="R768" s="61"/>
      <c r="S768" s="61"/>
      <c r="T768" s="61"/>
      <c r="U768" s="61"/>
      <c r="V768" s="61"/>
      <c r="W768" s="61"/>
      <c r="X768" s="61"/>
      <c r="Y768" s="61"/>
    </row>
    <row r="769">
      <c r="A769" s="52"/>
      <c r="B769" s="61"/>
      <c r="C769" s="61"/>
      <c r="D769" s="52"/>
      <c r="E769" s="61"/>
      <c r="F769" s="61"/>
      <c r="G769" s="61"/>
      <c r="H769" s="61"/>
      <c r="I769" s="61"/>
      <c r="J769" s="61"/>
      <c r="K769" s="61"/>
      <c r="L769" s="61"/>
      <c r="M769" s="61"/>
      <c r="N769" s="61"/>
      <c r="O769" s="61"/>
      <c r="P769" s="61"/>
      <c r="Q769" s="61"/>
      <c r="R769" s="61"/>
      <c r="S769" s="61"/>
      <c r="T769" s="61"/>
      <c r="U769" s="61"/>
      <c r="V769" s="61"/>
      <c r="W769" s="61"/>
      <c r="X769" s="61"/>
      <c r="Y769" s="61"/>
    </row>
    <row r="770">
      <c r="A770" s="52"/>
      <c r="B770" s="61"/>
      <c r="C770" s="61"/>
      <c r="D770" s="52"/>
      <c r="E770" s="61"/>
      <c r="F770" s="61"/>
      <c r="G770" s="61"/>
      <c r="H770" s="61"/>
      <c r="I770" s="61"/>
      <c r="J770" s="61"/>
      <c r="K770" s="61"/>
      <c r="L770" s="61"/>
      <c r="M770" s="61"/>
      <c r="N770" s="61"/>
      <c r="O770" s="61"/>
      <c r="P770" s="61"/>
      <c r="Q770" s="61"/>
      <c r="R770" s="61"/>
      <c r="S770" s="61"/>
      <c r="T770" s="61"/>
      <c r="U770" s="61"/>
      <c r="V770" s="61"/>
      <c r="W770" s="61"/>
      <c r="X770" s="61"/>
      <c r="Y770" s="61"/>
    </row>
    <row r="771">
      <c r="A771" s="52"/>
      <c r="B771" s="61"/>
      <c r="C771" s="61"/>
      <c r="D771" s="52"/>
      <c r="E771" s="61"/>
      <c r="F771" s="61"/>
      <c r="G771" s="61"/>
      <c r="H771" s="61"/>
      <c r="I771" s="61"/>
      <c r="J771" s="61"/>
      <c r="K771" s="61"/>
      <c r="L771" s="61"/>
      <c r="M771" s="61"/>
      <c r="N771" s="61"/>
      <c r="O771" s="61"/>
      <c r="P771" s="61"/>
      <c r="Q771" s="61"/>
      <c r="R771" s="61"/>
      <c r="S771" s="61"/>
      <c r="T771" s="61"/>
      <c r="U771" s="61"/>
      <c r="V771" s="61"/>
      <c r="W771" s="61"/>
      <c r="X771" s="61"/>
      <c r="Y771" s="61"/>
    </row>
    <row r="772">
      <c r="A772" s="52"/>
      <c r="B772" s="61"/>
      <c r="C772" s="61"/>
      <c r="D772" s="52"/>
      <c r="E772" s="61"/>
      <c r="F772" s="61"/>
      <c r="G772" s="61"/>
      <c r="H772" s="61"/>
      <c r="I772" s="61"/>
      <c r="J772" s="61"/>
      <c r="K772" s="61"/>
      <c r="L772" s="61"/>
      <c r="M772" s="61"/>
      <c r="N772" s="61"/>
      <c r="O772" s="61"/>
      <c r="P772" s="61"/>
      <c r="Q772" s="61"/>
      <c r="R772" s="61"/>
      <c r="S772" s="61"/>
      <c r="T772" s="61"/>
      <c r="U772" s="61"/>
      <c r="V772" s="61"/>
      <c r="W772" s="61"/>
      <c r="X772" s="61"/>
      <c r="Y772" s="61"/>
    </row>
    <row r="773">
      <c r="A773" s="52"/>
      <c r="B773" s="61"/>
      <c r="C773" s="61"/>
      <c r="D773" s="52"/>
      <c r="E773" s="61"/>
      <c r="F773" s="61"/>
      <c r="G773" s="61"/>
      <c r="H773" s="61"/>
      <c r="I773" s="61"/>
      <c r="J773" s="61"/>
      <c r="K773" s="61"/>
      <c r="L773" s="61"/>
      <c r="M773" s="61"/>
      <c r="N773" s="61"/>
      <c r="O773" s="61"/>
      <c r="P773" s="61"/>
      <c r="Q773" s="61"/>
      <c r="R773" s="61"/>
      <c r="S773" s="61"/>
      <c r="T773" s="61"/>
      <c r="U773" s="61"/>
      <c r="V773" s="61"/>
      <c r="W773" s="61"/>
      <c r="X773" s="61"/>
      <c r="Y773" s="61"/>
    </row>
    <row r="774">
      <c r="A774" s="52"/>
      <c r="B774" s="61"/>
      <c r="C774" s="61"/>
      <c r="D774" s="52"/>
      <c r="E774" s="61"/>
      <c r="F774" s="61"/>
      <c r="G774" s="61"/>
      <c r="H774" s="61"/>
      <c r="I774" s="61"/>
      <c r="J774" s="61"/>
      <c r="K774" s="61"/>
      <c r="L774" s="61"/>
      <c r="M774" s="61"/>
      <c r="N774" s="61"/>
      <c r="O774" s="61"/>
      <c r="P774" s="61"/>
      <c r="Q774" s="61"/>
      <c r="R774" s="61"/>
      <c r="S774" s="61"/>
      <c r="T774" s="61"/>
      <c r="U774" s="61"/>
      <c r="V774" s="61"/>
      <c r="W774" s="61"/>
      <c r="X774" s="61"/>
      <c r="Y774" s="61"/>
    </row>
    <row r="775">
      <c r="A775" s="52"/>
      <c r="B775" s="61"/>
      <c r="C775" s="61"/>
      <c r="D775" s="52"/>
      <c r="E775" s="61"/>
      <c r="F775" s="61"/>
      <c r="G775" s="61"/>
      <c r="H775" s="61"/>
      <c r="I775" s="61"/>
      <c r="J775" s="61"/>
      <c r="K775" s="61"/>
      <c r="L775" s="61"/>
      <c r="M775" s="61"/>
      <c r="N775" s="61"/>
      <c r="O775" s="61"/>
      <c r="P775" s="61"/>
      <c r="Q775" s="61"/>
      <c r="R775" s="61"/>
      <c r="S775" s="61"/>
      <c r="T775" s="61"/>
      <c r="U775" s="61"/>
      <c r="V775" s="61"/>
      <c r="W775" s="61"/>
      <c r="X775" s="61"/>
      <c r="Y775" s="61"/>
    </row>
    <row r="776">
      <c r="A776" s="52"/>
      <c r="B776" s="61"/>
      <c r="C776" s="61"/>
      <c r="D776" s="52"/>
      <c r="E776" s="61"/>
      <c r="F776" s="61"/>
      <c r="G776" s="61"/>
      <c r="H776" s="61"/>
      <c r="I776" s="61"/>
      <c r="J776" s="61"/>
      <c r="K776" s="61"/>
      <c r="L776" s="61"/>
      <c r="M776" s="61"/>
      <c r="N776" s="61"/>
      <c r="O776" s="61"/>
      <c r="P776" s="61"/>
      <c r="Q776" s="61"/>
      <c r="R776" s="61"/>
      <c r="S776" s="61"/>
      <c r="T776" s="61"/>
      <c r="U776" s="61"/>
      <c r="V776" s="61"/>
      <c r="W776" s="61"/>
      <c r="X776" s="61"/>
      <c r="Y776" s="61"/>
    </row>
    <row r="777">
      <c r="A777" s="52"/>
      <c r="B777" s="61"/>
      <c r="C777" s="61"/>
      <c r="D777" s="52"/>
      <c r="E777" s="61"/>
      <c r="F777" s="61"/>
      <c r="G777" s="61"/>
      <c r="H777" s="61"/>
      <c r="I777" s="61"/>
      <c r="J777" s="61"/>
      <c r="K777" s="61"/>
      <c r="L777" s="61"/>
      <c r="M777" s="61"/>
      <c r="N777" s="61"/>
      <c r="O777" s="61"/>
      <c r="P777" s="61"/>
      <c r="Q777" s="61"/>
      <c r="R777" s="61"/>
      <c r="S777" s="61"/>
      <c r="T777" s="61"/>
      <c r="U777" s="61"/>
      <c r="V777" s="61"/>
      <c r="W777" s="61"/>
      <c r="X777" s="61"/>
      <c r="Y777" s="61"/>
    </row>
    <row r="778">
      <c r="A778" s="52"/>
      <c r="B778" s="61"/>
      <c r="C778" s="61"/>
      <c r="D778" s="52"/>
      <c r="E778" s="61"/>
      <c r="F778" s="61"/>
      <c r="G778" s="61"/>
      <c r="H778" s="61"/>
      <c r="I778" s="61"/>
      <c r="J778" s="61"/>
      <c r="K778" s="61"/>
      <c r="L778" s="61"/>
      <c r="M778" s="61"/>
      <c r="N778" s="61"/>
      <c r="O778" s="61"/>
      <c r="P778" s="61"/>
      <c r="Q778" s="61"/>
      <c r="R778" s="61"/>
      <c r="S778" s="61"/>
      <c r="T778" s="61"/>
      <c r="U778" s="61"/>
      <c r="V778" s="61"/>
      <c r="W778" s="61"/>
      <c r="X778" s="61"/>
      <c r="Y778" s="61"/>
    </row>
    <row r="779">
      <c r="A779" s="52"/>
      <c r="B779" s="61"/>
      <c r="C779" s="61"/>
      <c r="D779" s="52"/>
      <c r="E779" s="61"/>
      <c r="F779" s="61"/>
      <c r="G779" s="61"/>
      <c r="H779" s="61"/>
      <c r="I779" s="61"/>
      <c r="J779" s="61"/>
      <c r="K779" s="61"/>
      <c r="L779" s="61"/>
      <c r="M779" s="61"/>
      <c r="N779" s="61"/>
      <c r="O779" s="61"/>
      <c r="P779" s="61"/>
      <c r="Q779" s="61"/>
      <c r="R779" s="61"/>
      <c r="S779" s="61"/>
      <c r="T779" s="61"/>
      <c r="U779" s="61"/>
      <c r="V779" s="61"/>
      <c r="W779" s="61"/>
      <c r="X779" s="61"/>
      <c r="Y779" s="61"/>
    </row>
    <row r="780">
      <c r="A780" s="52"/>
      <c r="B780" s="61"/>
      <c r="C780" s="61"/>
      <c r="D780" s="52"/>
      <c r="E780" s="61"/>
      <c r="F780" s="61"/>
      <c r="G780" s="61"/>
      <c r="H780" s="61"/>
      <c r="I780" s="61"/>
      <c r="J780" s="61"/>
      <c r="K780" s="61"/>
      <c r="L780" s="61"/>
      <c r="M780" s="61"/>
      <c r="N780" s="61"/>
      <c r="O780" s="61"/>
      <c r="P780" s="61"/>
      <c r="Q780" s="61"/>
      <c r="R780" s="61"/>
      <c r="S780" s="61"/>
      <c r="T780" s="61"/>
      <c r="U780" s="61"/>
      <c r="V780" s="61"/>
      <c r="W780" s="61"/>
      <c r="X780" s="61"/>
      <c r="Y780" s="61"/>
    </row>
    <row r="781">
      <c r="A781" s="52"/>
      <c r="B781" s="61"/>
      <c r="C781" s="61"/>
      <c r="D781" s="52"/>
      <c r="E781" s="61"/>
      <c r="F781" s="61"/>
      <c r="G781" s="61"/>
      <c r="H781" s="61"/>
      <c r="I781" s="61"/>
      <c r="J781" s="61"/>
      <c r="K781" s="61"/>
      <c r="L781" s="61"/>
      <c r="M781" s="61"/>
      <c r="N781" s="61"/>
      <c r="O781" s="61"/>
      <c r="P781" s="61"/>
      <c r="Q781" s="61"/>
      <c r="R781" s="61"/>
      <c r="S781" s="61"/>
      <c r="T781" s="61"/>
      <c r="U781" s="61"/>
      <c r="V781" s="61"/>
      <c r="W781" s="61"/>
      <c r="X781" s="61"/>
      <c r="Y781" s="61"/>
    </row>
    <row r="782">
      <c r="A782" s="52"/>
      <c r="B782" s="61"/>
      <c r="C782" s="61"/>
      <c r="D782" s="52"/>
      <c r="E782" s="61"/>
      <c r="F782" s="61"/>
      <c r="G782" s="61"/>
      <c r="H782" s="61"/>
      <c r="I782" s="61"/>
      <c r="J782" s="61"/>
      <c r="K782" s="61"/>
      <c r="L782" s="61"/>
      <c r="M782" s="61"/>
      <c r="N782" s="61"/>
      <c r="O782" s="61"/>
      <c r="P782" s="61"/>
      <c r="Q782" s="61"/>
      <c r="R782" s="61"/>
      <c r="S782" s="61"/>
      <c r="T782" s="61"/>
      <c r="U782" s="61"/>
      <c r="V782" s="61"/>
      <c r="W782" s="61"/>
      <c r="X782" s="61"/>
      <c r="Y782" s="61"/>
    </row>
    <row r="783">
      <c r="A783" s="52"/>
      <c r="B783" s="61"/>
      <c r="C783" s="61"/>
      <c r="D783" s="52"/>
      <c r="E783" s="61"/>
      <c r="F783" s="61"/>
      <c r="G783" s="61"/>
      <c r="H783" s="61"/>
      <c r="I783" s="61"/>
      <c r="J783" s="61"/>
      <c r="K783" s="61"/>
      <c r="L783" s="61"/>
      <c r="M783" s="61"/>
      <c r="N783" s="61"/>
      <c r="O783" s="61"/>
      <c r="P783" s="61"/>
      <c r="Q783" s="61"/>
      <c r="R783" s="61"/>
      <c r="S783" s="61"/>
      <c r="T783" s="61"/>
      <c r="U783" s="61"/>
      <c r="V783" s="61"/>
      <c r="W783" s="61"/>
      <c r="X783" s="61"/>
      <c r="Y783" s="61"/>
    </row>
    <row r="784">
      <c r="A784" s="52"/>
      <c r="B784" s="61"/>
      <c r="C784" s="61"/>
      <c r="D784" s="52"/>
      <c r="E784" s="61"/>
      <c r="F784" s="61"/>
      <c r="G784" s="61"/>
      <c r="H784" s="61"/>
      <c r="I784" s="61"/>
      <c r="J784" s="61"/>
      <c r="K784" s="61"/>
      <c r="L784" s="61"/>
      <c r="M784" s="61"/>
      <c r="N784" s="61"/>
      <c r="O784" s="61"/>
      <c r="P784" s="61"/>
      <c r="Q784" s="61"/>
      <c r="R784" s="61"/>
      <c r="S784" s="61"/>
      <c r="T784" s="61"/>
      <c r="U784" s="61"/>
      <c r="V784" s="61"/>
      <c r="W784" s="61"/>
      <c r="X784" s="61"/>
      <c r="Y784" s="61"/>
    </row>
    <row r="785">
      <c r="A785" s="52"/>
      <c r="B785" s="61"/>
      <c r="C785" s="61"/>
      <c r="D785" s="52"/>
      <c r="E785" s="61"/>
      <c r="F785" s="61"/>
      <c r="G785" s="61"/>
      <c r="H785" s="61"/>
      <c r="I785" s="61"/>
      <c r="J785" s="61"/>
      <c r="K785" s="61"/>
      <c r="L785" s="61"/>
      <c r="M785" s="61"/>
      <c r="N785" s="61"/>
      <c r="O785" s="61"/>
      <c r="P785" s="61"/>
      <c r="Q785" s="61"/>
      <c r="R785" s="61"/>
      <c r="S785" s="61"/>
      <c r="T785" s="61"/>
      <c r="U785" s="61"/>
      <c r="V785" s="61"/>
      <c r="W785" s="61"/>
      <c r="X785" s="61"/>
      <c r="Y785" s="61"/>
    </row>
    <row r="786">
      <c r="A786" s="52"/>
      <c r="B786" s="61"/>
      <c r="C786" s="61"/>
      <c r="D786" s="52"/>
      <c r="E786" s="61"/>
      <c r="F786" s="61"/>
      <c r="G786" s="61"/>
      <c r="H786" s="61"/>
      <c r="I786" s="61"/>
      <c r="J786" s="61"/>
      <c r="K786" s="61"/>
      <c r="L786" s="61"/>
      <c r="M786" s="61"/>
      <c r="N786" s="61"/>
      <c r="O786" s="61"/>
      <c r="P786" s="61"/>
      <c r="Q786" s="61"/>
      <c r="R786" s="61"/>
      <c r="S786" s="61"/>
      <c r="T786" s="61"/>
      <c r="U786" s="61"/>
      <c r="V786" s="61"/>
      <c r="W786" s="61"/>
      <c r="X786" s="61"/>
      <c r="Y786" s="61"/>
    </row>
    <row r="787">
      <c r="A787" s="52"/>
      <c r="B787" s="61"/>
      <c r="C787" s="61"/>
      <c r="D787" s="52"/>
      <c r="E787" s="61"/>
      <c r="F787" s="61"/>
      <c r="G787" s="61"/>
      <c r="H787" s="61"/>
      <c r="I787" s="61"/>
      <c r="J787" s="61"/>
      <c r="K787" s="61"/>
      <c r="L787" s="61"/>
      <c r="M787" s="61"/>
      <c r="N787" s="61"/>
      <c r="O787" s="61"/>
      <c r="P787" s="61"/>
      <c r="Q787" s="61"/>
      <c r="R787" s="61"/>
      <c r="S787" s="61"/>
      <c r="T787" s="61"/>
      <c r="U787" s="61"/>
      <c r="V787" s="61"/>
      <c r="W787" s="61"/>
      <c r="X787" s="61"/>
      <c r="Y787" s="61"/>
    </row>
    <row r="788">
      <c r="A788" s="52"/>
      <c r="B788" s="61"/>
      <c r="C788" s="61"/>
      <c r="D788" s="52"/>
      <c r="E788" s="61"/>
      <c r="F788" s="61"/>
      <c r="G788" s="61"/>
      <c r="H788" s="61"/>
      <c r="I788" s="61"/>
      <c r="J788" s="61"/>
      <c r="K788" s="61"/>
      <c r="L788" s="61"/>
      <c r="M788" s="61"/>
      <c r="N788" s="61"/>
      <c r="O788" s="61"/>
      <c r="P788" s="61"/>
      <c r="Q788" s="61"/>
      <c r="R788" s="61"/>
      <c r="S788" s="61"/>
      <c r="T788" s="61"/>
      <c r="U788" s="61"/>
      <c r="V788" s="61"/>
      <c r="W788" s="61"/>
      <c r="X788" s="61"/>
      <c r="Y788" s="61"/>
    </row>
    <row r="789">
      <c r="A789" s="52"/>
      <c r="B789" s="61"/>
      <c r="C789" s="61"/>
      <c r="D789" s="52"/>
      <c r="E789" s="61"/>
      <c r="F789" s="61"/>
      <c r="G789" s="61"/>
      <c r="H789" s="61"/>
      <c r="I789" s="61"/>
      <c r="J789" s="61"/>
      <c r="K789" s="61"/>
      <c r="L789" s="61"/>
      <c r="M789" s="61"/>
      <c r="N789" s="61"/>
      <c r="O789" s="61"/>
      <c r="P789" s="61"/>
      <c r="Q789" s="61"/>
      <c r="R789" s="61"/>
      <c r="S789" s="61"/>
      <c r="T789" s="61"/>
      <c r="U789" s="61"/>
      <c r="V789" s="61"/>
      <c r="W789" s="61"/>
      <c r="X789" s="61"/>
      <c r="Y789" s="61"/>
    </row>
    <row r="790">
      <c r="A790" s="52"/>
      <c r="B790" s="61"/>
      <c r="C790" s="61"/>
      <c r="D790" s="52"/>
      <c r="E790" s="61"/>
      <c r="F790" s="61"/>
      <c r="G790" s="61"/>
      <c r="H790" s="61"/>
      <c r="I790" s="61"/>
      <c r="J790" s="61"/>
      <c r="K790" s="61"/>
      <c r="L790" s="61"/>
      <c r="M790" s="61"/>
      <c r="N790" s="61"/>
      <c r="O790" s="61"/>
      <c r="P790" s="61"/>
      <c r="Q790" s="61"/>
      <c r="R790" s="61"/>
      <c r="S790" s="61"/>
      <c r="T790" s="61"/>
      <c r="U790" s="61"/>
      <c r="V790" s="61"/>
      <c r="W790" s="61"/>
      <c r="X790" s="61"/>
      <c r="Y790" s="61"/>
    </row>
    <row r="791">
      <c r="A791" s="52"/>
      <c r="B791" s="61"/>
      <c r="C791" s="61"/>
      <c r="D791" s="52"/>
      <c r="E791" s="61"/>
      <c r="F791" s="61"/>
      <c r="G791" s="61"/>
      <c r="H791" s="61"/>
      <c r="I791" s="61"/>
      <c r="J791" s="61"/>
      <c r="K791" s="61"/>
      <c r="L791" s="61"/>
      <c r="M791" s="61"/>
      <c r="N791" s="61"/>
      <c r="O791" s="61"/>
      <c r="P791" s="61"/>
      <c r="Q791" s="61"/>
      <c r="R791" s="61"/>
      <c r="S791" s="61"/>
      <c r="T791" s="61"/>
      <c r="U791" s="61"/>
      <c r="V791" s="61"/>
      <c r="W791" s="61"/>
      <c r="X791" s="61"/>
      <c r="Y791" s="61"/>
    </row>
    <row r="792">
      <c r="A792" s="52"/>
      <c r="B792" s="61"/>
      <c r="C792" s="61"/>
      <c r="D792" s="52"/>
      <c r="E792" s="61"/>
      <c r="F792" s="61"/>
      <c r="G792" s="61"/>
      <c r="H792" s="61"/>
      <c r="I792" s="61"/>
      <c r="J792" s="61"/>
      <c r="K792" s="61"/>
      <c r="L792" s="61"/>
      <c r="M792" s="61"/>
      <c r="N792" s="61"/>
      <c r="O792" s="61"/>
      <c r="P792" s="61"/>
      <c r="Q792" s="61"/>
      <c r="R792" s="61"/>
      <c r="S792" s="61"/>
      <c r="T792" s="61"/>
      <c r="U792" s="61"/>
      <c r="V792" s="61"/>
      <c r="W792" s="61"/>
      <c r="X792" s="61"/>
      <c r="Y792" s="61"/>
    </row>
    <row r="793">
      <c r="A793" s="52"/>
      <c r="B793" s="61"/>
      <c r="C793" s="61"/>
      <c r="D793" s="52"/>
      <c r="E793" s="61"/>
      <c r="F793" s="61"/>
      <c r="G793" s="61"/>
      <c r="H793" s="61"/>
      <c r="I793" s="61"/>
      <c r="J793" s="61"/>
      <c r="K793" s="61"/>
      <c r="L793" s="61"/>
      <c r="M793" s="61"/>
      <c r="N793" s="61"/>
      <c r="O793" s="61"/>
      <c r="P793" s="61"/>
      <c r="Q793" s="61"/>
      <c r="R793" s="61"/>
      <c r="S793" s="61"/>
      <c r="T793" s="61"/>
      <c r="U793" s="61"/>
      <c r="V793" s="61"/>
      <c r="W793" s="61"/>
      <c r="X793" s="61"/>
      <c r="Y793" s="61"/>
    </row>
    <row r="794">
      <c r="A794" s="52"/>
      <c r="B794" s="61"/>
      <c r="C794" s="61"/>
      <c r="D794" s="52"/>
      <c r="E794" s="61"/>
      <c r="F794" s="61"/>
      <c r="G794" s="61"/>
      <c r="H794" s="61"/>
      <c r="I794" s="61"/>
      <c r="J794" s="61"/>
      <c r="K794" s="61"/>
      <c r="L794" s="61"/>
      <c r="M794" s="61"/>
      <c r="N794" s="61"/>
      <c r="O794" s="61"/>
      <c r="P794" s="61"/>
      <c r="Q794" s="61"/>
      <c r="R794" s="61"/>
      <c r="S794" s="61"/>
      <c r="T794" s="61"/>
      <c r="U794" s="61"/>
      <c r="V794" s="61"/>
      <c r="W794" s="61"/>
      <c r="X794" s="61"/>
      <c r="Y794" s="61"/>
    </row>
    <row r="795">
      <c r="A795" s="52"/>
      <c r="B795" s="61"/>
      <c r="C795" s="61"/>
      <c r="D795" s="52"/>
      <c r="E795" s="61"/>
      <c r="F795" s="61"/>
      <c r="G795" s="61"/>
      <c r="H795" s="61"/>
      <c r="I795" s="61"/>
      <c r="J795" s="61"/>
      <c r="K795" s="61"/>
      <c r="L795" s="61"/>
      <c r="M795" s="61"/>
      <c r="N795" s="61"/>
      <c r="O795" s="61"/>
      <c r="P795" s="61"/>
      <c r="Q795" s="61"/>
      <c r="R795" s="61"/>
      <c r="S795" s="61"/>
      <c r="T795" s="61"/>
      <c r="U795" s="61"/>
      <c r="V795" s="61"/>
      <c r="W795" s="61"/>
      <c r="X795" s="61"/>
      <c r="Y795" s="61"/>
    </row>
    <row r="796">
      <c r="A796" s="52"/>
      <c r="B796" s="61"/>
      <c r="C796" s="61"/>
      <c r="D796" s="52"/>
      <c r="E796" s="61"/>
      <c r="F796" s="61"/>
      <c r="G796" s="61"/>
      <c r="H796" s="61"/>
      <c r="I796" s="61"/>
      <c r="J796" s="61"/>
      <c r="K796" s="61"/>
      <c r="L796" s="61"/>
      <c r="M796" s="61"/>
      <c r="N796" s="61"/>
      <c r="O796" s="61"/>
      <c r="P796" s="61"/>
      <c r="Q796" s="61"/>
      <c r="R796" s="61"/>
      <c r="S796" s="61"/>
      <c r="T796" s="61"/>
      <c r="U796" s="61"/>
      <c r="V796" s="61"/>
      <c r="W796" s="61"/>
      <c r="X796" s="61"/>
      <c r="Y796" s="61"/>
    </row>
    <row r="797">
      <c r="A797" s="52"/>
      <c r="B797" s="61"/>
      <c r="C797" s="61"/>
      <c r="D797" s="52"/>
      <c r="E797" s="61"/>
      <c r="F797" s="61"/>
      <c r="G797" s="61"/>
      <c r="H797" s="61"/>
      <c r="I797" s="61"/>
      <c r="J797" s="61"/>
      <c r="K797" s="61"/>
      <c r="L797" s="61"/>
      <c r="M797" s="61"/>
      <c r="N797" s="61"/>
      <c r="O797" s="61"/>
      <c r="P797" s="61"/>
      <c r="Q797" s="61"/>
      <c r="R797" s="61"/>
      <c r="S797" s="61"/>
      <c r="T797" s="61"/>
      <c r="U797" s="61"/>
      <c r="V797" s="61"/>
      <c r="W797" s="61"/>
      <c r="X797" s="61"/>
      <c r="Y797" s="61"/>
    </row>
    <row r="798">
      <c r="A798" s="52"/>
      <c r="B798" s="61"/>
      <c r="C798" s="61"/>
      <c r="D798" s="52"/>
      <c r="E798" s="61"/>
      <c r="F798" s="61"/>
      <c r="G798" s="61"/>
      <c r="H798" s="61"/>
      <c r="I798" s="61"/>
      <c r="J798" s="61"/>
      <c r="K798" s="61"/>
      <c r="L798" s="61"/>
      <c r="M798" s="61"/>
      <c r="N798" s="61"/>
      <c r="O798" s="61"/>
      <c r="P798" s="61"/>
      <c r="Q798" s="61"/>
      <c r="R798" s="61"/>
      <c r="S798" s="61"/>
      <c r="T798" s="61"/>
      <c r="U798" s="61"/>
      <c r="V798" s="61"/>
      <c r="W798" s="61"/>
      <c r="X798" s="61"/>
      <c r="Y798" s="61"/>
    </row>
    <row r="799">
      <c r="A799" s="52"/>
      <c r="B799" s="61"/>
      <c r="C799" s="61"/>
      <c r="D799" s="52"/>
      <c r="E799" s="61"/>
      <c r="F799" s="61"/>
      <c r="G799" s="61"/>
      <c r="H799" s="61"/>
      <c r="I799" s="61"/>
      <c r="J799" s="61"/>
      <c r="K799" s="61"/>
      <c r="L799" s="61"/>
      <c r="M799" s="61"/>
      <c r="N799" s="61"/>
      <c r="O799" s="61"/>
      <c r="P799" s="61"/>
      <c r="Q799" s="61"/>
      <c r="R799" s="61"/>
      <c r="S799" s="61"/>
      <c r="T799" s="61"/>
      <c r="U799" s="61"/>
      <c r="V799" s="61"/>
      <c r="W799" s="61"/>
      <c r="X799" s="61"/>
      <c r="Y799" s="61"/>
    </row>
    <row r="800">
      <c r="A800" s="52"/>
      <c r="B800" s="61"/>
      <c r="C800" s="61"/>
      <c r="D800" s="52"/>
      <c r="E800" s="61"/>
      <c r="F800" s="61"/>
      <c r="G800" s="61"/>
      <c r="H800" s="61"/>
      <c r="I800" s="61"/>
      <c r="J800" s="61"/>
      <c r="K800" s="61"/>
      <c r="L800" s="61"/>
      <c r="M800" s="61"/>
      <c r="N800" s="61"/>
      <c r="O800" s="61"/>
      <c r="P800" s="61"/>
      <c r="Q800" s="61"/>
      <c r="R800" s="61"/>
      <c r="S800" s="61"/>
      <c r="T800" s="61"/>
      <c r="U800" s="61"/>
      <c r="V800" s="61"/>
      <c r="W800" s="61"/>
      <c r="X800" s="61"/>
      <c r="Y800" s="61"/>
    </row>
    <row r="801">
      <c r="A801" s="52"/>
      <c r="B801" s="61"/>
      <c r="C801" s="61"/>
      <c r="D801" s="52"/>
      <c r="E801" s="61"/>
      <c r="F801" s="61"/>
      <c r="G801" s="61"/>
      <c r="H801" s="61"/>
      <c r="I801" s="61"/>
      <c r="J801" s="61"/>
      <c r="K801" s="61"/>
      <c r="L801" s="61"/>
      <c r="M801" s="61"/>
      <c r="N801" s="61"/>
      <c r="O801" s="61"/>
      <c r="P801" s="61"/>
      <c r="Q801" s="61"/>
      <c r="R801" s="61"/>
      <c r="S801" s="61"/>
      <c r="T801" s="61"/>
      <c r="U801" s="61"/>
      <c r="V801" s="61"/>
      <c r="W801" s="61"/>
      <c r="X801" s="61"/>
      <c r="Y801" s="61"/>
    </row>
    <row r="802">
      <c r="A802" s="52"/>
      <c r="B802" s="61"/>
      <c r="C802" s="61"/>
      <c r="D802" s="52"/>
      <c r="E802" s="61"/>
      <c r="F802" s="61"/>
      <c r="G802" s="61"/>
      <c r="H802" s="61"/>
      <c r="I802" s="61"/>
      <c r="J802" s="61"/>
      <c r="K802" s="61"/>
      <c r="L802" s="61"/>
      <c r="M802" s="61"/>
      <c r="N802" s="61"/>
      <c r="O802" s="61"/>
      <c r="P802" s="61"/>
      <c r="Q802" s="61"/>
      <c r="R802" s="61"/>
      <c r="S802" s="61"/>
      <c r="T802" s="61"/>
      <c r="U802" s="61"/>
      <c r="V802" s="61"/>
      <c r="W802" s="61"/>
      <c r="X802" s="61"/>
      <c r="Y802" s="61"/>
    </row>
    <row r="803">
      <c r="A803" s="52"/>
      <c r="B803" s="61"/>
      <c r="C803" s="61"/>
      <c r="D803" s="52"/>
      <c r="E803" s="61"/>
      <c r="F803" s="61"/>
      <c r="G803" s="61"/>
      <c r="H803" s="61"/>
      <c r="I803" s="61"/>
      <c r="J803" s="61"/>
      <c r="K803" s="61"/>
      <c r="L803" s="61"/>
      <c r="M803" s="61"/>
      <c r="N803" s="61"/>
      <c r="O803" s="61"/>
      <c r="P803" s="61"/>
      <c r="Q803" s="61"/>
      <c r="R803" s="61"/>
      <c r="S803" s="61"/>
      <c r="T803" s="61"/>
      <c r="U803" s="61"/>
      <c r="V803" s="61"/>
      <c r="W803" s="61"/>
      <c r="X803" s="61"/>
      <c r="Y803" s="61"/>
    </row>
    <row r="804">
      <c r="A804" s="52"/>
      <c r="B804" s="61"/>
      <c r="C804" s="61"/>
      <c r="D804" s="52"/>
      <c r="E804" s="61"/>
      <c r="F804" s="61"/>
      <c r="G804" s="61"/>
      <c r="H804" s="61"/>
      <c r="I804" s="61"/>
      <c r="J804" s="61"/>
      <c r="K804" s="61"/>
      <c r="L804" s="61"/>
      <c r="M804" s="61"/>
      <c r="N804" s="61"/>
      <c r="O804" s="61"/>
      <c r="P804" s="61"/>
      <c r="Q804" s="61"/>
      <c r="R804" s="61"/>
      <c r="S804" s="61"/>
      <c r="T804" s="61"/>
      <c r="U804" s="61"/>
      <c r="V804" s="61"/>
      <c r="W804" s="61"/>
      <c r="X804" s="61"/>
      <c r="Y804" s="61"/>
    </row>
    <row r="805">
      <c r="A805" s="52"/>
      <c r="B805" s="61"/>
      <c r="C805" s="61"/>
      <c r="D805" s="52"/>
      <c r="E805" s="61"/>
      <c r="F805" s="61"/>
      <c r="G805" s="61"/>
      <c r="H805" s="61"/>
      <c r="I805" s="61"/>
      <c r="J805" s="61"/>
      <c r="K805" s="61"/>
      <c r="L805" s="61"/>
      <c r="M805" s="61"/>
      <c r="N805" s="61"/>
      <c r="O805" s="61"/>
      <c r="P805" s="61"/>
      <c r="Q805" s="61"/>
      <c r="R805" s="61"/>
      <c r="S805" s="61"/>
      <c r="T805" s="61"/>
      <c r="U805" s="61"/>
      <c r="V805" s="61"/>
      <c r="W805" s="61"/>
      <c r="X805" s="61"/>
      <c r="Y805" s="61"/>
    </row>
    <row r="806">
      <c r="A806" s="52"/>
      <c r="B806" s="61"/>
      <c r="C806" s="61"/>
      <c r="D806" s="52"/>
      <c r="E806" s="61"/>
      <c r="F806" s="61"/>
      <c r="G806" s="61"/>
      <c r="H806" s="61"/>
      <c r="I806" s="61"/>
      <c r="J806" s="61"/>
      <c r="K806" s="61"/>
      <c r="L806" s="61"/>
      <c r="M806" s="61"/>
      <c r="N806" s="61"/>
      <c r="O806" s="61"/>
      <c r="P806" s="61"/>
      <c r="Q806" s="61"/>
      <c r="R806" s="61"/>
      <c r="S806" s="61"/>
      <c r="T806" s="61"/>
      <c r="U806" s="61"/>
      <c r="V806" s="61"/>
      <c r="W806" s="61"/>
      <c r="X806" s="61"/>
      <c r="Y806" s="61"/>
    </row>
    <row r="807">
      <c r="A807" s="52"/>
      <c r="B807" s="61"/>
      <c r="C807" s="61"/>
      <c r="D807" s="52"/>
      <c r="E807" s="61"/>
      <c r="F807" s="61"/>
      <c r="G807" s="61"/>
      <c r="H807" s="61"/>
      <c r="I807" s="61"/>
      <c r="J807" s="61"/>
      <c r="K807" s="61"/>
      <c r="L807" s="61"/>
      <c r="M807" s="61"/>
      <c r="N807" s="61"/>
      <c r="O807" s="61"/>
      <c r="P807" s="61"/>
      <c r="Q807" s="61"/>
      <c r="R807" s="61"/>
      <c r="S807" s="61"/>
      <c r="T807" s="61"/>
      <c r="U807" s="61"/>
      <c r="V807" s="61"/>
      <c r="W807" s="61"/>
      <c r="X807" s="61"/>
      <c r="Y807" s="61"/>
    </row>
    <row r="808">
      <c r="A808" s="52"/>
      <c r="B808" s="61"/>
      <c r="C808" s="61"/>
      <c r="D808" s="52"/>
      <c r="E808" s="61"/>
      <c r="F808" s="61"/>
      <c r="G808" s="61"/>
      <c r="H808" s="61"/>
      <c r="I808" s="61"/>
      <c r="J808" s="61"/>
      <c r="K808" s="61"/>
      <c r="L808" s="61"/>
      <c r="M808" s="61"/>
      <c r="N808" s="61"/>
      <c r="O808" s="61"/>
      <c r="P808" s="61"/>
      <c r="Q808" s="61"/>
      <c r="R808" s="61"/>
      <c r="S808" s="61"/>
      <c r="T808" s="61"/>
      <c r="U808" s="61"/>
      <c r="V808" s="61"/>
      <c r="W808" s="61"/>
      <c r="X808" s="61"/>
      <c r="Y808" s="61"/>
    </row>
    <row r="809">
      <c r="A809" s="52"/>
      <c r="B809" s="61"/>
      <c r="C809" s="61"/>
      <c r="D809" s="52"/>
      <c r="E809" s="61"/>
      <c r="F809" s="61"/>
      <c r="G809" s="61"/>
      <c r="H809" s="61"/>
      <c r="I809" s="61"/>
      <c r="J809" s="61"/>
      <c r="K809" s="61"/>
      <c r="L809" s="61"/>
      <c r="M809" s="61"/>
      <c r="N809" s="61"/>
      <c r="O809" s="61"/>
      <c r="P809" s="61"/>
      <c r="Q809" s="61"/>
      <c r="R809" s="61"/>
      <c r="S809" s="61"/>
      <c r="T809" s="61"/>
      <c r="U809" s="61"/>
      <c r="V809" s="61"/>
      <c r="W809" s="61"/>
      <c r="X809" s="61"/>
      <c r="Y809" s="61"/>
    </row>
    <row r="810">
      <c r="A810" s="52"/>
      <c r="B810" s="61"/>
      <c r="C810" s="61"/>
      <c r="D810" s="52"/>
      <c r="E810" s="61"/>
      <c r="F810" s="61"/>
      <c r="G810" s="61"/>
      <c r="H810" s="61"/>
      <c r="I810" s="61"/>
      <c r="J810" s="61"/>
      <c r="K810" s="61"/>
      <c r="L810" s="61"/>
      <c r="M810" s="61"/>
      <c r="N810" s="61"/>
      <c r="O810" s="61"/>
      <c r="P810" s="61"/>
      <c r="Q810" s="61"/>
      <c r="R810" s="61"/>
      <c r="S810" s="61"/>
      <c r="T810" s="61"/>
      <c r="U810" s="61"/>
      <c r="V810" s="61"/>
      <c r="W810" s="61"/>
      <c r="X810" s="61"/>
      <c r="Y810" s="61"/>
    </row>
    <row r="811">
      <c r="A811" s="52"/>
      <c r="B811" s="61"/>
      <c r="C811" s="61"/>
      <c r="D811" s="52"/>
      <c r="E811" s="61"/>
      <c r="F811" s="61"/>
      <c r="G811" s="61"/>
      <c r="H811" s="61"/>
      <c r="I811" s="61"/>
      <c r="J811" s="61"/>
      <c r="K811" s="61"/>
      <c r="L811" s="61"/>
      <c r="M811" s="61"/>
      <c r="N811" s="61"/>
      <c r="O811" s="61"/>
      <c r="P811" s="61"/>
      <c r="Q811" s="61"/>
      <c r="R811" s="61"/>
      <c r="S811" s="61"/>
      <c r="T811" s="61"/>
      <c r="U811" s="61"/>
      <c r="V811" s="61"/>
      <c r="W811" s="61"/>
      <c r="X811" s="61"/>
      <c r="Y811" s="61"/>
    </row>
    <row r="812">
      <c r="A812" s="52"/>
      <c r="B812" s="61"/>
      <c r="C812" s="61"/>
      <c r="D812" s="52"/>
      <c r="E812" s="61"/>
      <c r="F812" s="61"/>
      <c r="G812" s="61"/>
      <c r="H812" s="61"/>
      <c r="I812" s="61"/>
      <c r="J812" s="61"/>
      <c r="K812" s="61"/>
      <c r="L812" s="61"/>
      <c r="M812" s="61"/>
      <c r="N812" s="61"/>
      <c r="O812" s="61"/>
      <c r="P812" s="61"/>
      <c r="Q812" s="61"/>
      <c r="R812" s="61"/>
      <c r="S812" s="61"/>
      <c r="T812" s="61"/>
      <c r="U812" s="61"/>
      <c r="V812" s="61"/>
      <c r="W812" s="61"/>
      <c r="X812" s="61"/>
      <c r="Y812" s="61"/>
    </row>
    <row r="813">
      <c r="A813" s="52"/>
      <c r="B813" s="61"/>
      <c r="C813" s="61"/>
      <c r="D813" s="52"/>
      <c r="E813" s="61"/>
      <c r="F813" s="61"/>
      <c r="G813" s="61"/>
      <c r="H813" s="61"/>
      <c r="I813" s="61"/>
      <c r="J813" s="61"/>
      <c r="K813" s="61"/>
      <c r="L813" s="61"/>
      <c r="M813" s="61"/>
      <c r="N813" s="61"/>
      <c r="O813" s="61"/>
      <c r="P813" s="61"/>
      <c r="Q813" s="61"/>
      <c r="R813" s="61"/>
      <c r="S813" s="61"/>
      <c r="T813" s="61"/>
      <c r="U813" s="61"/>
      <c r="V813" s="61"/>
      <c r="W813" s="61"/>
      <c r="X813" s="61"/>
      <c r="Y813" s="61"/>
    </row>
    <row r="814">
      <c r="A814" s="52"/>
      <c r="B814" s="61"/>
      <c r="C814" s="61"/>
      <c r="D814" s="52"/>
      <c r="E814" s="61"/>
      <c r="F814" s="61"/>
      <c r="G814" s="61"/>
      <c r="H814" s="61"/>
      <c r="I814" s="61"/>
      <c r="J814" s="61"/>
      <c r="K814" s="61"/>
      <c r="L814" s="61"/>
      <c r="M814" s="61"/>
      <c r="N814" s="61"/>
      <c r="O814" s="61"/>
      <c r="P814" s="61"/>
      <c r="Q814" s="61"/>
      <c r="R814" s="61"/>
      <c r="S814" s="61"/>
      <c r="T814" s="61"/>
      <c r="U814" s="61"/>
      <c r="V814" s="61"/>
      <c r="W814" s="61"/>
      <c r="X814" s="61"/>
      <c r="Y814" s="61"/>
    </row>
    <row r="815">
      <c r="A815" s="52"/>
      <c r="B815" s="61"/>
      <c r="C815" s="61"/>
      <c r="D815" s="52"/>
      <c r="E815" s="61"/>
      <c r="F815" s="61"/>
      <c r="G815" s="61"/>
      <c r="H815" s="61"/>
      <c r="I815" s="61"/>
      <c r="J815" s="61"/>
      <c r="K815" s="61"/>
      <c r="L815" s="61"/>
      <c r="M815" s="61"/>
      <c r="N815" s="61"/>
      <c r="O815" s="61"/>
      <c r="P815" s="61"/>
      <c r="Q815" s="61"/>
      <c r="R815" s="61"/>
      <c r="S815" s="61"/>
      <c r="T815" s="61"/>
      <c r="U815" s="61"/>
      <c r="V815" s="61"/>
      <c r="W815" s="61"/>
      <c r="X815" s="61"/>
      <c r="Y815" s="61"/>
    </row>
    <row r="816">
      <c r="A816" s="52"/>
      <c r="B816" s="61"/>
      <c r="C816" s="61"/>
      <c r="D816" s="52"/>
      <c r="E816" s="61"/>
      <c r="F816" s="61"/>
      <c r="G816" s="61"/>
      <c r="H816" s="61"/>
      <c r="I816" s="61"/>
      <c r="J816" s="61"/>
      <c r="K816" s="61"/>
      <c r="L816" s="61"/>
      <c r="M816" s="61"/>
      <c r="N816" s="61"/>
      <c r="O816" s="61"/>
      <c r="P816" s="61"/>
      <c r="Q816" s="61"/>
      <c r="R816" s="61"/>
      <c r="S816" s="61"/>
      <c r="T816" s="61"/>
      <c r="U816" s="61"/>
      <c r="V816" s="61"/>
      <c r="W816" s="61"/>
      <c r="X816" s="61"/>
      <c r="Y816" s="61"/>
    </row>
    <row r="817">
      <c r="A817" s="52"/>
      <c r="B817" s="61"/>
      <c r="C817" s="61"/>
      <c r="D817" s="52"/>
      <c r="E817" s="61"/>
      <c r="F817" s="61"/>
      <c r="G817" s="61"/>
      <c r="H817" s="61"/>
      <c r="I817" s="61"/>
      <c r="J817" s="61"/>
      <c r="K817" s="61"/>
      <c r="L817" s="61"/>
      <c r="M817" s="61"/>
      <c r="N817" s="61"/>
      <c r="O817" s="61"/>
      <c r="P817" s="61"/>
      <c r="Q817" s="61"/>
      <c r="R817" s="61"/>
      <c r="S817" s="61"/>
      <c r="T817" s="61"/>
      <c r="U817" s="61"/>
      <c r="V817" s="61"/>
      <c r="W817" s="61"/>
      <c r="X817" s="61"/>
      <c r="Y817" s="61"/>
    </row>
    <row r="818">
      <c r="A818" s="52"/>
      <c r="B818" s="61"/>
      <c r="C818" s="61"/>
      <c r="D818" s="52"/>
      <c r="E818" s="61"/>
      <c r="F818" s="61"/>
      <c r="G818" s="61"/>
      <c r="H818" s="61"/>
      <c r="I818" s="61"/>
      <c r="J818" s="61"/>
      <c r="K818" s="61"/>
      <c r="L818" s="61"/>
      <c r="M818" s="61"/>
      <c r="N818" s="61"/>
      <c r="O818" s="61"/>
      <c r="P818" s="61"/>
      <c r="Q818" s="61"/>
      <c r="R818" s="61"/>
      <c r="S818" s="61"/>
      <c r="T818" s="61"/>
      <c r="U818" s="61"/>
      <c r="V818" s="61"/>
      <c r="W818" s="61"/>
      <c r="X818" s="61"/>
      <c r="Y818" s="61"/>
    </row>
    <row r="819">
      <c r="A819" s="52"/>
      <c r="B819" s="61"/>
      <c r="C819" s="61"/>
      <c r="D819" s="52"/>
      <c r="E819" s="61"/>
      <c r="F819" s="61"/>
      <c r="G819" s="61"/>
      <c r="H819" s="61"/>
      <c r="I819" s="61"/>
      <c r="J819" s="61"/>
      <c r="K819" s="61"/>
      <c r="L819" s="61"/>
      <c r="M819" s="61"/>
      <c r="N819" s="61"/>
      <c r="O819" s="61"/>
      <c r="P819" s="61"/>
      <c r="Q819" s="61"/>
      <c r="R819" s="61"/>
      <c r="S819" s="61"/>
      <c r="T819" s="61"/>
      <c r="U819" s="61"/>
      <c r="V819" s="61"/>
      <c r="W819" s="61"/>
      <c r="X819" s="61"/>
      <c r="Y819" s="61"/>
    </row>
    <row r="820">
      <c r="A820" s="52"/>
      <c r="B820" s="61"/>
      <c r="C820" s="61"/>
      <c r="D820" s="52"/>
      <c r="E820" s="61"/>
      <c r="F820" s="61"/>
      <c r="G820" s="61"/>
      <c r="H820" s="61"/>
      <c r="I820" s="61"/>
      <c r="J820" s="61"/>
      <c r="K820" s="61"/>
      <c r="L820" s="61"/>
      <c r="M820" s="61"/>
      <c r="N820" s="61"/>
      <c r="O820" s="61"/>
      <c r="P820" s="61"/>
      <c r="Q820" s="61"/>
      <c r="R820" s="61"/>
      <c r="S820" s="61"/>
      <c r="T820" s="61"/>
      <c r="U820" s="61"/>
      <c r="V820" s="61"/>
      <c r="W820" s="61"/>
      <c r="X820" s="61"/>
      <c r="Y820" s="61"/>
    </row>
    <row r="821">
      <c r="A821" s="52"/>
      <c r="B821" s="61"/>
      <c r="C821" s="61"/>
      <c r="D821" s="52"/>
      <c r="E821" s="61"/>
      <c r="F821" s="61"/>
      <c r="G821" s="61"/>
      <c r="H821" s="61"/>
      <c r="I821" s="61"/>
      <c r="J821" s="61"/>
      <c r="K821" s="61"/>
      <c r="L821" s="61"/>
      <c r="M821" s="61"/>
      <c r="N821" s="61"/>
      <c r="O821" s="61"/>
      <c r="P821" s="61"/>
      <c r="Q821" s="61"/>
      <c r="R821" s="61"/>
      <c r="S821" s="61"/>
      <c r="T821" s="61"/>
      <c r="U821" s="61"/>
      <c r="V821" s="61"/>
      <c r="W821" s="61"/>
      <c r="X821" s="61"/>
      <c r="Y821" s="61"/>
    </row>
    <row r="822">
      <c r="A822" s="52"/>
      <c r="B822" s="61"/>
      <c r="C822" s="61"/>
      <c r="D822" s="52"/>
      <c r="E822" s="61"/>
      <c r="F822" s="61"/>
      <c r="G822" s="61"/>
      <c r="H822" s="61"/>
      <c r="I822" s="61"/>
      <c r="J822" s="61"/>
      <c r="K822" s="61"/>
      <c r="L822" s="61"/>
      <c r="M822" s="61"/>
      <c r="N822" s="61"/>
      <c r="O822" s="61"/>
      <c r="P822" s="61"/>
      <c r="Q822" s="61"/>
      <c r="R822" s="61"/>
      <c r="S822" s="61"/>
      <c r="T822" s="61"/>
      <c r="U822" s="61"/>
      <c r="V822" s="61"/>
      <c r="W822" s="61"/>
      <c r="X822" s="61"/>
      <c r="Y822" s="61"/>
    </row>
    <row r="823">
      <c r="A823" s="52"/>
      <c r="B823" s="61"/>
      <c r="C823" s="61"/>
      <c r="D823" s="52"/>
      <c r="E823" s="61"/>
      <c r="F823" s="61"/>
      <c r="G823" s="61"/>
      <c r="H823" s="61"/>
      <c r="I823" s="61"/>
      <c r="J823" s="61"/>
      <c r="K823" s="61"/>
      <c r="L823" s="61"/>
      <c r="M823" s="61"/>
      <c r="N823" s="61"/>
      <c r="O823" s="61"/>
      <c r="P823" s="61"/>
      <c r="Q823" s="61"/>
      <c r="R823" s="61"/>
      <c r="S823" s="61"/>
      <c r="T823" s="61"/>
      <c r="U823" s="61"/>
      <c r="V823" s="61"/>
      <c r="W823" s="61"/>
      <c r="X823" s="61"/>
      <c r="Y823" s="61"/>
    </row>
    <row r="824">
      <c r="A824" s="52"/>
      <c r="B824" s="61"/>
      <c r="C824" s="61"/>
      <c r="D824" s="52"/>
      <c r="E824" s="61"/>
      <c r="F824" s="61"/>
      <c r="G824" s="61"/>
      <c r="H824" s="61"/>
      <c r="I824" s="61"/>
      <c r="J824" s="61"/>
      <c r="K824" s="61"/>
      <c r="L824" s="61"/>
      <c r="M824" s="61"/>
      <c r="N824" s="61"/>
      <c r="O824" s="61"/>
      <c r="P824" s="61"/>
      <c r="Q824" s="61"/>
      <c r="R824" s="61"/>
      <c r="S824" s="61"/>
      <c r="T824" s="61"/>
      <c r="U824" s="61"/>
      <c r="V824" s="61"/>
      <c r="W824" s="61"/>
      <c r="X824" s="61"/>
      <c r="Y824" s="61"/>
    </row>
    <row r="825">
      <c r="A825" s="52"/>
      <c r="B825" s="61"/>
      <c r="C825" s="61"/>
      <c r="D825" s="52"/>
      <c r="E825" s="61"/>
      <c r="F825" s="61"/>
      <c r="G825" s="61"/>
      <c r="H825" s="61"/>
      <c r="I825" s="61"/>
      <c r="J825" s="61"/>
      <c r="K825" s="61"/>
      <c r="L825" s="61"/>
      <c r="M825" s="61"/>
      <c r="N825" s="61"/>
      <c r="O825" s="61"/>
      <c r="P825" s="61"/>
      <c r="Q825" s="61"/>
      <c r="R825" s="61"/>
      <c r="S825" s="61"/>
      <c r="T825" s="61"/>
      <c r="U825" s="61"/>
      <c r="V825" s="61"/>
      <c r="W825" s="61"/>
      <c r="X825" s="61"/>
      <c r="Y825" s="61"/>
    </row>
    <row r="826">
      <c r="A826" s="52"/>
      <c r="B826" s="61"/>
      <c r="C826" s="61"/>
      <c r="D826" s="52"/>
      <c r="E826" s="61"/>
      <c r="F826" s="61"/>
      <c r="G826" s="61"/>
      <c r="H826" s="61"/>
      <c r="I826" s="61"/>
      <c r="J826" s="61"/>
      <c r="K826" s="61"/>
      <c r="L826" s="61"/>
      <c r="M826" s="61"/>
      <c r="N826" s="61"/>
      <c r="O826" s="61"/>
      <c r="P826" s="61"/>
      <c r="Q826" s="61"/>
      <c r="R826" s="61"/>
      <c r="S826" s="61"/>
      <c r="T826" s="61"/>
      <c r="U826" s="61"/>
      <c r="V826" s="61"/>
      <c r="W826" s="61"/>
      <c r="X826" s="61"/>
      <c r="Y826" s="61"/>
    </row>
    <row r="827">
      <c r="A827" s="52"/>
      <c r="B827" s="61"/>
      <c r="C827" s="61"/>
      <c r="D827" s="52"/>
      <c r="E827" s="61"/>
      <c r="F827" s="61"/>
      <c r="G827" s="61"/>
      <c r="H827" s="61"/>
      <c r="I827" s="61"/>
      <c r="J827" s="61"/>
      <c r="K827" s="61"/>
      <c r="L827" s="61"/>
      <c r="M827" s="61"/>
      <c r="N827" s="61"/>
      <c r="O827" s="61"/>
      <c r="P827" s="61"/>
      <c r="Q827" s="61"/>
      <c r="R827" s="61"/>
      <c r="S827" s="61"/>
      <c r="T827" s="61"/>
      <c r="U827" s="61"/>
      <c r="V827" s="61"/>
      <c r="W827" s="61"/>
      <c r="X827" s="61"/>
      <c r="Y827" s="61"/>
    </row>
    <row r="828">
      <c r="A828" s="52"/>
      <c r="B828" s="61"/>
      <c r="C828" s="61"/>
      <c r="D828" s="52"/>
      <c r="E828" s="61"/>
      <c r="F828" s="61"/>
      <c r="G828" s="61"/>
      <c r="H828" s="61"/>
      <c r="I828" s="61"/>
      <c r="J828" s="61"/>
      <c r="K828" s="61"/>
      <c r="L828" s="61"/>
      <c r="M828" s="61"/>
      <c r="N828" s="61"/>
      <c r="O828" s="61"/>
      <c r="P828" s="61"/>
      <c r="Q828" s="61"/>
      <c r="R828" s="61"/>
      <c r="S828" s="61"/>
      <c r="T828" s="61"/>
      <c r="U828" s="61"/>
      <c r="V828" s="61"/>
      <c r="W828" s="61"/>
      <c r="X828" s="61"/>
      <c r="Y828" s="61"/>
    </row>
    <row r="829">
      <c r="A829" s="52"/>
      <c r="B829" s="61"/>
      <c r="C829" s="61"/>
      <c r="D829" s="52"/>
      <c r="E829" s="61"/>
      <c r="F829" s="61"/>
      <c r="G829" s="61"/>
      <c r="H829" s="61"/>
      <c r="I829" s="61"/>
      <c r="J829" s="61"/>
      <c r="K829" s="61"/>
      <c r="L829" s="61"/>
      <c r="M829" s="61"/>
      <c r="N829" s="61"/>
      <c r="O829" s="61"/>
      <c r="P829" s="61"/>
      <c r="Q829" s="61"/>
      <c r="R829" s="61"/>
      <c r="S829" s="61"/>
      <c r="T829" s="61"/>
      <c r="U829" s="61"/>
      <c r="V829" s="61"/>
      <c r="W829" s="61"/>
      <c r="X829" s="61"/>
      <c r="Y829" s="61"/>
    </row>
    <row r="830">
      <c r="A830" s="52"/>
      <c r="B830" s="61"/>
      <c r="C830" s="61"/>
      <c r="D830" s="52"/>
      <c r="E830" s="61"/>
      <c r="F830" s="61"/>
      <c r="G830" s="61"/>
      <c r="H830" s="61"/>
      <c r="I830" s="61"/>
      <c r="J830" s="61"/>
      <c r="K830" s="61"/>
      <c r="L830" s="61"/>
      <c r="M830" s="61"/>
      <c r="N830" s="61"/>
      <c r="O830" s="61"/>
      <c r="P830" s="61"/>
      <c r="Q830" s="61"/>
      <c r="R830" s="61"/>
      <c r="S830" s="61"/>
      <c r="T830" s="61"/>
      <c r="U830" s="61"/>
      <c r="V830" s="61"/>
      <c r="W830" s="61"/>
      <c r="X830" s="61"/>
      <c r="Y830" s="61"/>
    </row>
    <row r="831">
      <c r="A831" s="52"/>
      <c r="B831" s="61"/>
      <c r="C831" s="61"/>
      <c r="D831" s="52"/>
      <c r="E831" s="61"/>
      <c r="F831" s="61"/>
      <c r="G831" s="61"/>
      <c r="H831" s="61"/>
      <c r="I831" s="61"/>
      <c r="J831" s="61"/>
      <c r="K831" s="61"/>
      <c r="L831" s="61"/>
      <c r="M831" s="61"/>
      <c r="N831" s="61"/>
      <c r="O831" s="61"/>
      <c r="P831" s="61"/>
      <c r="Q831" s="61"/>
      <c r="R831" s="61"/>
      <c r="S831" s="61"/>
      <c r="T831" s="61"/>
      <c r="U831" s="61"/>
      <c r="V831" s="61"/>
      <c r="W831" s="61"/>
      <c r="X831" s="61"/>
      <c r="Y831" s="61"/>
    </row>
    <row r="832">
      <c r="A832" s="52"/>
      <c r="B832" s="61"/>
      <c r="C832" s="61"/>
      <c r="D832" s="52"/>
      <c r="E832" s="61"/>
      <c r="F832" s="61"/>
      <c r="G832" s="61"/>
      <c r="H832" s="61"/>
      <c r="I832" s="61"/>
      <c r="J832" s="61"/>
      <c r="K832" s="61"/>
      <c r="L832" s="61"/>
      <c r="M832" s="61"/>
      <c r="N832" s="61"/>
      <c r="O832" s="61"/>
      <c r="P832" s="61"/>
      <c r="Q832" s="61"/>
      <c r="R832" s="61"/>
      <c r="S832" s="61"/>
      <c r="T832" s="61"/>
      <c r="U832" s="61"/>
      <c r="V832" s="61"/>
      <c r="W832" s="61"/>
      <c r="X832" s="61"/>
      <c r="Y832" s="61"/>
    </row>
    <row r="833">
      <c r="A833" s="52"/>
      <c r="B833" s="61"/>
      <c r="C833" s="61"/>
      <c r="D833" s="52"/>
      <c r="E833" s="61"/>
      <c r="F833" s="61"/>
      <c r="G833" s="61"/>
      <c r="H833" s="61"/>
      <c r="I833" s="61"/>
      <c r="J833" s="61"/>
      <c r="K833" s="61"/>
      <c r="L833" s="61"/>
      <c r="M833" s="61"/>
      <c r="N833" s="61"/>
      <c r="O833" s="61"/>
      <c r="P833" s="61"/>
      <c r="Q833" s="61"/>
      <c r="R833" s="61"/>
      <c r="S833" s="61"/>
      <c r="T833" s="61"/>
      <c r="U833" s="61"/>
      <c r="V833" s="61"/>
      <c r="W833" s="61"/>
      <c r="X833" s="61"/>
      <c r="Y833" s="61"/>
    </row>
    <row r="834">
      <c r="A834" s="52"/>
      <c r="B834" s="61"/>
      <c r="C834" s="61"/>
      <c r="D834" s="52"/>
      <c r="E834" s="61"/>
      <c r="F834" s="61"/>
      <c r="G834" s="61"/>
      <c r="H834" s="61"/>
      <c r="I834" s="61"/>
      <c r="J834" s="61"/>
      <c r="K834" s="61"/>
      <c r="L834" s="61"/>
      <c r="M834" s="61"/>
      <c r="N834" s="61"/>
      <c r="O834" s="61"/>
      <c r="P834" s="61"/>
      <c r="Q834" s="61"/>
      <c r="R834" s="61"/>
      <c r="S834" s="61"/>
      <c r="T834" s="61"/>
      <c r="U834" s="61"/>
      <c r="V834" s="61"/>
      <c r="W834" s="61"/>
      <c r="X834" s="61"/>
      <c r="Y834" s="61"/>
    </row>
    <row r="835">
      <c r="A835" s="52"/>
      <c r="B835" s="61"/>
      <c r="C835" s="61"/>
      <c r="D835" s="52"/>
      <c r="E835" s="61"/>
      <c r="F835" s="61"/>
      <c r="G835" s="61"/>
      <c r="H835" s="61"/>
      <c r="I835" s="61"/>
      <c r="J835" s="61"/>
      <c r="K835" s="61"/>
      <c r="L835" s="61"/>
      <c r="M835" s="61"/>
      <c r="N835" s="61"/>
      <c r="O835" s="61"/>
      <c r="P835" s="61"/>
      <c r="Q835" s="61"/>
      <c r="R835" s="61"/>
      <c r="S835" s="61"/>
      <c r="T835" s="61"/>
      <c r="U835" s="61"/>
      <c r="V835" s="61"/>
      <c r="W835" s="61"/>
      <c r="X835" s="61"/>
      <c r="Y835" s="61"/>
    </row>
    <row r="836">
      <c r="A836" s="52"/>
      <c r="B836" s="61"/>
      <c r="C836" s="61"/>
      <c r="D836" s="52"/>
      <c r="E836" s="61"/>
      <c r="F836" s="61"/>
      <c r="G836" s="61"/>
      <c r="H836" s="61"/>
      <c r="I836" s="61"/>
      <c r="J836" s="61"/>
      <c r="K836" s="61"/>
      <c r="L836" s="61"/>
      <c r="M836" s="61"/>
      <c r="N836" s="61"/>
      <c r="O836" s="61"/>
      <c r="P836" s="61"/>
      <c r="Q836" s="61"/>
      <c r="R836" s="61"/>
      <c r="S836" s="61"/>
      <c r="T836" s="61"/>
      <c r="U836" s="61"/>
      <c r="V836" s="61"/>
      <c r="W836" s="61"/>
      <c r="X836" s="61"/>
      <c r="Y836" s="61"/>
    </row>
    <row r="837">
      <c r="A837" s="52"/>
      <c r="B837" s="61"/>
      <c r="C837" s="61"/>
      <c r="D837" s="52"/>
      <c r="E837" s="61"/>
      <c r="F837" s="61"/>
      <c r="G837" s="61"/>
      <c r="H837" s="61"/>
      <c r="I837" s="61"/>
      <c r="J837" s="61"/>
      <c r="K837" s="61"/>
      <c r="L837" s="61"/>
      <c r="M837" s="61"/>
      <c r="N837" s="61"/>
      <c r="O837" s="61"/>
      <c r="P837" s="61"/>
      <c r="Q837" s="61"/>
      <c r="R837" s="61"/>
      <c r="S837" s="61"/>
      <c r="T837" s="61"/>
      <c r="U837" s="61"/>
      <c r="V837" s="61"/>
      <c r="W837" s="61"/>
      <c r="X837" s="61"/>
      <c r="Y837" s="61"/>
    </row>
    <row r="838">
      <c r="A838" s="52"/>
      <c r="B838" s="61"/>
      <c r="C838" s="61"/>
      <c r="D838" s="52"/>
      <c r="E838" s="61"/>
      <c r="F838" s="61"/>
      <c r="G838" s="61"/>
      <c r="H838" s="61"/>
      <c r="I838" s="61"/>
      <c r="J838" s="61"/>
      <c r="K838" s="61"/>
      <c r="L838" s="61"/>
      <c r="M838" s="61"/>
      <c r="N838" s="61"/>
      <c r="O838" s="61"/>
      <c r="P838" s="61"/>
      <c r="Q838" s="61"/>
      <c r="R838" s="61"/>
      <c r="S838" s="61"/>
      <c r="T838" s="61"/>
      <c r="U838" s="61"/>
      <c r="V838" s="61"/>
      <c r="W838" s="61"/>
      <c r="X838" s="61"/>
      <c r="Y838" s="61"/>
    </row>
    <row r="839">
      <c r="A839" s="52"/>
      <c r="B839" s="61"/>
      <c r="C839" s="61"/>
      <c r="D839" s="52"/>
      <c r="E839" s="61"/>
      <c r="F839" s="61"/>
      <c r="G839" s="61"/>
      <c r="H839" s="61"/>
      <c r="I839" s="61"/>
      <c r="J839" s="61"/>
      <c r="K839" s="61"/>
      <c r="L839" s="61"/>
      <c r="M839" s="61"/>
      <c r="N839" s="61"/>
      <c r="O839" s="61"/>
      <c r="P839" s="61"/>
      <c r="Q839" s="61"/>
      <c r="R839" s="61"/>
      <c r="S839" s="61"/>
      <c r="T839" s="61"/>
      <c r="U839" s="61"/>
      <c r="V839" s="61"/>
      <c r="W839" s="61"/>
      <c r="X839" s="61"/>
      <c r="Y839" s="61"/>
    </row>
    <row r="840">
      <c r="A840" s="52"/>
      <c r="B840" s="61"/>
      <c r="C840" s="61"/>
      <c r="D840" s="52"/>
      <c r="E840" s="61"/>
      <c r="F840" s="61"/>
      <c r="G840" s="61"/>
      <c r="H840" s="61"/>
      <c r="I840" s="61"/>
      <c r="J840" s="61"/>
      <c r="K840" s="61"/>
      <c r="L840" s="61"/>
      <c r="M840" s="61"/>
      <c r="N840" s="61"/>
      <c r="O840" s="61"/>
      <c r="P840" s="61"/>
      <c r="Q840" s="61"/>
      <c r="R840" s="61"/>
      <c r="S840" s="61"/>
      <c r="T840" s="61"/>
      <c r="U840" s="61"/>
      <c r="V840" s="61"/>
      <c r="W840" s="61"/>
      <c r="X840" s="61"/>
      <c r="Y840" s="61"/>
    </row>
    <row r="841">
      <c r="A841" s="52"/>
      <c r="B841" s="61"/>
      <c r="C841" s="61"/>
      <c r="D841" s="52"/>
      <c r="E841" s="61"/>
      <c r="F841" s="61"/>
      <c r="G841" s="61"/>
      <c r="H841" s="61"/>
      <c r="I841" s="61"/>
      <c r="J841" s="61"/>
      <c r="K841" s="61"/>
      <c r="L841" s="61"/>
      <c r="M841" s="61"/>
      <c r="N841" s="61"/>
      <c r="O841" s="61"/>
      <c r="P841" s="61"/>
      <c r="Q841" s="61"/>
      <c r="R841" s="61"/>
      <c r="S841" s="61"/>
      <c r="T841" s="61"/>
      <c r="U841" s="61"/>
      <c r="V841" s="61"/>
      <c r="W841" s="61"/>
      <c r="X841" s="61"/>
      <c r="Y841" s="61"/>
    </row>
    <row r="842">
      <c r="A842" s="52"/>
      <c r="B842" s="61"/>
      <c r="C842" s="61"/>
      <c r="D842" s="52"/>
      <c r="E842" s="61"/>
      <c r="F842" s="61"/>
      <c r="G842" s="61"/>
      <c r="H842" s="61"/>
      <c r="I842" s="61"/>
      <c r="J842" s="61"/>
      <c r="K842" s="61"/>
      <c r="L842" s="61"/>
      <c r="M842" s="61"/>
      <c r="N842" s="61"/>
      <c r="O842" s="61"/>
      <c r="P842" s="61"/>
      <c r="Q842" s="61"/>
      <c r="R842" s="61"/>
      <c r="S842" s="61"/>
      <c r="T842" s="61"/>
      <c r="U842" s="61"/>
      <c r="V842" s="61"/>
      <c r="W842" s="61"/>
      <c r="X842" s="61"/>
      <c r="Y842" s="61"/>
    </row>
    <row r="843">
      <c r="A843" s="52"/>
      <c r="B843" s="61"/>
      <c r="C843" s="61"/>
      <c r="D843" s="52"/>
      <c r="E843" s="61"/>
      <c r="F843" s="61"/>
      <c r="G843" s="61"/>
      <c r="H843" s="61"/>
      <c r="I843" s="61"/>
      <c r="J843" s="61"/>
      <c r="K843" s="61"/>
      <c r="L843" s="61"/>
      <c r="M843" s="61"/>
      <c r="N843" s="61"/>
      <c r="O843" s="61"/>
      <c r="P843" s="61"/>
      <c r="Q843" s="61"/>
      <c r="R843" s="61"/>
      <c r="S843" s="61"/>
      <c r="T843" s="61"/>
      <c r="U843" s="61"/>
      <c r="V843" s="61"/>
      <c r="W843" s="61"/>
      <c r="X843" s="61"/>
      <c r="Y843" s="61"/>
    </row>
    <row r="844">
      <c r="A844" s="52"/>
      <c r="B844" s="61"/>
      <c r="C844" s="61"/>
      <c r="D844" s="52"/>
      <c r="E844" s="61"/>
      <c r="F844" s="61"/>
      <c r="G844" s="61"/>
      <c r="H844" s="61"/>
      <c r="I844" s="61"/>
      <c r="J844" s="61"/>
      <c r="K844" s="61"/>
      <c r="L844" s="61"/>
      <c r="M844" s="61"/>
      <c r="N844" s="61"/>
      <c r="O844" s="61"/>
      <c r="P844" s="61"/>
      <c r="Q844" s="61"/>
      <c r="R844" s="61"/>
      <c r="S844" s="61"/>
      <c r="T844" s="61"/>
      <c r="U844" s="61"/>
      <c r="V844" s="61"/>
      <c r="W844" s="61"/>
      <c r="X844" s="61"/>
      <c r="Y844" s="61"/>
    </row>
    <row r="845">
      <c r="A845" s="52"/>
      <c r="B845" s="61"/>
      <c r="C845" s="61"/>
      <c r="D845" s="52"/>
      <c r="E845" s="61"/>
      <c r="F845" s="61"/>
      <c r="G845" s="61"/>
      <c r="H845" s="61"/>
      <c r="I845" s="61"/>
      <c r="J845" s="61"/>
      <c r="K845" s="61"/>
      <c r="L845" s="61"/>
      <c r="M845" s="61"/>
      <c r="N845" s="61"/>
      <c r="O845" s="61"/>
      <c r="P845" s="61"/>
      <c r="Q845" s="61"/>
      <c r="R845" s="61"/>
      <c r="S845" s="61"/>
      <c r="T845" s="61"/>
      <c r="U845" s="61"/>
      <c r="V845" s="61"/>
      <c r="W845" s="61"/>
      <c r="X845" s="61"/>
      <c r="Y845" s="61"/>
    </row>
    <row r="846">
      <c r="A846" s="52"/>
      <c r="B846" s="61"/>
      <c r="C846" s="61"/>
      <c r="D846" s="52"/>
      <c r="E846" s="61"/>
      <c r="F846" s="61"/>
      <c r="G846" s="61"/>
      <c r="H846" s="61"/>
      <c r="I846" s="61"/>
      <c r="J846" s="61"/>
      <c r="K846" s="61"/>
      <c r="L846" s="61"/>
      <c r="M846" s="61"/>
      <c r="N846" s="61"/>
      <c r="O846" s="61"/>
      <c r="P846" s="61"/>
      <c r="Q846" s="61"/>
      <c r="R846" s="61"/>
      <c r="S846" s="61"/>
      <c r="T846" s="61"/>
      <c r="U846" s="61"/>
      <c r="V846" s="61"/>
      <c r="W846" s="61"/>
      <c r="X846" s="61"/>
      <c r="Y846" s="61"/>
    </row>
    <row r="847">
      <c r="A847" s="52"/>
      <c r="B847" s="61"/>
      <c r="C847" s="61"/>
      <c r="D847" s="52"/>
      <c r="E847" s="61"/>
      <c r="F847" s="61"/>
      <c r="G847" s="61"/>
      <c r="H847" s="61"/>
      <c r="I847" s="61"/>
      <c r="J847" s="61"/>
      <c r="K847" s="61"/>
      <c r="L847" s="61"/>
      <c r="M847" s="61"/>
      <c r="N847" s="61"/>
      <c r="O847" s="61"/>
      <c r="P847" s="61"/>
      <c r="Q847" s="61"/>
      <c r="R847" s="61"/>
      <c r="S847" s="61"/>
      <c r="T847" s="61"/>
      <c r="U847" s="61"/>
      <c r="V847" s="61"/>
      <c r="W847" s="61"/>
      <c r="X847" s="61"/>
      <c r="Y847" s="61"/>
    </row>
    <row r="848">
      <c r="A848" s="52"/>
      <c r="B848" s="61"/>
      <c r="C848" s="61"/>
      <c r="D848" s="52"/>
      <c r="E848" s="61"/>
      <c r="F848" s="61"/>
      <c r="G848" s="61"/>
      <c r="H848" s="61"/>
      <c r="I848" s="61"/>
      <c r="J848" s="61"/>
      <c r="K848" s="61"/>
      <c r="L848" s="61"/>
      <c r="M848" s="61"/>
      <c r="N848" s="61"/>
      <c r="O848" s="61"/>
      <c r="P848" s="61"/>
      <c r="Q848" s="61"/>
      <c r="R848" s="61"/>
      <c r="S848" s="61"/>
      <c r="T848" s="61"/>
      <c r="U848" s="61"/>
      <c r="V848" s="61"/>
      <c r="W848" s="61"/>
      <c r="X848" s="61"/>
      <c r="Y848" s="61"/>
    </row>
    <row r="849">
      <c r="A849" s="52"/>
      <c r="B849" s="61"/>
      <c r="C849" s="61"/>
      <c r="D849" s="52"/>
      <c r="E849" s="61"/>
      <c r="F849" s="61"/>
      <c r="G849" s="61"/>
      <c r="H849" s="61"/>
      <c r="I849" s="61"/>
      <c r="J849" s="61"/>
      <c r="K849" s="61"/>
      <c r="L849" s="61"/>
      <c r="M849" s="61"/>
      <c r="N849" s="61"/>
      <c r="O849" s="61"/>
      <c r="P849" s="61"/>
      <c r="Q849" s="61"/>
      <c r="R849" s="61"/>
      <c r="S849" s="61"/>
      <c r="T849" s="61"/>
      <c r="U849" s="61"/>
      <c r="V849" s="61"/>
      <c r="W849" s="61"/>
      <c r="X849" s="61"/>
      <c r="Y849" s="61"/>
    </row>
    <row r="850">
      <c r="A850" s="52"/>
      <c r="B850" s="61"/>
      <c r="C850" s="61"/>
      <c r="D850" s="52"/>
      <c r="E850" s="61"/>
      <c r="F850" s="61"/>
      <c r="G850" s="61"/>
      <c r="H850" s="61"/>
      <c r="I850" s="61"/>
      <c r="J850" s="61"/>
      <c r="K850" s="61"/>
      <c r="L850" s="61"/>
      <c r="M850" s="61"/>
      <c r="N850" s="61"/>
      <c r="O850" s="61"/>
      <c r="P850" s="61"/>
      <c r="Q850" s="61"/>
      <c r="R850" s="61"/>
      <c r="S850" s="61"/>
      <c r="T850" s="61"/>
      <c r="U850" s="61"/>
      <c r="V850" s="61"/>
      <c r="W850" s="61"/>
      <c r="X850" s="61"/>
      <c r="Y850" s="61"/>
    </row>
    <row r="851">
      <c r="A851" s="52"/>
      <c r="B851" s="61"/>
      <c r="C851" s="61"/>
      <c r="D851" s="52"/>
      <c r="E851" s="61"/>
      <c r="F851" s="61"/>
      <c r="G851" s="61"/>
      <c r="H851" s="61"/>
      <c r="I851" s="61"/>
      <c r="J851" s="61"/>
      <c r="K851" s="61"/>
      <c r="L851" s="61"/>
      <c r="M851" s="61"/>
      <c r="N851" s="61"/>
      <c r="O851" s="61"/>
      <c r="P851" s="61"/>
      <c r="Q851" s="61"/>
      <c r="R851" s="61"/>
      <c r="S851" s="61"/>
      <c r="T851" s="61"/>
      <c r="U851" s="61"/>
      <c r="V851" s="61"/>
      <c r="W851" s="61"/>
      <c r="X851" s="61"/>
      <c r="Y851" s="61"/>
    </row>
    <row r="852">
      <c r="A852" s="52"/>
      <c r="B852" s="61"/>
      <c r="C852" s="61"/>
      <c r="D852" s="52"/>
      <c r="E852" s="61"/>
      <c r="F852" s="61"/>
      <c r="G852" s="61"/>
      <c r="H852" s="61"/>
      <c r="I852" s="61"/>
      <c r="J852" s="61"/>
      <c r="K852" s="61"/>
      <c r="L852" s="61"/>
      <c r="M852" s="61"/>
      <c r="N852" s="61"/>
      <c r="O852" s="61"/>
      <c r="P852" s="61"/>
      <c r="Q852" s="61"/>
      <c r="R852" s="61"/>
      <c r="S852" s="61"/>
      <c r="T852" s="61"/>
      <c r="U852" s="61"/>
      <c r="V852" s="61"/>
      <c r="W852" s="61"/>
      <c r="X852" s="61"/>
      <c r="Y852" s="61"/>
    </row>
    <row r="853">
      <c r="A853" s="52"/>
      <c r="B853" s="61"/>
      <c r="C853" s="61"/>
      <c r="D853" s="52"/>
      <c r="E853" s="61"/>
      <c r="F853" s="61"/>
      <c r="G853" s="61"/>
      <c r="H853" s="61"/>
      <c r="I853" s="61"/>
      <c r="J853" s="61"/>
      <c r="K853" s="61"/>
      <c r="L853" s="61"/>
      <c r="M853" s="61"/>
      <c r="N853" s="61"/>
      <c r="O853" s="61"/>
      <c r="P853" s="61"/>
      <c r="Q853" s="61"/>
      <c r="R853" s="61"/>
      <c r="S853" s="61"/>
      <c r="T853" s="61"/>
      <c r="U853" s="61"/>
      <c r="V853" s="61"/>
      <c r="W853" s="61"/>
      <c r="X853" s="61"/>
      <c r="Y853" s="61"/>
    </row>
    <row r="854">
      <c r="A854" s="52"/>
      <c r="B854" s="61"/>
      <c r="C854" s="61"/>
      <c r="D854" s="52"/>
      <c r="E854" s="61"/>
      <c r="F854" s="61"/>
      <c r="G854" s="61"/>
      <c r="H854" s="61"/>
      <c r="I854" s="61"/>
      <c r="J854" s="61"/>
      <c r="K854" s="61"/>
      <c r="L854" s="61"/>
      <c r="M854" s="61"/>
      <c r="N854" s="61"/>
      <c r="O854" s="61"/>
      <c r="P854" s="61"/>
      <c r="Q854" s="61"/>
      <c r="R854" s="61"/>
      <c r="S854" s="61"/>
      <c r="T854" s="61"/>
      <c r="U854" s="61"/>
      <c r="V854" s="61"/>
      <c r="W854" s="61"/>
      <c r="X854" s="61"/>
      <c r="Y854" s="61"/>
    </row>
    <row r="855">
      <c r="A855" s="52"/>
      <c r="B855" s="61"/>
      <c r="C855" s="61"/>
      <c r="D855" s="52"/>
      <c r="E855" s="61"/>
      <c r="F855" s="61"/>
      <c r="G855" s="61"/>
      <c r="H855" s="61"/>
      <c r="I855" s="61"/>
      <c r="J855" s="61"/>
      <c r="K855" s="61"/>
      <c r="L855" s="61"/>
      <c r="M855" s="61"/>
      <c r="N855" s="61"/>
      <c r="O855" s="61"/>
      <c r="P855" s="61"/>
      <c r="Q855" s="61"/>
      <c r="R855" s="61"/>
      <c r="S855" s="61"/>
      <c r="T855" s="61"/>
      <c r="U855" s="61"/>
      <c r="V855" s="61"/>
      <c r="W855" s="61"/>
      <c r="X855" s="61"/>
      <c r="Y855" s="61"/>
    </row>
    <row r="856">
      <c r="A856" s="52"/>
      <c r="B856" s="61"/>
      <c r="C856" s="61"/>
      <c r="D856" s="52"/>
      <c r="E856" s="61"/>
      <c r="F856" s="61"/>
      <c r="G856" s="61"/>
      <c r="H856" s="61"/>
      <c r="I856" s="61"/>
      <c r="J856" s="61"/>
      <c r="K856" s="61"/>
      <c r="L856" s="61"/>
      <c r="M856" s="61"/>
      <c r="N856" s="61"/>
      <c r="O856" s="61"/>
      <c r="P856" s="61"/>
      <c r="Q856" s="61"/>
      <c r="R856" s="61"/>
      <c r="S856" s="61"/>
      <c r="T856" s="61"/>
      <c r="U856" s="61"/>
      <c r="V856" s="61"/>
      <c r="W856" s="61"/>
      <c r="X856" s="61"/>
      <c r="Y856" s="61"/>
    </row>
    <row r="857">
      <c r="A857" s="52"/>
      <c r="B857" s="61"/>
      <c r="C857" s="61"/>
      <c r="D857" s="52"/>
      <c r="E857" s="61"/>
      <c r="F857" s="61"/>
      <c r="G857" s="61"/>
      <c r="H857" s="61"/>
      <c r="I857" s="61"/>
      <c r="J857" s="61"/>
      <c r="K857" s="61"/>
      <c r="L857" s="61"/>
      <c r="M857" s="61"/>
      <c r="N857" s="61"/>
      <c r="O857" s="61"/>
      <c r="P857" s="61"/>
      <c r="Q857" s="61"/>
      <c r="R857" s="61"/>
      <c r="S857" s="61"/>
      <c r="T857" s="61"/>
      <c r="U857" s="61"/>
      <c r="V857" s="61"/>
      <c r="W857" s="61"/>
      <c r="X857" s="61"/>
      <c r="Y857" s="61"/>
    </row>
    <row r="858">
      <c r="A858" s="52"/>
      <c r="B858" s="61"/>
      <c r="C858" s="61"/>
      <c r="D858" s="52"/>
      <c r="E858" s="61"/>
      <c r="F858" s="61"/>
      <c r="G858" s="61"/>
      <c r="H858" s="61"/>
      <c r="I858" s="61"/>
      <c r="J858" s="61"/>
      <c r="K858" s="61"/>
      <c r="L858" s="61"/>
      <c r="M858" s="61"/>
      <c r="N858" s="61"/>
      <c r="O858" s="61"/>
      <c r="P858" s="61"/>
      <c r="Q858" s="61"/>
      <c r="R858" s="61"/>
      <c r="S858" s="61"/>
      <c r="T858" s="61"/>
      <c r="U858" s="61"/>
      <c r="V858" s="61"/>
      <c r="W858" s="61"/>
      <c r="X858" s="61"/>
      <c r="Y858" s="61"/>
    </row>
    <row r="859">
      <c r="A859" s="52"/>
      <c r="B859" s="61"/>
      <c r="C859" s="61"/>
      <c r="D859" s="52"/>
      <c r="E859" s="61"/>
      <c r="F859" s="61"/>
      <c r="G859" s="61"/>
      <c r="H859" s="61"/>
      <c r="I859" s="61"/>
      <c r="J859" s="61"/>
      <c r="K859" s="61"/>
      <c r="L859" s="61"/>
      <c r="M859" s="61"/>
      <c r="N859" s="61"/>
      <c r="O859" s="61"/>
      <c r="P859" s="61"/>
      <c r="Q859" s="61"/>
      <c r="R859" s="61"/>
      <c r="S859" s="61"/>
      <c r="T859" s="61"/>
      <c r="U859" s="61"/>
      <c r="V859" s="61"/>
      <c r="W859" s="61"/>
      <c r="X859" s="61"/>
      <c r="Y859" s="61"/>
    </row>
    <row r="860">
      <c r="A860" s="52"/>
      <c r="B860" s="61"/>
      <c r="C860" s="61"/>
      <c r="D860" s="52"/>
      <c r="E860" s="61"/>
      <c r="F860" s="61"/>
      <c r="G860" s="61"/>
      <c r="H860" s="61"/>
      <c r="I860" s="61"/>
      <c r="J860" s="61"/>
      <c r="K860" s="61"/>
      <c r="L860" s="61"/>
      <c r="M860" s="61"/>
      <c r="N860" s="61"/>
      <c r="O860" s="61"/>
      <c r="P860" s="61"/>
      <c r="Q860" s="61"/>
      <c r="R860" s="61"/>
      <c r="S860" s="61"/>
      <c r="T860" s="61"/>
      <c r="U860" s="61"/>
      <c r="V860" s="61"/>
      <c r="W860" s="61"/>
      <c r="X860" s="61"/>
      <c r="Y860" s="61"/>
    </row>
    <row r="861">
      <c r="A861" s="52"/>
      <c r="B861" s="61"/>
      <c r="C861" s="61"/>
      <c r="D861" s="52"/>
      <c r="E861" s="61"/>
      <c r="F861" s="61"/>
      <c r="G861" s="61"/>
      <c r="H861" s="61"/>
      <c r="I861" s="61"/>
      <c r="J861" s="61"/>
      <c r="K861" s="61"/>
      <c r="L861" s="61"/>
      <c r="M861" s="61"/>
      <c r="N861" s="61"/>
      <c r="O861" s="61"/>
      <c r="P861" s="61"/>
      <c r="Q861" s="61"/>
      <c r="R861" s="61"/>
      <c r="S861" s="61"/>
      <c r="T861" s="61"/>
      <c r="U861" s="61"/>
      <c r="V861" s="61"/>
      <c r="W861" s="61"/>
      <c r="X861" s="61"/>
      <c r="Y861" s="61"/>
    </row>
    <row r="862">
      <c r="A862" s="52"/>
      <c r="B862" s="61"/>
      <c r="C862" s="61"/>
      <c r="D862" s="52"/>
      <c r="E862" s="61"/>
      <c r="F862" s="61"/>
      <c r="G862" s="61"/>
      <c r="H862" s="61"/>
      <c r="I862" s="61"/>
      <c r="J862" s="61"/>
      <c r="K862" s="61"/>
      <c r="L862" s="61"/>
      <c r="M862" s="61"/>
      <c r="N862" s="61"/>
      <c r="O862" s="61"/>
      <c r="P862" s="61"/>
      <c r="Q862" s="61"/>
      <c r="R862" s="61"/>
      <c r="S862" s="61"/>
      <c r="T862" s="61"/>
      <c r="U862" s="61"/>
      <c r="V862" s="61"/>
      <c r="W862" s="61"/>
      <c r="X862" s="61"/>
      <c r="Y862" s="61"/>
    </row>
    <row r="863">
      <c r="A863" s="52"/>
      <c r="B863" s="61"/>
      <c r="C863" s="61"/>
      <c r="D863" s="52"/>
      <c r="E863" s="61"/>
      <c r="F863" s="61"/>
      <c r="G863" s="61"/>
      <c r="H863" s="61"/>
      <c r="I863" s="61"/>
      <c r="J863" s="61"/>
      <c r="K863" s="61"/>
      <c r="L863" s="61"/>
      <c r="M863" s="61"/>
      <c r="N863" s="61"/>
      <c r="O863" s="61"/>
      <c r="P863" s="61"/>
      <c r="Q863" s="61"/>
      <c r="R863" s="61"/>
      <c r="S863" s="61"/>
      <c r="T863" s="61"/>
      <c r="U863" s="61"/>
      <c r="V863" s="61"/>
      <c r="W863" s="61"/>
      <c r="X863" s="61"/>
      <c r="Y863" s="61"/>
    </row>
    <row r="864">
      <c r="A864" s="52"/>
      <c r="B864" s="61"/>
      <c r="C864" s="61"/>
      <c r="D864" s="52"/>
      <c r="E864" s="61"/>
      <c r="F864" s="61"/>
      <c r="G864" s="61"/>
      <c r="H864" s="61"/>
      <c r="I864" s="61"/>
      <c r="J864" s="61"/>
      <c r="K864" s="61"/>
      <c r="L864" s="61"/>
      <c r="M864" s="61"/>
      <c r="N864" s="61"/>
      <c r="O864" s="61"/>
      <c r="P864" s="61"/>
      <c r="Q864" s="61"/>
      <c r="R864" s="61"/>
      <c r="S864" s="61"/>
      <c r="T864" s="61"/>
      <c r="U864" s="61"/>
      <c r="V864" s="61"/>
      <c r="W864" s="61"/>
      <c r="X864" s="61"/>
      <c r="Y864" s="61"/>
    </row>
    <row r="865">
      <c r="A865" s="52"/>
      <c r="B865" s="61"/>
      <c r="C865" s="61"/>
      <c r="D865" s="52"/>
      <c r="E865" s="61"/>
      <c r="F865" s="61"/>
      <c r="G865" s="61"/>
      <c r="H865" s="61"/>
      <c r="I865" s="61"/>
      <c r="J865" s="61"/>
      <c r="K865" s="61"/>
      <c r="L865" s="61"/>
      <c r="M865" s="61"/>
      <c r="N865" s="61"/>
      <c r="O865" s="61"/>
      <c r="P865" s="61"/>
      <c r="Q865" s="61"/>
      <c r="R865" s="61"/>
      <c r="S865" s="61"/>
      <c r="T865" s="61"/>
      <c r="U865" s="61"/>
      <c r="V865" s="61"/>
      <c r="W865" s="61"/>
      <c r="X865" s="61"/>
      <c r="Y865" s="61"/>
    </row>
    <row r="866">
      <c r="A866" s="52"/>
      <c r="B866" s="61"/>
      <c r="C866" s="61"/>
      <c r="D866" s="52"/>
      <c r="E866" s="61"/>
      <c r="F866" s="61"/>
      <c r="G866" s="61"/>
      <c r="H866" s="61"/>
      <c r="I866" s="61"/>
      <c r="J866" s="61"/>
      <c r="K866" s="61"/>
      <c r="L866" s="61"/>
      <c r="M866" s="61"/>
      <c r="N866" s="61"/>
      <c r="O866" s="61"/>
      <c r="P866" s="61"/>
      <c r="Q866" s="61"/>
      <c r="R866" s="61"/>
      <c r="S866" s="61"/>
      <c r="T866" s="61"/>
      <c r="U866" s="61"/>
      <c r="V866" s="61"/>
      <c r="W866" s="61"/>
      <c r="X866" s="61"/>
      <c r="Y866" s="61"/>
    </row>
    <row r="867">
      <c r="A867" s="52"/>
      <c r="B867" s="61"/>
      <c r="C867" s="61"/>
      <c r="D867" s="52"/>
      <c r="E867" s="61"/>
      <c r="F867" s="61"/>
      <c r="G867" s="61"/>
      <c r="H867" s="61"/>
      <c r="I867" s="61"/>
      <c r="J867" s="61"/>
      <c r="K867" s="61"/>
      <c r="L867" s="61"/>
      <c r="M867" s="61"/>
      <c r="N867" s="61"/>
      <c r="O867" s="61"/>
      <c r="P867" s="61"/>
      <c r="Q867" s="61"/>
      <c r="R867" s="61"/>
      <c r="S867" s="61"/>
      <c r="T867" s="61"/>
      <c r="U867" s="61"/>
      <c r="V867" s="61"/>
      <c r="W867" s="61"/>
      <c r="X867" s="61"/>
      <c r="Y867" s="61"/>
    </row>
    <row r="868">
      <c r="A868" s="52"/>
      <c r="B868" s="61"/>
      <c r="C868" s="61"/>
      <c r="D868" s="52"/>
      <c r="E868" s="61"/>
      <c r="F868" s="61"/>
      <c r="G868" s="61"/>
      <c r="H868" s="61"/>
      <c r="I868" s="61"/>
      <c r="J868" s="61"/>
      <c r="K868" s="61"/>
      <c r="L868" s="61"/>
      <c r="M868" s="61"/>
      <c r="N868" s="61"/>
      <c r="O868" s="61"/>
      <c r="P868" s="61"/>
      <c r="Q868" s="61"/>
      <c r="R868" s="61"/>
      <c r="S868" s="61"/>
      <c r="T868" s="61"/>
      <c r="U868" s="61"/>
      <c r="V868" s="61"/>
      <c r="W868" s="61"/>
      <c r="X868" s="61"/>
      <c r="Y868" s="61"/>
    </row>
    <row r="869">
      <c r="A869" s="52"/>
      <c r="B869" s="61"/>
      <c r="C869" s="61"/>
      <c r="D869" s="52"/>
      <c r="E869" s="61"/>
      <c r="F869" s="61"/>
      <c r="G869" s="61"/>
      <c r="H869" s="61"/>
      <c r="I869" s="61"/>
      <c r="J869" s="61"/>
      <c r="K869" s="61"/>
      <c r="L869" s="61"/>
      <c r="M869" s="61"/>
      <c r="N869" s="61"/>
      <c r="O869" s="61"/>
      <c r="P869" s="61"/>
      <c r="Q869" s="61"/>
      <c r="R869" s="61"/>
      <c r="S869" s="61"/>
      <c r="T869" s="61"/>
      <c r="U869" s="61"/>
      <c r="V869" s="61"/>
      <c r="W869" s="61"/>
      <c r="X869" s="61"/>
      <c r="Y869" s="61"/>
    </row>
    <row r="870">
      <c r="A870" s="52"/>
      <c r="B870" s="61"/>
      <c r="C870" s="61"/>
      <c r="D870" s="52"/>
      <c r="E870" s="61"/>
      <c r="F870" s="61"/>
      <c r="G870" s="61"/>
      <c r="H870" s="61"/>
      <c r="I870" s="61"/>
      <c r="J870" s="61"/>
      <c r="K870" s="61"/>
      <c r="L870" s="61"/>
      <c r="M870" s="61"/>
      <c r="N870" s="61"/>
      <c r="O870" s="61"/>
      <c r="P870" s="61"/>
      <c r="Q870" s="61"/>
      <c r="R870" s="61"/>
      <c r="S870" s="61"/>
      <c r="T870" s="61"/>
      <c r="U870" s="61"/>
      <c r="V870" s="61"/>
      <c r="W870" s="61"/>
      <c r="X870" s="61"/>
      <c r="Y870" s="61"/>
    </row>
    <row r="871">
      <c r="A871" s="52"/>
      <c r="B871" s="61"/>
      <c r="C871" s="61"/>
      <c r="D871" s="52"/>
      <c r="E871" s="61"/>
      <c r="F871" s="61"/>
      <c r="G871" s="61"/>
      <c r="H871" s="61"/>
      <c r="I871" s="61"/>
      <c r="J871" s="61"/>
      <c r="K871" s="61"/>
      <c r="L871" s="61"/>
      <c r="M871" s="61"/>
      <c r="N871" s="61"/>
      <c r="O871" s="61"/>
      <c r="P871" s="61"/>
      <c r="Q871" s="61"/>
      <c r="R871" s="61"/>
      <c r="S871" s="61"/>
      <c r="T871" s="61"/>
      <c r="U871" s="61"/>
      <c r="V871" s="61"/>
      <c r="W871" s="61"/>
      <c r="X871" s="61"/>
      <c r="Y871" s="61"/>
    </row>
    <row r="872">
      <c r="A872" s="52"/>
      <c r="B872" s="61"/>
      <c r="C872" s="61"/>
      <c r="D872" s="52"/>
      <c r="E872" s="61"/>
      <c r="F872" s="61"/>
      <c r="G872" s="61"/>
      <c r="H872" s="61"/>
      <c r="I872" s="61"/>
      <c r="J872" s="61"/>
      <c r="K872" s="61"/>
      <c r="L872" s="61"/>
      <c r="M872" s="61"/>
      <c r="N872" s="61"/>
      <c r="O872" s="61"/>
      <c r="P872" s="61"/>
      <c r="Q872" s="61"/>
      <c r="R872" s="61"/>
      <c r="S872" s="61"/>
      <c r="T872" s="61"/>
      <c r="U872" s="61"/>
      <c r="V872" s="61"/>
      <c r="W872" s="61"/>
      <c r="X872" s="61"/>
      <c r="Y872" s="61"/>
    </row>
    <row r="873">
      <c r="A873" s="52"/>
      <c r="B873" s="61"/>
      <c r="C873" s="61"/>
      <c r="D873" s="52"/>
      <c r="E873" s="61"/>
      <c r="F873" s="61"/>
      <c r="G873" s="61"/>
      <c r="H873" s="61"/>
      <c r="I873" s="61"/>
      <c r="J873" s="61"/>
      <c r="K873" s="61"/>
      <c r="L873" s="61"/>
      <c r="M873" s="61"/>
      <c r="N873" s="61"/>
      <c r="O873" s="61"/>
      <c r="P873" s="61"/>
      <c r="Q873" s="61"/>
      <c r="R873" s="61"/>
      <c r="S873" s="61"/>
      <c r="T873" s="61"/>
      <c r="U873" s="61"/>
      <c r="V873" s="61"/>
      <c r="W873" s="61"/>
      <c r="X873" s="61"/>
      <c r="Y873" s="61"/>
    </row>
    <row r="874">
      <c r="A874" s="52"/>
      <c r="B874" s="61"/>
      <c r="C874" s="61"/>
      <c r="D874" s="52"/>
      <c r="E874" s="61"/>
      <c r="F874" s="61"/>
      <c r="G874" s="61"/>
      <c r="H874" s="61"/>
      <c r="I874" s="61"/>
      <c r="J874" s="61"/>
      <c r="K874" s="61"/>
      <c r="L874" s="61"/>
      <c r="M874" s="61"/>
      <c r="N874" s="61"/>
      <c r="O874" s="61"/>
      <c r="P874" s="61"/>
      <c r="Q874" s="61"/>
      <c r="R874" s="61"/>
      <c r="S874" s="61"/>
      <c r="T874" s="61"/>
      <c r="U874" s="61"/>
      <c r="V874" s="61"/>
      <c r="W874" s="61"/>
      <c r="X874" s="61"/>
      <c r="Y874" s="61"/>
    </row>
    <row r="875">
      <c r="A875" s="52"/>
      <c r="B875" s="61"/>
      <c r="C875" s="61"/>
      <c r="D875" s="52"/>
      <c r="E875" s="61"/>
      <c r="F875" s="61"/>
      <c r="G875" s="61"/>
      <c r="H875" s="61"/>
      <c r="I875" s="61"/>
      <c r="J875" s="61"/>
      <c r="K875" s="61"/>
      <c r="L875" s="61"/>
      <c r="M875" s="61"/>
      <c r="N875" s="61"/>
      <c r="O875" s="61"/>
      <c r="P875" s="61"/>
      <c r="Q875" s="61"/>
      <c r="R875" s="61"/>
      <c r="S875" s="61"/>
      <c r="T875" s="61"/>
      <c r="U875" s="61"/>
      <c r="V875" s="61"/>
      <c r="W875" s="61"/>
      <c r="X875" s="61"/>
      <c r="Y875" s="61"/>
    </row>
    <row r="876">
      <c r="A876" s="52"/>
      <c r="B876" s="61"/>
      <c r="C876" s="61"/>
      <c r="D876" s="52"/>
      <c r="E876" s="61"/>
      <c r="F876" s="61"/>
      <c r="G876" s="61"/>
      <c r="H876" s="61"/>
      <c r="I876" s="61"/>
      <c r="J876" s="61"/>
      <c r="K876" s="61"/>
      <c r="L876" s="61"/>
      <c r="M876" s="61"/>
      <c r="N876" s="61"/>
      <c r="O876" s="61"/>
      <c r="P876" s="61"/>
      <c r="Q876" s="61"/>
      <c r="R876" s="61"/>
      <c r="S876" s="61"/>
      <c r="T876" s="61"/>
      <c r="U876" s="61"/>
      <c r="V876" s="61"/>
      <c r="W876" s="61"/>
      <c r="X876" s="61"/>
      <c r="Y876" s="61"/>
    </row>
    <row r="877">
      <c r="A877" s="52"/>
      <c r="B877" s="61"/>
      <c r="C877" s="61"/>
      <c r="D877" s="52"/>
      <c r="E877" s="61"/>
      <c r="F877" s="61"/>
      <c r="G877" s="61"/>
      <c r="H877" s="61"/>
      <c r="I877" s="61"/>
      <c r="J877" s="61"/>
      <c r="K877" s="61"/>
      <c r="L877" s="61"/>
      <c r="M877" s="61"/>
      <c r="N877" s="61"/>
      <c r="O877" s="61"/>
      <c r="P877" s="61"/>
      <c r="Q877" s="61"/>
      <c r="R877" s="61"/>
      <c r="S877" s="61"/>
      <c r="T877" s="61"/>
      <c r="U877" s="61"/>
      <c r="V877" s="61"/>
      <c r="W877" s="61"/>
      <c r="X877" s="61"/>
      <c r="Y877" s="61"/>
    </row>
    <row r="878">
      <c r="A878" s="52"/>
      <c r="B878" s="61"/>
      <c r="C878" s="61"/>
      <c r="D878" s="52"/>
      <c r="E878" s="61"/>
      <c r="F878" s="61"/>
      <c r="G878" s="61"/>
      <c r="H878" s="61"/>
      <c r="I878" s="61"/>
      <c r="J878" s="61"/>
      <c r="K878" s="61"/>
      <c r="L878" s="61"/>
      <c r="M878" s="61"/>
      <c r="N878" s="61"/>
      <c r="O878" s="61"/>
      <c r="P878" s="61"/>
      <c r="Q878" s="61"/>
      <c r="R878" s="61"/>
      <c r="S878" s="61"/>
      <c r="T878" s="61"/>
      <c r="U878" s="61"/>
      <c r="V878" s="61"/>
      <c r="W878" s="61"/>
      <c r="X878" s="61"/>
      <c r="Y878" s="61"/>
    </row>
    <row r="879">
      <c r="A879" s="52"/>
      <c r="B879" s="61"/>
      <c r="C879" s="61"/>
      <c r="D879" s="52"/>
      <c r="E879" s="61"/>
      <c r="F879" s="61"/>
      <c r="G879" s="61"/>
      <c r="H879" s="61"/>
      <c r="I879" s="61"/>
      <c r="J879" s="61"/>
      <c r="K879" s="61"/>
      <c r="L879" s="61"/>
      <c r="M879" s="61"/>
      <c r="N879" s="61"/>
      <c r="O879" s="61"/>
      <c r="P879" s="61"/>
      <c r="Q879" s="61"/>
      <c r="R879" s="61"/>
      <c r="S879" s="61"/>
      <c r="T879" s="61"/>
      <c r="U879" s="61"/>
      <c r="V879" s="61"/>
      <c r="W879" s="61"/>
      <c r="X879" s="61"/>
      <c r="Y879" s="61"/>
    </row>
    <row r="880">
      <c r="A880" s="52"/>
      <c r="B880" s="61"/>
      <c r="C880" s="61"/>
      <c r="D880" s="52"/>
      <c r="E880" s="61"/>
      <c r="F880" s="61"/>
      <c r="G880" s="61"/>
      <c r="H880" s="61"/>
      <c r="I880" s="61"/>
      <c r="J880" s="61"/>
      <c r="K880" s="61"/>
      <c r="L880" s="61"/>
      <c r="M880" s="61"/>
      <c r="N880" s="61"/>
      <c r="O880" s="61"/>
      <c r="P880" s="61"/>
      <c r="Q880" s="61"/>
      <c r="R880" s="61"/>
      <c r="S880" s="61"/>
      <c r="T880" s="61"/>
      <c r="U880" s="61"/>
      <c r="V880" s="61"/>
      <c r="W880" s="61"/>
      <c r="X880" s="61"/>
      <c r="Y880" s="61"/>
    </row>
    <row r="881">
      <c r="A881" s="52"/>
      <c r="B881" s="61"/>
      <c r="C881" s="61"/>
      <c r="D881" s="52"/>
      <c r="E881" s="61"/>
      <c r="F881" s="61"/>
      <c r="G881" s="61"/>
      <c r="H881" s="61"/>
      <c r="I881" s="61"/>
      <c r="J881" s="61"/>
      <c r="K881" s="61"/>
      <c r="L881" s="61"/>
      <c r="M881" s="61"/>
      <c r="N881" s="61"/>
      <c r="O881" s="61"/>
      <c r="P881" s="61"/>
      <c r="Q881" s="61"/>
      <c r="R881" s="61"/>
      <c r="S881" s="61"/>
      <c r="T881" s="61"/>
      <c r="U881" s="61"/>
      <c r="V881" s="61"/>
      <c r="W881" s="61"/>
      <c r="X881" s="61"/>
      <c r="Y881" s="61"/>
    </row>
    <row r="882">
      <c r="A882" s="52"/>
      <c r="B882" s="61"/>
      <c r="C882" s="61"/>
      <c r="D882" s="52"/>
      <c r="E882" s="61"/>
      <c r="F882" s="61"/>
      <c r="G882" s="61"/>
      <c r="H882" s="61"/>
      <c r="I882" s="61"/>
      <c r="J882" s="61"/>
      <c r="K882" s="61"/>
      <c r="L882" s="61"/>
      <c r="M882" s="61"/>
      <c r="N882" s="61"/>
      <c r="O882" s="61"/>
      <c r="P882" s="61"/>
      <c r="Q882" s="61"/>
      <c r="R882" s="61"/>
      <c r="S882" s="61"/>
      <c r="T882" s="61"/>
      <c r="U882" s="61"/>
      <c r="V882" s="61"/>
      <c r="W882" s="61"/>
      <c r="X882" s="61"/>
      <c r="Y882" s="61"/>
    </row>
    <row r="883">
      <c r="A883" s="52"/>
      <c r="B883" s="61"/>
      <c r="C883" s="61"/>
      <c r="D883" s="52"/>
      <c r="E883" s="61"/>
      <c r="F883" s="61"/>
      <c r="G883" s="61"/>
      <c r="H883" s="61"/>
      <c r="I883" s="61"/>
      <c r="J883" s="61"/>
      <c r="K883" s="61"/>
      <c r="L883" s="61"/>
      <c r="M883" s="61"/>
      <c r="N883" s="61"/>
      <c r="O883" s="61"/>
      <c r="P883" s="61"/>
      <c r="Q883" s="61"/>
      <c r="R883" s="61"/>
      <c r="S883" s="61"/>
      <c r="T883" s="61"/>
      <c r="U883" s="61"/>
      <c r="V883" s="61"/>
      <c r="W883" s="61"/>
      <c r="X883" s="61"/>
      <c r="Y883" s="61"/>
    </row>
    <row r="884">
      <c r="A884" s="52"/>
      <c r="B884" s="61"/>
      <c r="C884" s="61"/>
      <c r="D884" s="52"/>
      <c r="E884" s="61"/>
      <c r="F884" s="61"/>
      <c r="G884" s="61"/>
      <c r="H884" s="61"/>
      <c r="I884" s="61"/>
      <c r="J884" s="61"/>
      <c r="K884" s="61"/>
      <c r="L884" s="61"/>
      <c r="M884" s="61"/>
      <c r="N884" s="61"/>
      <c r="O884" s="61"/>
      <c r="P884" s="61"/>
      <c r="Q884" s="61"/>
      <c r="R884" s="61"/>
      <c r="S884" s="61"/>
      <c r="T884" s="61"/>
      <c r="U884" s="61"/>
      <c r="V884" s="61"/>
      <c r="W884" s="61"/>
      <c r="X884" s="61"/>
      <c r="Y884" s="61"/>
    </row>
    <row r="885">
      <c r="A885" s="52"/>
      <c r="B885" s="61"/>
      <c r="C885" s="61"/>
      <c r="D885" s="52"/>
      <c r="E885" s="61"/>
      <c r="F885" s="61"/>
      <c r="G885" s="61"/>
      <c r="H885" s="61"/>
      <c r="I885" s="61"/>
      <c r="J885" s="61"/>
      <c r="K885" s="61"/>
      <c r="L885" s="61"/>
      <c r="M885" s="61"/>
      <c r="N885" s="61"/>
      <c r="O885" s="61"/>
      <c r="P885" s="61"/>
      <c r="Q885" s="61"/>
      <c r="R885" s="61"/>
      <c r="S885" s="61"/>
      <c r="T885" s="61"/>
      <c r="U885" s="61"/>
      <c r="V885" s="61"/>
      <c r="W885" s="61"/>
      <c r="X885" s="61"/>
      <c r="Y885" s="61"/>
    </row>
    <row r="886">
      <c r="A886" s="52"/>
      <c r="B886" s="61"/>
      <c r="C886" s="61"/>
      <c r="D886" s="52"/>
      <c r="E886" s="61"/>
      <c r="F886" s="61"/>
      <c r="G886" s="61"/>
      <c r="H886" s="61"/>
      <c r="I886" s="61"/>
      <c r="J886" s="61"/>
      <c r="K886" s="61"/>
      <c r="L886" s="61"/>
      <c r="M886" s="61"/>
      <c r="N886" s="61"/>
      <c r="O886" s="61"/>
      <c r="P886" s="61"/>
      <c r="Q886" s="61"/>
      <c r="R886" s="61"/>
      <c r="S886" s="61"/>
      <c r="T886" s="61"/>
      <c r="U886" s="61"/>
      <c r="V886" s="61"/>
      <c r="W886" s="61"/>
      <c r="X886" s="61"/>
      <c r="Y886" s="61"/>
    </row>
    <row r="887">
      <c r="A887" s="52"/>
      <c r="B887" s="61"/>
      <c r="C887" s="61"/>
      <c r="D887" s="52"/>
      <c r="E887" s="61"/>
      <c r="F887" s="61"/>
      <c r="G887" s="61"/>
      <c r="H887" s="61"/>
      <c r="I887" s="61"/>
      <c r="J887" s="61"/>
      <c r="K887" s="61"/>
      <c r="L887" s="61"/>
      <c r="M887" s="61"/>
      <c r="N887" s="61"/>
      <c r="O887" s="61"/>
      <c r="P887" s="61"/>
      <c r="Q887" s="61"/>
      <c r="R887" s="61"/>
      <c r="S887" s="61"/>
      <c r="T887" s="61"/>
      <c r="U887" s="61"/>
      <c r="V887" s="61"/>
      <c r="W887" s="61"/>
      <c r="X887" s="61"/>
      <c r="Y887" s="61"/>
    </row>
    <row r="888">
      <c r="A888" s="52"/>
      <c r="B888" s="61"/>
      <c r="C888" s="61"/>
      <c r="D888" s="52"/>
      <c r="E888" s="61"/>
      <c r="F888" s="61"/>
      <c r="G888" s="61"/>
      <c r="H888" s="61"/>
      <c r="I888" s="61"/>
      <c r="J888" s="61"/>
      <c r="K888" s="61"/>
      <c r="L888" s="61"/>
      <c r="M888" s="61"/>
      <c r="N888" s="61"/>
      <c r="O888" s="61"/>
      <c r="P888" s="61"/>
      <c r="Q888" s="61"/>
      <c r="R888" s="61"/>
      <c r="S888" s="61"/>
      <c r="T888" s="61"/>
      <c r="U888" s="61"/>
      <c r="V888" s="61"/>
      <c r="W888" s="61"/>
      <c r="X888" s="61"/>
      <c r="Y888" s="61"/>
    </row>
    <row r="889">
      <c r="A889" s="52"/>
      <c r="B889" s="61"/>
      <c r="C889" s="61"/>
      <c r="D889" s="52"/>
      <c r="E889" s="61"/>
      <c r="F889" s="61"/>
      <c r="G889" s="61"/>
      <c r="H889" s="61"/>
      <c r="I889" s="61"/>
      <c r="J889" s="61"/>
      <c r="K889" s="61"/>
      <c r="L889" s="61"/>
      <c r="M889" s="61"/>
      <c r="N889" s="61"/>
      <c r="O889" s="61"/>
      <c r="P889" s="61"/>
      <c r="Q889" s="61"/>
      <c r="R889" s="61"/>
      <c r="S889" s="61"/>
      <c r="T889" s="61"/>
      <c r="U889" s="61"/>
      <c r="V889" s="61"/>
      <c r="W889" s="61"/>
      <c r="X889" s="61"/>
      <c r="Y889" s="61"/>
    </row>
    <row r="890">
      <c r="A890" s="52"/>
      <c r="B890" s="61"/>
      <c r="C890" s="61"/>
      <c r="D890" s="52"/>
      <c r="E890" s="61"/>
      <c r="F890" s="61"/>
      <c r="G890" s="61"/>
      <c r="H890" s="61"/>
      <c r="I890" s="61"/>
      <c r="J890" s="61"/>
      <c r="K890" s="61"/>
      <c r="L890" s="61"/>
      <c r="M890" s="61"/>
      <c r="N890" s="61"/>
      <c r="O890" s="61"/>
      <c r="P890" s="61"/>
      <c r="Q890" s="61"/>
      <c r="R890" s="61"/>
      <c r="S890" s="61"/>
      <c r="T890" s="61"/>
      <c r="U890" s="61"/>
      <c r="V890" s="61"/>
      <c r="W890" s="61"/>
      <c r="X890" s="61"/>
      <c r="Y890" s="61"/>
    </row>
    <row r="891">
      <c r="A891" s="52"/>
      <c r="B891" s="61"/>
      <c r="C891" s="61"/>
      <c r="D891" s="52"/>
      <c r="E891" s="61"/>
      <c r="F891" s="61"/>
      <c r="G891" s="61"/>
      <c r="H891" s="61"/>
      <c r="I891" s="61"/>
      <c r="J891" s="61"/>
      <c r="K891" s="61"/>
      <c r="L891" s="61"/>
      <c r="M891" s="61"/>
      <c r="N891" s="61"/>
      <c r="O891" s="61"/>
      <c r="P891" s="61"/>
      <c r="Q891" s="61"/>
      <c r="R891" s="61"/>
      <c r="S891" s="61"/>
      <c r="T891" s="61"/>
      <c r="U891" s="61"/>
      <c r="V891" s="61"/>
      <c r="W891" s="61"/>
      <c r="X891" s="61"/>
      <c r="Y891" s="61"/>
    </row>
    <row r="892">
      <c r="A892" s="52"/>
      <c r="B892" s="61"/>
      <c r="C892" s="61"/>
      <c r="D892" s="52"/>
      <c r="E892" s="61"/>
      <c r="F892" s="61"/>
      <c r="G892" s="61"/>
      <c r="H892" s="61"/>
      <c r="I892" s="61"/>
      <c r="J892" s="61"/>
      <c r="K892" s="61"/>
      <c r="L892" s="61"/>
      <c r="M892" s="61"/>
      <c r="N892" s="61"/>
      <c r="O892" s="61"/>
      <c r="P892" s="61"/>
      <c r="Q892" s="61"/>
      <c r="R892" s="61"/>
      <c r="S892" s="61"/>
      <c r="T892" s="61"/>
      <c r="U892" s="61"/>
      <c r="V892" s="61"/>
      <c r="W892" s="61"/>
      <c r="X892" s="61"/>
      <c r="Y892" s="61"/>
    </row>
    <row r="893">
      <c r="A893" s="52"/>
      <c r="B893" s="61"/>
      <c r="C893" s="61"/>
      <c r="D893" s="52"/>
      <c r="E893" s="61"/>
      <c r="F893" s="61"/>
      <c r="G893" s="61"/>
      <c r="H893" s="61"/>
      <c r="I893" s="61"/>
      <c r="J893" s="61"/>
      <c r="K893" s="61"/>
      <c r="L893" s="61"/>
      <c r="M893" s="61"/>
      <c r="N893" s="61"/>
      <c r="O893" s="61"/>
      <c r="P893" s="61"/>
      <c r="Q893" s="61"/>
      <c r="R893" s="61"/>
      <c r="S893" s="61"/>
      <c r="T893" s="61"/>
      <c r="U893" s="61"/>
      <c r="V893" s="61"/>
      <c r="W893" s="61"/>
      <c r="X893" s="61"/>
      <c r="Y893" s="61"/>
    </row>
    <row r="894">
      <c r="A894" s="52"/>
      <c r="B894" s="61"/>
      <c r="C894" s="61"/>
      <c r="D894" s="52"/>
      <c r="E894" s="61"/>
      <c r="F894" s="61"/>
      <c r="G894" s="61"/>
      <c r="H894" s="61"/>
      <c r="I894" s="61"/>
      <c r="J894" s="61"/>
      <c r="K894" s="61"/>
      <c r="L894" s="61"/>
      <c r="M894" s="61"/>
      <c r="N894" s="61"/>
      <c r="O894" s="61"/>
      <c r="P894" s="61"/>
      <c r="Q894" s="61"/>
      <c r="R894" s="61"/>
      <c r="S894" s="61"/>
      <c r="T894" s="61"/>
      <c r="U894" s="61"/>
      <c r="V894" s="61"/>
      <c r="W894" s="61"/>
      <c r="X894" s="61"/>
      <c r="Y894" s="61"/>
    </row>
    <row r="895">
      <c r="A895" s="52"/>
      <c r="B895" s="61"/>
      <c r="C895" s="61"/>
      <c r="D895" s="52"/>
      <c r="E895" s="61"/>
      <c r="F895" s="61"/>
      <c r="G895" s="61"/>
      <c r="H895" s="61"/>
      <c r="I895" s="61"/>
      <c r="J895" s="61"/>
      <c r="K895" s="61"/>
      <c r="L895" s="61"/>
      <c r="M895" s="61"/>
      <c r="N895" s="61"/>
      <c r="O895" s="61"/>
      <c r="P895" s="61"/>
      <c r="Q895" s="61"/>
      <c r="R895" s="61"/>
      <c r="S895" s="61"/>
      <c r="T895" s="61"/>
      <c r="U895" s="61"/>
      <c r="V895" s="61"/>
      <c r="W895" s="61"/>
      <c r="X895" s="61"/>
      <c r="Y895" s="61"/>
    </row>
    <row r="896">
      <c r="A896" s="52"/>
      <c r="B896" s="61"/>
      <c r="C896" s="61"/>
      <c r="D896" s="52"/>
      <c r="E896" s="61"/>
      <c r="F896" s="61"/>
      <c r="G896" s="61"/>
      <c r="H896" s="61"/>
      <c r="I896" s="61"/>
      <c r="J896" s="61"/>
      <c r="K896" s="61"/>
      <c r="L896" s="61"/>
      <c r="M896" s="61"/>
      <c r="N896" s="61"/>
      <c r="O896" s="61"/>
      <c r="P896" s="61"/>
      <c r="Q896" s="61"/>
      <c r="R896" s="61"/>
      <c r="S896" s="61"/>
      <c r="T896" s="61"/>
      <c r="U896" s="61"/>
      <c r="V896" s="61"/>
      <c r="W896" s="61"/>
      <c r="X896" s="61"/>
      <c r="Y896" s="61"/>
    </row>
    <row r="897">
      <c r="A897" s="52"/>
      <c r="B897" s="61"/>
      <c r="C897" s="61"/>
      <c r="D897" s="52"/>
      <c r="E897" s="61"/>
      <c r="F897" s="61"/>
      <c r="G897" s="61"/>
      <c r="H897" s="61"/>
      <c r="I897" s="61"/>
      <c r="J897" s="61"/>
      <c r="K897" s="61"/>
      <c r="L897" s="61"/>
      <c r="M897" s="61"/>
      <c r="N897" s="61"/>
      <c r="O897" s="61"/>
      <c r="P897" s="61"/>
      <c r="Q897" s="61"/>
      <c r="R897" s="61"/>
      <c r="S897" s="61"/>
      <c r="T897" s="61"/>
      <c r="U897" s="61"/>
      <c r="V897" s="61"/>
      <c r="W897" s="61"/>
      <c r="X897" s="61"/>
      <c r="Y897" s="61"/>
    </row>
    <row r="898">
      <c r="A898" s="52"/>
      <c r="B898" s="61"/>
      <c r="C898" s="61"/>
      <c r="D898" s="52"/>
      <c r="E898" s="61"/>
      <c r="F898" s="61"/>
      <c r="G898" s="61"/>
      <c r="H898" s="61"/>
      <c r="I898" s="61"/>
      <c r="J898" s="61"/>
      <c r="K898" s="61"/>
      <c r="L898" s="61"/>
      <c r="M898" s="61"/>
      <c r="N898" s="61"/>
      <c r="O898" s="61"/>
      <c r="P898" s="61"/>
      <c r="Q898" s="61"/>
      <c r="R898" s="61"/>
      <c r="S898" s="61"/>
      <c r="T898" s="61"/>
      <c r="U898" s="61"/>
      <c r="V898" s="61"/>
      <c r="W898" s="61"/>
      <c r="X898" s="61"/>
      <c r="Y898" s="61"/>
    </row>
    <row r="899">
      <c r="A899" s="52"/>
      <c r="B899" s="61"/>
      <c r="C899" s="61"/>
      <c r="D899" s="52"/>
      <c r="E899" s="61"/>
      <c r="F899" s="61"/>
      <c r="G899" s="61"/>
      <c r="H899" s="61"/>
      <c r="I899" s="61"/>
      <c r="J899" s="61"/>
      <c r="K899" s="61"/>
      <c r="L899" s="61"/>
      <c r="M899" s="61"/>
      <c r="N899" s="61"/>
      <c r="O899" s="61"/>
      <c r="P899" s="61"/>
      <c r="Q899" s="61"/>
      <c r="R899" s="61"/>
      <c r="S899" s="61"/>
      <c r="T899" s="61"/>
      <c r="U899" s="61"/>
      <c r="V899" s="61"/>
      <c r="W899" s="61"/>
      <c r="X899" s="61"/>
      <c r="Y899" s="61"/>
    </row>
    <row r="900">
      <c r="A900" s="52"/>
      <c r="B900" s="61"/>
      <c r="C900" s="61"/>
      <c r="D900" s="52"/>
      <c r="E900" s="61"/>
      <c r="F900" s="61"/>
      <c r="G900" s="61"/>
      <c r="H900" s="61"/>
      <c r="I900" s="61"/>
      <c r="J900" s="61"/>
      <c r="K900" s="61"/>
      <c r="L900" s="61"/>
      <c r="M900" s="61"/>
      <c r="N900" s="61"/>
      <c r="O900" s="61"/>
      <c r="P900" s="61"/>
      <c r="Q900" s="61"/>
      <c r="R900" s="61"/>
      <c r="S900" s="61"/>
      <c r="T900" s="61"/>
      <c r="U900" s="61"/>
      <c r="V900" s="61"/>
      <c r="W900" s="61"/>
      <c r="X900" s="61"/>
      <c r="Y900" s="61"/>
    </row>
    <row r="901">
      <c r="A901" s="52"/>
      <c r="B901" s="61"/>
      <c r="C901" s="61"/>
      <c r="D901" s="52"/>
      <c r="E901" s="61"/>
      <c r="F901" s="61"/>
      <c r="G901" s="61"/>
      <c r="H901" s="61"/>
      <c r="I901" s="61"/>
      <c r="J901" s="61"/>
      <c r="K901" s="61"/>
      <c r="L901" s="61"/>
      <c r="M901" s="61"/>
      <c r="N901" s="61"/>
      <c r="O901" s="61"/>
      <c r="P901" s="61"/>
      <c r="Q901" s="61"/>
      <c r="R901" s="61"/>
      <c r="S901" s="61"/>
      <c r="T901" s="61"/>
      <c r="U901" s="61"/>
      <c r="V901" s="61"/>
      <c r="W901" s="61"/>
      <c r="X901" s="61"/>
      <c r="Y901" s="61"/>
    </row>
    <row r="902">
      <c r="A902" s="52"/>
      <c r="B902" s="61"/>
      <c r="C902" s="61"/>
      <c r="D902" s="52"/>
      <c r="E902" s="61"/>
      <c r="F902" s="61"/>
      <c r="G902" s="61"/>
      <c r="H902" s="61"/>
      <c r="I902" s="61"/>
      <c r="J902" s="61"/>
      <c r="K902" s="61"/>
      <c r="L902" s="61"/>
      <c r="M902" s="61"/>
      <c r="N902" s="61"/>
      <c r="O902" s="61"/>
      <c r="P902" s="61"/>
      <c r="Q902" s="61"/>
      <c r="R902" s="61"/>
      <c r="S902" s="61"/>
      <c r="T902" s="61"/>
      <c r="U902" s="61"/>
      <c r="V902" s="61"/>
      <c r="W902" s="61"/>
      <c r="X902" s="61"/>
      <c r="Y902" s="61"/>
    </row>
    <row r="903">
      <c r="A903" s="52"/>
      <c r="B903" s="61"/>
      <c r="C903" s="61"/>
      <c r="D903" s="52"/>
      <c r="E903" s="61"/>
      <c r="F903" s="61"/>
      <c r="G903" s="61"/>
      <c r="H903" s="61"/>
      <c r="I903" s="61"/>
      <c r="J903" s="61"/>
      <c r="K903" s="61"/>
      <c r="L903" s="61"/>
      <c r="M903" s="61"/>
      <c r="N903" s="61"/>
      <c r="O903" s="61"/>
      <c r="P903" s="61"/>
      <c r="Q903" s="61"/>
      <c r="R903" s="61"/>
      <c r="S903" s="61"/>
      <c r="T903" s="61"/>
      <c r="U903" s="61"/>
      <c r="V903" s="61"/>
      <c r="W903" s="61"/>
      <c r="X903" s="61"/>
      <c r="Y903" s="61"/>
    </row>
    <row r="904">
      <c r="A904" s="52"/>
      <c r="B904" s="61"/>
      <c r="C904" s="61"/>
      <c r="D904" s="52"/>
      <c r="E904" s="61"/>
      <c r="F904" s="61"/>
      <c r="G904" s="61"/>
      <c r="H904" s="61"/>
      <c r="I904" s="61"/>
      <c r="J904" s="61"/>
      <c r="K904" s="61"/>
      <c r="L904" s="61"/>
      <c r="M904" s="61"/>
      <c r="N904" s="61"/>
      <c r="O904" s="61"/>
      <c r="P904" s="61"/>
      <c r="Q904" s="61"/>
      <c r="R904" s="61"/>
      <c r="S904" s="61"/>
      <c r="T904" s="61"/>
      <c r="U904" s="61"/>
      <c r="V904" s="61"/>
      <c r="W904" s="61"/>
      <c r="X904" s="61"/>
      <c r="Y904" s="61"/>
    </row>
    <row r="905">
      <c r="A905" s="52"/>
      <c r="B905" s="61"/>
      <c r="C905" s="61"/>
      <c r="D905" s="52"/>
      <c r="E905" s="61"/>
      <c r="F905" s="61"/>
      <c r="G905" s="61"/>
      <c r="H905" s="61"/>
      <c r="I905" s="61"/>
      <c r="J905" s="61"/>
      <c r="K905" s="61"/>
      <c r="L905" s="61"/>
      <c r="M905" s="61"/>
      <c r="N905" s="61"/>
      <c r="O905" s="61"/>
      <c r="P905" s="61"/>
      <c r="Q905" s="61"/>
      <c r="R905" s="61"/>
      <c r="S905" s="61"/>
      <c r="T905" s="61"/>
      <c r="U905" s="61"/>
      <c r="V905" s="61"/>
      <c r="W905" s="61"/>
      <c r="X905" s="61"/>
      <c r="Y905" s="61"/>
    </row>
    <row r="906">
      <c r="A906" s="52"/>
      <c r="B906" s="61"/>
      <c r="C906" s="61"/>
      <c r="D906" s="52"/>
      <c r="E906" s="61"/>
      <c r="F906" s="61"/>
      <c r="G906" s="61"/>
      <c r="H906" s="61"/>
      <c r="I906" s="61"/>
      <c r="J906" s="61"/>
      <c r="K906" s="61"/>
      <c r="L906" s="61"/>
      <c r="M906" s="61"/>
      <c r="N906" s="61"/>
      <c r="O906" s="61"/>
      <c r="P906" s="61"/>
      <c r="Q906" s="61"/>
      <c r="R906" s="61"/>
      <c r="S906" s="61"/>
      <c r="T906" s="61"/>
      <c r="U906" s="61"/>
      <c r="V906" s="61"/>
      <c r="W906" s="61"/>
      <c r="X906" s="61"/>
      <c r="Y906" s="61"/>
    </row>
    <row r="907">
      <c r="A907" s="52"/>
      <c r="B907" s="61"/>
      <c r="C907" s="61"/>
      <c r="D907" s="52"/>
      <c r="E907" s="61"/>
      <c r="F907" s="61"/>
      <c r="G907" s="61"/>
      <c r="H907" s="61"/>
      <c r="I907" s="61"/>
      <c r="J907" s="61"/>
      <c r="K907" s="61"/>
      <c r="L907" s="61"/>
      <c r="M907" s="61"/>
      <c r="N907" s="61"/>
      <c r="O907" s="61"/>
      <c r="P907" s="61"/>
      <c r="Q907" s="61"/>
      <c r="R907" s="61"/>
      <c r="S907" s="61"/>
      <c r="T907" s="61"/>
      <c r="U907" s="61"/>
      <c r="V907" s="61"/>
      <c r="W907" s="61"/>
      <c r="X907" s="61"/>
      <c r="Y907" s="61"/>
    </row>
    <row r="908">
      <c r="A908" s="52"/>
      <c r="B908" s="61"/>
      <c r="C908" s="61"/>
      <c r="D908" s="52"/>
      <c r="E908" s="61"/>
      <c r="F908" s="61"/>
      <c r="G908" s="61"/>
      <c r="H908" s="61"/>
      <c r="I908" s="61"/>
      <c r="J908" s="61"/>
      <c r="K908" s="61"/>
      <c r="L908" s="61"/>
      <c r="M908" s="61"/>
      <c r="N908" s="61"/>
      <c r="O908" s="61"/>
      <c r="P908" s="61"/>
      <c r="Q908" s="61"/>
      <c r="R908" s="61"/>
      <c r="S908" s="61"/>
      <c r="T908" s="61"/>
      <c r="U908" s="61"/>
      <c r="V908" s="61"/>
      <c r="W908" s="61"/>
      <c r="X908" s="61"/>
      <c r="Y908" s="61"/>
    </row>
    <row r="909">
      <c r="A909" s="52"/>
      <c r="B909" s="61"/>
      <c r="C909" s="61"/>
      <c r="D909" s="52"/>
      <c r="E909" s="61"/>
      <c r="F909" s="61"/>
      <c r="G909" s="61"/>
      <c r="H909" s="61"/>
      <c r="I909" s="61"/>
      <c r="J909" s="61"/>
      <c r="K909" s="61"/>
      <c r="L909" s="61"/>
      <c r="M909" s="61"/>
      <c r="N909" s="61"/>
      <c r="O909" s="61"/>
      <c r="P909" s="61"/>
      <c r="Q909" s="61"/>
      <c r="R909" s="61"/>
      <c r="S909" s="61"/>
      <c r="T909" s="61"/>
      <c r="U909" s="61"/>
      <c r="V909" s="61"/>
      <c r="W909" s="61"/>
      <c r="X909" s="61"/>
      <c r="Y909" s="61"/>
    </row>
    <row r="910">
      <c r="A910" s="52"/>
      <c r="B910" s="61"/>
      <c r="C910" s="61"/>
      <c r="D910" s="52"/>
      <c r="E910" s="61"/>
      <c r="F910" s="61"/>
      <c r="G910" s="61"/>
      <c r="H910" s="61"/>
      <c r="I910" s="61"/>
      <c r="J910" s="61"/>
      <c r="K910" s="61"/>
      <c r="L910" s="61"/>
      <c r="M910" s="61"/>
      <c r="N910" s="61"/>
      <c r="O910" s="61"/>
      <c r="P910" s="61"/>
      <c r="Q910" s="61"/>
      <c r="R910" s="61"/>
      <c r="S910" s="61"/>
      <c r="T910" s="61"/>
      <c r="U910" s="61"/>
      <c r="V910" s="61"/>
      <c r="W910" s="61"/>
      <c r="X910" s="61"/>
      <c r="Y910" s="61"/>
    </row>
    <row r="911">
      <c r="A911" s="52"/>
      <c r="B911" s="61"/>
      <c r="C911" s="61"/>
      <c r="D911" s="52"/>
      <c r="E911" s="61"/>
      <c r="F911" s="61"/>
      <c r="G911" s="61"/>
      <c r="H911" s="61"/>
      <c r="I911" s="61"/>
      <c r="J911" s="61"/>
      <c r="K911" s="61"/>
      <c r="L911" s="61"/>
      <c r="M911" s="61"/>
      <c r="N911" s="61"/>
      <c r="O911" s="61"/>
      <c r="P911" s="61"/>
      <c r="Q911" s="61"/>
      <c r="R911" s="61"/>
      <c r="S911" s="61"/>
      <c r="T911" s="61"/>
      <c r="U911" s="61"/>
      <c r="V911" s="61"/>
      <c r="W911" s="61"/>
      <c r="X911" s="61"/>
      <c r="Y911" s="61"/>
    </row>
    <row r="912">
      <c r="A912" s="52"/>
      <c r="B912" s="61"/>
      <c r="C912" s="61"/>
      <c r="D912" s="52"/>
      <c r="E912" s="61"/>
      <c r="F912" s="61"/>
      <c r="G912" s="61"/>
      <c r="H912" s="61"/>
      <c r="I912" s="61"/>
      <c r="J912" s="61"/>
      <c r="K912" s="61"/>
      <c r="L912" s="61"/>
      <c r="M912" s="61"/>
      <c r="N912" s="61"/>
      <c r="O912" s="61"/>
      <c r="P912" s="61"/>
      <c r="Q912" s="61"/>
      <c r="R912" s="61"/>
      <c r="S912" s="61"/>
      <c r="T912" s="61"/>
      <c r="U912" s="61"/>
      <c r="V912" s="61"/>
      <c r="W912" s="61"/>
      <c r="X912" s="61"/>
      <c r="Y912" s="61"/>
    </row>
    <row r="913">
      <c r="A913" s="52"/>
      <c r="B913" s="61"/>
      <c r="C913" s="61"/>
      <c r="D913" s="52"/>
      <c r="E913" s="61"/>
      <c r="F913" s="61"/>
      <c r="G913" s="61"/>
      <c r="H913" s="61"/>
      <c r="I913" s="61"/>
      <c r="J913" s="61"/>
      <c r="K913" s="61"/>
      <c r="L913" s="61"/>
      <c r="M913" s="61"/>
      <c r="N913" s="61"/>
      <c r="O913" s="61"/>
      <c r="P913" s="61"/>
      <c r="Q913" s="61"/>
      <c r="R913" s="61"/>
      <c r="S913" s="61"/>
      <c r="T913" s="61"/>
      <c r="U913" s="61"/>
      <c r="V913" s="61"/>
      <c r="W913" s="61"/>
      <c r="X913" s="61"/>
      <c r="Y913" s="61"/>
    </row>
    <row r="914">
      <c r="A914" s="52"/>
      <c r="B914" s="61"/>
      <c r="C914" s="61"/>
      <c r="D914" s="52"/>
      <c r="E914" s="61"/>
      <c r="F914" s="61"/>
      <c r="G914" s="61"/>
      <c r="H914" s="61"/>
      <c r="I914" s="61"/>
      <c r="J914" s="61"/>
      <c r="K914" s="61"/>
      <c r="L914" s="61"/>
      <c r="M914" s="61"/>
      <c r="N914" s="61"/>
      <c r="O914" s="61"/>
      <c r="P914" s="61"/>
      <c r="Q914" s="61"/>
      <c r="R914" s="61"/>
      <c r="S914" s="61"/>
      <c r="T914" s="61"/>
      <c r="U914" s="61"/>
      <c r="V914" s="61"/>
      <c r="W914" s="61"/>
      <c r="X914" s="61"/>
      <c r="Y914" s="61"/>
    </row>
    <row r="915">
      <c r="A915" s="52"/>
      <c r="B915" s="61"/>
      <c r="C915" s="61"/>
      <c r="D915" s="52"/>
      <c r="E915" s="61"/>
      <c r="F915" s="61"/>
      <c r="G915" s="61"/>
      <c r="H915" s="61"/>
      <c r="I915" s="61"/>
      <c r="J915" s="61"/>
      <c r="K915" s="61"/>
      <c r="L915" s="61"/>
      <c r="M915" s="61"/>
      <c r="N915" s="61"/>
      <c r="O915" s="61"/>
      <c r="P915" s="61"/>
      <c r="Q915" s="61"/>
      <c r="R915" s="61"/>
      <c r="S915" s="61"/>
      <c r="T915" s="61"/>
      <c r="U915" s="61"/>
      <c r="V915" s="61"/>
      <c r="W915" s="61"/>
      <c r="X915" s="61"/>
      <c r="Y915" s="61"/>
    </row>
    <row r="916">
      <c r="A916" s="52"/>
      <c r="B916" s="61"/>
      <c r="C916" s="61"/>
      <c r="D916" s="52"/>
      <c r="E916" s="61"/>
      <c r="F916" s="61"/>
      <c r="G916" s="61"/>
      <c r="H916" s="61"/>
      <c r="I916" s="61"/>
      <c r="J916" s="61"/>
      <c r="K916" s="61"/>
      <c r="L916" s="61"/>
      <c r="M916" s="61"/>
      <c r="N916" s="61"/>
      <c r="O916" s="61"/>
      <c r="P916" s="61"/>
      <c r="Q916" s="61"/>
      <c r="R916" s="61"/>
      <c r="S916" s="61"/>
      <c r="T916" s="61"/>
      <c r="U916" s="61"/>
      <c r="V916" s="61"/>
      <c r="W916" s="61"/>
      <c r="X916" s="61"/>
      <c r="Y916" s="61"/>
    </row>
    <row r="917">
      <c r="A917" s="52"/>
      <c r="B917" s="61"/>
      <c r="C917" s="61"/>
      <c r="D917" s="52"/>
      <c r="E917" s="61"/>
      <c r="F917" s="61"/>
      <c r="G917" s="61"/>
      <c r="H917" s="61"/>
      <c r="I917" s="61"/>
      <c r="J917" s="61"/>
      <c r="K917" s="61"/>
      <c r="L917" s="61"/>
      <c r="M917" s="61"/>
      <c r="N917" s="61"/>
      <c r="O917" s="61"/>
      <c r="P917" s="61"/>
      <c r="Q917" s="61"/>
      <c r="R917" s="61"/>
      <c r="S917" s="61"/>
      <c r="T917" s="61"/>
      <c r="U917" s="61"/>
      <c r="V917" s="61"/>
      <c r="W917" s="61"/>
      <c r="X917" s="61"/>
      <c r="Y917" s="61"/>
    </row>
    <row r="918">
      <c r="A918" s="52"/>
      <c r="B918" s="61"/>
      <c r="C918" s="61"/>
      <c r="D918" s="52"/>
      <c r="E918" s="61"/>
      <c r="F918" s="61"/>
      <c r="G918" s="61"/>
      <c r="H918" s="61"/>
      <c r="I918" s="61"/>
      <c r="J918" s="61"/>
      <c r="K918" s="61"/>
      <c r="L918" s="61"/>
      <c r="M918" s="61"/>
      <c r="N918" s="61"/>
      <c r="O918" s="61"/>
      <c r="P918" s="61"/>
      <c r="Q918" s="61"/>
      <c r="R918" s="61"/>
      <c r="S918" s="61"/>
      <c r="T918" s="61"/>
      <c r="U918" s="61"/>
      <c r="V918" s="61"/>
      <c r="W918" s="61"/>
      <c r="X918" s="61"/>
      <c r="Y918" s="61"/>
    </row>
    <row r="919">
      <c r="A919" s="52"/>
      <c r="B919" s="61"/>
      <c r="C919" s="61"/>
      <c r="D919" s="52"/>
      <c r="E919" s="61"/>
      <c r="F919" s="61"/>
      <c r="G919" s="61"/>
      <c r="H919" s="61"/>
      <c r="I919" s="61"/>
      <c r="J919" s="61"/>
      <c r="K919" s="61"/>
      <c r="L919" s="61"/>
      <c r="M919" s="61"/>
      <c r="N919" s="61"/>
      <c r="O919" s="61"/>
      <c r="P919" s="61"/>
      <c r="Q919" s="61"/>
      <c r="R919" s="61"/>
      <c r="S919" s="61"/>
      <c r="T919" s="61"/>
      <c r="U919" s="61"/>
      <c r="V919" s="61"/>
      <c r="W919" s="61"/>
      <c r="X919" s="61"/>
      <c r="Y919" s="61"/>
    </row>
    <row r="920">
      <c r="A920" s="52"/>
      <c r="B920" s="61"/>
      <c r="C920" s="61"/>
      <c r="D920" s="52"/>
      <c r="E920" s="61"/>
      <c r="F920" s="61"/>
      <c r="G920" s="61"/>
      <c r="H920" s="61"/>
      <c r="I920" s="61"/>
      <c r="J920" s="61"/>
      <c r="K920" s="61"/>
      <c r="L920" s="61"/>
      <c r="M920" s="61"/>
      <c r="N920" s="61"/>
      <c r="O920" s="61"/>
      <c r="P920" s="61"/>
      <c r="Q920" s="61"/>
      <c r="R920" s="61"/>
      <c r="S920" s="61"/>
      <c r="T920" s="61"/>
      <c r="U920" s="61"/>
      <c r="V920" s="61"/>
      <c r="W920" s="61"/>
      <c r="X920" s="61"/>
      <c r="Y920" s="61"/>
    </row>
    <row r="921">
      <c r="A921" s="52"/>
      <c r="B921" s="61"/>
      <c r="C921" s="61"/>
      <c r="D921" s="52"/>
      <c r="E921" s="61"/>
      <c r="F921" s="61"/>
      <c r="G921" s="61"/>
      <c r="H921" s="61"/>
      <c r="I921" s="61"/>
      <c r="J921" s="61"/>
      <c r="K921" s="61"/>
      <c r="L921" s="61"/>
      <c r="M921" s="61"/>
      <c r="N921" s="61"/>
      <c r="O921" s="61"/>
      <c r="P921" s="61"/>
      <c r="Q921" s="61"/>
      <c r="R921" s="61"/>
      <c r="S921" s="61"/>
      <c r="T921" s="61"/>
      <c r="U921" s="61"/>
      <c r="V921" s="61"/>
      <c r="W921" s="61"/>
      <c r="X921" s="61"/>
      <c r="Y921" s="61"/>
    </row>
    <row r="922">
      <c r="A922" s="52"/>
      <c r="B922" s="61"/>
      <c r="C922" s="61"/>
      <c r="D922" s="52"/>
      <c r="E922" s="61"/>
      <c r="F922" s="61"/>
      <c r="G922" s="61"/>
      <c r="H922" s="61"/>
      <c r="I922" s="61"/>
      <c r="J922" s="61"/>
      <c r="K922" s="61"/>
      <c r="L922" s="61"/>
      <c r="M922" s="61"/>
      <c r="N922" s="61"/>
      <c r="O922" s="61"/>
      <c r="P922" s="61"/>
      <c r="Q922" s="61"/>
      <c r="R922" s="61"/>
      <c r="S922" s="61"/>
      <c r="T922" s="61"/>
      <c r="U922" s="61"/>
      <c r="V922" s="61"/>
      <c r="W922" s="61"/>
      <c r="X922" s="61"/>
      <c r="Y922" s="61"/>
    </row>
    <row r="923">
      <c r="A923" s="52"/>
      <c r="B923" s="61"/>
      <c r="C923" s="61"/>
      <c r="D923" s="52"/>
      <c r="E923" s="61"/>
      <c r="F923" s="61"/>
      <c r="G923" s="61"/>
      <c r="H923" s="61"/>
      <c r="I923" s="61"/>
      <c r="J923" s="61"/>
      <c r="K923" s="61"/>
      <c r="L923" s="61"/>
      <c r="M923" s="61"/>
      <c r="N923" s="61"/>
      <c r="O923" s="61"/>
      <c r="P923" s="61"/>
      <c r="Q923" s="61"/>
      <c r="R923" s="61"/>
      <c r="S923" s="61"/>
      <c r="T923" s="61"/>
      <c r="U923" s="61"/>
      <c r="V923" s="61"/>
      <c r="W923" s="61"/>
      <c r="X923" s="61"/>
      <c r="Y923" s="61"/>
    </row>
    <row r="924">
      <c r="A924" s="52"/>
      <c r="B924" s="61"/>
      <c r="C924" s="61"/>
      <c r="D924" s="52"/>
      <c r="E924" s="61"/>
      <c r="F924" s="61"/>
      <c r="G924" s="61"/>
      <c r="H924" s="61"/>
      <c r="I924" s="61"/>
      <c r="J924" s="61"/>
      <c r="K924" s="61"/>
      <c r="L924" s="61"/>
      <c r="M924" s="61"/>
      <c r="N924" s="61"/>
      <c r="O924" s="61"/>
      <c r="P924" s="61"/>
      <c r="Q924" s="61"/>
      <c r="R924" s="61"/>
      <c r="S924" s="61"/>
      <c r="T924" s="61"/>
      <c r="U924" s="61"/>
      <c r="V924" s="61"/>
      <c r="W924" s="61"/>
      <c r="X924" s="61"/>
      <c r="Y924" s="61"/>
    </row>
    <row r="925">
      <c r="A925" s="52"/>
      <c r="B925" s="61"/>
      <c r="C925" s="61"/>
      <c r="D925" s="52"/>
      <c r="E925" s="61"/>
      <c r="F925" s="61"/>
      <c r="G925" s="61"/>
      <c r="H925" s="61"/>
      <c r="I925" s="61"/>
      <c r="J925" s="61"/>
      <c r="K925" s="61"/>
      <c r="L925" s="61"/>
      <c r="M925" s="61"/>
      <c r="N925" s="61"/>
      <c r="O925" s="61"/>
      <c r="P925" s="61"/>
      <c r="Q925" s="61"/>
      <c r="R925" s="61"/>
      <c r="S925" s="61"/>
      <c r="T925" s="61"/>
      <c r="U925" s="61"/>
      <c r="V925" s="61"/>
      <c r="W925" s="61"/>
      <c r="X925" s="61"/>
      <c r="Y925" s="61"/>
    </row>
    <row r="926">
      <c r="A926" s="52"/>
      <c r="B926" s="61"/>
      <c r="C926" s="61"/>
      <c r="D926" s="52"/>
      <c r="E926" s="61"/>
      <c r="F926" s="61"/>
      <c r="G926" s="61"/>
      <c r="H926" s="61"/>
      <c r="I926" s="61"/>
      <c r="J926" s="61"/>
      <c r="K926" s="61"/>
      <c r="L926" s="61"/>
      <c r="M926" s="61"/>
      <c r="N926" s="61"/>
      <c r="O926" s="61"/>
      <c r="P926" s="61"/>
      <c r="Q926" s="61"/>
      <c r="R926" s="61"/>
      <c r="S926" s="61"/>
      <c r="T926" s="61"/>
      <c r="U926" s="61"/>
      <c r="V926" s="61"/>
      <c r="W926" s="61"/>
      <c r="X926" s="61"/>
      <c r="Y926" s="61"/>
    </row>
    <row r="927">
      <c r="A927" s="52"/>
      <c r="B927" s="61"/>
      <c r="C927" s="61"/>
      <c r="D927" s="52"/>
      <c r="E927" s="61"/>
      <c r="F927" s="61"/>
      <c r="G927" s="61"/>
      <c r="H927" s="61"/>
      <c r="I927" s="61"/>
      <c r="J927" s="61"/>
      <c r="K927" s="61"/>
      <c r="L927" s="61"/>
      <c r="M927" s="61"/>
      <c r="N927" s="61"/>
      <c r="O927" s="61"/>
      <c r="P927" s="61"/>
      <c r="Q927" s="61"/>
      <c r="R927" s="61"/>
      <c r="S927" s="61"/>
      <c r="T927" s="61"/>
      <c r="U927" s="61"/>
      <c r="V927" s="61"/>
      <c r="W927" s="61"/>
      <c r="X927" s="61"/>
      <c r="Y927" s="61"/>
    </row>
    <row r="928">
      <c r="A928" s="52"/>
      <c r="B928" s="61"/>
      <c r="C928" s="61"/>
      <c r="D928" s="52"/>
      <c r="E928" s="61"/>
      <c r="F928" s="61"/>
      <c r="G928" s="61"/>
      <c r="H928" s="61"/>
      <c r="I928" s="61"/>
      <c r="J928" s="61"/>
      <c r="K928" s="61"/>
      <c r="L928" s="61"/>
      <c r="M928" s="61"/>
      <c r="N928" s="61"/>
      <c r="O928" s="61"/>
      <c r="P928" s="61"/>
      <c r="Q928" s="61"/>
      <c r="R928" s="61"/>
      <c r="S928" s="61"/>
      <c r="T928" s="61"/>
      <c r="U928" s="61"/>
      <c r="V928" s="61"/>
      <c r="W928" s="61"/>
      <c r="X928" s="61"/>
      <c r="Y928" s="61"/>
    </row>
    <row r="929">
      <c r="A929" s="52"/>
      <c r="B929" s="61"/>
      <c r="C929" s="61"/>
      <c r="D929" s="52"/>
      <c r="E929" s="61"/>
      <c r="F929" s="61"/>
      <c r="G929" s="61"/>
      <c r="H929" s="61"/>
      <c r="I929" s="61"/>
      <c r="J929" s="61"/>
      <c r="K929" s="61"/>
      <c r="L929" s="61"/>
      <c r="M929" s="61"/>
      <c r="N929" s="61"/>
      <c r="O929" s="61"/>
      <c r="P929" s="61"/>
      <c r="Q929" s="61"/>
      <c r="R929" s="61"/>
      <c r="S929" s="61"/>
      <c r="T929" s="61"/>
      <c r="U929" s="61"/>
      <c r="V929" s="61"/>
      <c r="W929" s="61"/>
      <c r="X929" s="61"/>
      <c r="Y929" s="61"/>
    </row>
    <row r="930">
      <c r="A930" s="52"/>
      <c r="B930" s="61"/>
      <c r="C930" s="61"/>
      <c r="D930" s="52"/>
      <c r="E930" s="61"/>
      <c r="F930" s="61"/>
      <c r="G930" s="61"/>
      <c r="H930" s="61"/>
      <c r="I930" s="61"/>
      <c r="J930" s="61"/>
      <c r="K930" s="61"/>
      <c r="L930" s="61"/>
      <c r="M930" s="61"/>
      <c r="N930" s="61"/>
      <c r="O930" s="61"/>
      <c r="P930" s="61"/>
      <c r="Q930" s="61"/>
      <c r="R930" s="61"/>
      <c r="S930" s="61"/>
      <c r="T930" s="61"/>
      <c r="U930" s="61"/>
      <c r="V930" s="61"/>
      <c r="W930" s="61"/>
      <c r="X930" s="61"/>
      <c r="Y930" s="61"/>
    </row>
    <row r="931">
      <c r="A931" s="52"/>
      <c r="B931" s="61"/>
      <c r="C931" s="61"/>
      <c r="D931" s="52"/>
      <c r="E931" s="61"/>
      <c r="F931" s="61"/>
      <c r="G931" s="61"/>
      <c r="H931" s="61"/>
      <c r="I931" s="61"/>
      <c r="J931" s="61"/>
      <c r="K931" s="61"/>
      <c r="L931" s="61"/>
      <c r="M931" s="61"/>
      <c r="N931" s="61"/>
      <c r="O931" s="61"/>
      <c r="P931" s="61"/>
      <c r="Q931" s="61"/>
      <c r="R931" s="61"/>
      <c r="S931" s="61"/>
      <c r="T931" s="61"/>
      <c r="U931" s="61"/>
      <c r="V931" s="61"/>
      <c r="W931" s="61"/>
      <c r="X931" s="61"/>
      <c r="Y931" s="61"/>
    </row>
    <row r="932">
      <c r="A932" s="52"/>
      <c r="B932" s="61"/>
      <c r="C932" s="61"/>
      <c r="D932" s="52"/>
      <c r="E932" s="61"/>
      <c r="F932" s="61"/>
      <c r="G932" s="61"/>
      <c r="H932" s="61"/>
      <c r="I932" s="61"/>
      <c r="J932" s="61"/>
      <c r="K932" s="61"/>
      <c r="L932" s="61"/>
      <c r="M932" s="61"/>
      <c r="N932" s="61"/>
      <c r="O932" s="61"/>
      <c r="P932" s="61"/>
      <c r="Q932" s="61"/>
      <c r="R932" s="61"/>
      <c r="S932" s="61"/>
      <c r="T932" s="61"/>
      <c r="U932" s="61"/>
      <c r="V932" s="61"/>
      <c r="W932" s="61"/>
      <c r="X932" s="61"/>
      <c r="Y932" s="61"/>
    </row>
    <row r="933">
      <c r="A933" s="52"/>
      <c r="B933" s="61"/>
      <c r="C933" s="61"/>
      <c r="D933" s="52"/>
      <c r="E933" s="61"/>
      <c r="F933" s="61"/>
      <c r="G933" s="61"/>
      <c r="H933" s="61"/>
      <c r="I933" s="61"/>
      <c r="J933" s="61"/>
      <c r="K933" s="61"/>
      <c r="L933" s="61"/>
      <c r="M933" s="61"/>
      <c r="N933" s="61"/>
      <c r="O933" s="61"/>
      <c r="P933" s="61"/>
      <c r="Q933" s="61"/>
      <c r="R933" s="61"/>
      <c r="S933" s="61"/>
      <c r="T933" s="61"/>
      <c r="U933" s="61"/>
      <c r="V933" s="61"/>
      <c r="W933" s="61"/>
      <c r="X933" s="61"/>
      <c r="Y933" s="61"/>
    </row>
    <row r="934">
      <c r="A934" s="52"/>
      <c r="B934" s="61"/>
      <c r="C934" s="61"/>
      <c r="D934" s="52"/>
      <c r="E934" s="61"/>
      <c r="F934" s="61"/>
      <c r="G934" s="61"/>
      <c r="H934" s="61"/>
      <c r="I934" s="61"/>
      <c r="J934" s="61"/>
      <c r="K934" s="61"/>
      <c r="L934" s="61"/>
      <c r="M934" s="61"/>
      <c r="N934" s="61"/>
      <c r="O934" s="61"/>
      <c r="P934" s="61"/>
      <c r="Q934" s="61"/>
      <c r="R934" s="61"/>
      <c r="S934" s="61"/>
      <c r="T934" s="61"/>
      <c r="U934" s="61"/>
      <c r="V934" s="61"/>
      <c r="W934" s="61"/>
      <c r="X934" s="61"/>
      <c r="Y934" s="61"/>
    </row>
    <row r="935">
      <c r="A935" s="52"/>
      <c r="B935" s="61"/>
      <c r="C935" s="61"/>
      <c r="D935" s="52"/>
      <c r="E935" s="61"/>
      <c r="F935" s="61"/>
      <c r="G935" s="61"/>
      <c r="H935" s="61"/>
      <c r="I935" s="61"/>
      <c r="J935" s="61"/>
      <c r="K935" s="61"/>
      <c r="L935" s="61"/>
      <c r="M935" s="61"/>
      <c r="N935" s="61"/>
      <c r="O935" s="61"/>
      <c r="P935" s="61"/>
      <c r="Q935" s="61"/>
      <c r="R935" s="61"/>
      <c r="S935" s="61"/>
      <c r="T935" s="61"/>
      <c r="U935" s="61"/>
      <c r="V935" s="61"/>
      <c r="W935" s="61"/>
      <c r="X935" s="61"/>
      <c r="Y935" s="61"/>
    </row>
    <row r="936">
      <c r="A936" s="52"/>
      <c r="B936" s="61"/>
      <c r="C936" s="61"/>
      <c r="D936" s="52"/>
      <c r="E936" s="61"/>
      <c r="F936" s="61"/>
      <c r="G936" s="61"/>
      <c r="H936" s="61"/>
      <c r="I936" s="61"/>
      <c r="J936" s="61"/>
      <c r="K936" s="61"/>
      <c r="L936" s="61"/>
      <c r="M936" s="61"/>
      <c r="N936" s="61"/>
      <c r="O936" s="61"/>
      <c r="P936" s="61"/>
      <c r="Q936" s="61"/>
      <c r="R936" s="61"/>
      <c r="S936" s="61"/>
      <c r="T936" s="61"/>
      <c r="U936" s="61"/>
      <c r="V936" s="61"/>
      <c r="W936" s="61"/>
      <c r="X936" s="61"/>
      <c r="Y936" s="61"/>
    </row>
    <row r="937">
      <c r="A937" s="52"/>
      <c r="B937" s="61"/>
      <c r="C937" s="61"/>
      <c r="D937" s="52"/>
      <c r="E937" s="61"/>
      <c r="F937" s="61"/>
      <c r="G937" s="61"/>
      <c r="H937" s="61"/>
      <c r="I937" s="61"/>
      <c r="J937" s="61"/>
      <c r="K937" s="61"/>
      <c r="L937" s="61"/>
      <c r="M937" s="61"/>
      <c r="N937" s="61"/>
      <c r="O937" s="61"/>
      <c r="P937" s="61"/>
      <c r="Q937" s="61"/>
      <c r="R937" s="61"/>
      <c r="S937" s="61"/>
      <c r="T937" s="61"/>
      <c r="U937" s="61"/>
      <c r="V937" s="61"/>
      <c r="W937" s="61"/>
      <c r="X937" s="61"/>
      <c r="Y937" s="61"/>
    </row>
    <row r="938">
      <c r="A938" s="52"/>
      <c r="B938" s="61"/>
      <c r="C938" s="61"/>
      <c r="D938" s="52"/>
      <c r="E938" s="61"/>
      <c r="F938" s="61"/>
      <c r="G938" s="61"/>
      <c r="H938" s="61"/>
      <c r="I938" s="61"/>
      <c r="J938" s="61"/>
      <c r="K938" s="61"/>
      <c r="L938" s="61"/>
      <c r="M938" s="61"/>
      <c r="N938" s="61"/>
      <c r="O938" s="61"/>
      <c r="P938" s="61"/>
      <c r="Q938" s="61"/>
      <c r="R938" s="61"/>
      <c r="S938" s="61"/>
      <c r="T938" s="61"/>
      <c r="U938" s="61"/>
      <c r="V938" s="61"/>
      <c r="W938" s="61"/>
      <c r="X938" s="61"/>
      <c r="Y938" s="61"/>
    </row>
    <row r="939">
      <c r="A939" s="52"/>
      <c r="B939" s="61"/>
      <c r="C939" s="61"/>
      <c r="D939" s="52"/>
      <c r="E939" s="61"/>
      <c r="F939" s="61"/>
      <c r="G939" s="61"/>
      <c r="H939" s="61"/>
      <c r="I939" s="61"/>
      <c r="J939" s="61"/>
      <c r="K939" s="61"/>
      <c r="L939" s="61"/>
      <c r="M939" s="61"/>
      <c r="N939" s="61"/>
      <c r="O939" s="61"/>
      <c r="P939" s="61"/>
      <c r="Q939" s="61"/>
      <c r="R939" s="61"/>
      <c r="S939" s="61"/>
      <c r="T939" s="61"/>
      <c r="U939" s="61"/>
      <c r="V939" s="61"/>
      <c r="W939" s="61"/>
      <c r="X939" s="61"/>
      <c r="Y939" s="61"/>
    </row>
    <row r="940">
      <c r="A940" s="52"/>
      <c r="B940" s="61"/>
      <c r="C940" s="61"/>
      <c r="D940" s="52"/>
      <c r="E940" s="61"/>
      <c r="F940" s="61"/>
      <c r="G940" s="61"/>
      <c r="H940" s="61"/>
      <c r="I940" s="61"/>
      <c r="J940" s="61"/>
      <c r="K940" s="61"/>
      <c r="L940" s="61"/>
      <c r="M940" s="61"/>
      <c r="N940" s="61"/>
      <c r="O940" s="61"/>
      <c r="P940" s="61"/>
      <c r="Q940" s="61"/>
      <c r="R940" s="61"/>
      <c r="S940" s="61"/>
      <c r="T940" s="61"/>
      <c r="U940" s="61"/>
      <c r="V940" s="61"/>
      <c r="W940" s="61"/>
      <c r="X940" s="61"/>
      <c r="Y940" s="61"/>
    </row>
    <row r="941">
      <c r="A941" s="52"/>
      <c r="B941" s="61"/>
      <c r="C941" s="61"/>
      <c r="D941" s="52"/>
      <c r="E941" s="61"/>
      <c r="F941" s="61"/>
      <c r="G941" s="61"/>
      <c r="H941" s="61"/>
      <c r="I941" s="61"/>
      <c r="J941" s="61"/>
      <c r="K941" s="61"/>
      <c r="L941" s="61"/>
      <c r="M941" s="61"/>
      <c r="N941" s="61"/>
      <c r="O941" s="61"/>
      <c r="P941" s="61"/>
      <c r="Q941" s="61"/>
      <c r="R941" s="61"/>
      <c r="S941" s="61"/>
      <c r="T941" s="61"/>
      <c r="U941" s="61"/>
      <c r="V941" s="61"/>
      <c r="W941" s="61"/>
      <c r="X941" s="61"/>
      <c r="Y941" s="61"/>
    </row>
    <row r="942">
      <c r="A942" s="52"/>
      <c r="B942" s="61"/>
      <c r="C942" s="61"/>
      <c r="D942" s="52"/>
      <c r="E942" s="61"/>
      <c r="F942" s="61"/>
      <c r="G942" s="61"/>
      <c r="H942" s="61"/>
      <c r="I942" s="61"/>
      <c r="J942" s="61"/>
      <c r="K942" s="61"/>
      <c r="L942" s="61"/>
      <c r="M942" s="61"/>
      <c r="N942" s="61"/>
      <c r="O942" s="61"/>
      <c r="P942" s="61"/>
      <c r="Q942" s="61"/>
      <c r="R942" s="61"/>
      <c r="S942" s="61"/>
      <c r="T942" s="61"/>
      <c r="U942" s="61"/>
      <c r="V942" s="61"/>
      <c r="W942" s="61"/>
      <c r="X942" s="61"/>
      <c r="Y942" s="61"/>
    </row>
    <row r="943">
      <c r="A943" s="52"/>
      <c r="B943" s="61"/>
      <c r="C943" s="61"/>
      <c r="D943" s="52"/>
      <c r="E943" s="61"/>
      <c r="F943" s="61"/>
      <c r="G943" s="61"/>
      <c r="H943" s="61"/>
      <c r="I943" s="61"/>
      <c r="J943" s="61"/>
      <c r="K943" s="61"/>
      <c r="L943" s="61"/>
      <c r="M943" s="61"/>
      <c r="N943" s="61"/>
      <c r="O943" s="61"/>
      <c r="P943" s="61"/>
      <c r="Q943" s="61"/>
      <c r="R943" s="61"/>
      <c r="S943" s="61"/>
      <c r="T943" s="61"/>
      <c r="U943" s="61"/>
      <c r="V943" s="61"/>
      <c r="W943" s="61"/>
      <c r="X943" s="61"/>
      <c r="Y943" s="61"/>
    </row>
    <row r="944">
      <c r="A944" s="52"/>
      <c r="B944" s="61"/>
      <c r="C944" s="61"/>
      <c r="D944" s="52"/>
      <c r="E944" s="61"/>
      <c r="F944" s="61"/>
      <c r="G944" s="61"/>
      <c r="H944" s="61"/>
      <c r="I944" s="61"/>
      <c r="J944" s="61"/>
      <c r="K944" s="61"/>
      <c r="L944" s="61"/>
      <c r="M944" s="61"/>
      <c r="N944" s="61"/>
      <c r="O944" s="61"/>
      <c r="P944" s="61"/>
      <c r="Q944" s="61"/>
      <c r="R944" s="61"/>
      <c r="S944" s="61"/>
      <c r="T944" s="61"/>
      <c r="U944" s="61"/>
      <c r="V944" s="61"/>
      <c r="W944" s="61"/>
      <c r="X944" s="61"/>
      <c r="Y944" s="61"/>
    </row>
    <row r="945">
      <c r="A945" s="52"/>
      <c r="B945" s="61"/>
      <c r="C945" s="61"/>
      <c r="D945" s="52"/>
      <c r="E945" s="61"/>
      <c r="F945" s="61"/>
      <c r="G945" s="61"/>
      <c r="H945" s="61"/>
      <c r="I945" s="61"/>
      <c r="J945" s="61"/>
      <c r="K945" s="61"/>
      <c r="L945" s="61"/>
      <c r="M945" s="61"/>
      <c r="N945" s="61"/>
      <c r="O945" s="61"/>
      <c r="P945" s="61"/>
      <c r="Q945" s="61"/>
      <c r="R945" s="61"/>
      <c r="S945" s="61"/>
      <c r="T945" s="61"/>
      <c r="U945" s="61"/>
      <c r="V945" s="61"/>
      <c r="W945" s="61"/>
      <c r="X945" s="61"/>
      <c r="Y945" s="61"/>
    </row>
    <row r="946">
      <c r="A946" s="52"/>
      <c r="B946" s="61"/>
      <c r="C946" s="61"/>
      <c r="D946" s="52"/>
      <c r="E946" s="61"/>
      <c r="F946" s="61"/>
      <c r="G946" s="61"/>
      <c r="H946" s="61"/>
      <c r="I946" s="61"/>
      <c r="J946" s="61"/>
      <c r="K946" s="61"/>
      <c r="L946" s="61"/>
      <c r="M946" s="61"/>
      <c r="N946" s="61"/>
      <c r="O946" s="61"/>
      <c r="P946" s="61"/>
      <c r="Q946" s="61"/>
      <c r="R946" s="61"/>
      <c r="S946" s="61"/>
      <c r="T946" s="61"/>
      <c r="U946" s="61"/>
      <c r="V946" s="61"/>
      <c r="W946" s="61"/>
      <c r="X946" s="61"/>
      <c r="Y946" s="61"/>
    </row>
    <row r="947">
      <c r="A947" s="52"/>
      <c r="B947" s="61"/>
      <c r="C947" s="61"/>
      <c r="D947" s="52"/>
      <c r="E947" s="61"/>
      <c r="F947" s="61"/>
      <c r="G947" s="61"/>
      <c r="H947" s="61"/>
      <c r="I947" s="61"/>
      <c r="J947" s="61"/>
      <c r="K947" s="61"/>
      <c r="L947" s="61"/>
      <c r="M947" s="61"/>
      <c r="N947" s="61"/>
      <c r="O947" s="61"/>
      <c r="P947" s="61"/>
      <c r="Q947" s="61"/>
      <c r="R947" s="61"/>
      <c r="S947" s="61"/>
      <c r="T947" s="61"/>
      <c r="U947" s="61"/>
      <c r="V947" s="61"/>
      <c r="W947" s="61"/>
      <c r="X947" s="61"/>
      <c r="Y947" s="61"/>
    </row>
    <row r="948">
      <c r="A948" s="52"/>
      <c r="B948" s="61"/>
      <c r="C948" s="61"/>
      <c r="D948" s="52"/>
      <c r="E948" s="61"/>
      <c r="F948" s="61"/>
      <c r="G948" s="61"/>
      <c r="H948" s="61"/>
      <c r="I948" s="61"/>
      <c r="J948" s="61"/>
      <c r="K948" s="61"/>
      <c r="L948" s="61"/>
      <c r="M948" s="61"/>
      <c r="N948" s="61"/>
      <c r="O948" s="61"/>
      <c r="P948" s="61"/>
      <c r="Q948" s="61"/>
      <c r="R948" s="61"/>
      <c r="S948" s="61"/>
      <c r="T948" s="61"/>
      <c r="U948" s="61"/>
      <c r="V948" s="61"/>
      <c r="W948" s="61"/>
      <c r="X948" s="61"/>
      <c r="Y948" s="61"/>
    </row>
    <row r="949">
      <c r="A949" s="52"/>
      <c r="B949" s="61"/>
      <c r="C949" s="61"/>
      <c r="D949" s="52"/>
      <c r="E949" s="61"/>
      <c r="F949" s="61"/>
      <c r="G949" s="61"/>
      <c r="H949" s="61"/>
      <c r="I949" s="61"/>
      <c r="J949" s="61"/>
      <c r="K949" s="61"/>
      <c r="L949" s="61"/>
      <c r="M949" s="61"/>
      <c r="N949" s="61"/>
      <c r="O949" s="61"/>
      <c r="P949" s="61"/>
      <c r="Q949" s="61"/>
      <c r="R949" s="61"/>
      <c r="S949" s="61"/>
      <c r="T949" s="61"/>
      <c r="U949" s="61"/>
      <c r="V949" s="61"/>
      <c r="W949" s="61"/>
      <c r="X949" s="61"/>
      <c r="Y949" s="61"/>
    </row>
    <row r="950">
      <c r="A950" s="52"/>
      <c r="B950" s="61"/>
      <c r="C950" s="61"/>
      <c r="D950" s="52"/>
      <c r="E950" s="61"/>
      <c r="F950" s="61"/>
      <c r="G950" s="61"/>
      <c r="H950" s="61"/>
      <c r="I950" s="61"/>
      <c r="J950" s="61"/>
      <c r="K950" s="61"/>
      <c r="L950" s="61"/>
      <c r="M950" s="61"/>
      <c r="N950" s="61"/>
      <c r="O950" s="61"/>
      <c r="P950" s="61"/>
      <c r="Q950" s="61"/>
      <c r="R950" s="61"/>
      <c r="S950" s="61"/>
      <c r="T950" s="61"/>
      <c r="U950" s="61"/>
      <c r="V950" s="61"/>
      <c r="W950" s="61"/>
      <c r="X950" s="61"/>
      <c r="Y950" s="61"/>
    </row>
    <row r="951">
      <c r="A951" s="52"/>
      <c r="B951" s="61"/>
      <c r="C951" s="61"/>
      <c r="D951" s="52"/>
      <c r="E951" s="61"/>
      <c r="F951" s="61"/>
      <c r="G951" s="61"/>
      <c r="H951" s="61"/>
      <c r="I951" s="61"/>
      <c r="J951" s="61"/>
      <c r="K951" s="61"/>
      <c r="L951" s="61"/>
      <c r="M951" s="61"/>
      <c r="N951" s="61"/>
      <c r="O951" s="61"/>
      <c r="P951" s="61"/>
      <c r="Q951" s="61"/>
      <c r="R951" s="61"/>
      <c r="S951" s="61"/>
      <c r="T951" s="61"/>
      <c r="U951" s="61"/>
      <c r="V951" s="61"/>
      <c r="W951" s="61"/>
      <c r="X951" s="61"/>
      <c r="Y951" s="61"/>
    </row>
    <row r="952">
      <c r="A952" s="52"/>
      <c r="B952" s="61"/>
      <c r="C952" s="61"/>
      <c r="D952" s="52"/>
      <c r="E952" s="61"/>
      <c r="F952" s="61"/>
      <c r="G952" s="61"/>
      <c r="H952" s="61"/>
      <c r="I952" s="61"/>
      <c r="J952" s="61"/>
      <c r="K952" s="61"/>
      <c r="L952" s="61"/>
      <c r="M952" s="61"/>
      <c r="N952" s="61"/>
      <c r="O952" s="61"/>
      <c r="P952" s="61"/>
      <c r="Q952" s="61"/>
      <c r="R952" s="61"/>
      <c r="S952" s="61"/>
      <c r="T952" s="61"/>
      <c r="U952" s="61"/>
      <c r="V952" s="61"/>
      <c r="W952" s="61"/>
      <c r="X952" s="61"/>
      <c r="Y952" s="61"/>
    </row>
    <row r="953">
      <c r="A953" s="52"/>
      <c r="B953" s="61"/>
      <c r="C953" s="61"/>
      <c r="D953" s="52"/>
      <c r="E953" s="61"/>
      <c r="F953" s="61"/>
      <c r="G953" s="61"/>
      <c r="H953" s="61"/>
      <c r="I953" s="61"/>
      <c r="J953" s="61"/>
      <c r="K953" s="61"/>
      <c r="L953" s="61"/>
      <c r="M953" s="61"/>
      <c r="N953" s="61"/>
      <c r="O953" s="61"/>
      <c r="P953" s="61"/>
      <c r="Q953" s="61"/>
      <c r="R953" s="61"/>
      <c r="S953" s="61"/>
      <c r="T953" s="61"/>
      <c r="U953" s="61"/>
      <c r="V953" s="61"/>
      <c r="W953" s="61"/>
      <c r="X953" s="61"/>
      <c r="Y953" s="61"/>
    </row>
    <row r="954">
      <c r="A954" s="52"/>
      <c r="B954" s="61"/>
      <c r="C954" s="61"/>
      <c r="D954" s="52"/>
      <c r="E954" s="61"/>
      <c r="F954" s="61"/>
      <c r="G954" s="61"/>
      <c r="H954" s="61"/>
      <c r="I954" s="61"/>
      <c r="J954" s="61"/>
      <c r="K954" s="61"/>
      <c r="L954" s="61"/>
      <c r="M954" s="61"/>
      <c r="N954" s="61"/>
      <c r="O954" s="61"/>
      <c r="P954" s="61"/>
      <c r="Q954" s="61"/>
      <c r="R954" s="61"/>
      <c r="S954" s="61"/>
      <c r="T954" s="61"/>
      <c r="U954" s="61"/>
      <c r="V954" s="61"/>
      <c r="W954" s="61"/>
      <c r="X954" s="61"/>
      <c r="Y954" s="61"/>
    </row>
    <row r="955">
      <c r="A955" s="52"/>
      <c r="B955" s="61"/>
      <c r="C955" s="61"/>
      <c r="D955" s="52"/>
      <c r="E955" s="61"/>
      <c r="F955" s="61"/>
      <c r="G955" s="61"/>
      <c r="H955" s="61"/>
      <c r="I955" s="61"/>
      <c r="J955" s="61"/>
      <c r="K955" s="61"/>
      <c r="L955" s="61"/>
      <c r="M955" s="61"/>
      <c r="N955" s="61"/>
      <c r="O955" s="61"/>
      <c r="P955" s="61"/>
      <c r="Q955" s="61"/>
      <c r="R955" s="61"/>
      <c r="S955" s="61"/>
      <c r="T955" s="61"/>
      <c r="U955" s="61"/>
      <c r="V955" s="61"/>
      <c r="W955" s="61"/>
      <c r="X955" s="61"/>
      <c r="Y955" s="61"/>
    </row>
    <row r="956">
      <c r="A956" s="52"/>
      <c r="B956" s="61"/>
      <c r="C956" s="61"/>
      <c r="D956" s="52"/>
      <c r="E956" s="61"/>
      <c r="F956" s="61"/>
      <c r="G956" s="61"/>
      <c r="H956" s="61"/>
      <c r="I956" s="61"/>
      <c r="J956" s="61"/>
      <c r="K956" s="61"/>
      <c r="L956" s="61"/>
      <c r="M956" s="61"/>
      <c r="N956" s="61"/>
      <c r="O956" s="61"/>
      <c r="P956" s="61"/>
      <c r="Q956" s="61"/>
      <c r="R956" s="61"/>
      <c r="S956" s="61"/>
      <c r="T956" s="61"/>
      <c r="U956" s="61"/>
      <c r="V956" s="61"/>
      <c r="W956" s="61"/>
      <c r="X956" s="61"/>
      <c r="Y956" s="61"/>
    </row>
    <row r="957">
      <c r="A957" s="52"/>
      <c r="B957" s="61"/>
      <c r="C957" s="61"/>
      <c r="D957" s="52"/>
      <c r="E957" s="61"/>
      <c r="F957" s="61"/>
      <c r="G957" s="61"/>
      <c r="H957" s="61"/>
      <c r="I957" s="61"/>
      <c r="J957" s="61"/>
      <c r="K957" s="61"/>
      <c r="L957" s="61"/>
      <c r="M957" s="61"/>
      <c r="N957" s="61"/>
      <c r="O957" s="61"/>
      <c r="P957" s="61"/>
      <c r="Q957" s="61"/>
      <c r="R957" s="61"/>
      <c r="S957" s="61"/>
      <c r="T957" s="61"/>
      <c r="U957" s="61"/>
      <c r="V957" s="61"/>
      <c r="W957" s="61"/>
      <c r="X957" s="61"/>
      <c r="Y957" s="61"/>
    </row>
    <row r="958">
      <c r="A958" s="52"/>
      <c r="B958" s="61"/>
      <c r="C958" s="61"/>
      <c r="D958" s="52"/>
      <c r="E958" s="61"/>
      <c r="F958" s="61"/>
      <c r="G958" s="61"/>
      <c r="H958" s="61"/>
      <c r="I958" s="61"/>
      <c r="J958" s="61"/>
      <c r="K958" s="61"/>
      <c r="L958" s="61"/>
      <c r="M958" s="61"/>
      <c r="N958" s="61"/>
      <c r="O958" s="61"/>
      <c r="P958" s="61"/>
      <c r="Q958" s="61"/>
      <c r="R958" s="61"/>
      <c r="S958" s="61"/>
      <c r="T958" s="61"/>
      <c r="U958" s="61"/>
      <c r="V958" s="61"/>
      <c r="W958" s="61"/>
      <c r="X958" s="61"/>
      <c r="Y958" s="61"/>
    </row>
    <row r="959">
      <c r="A959" s="52"/>
      <c r="B959" s="61"/>
      <c r="C959" s="61"/>
      <c r="D959" s="52"/>
      <c r="E959" s="61"/>
      <c r="F959" s="61"/>
      <c r="G959" s="61"/>
      <c r="H959" s="61"/>
      <c r="I959" s="61"/>
      <c r="J959" s="61"/>
      <c r="K959" s="61"/>
      <c r="L959" s="61"/>
      <c r="M959" s="61"/>
      <c r="N959" s="61"/>
      <c r="O959" s="61"/>
      <c r="P959" s="61"/>
      <c r="Q959" s="61"/>
      <c r="R959" s="61"/>
      <c r="S959" s="61"/>
      <c r="T959" s="61"/>
      <c r="U959" s="61"/>
      <c r="V959" s="61"/>
      <c r="W959" s="61"/>
      <c r="X959" s="61"/>
      <c r="Y959" s="61"/>
    </row>
    <row r="960">
      <c r="A960" s="52"/>
      <c r="B960" s="61"/>
      <c r="C960" s="61"/>
      <c r="D960" s="52"/>
      <c r="E960" s="61"/>
      <c r="F960" s="61"/>
      <c r="G960" s="61"/>
      <c r="H960" s="61"/>
      <c r="I960" s="61"/>
      <c r="J960" s="61"/>
      <c r="K960" s="61"/>
      <c r="L960" s="61"/>
      <c r="M960" s="61"/>
      <c r="N960" s="61"/>
      <c r="O960" s="61"/>
      <c r="P960" s="61"/>
      <c r="Q960" s="61"/>
      <c r="R960" s="61"/>
      <c r="S960" s="61"/>
      <c r="T960" s="61"/>
      <c r="U960" s="61"/>
      <c r="V960" s="61"/>
      <c r="W960" s="61"/>
      <c r="X960" s="61"/>
      <c r="Y960" s="61"/>
    </row>
    <row r="961">
      <c r="A961" s="52"/>
      <c r="B961" s="61"/>
      <c r="C961" s="61"/>
      <c r="D961" s="52"/>
      <c r="E961" s="61"/>
      <c r="F961" s="61"/>
      <c r="G961" s="61"/>
      <c r="H961" s="61"/>
      <c r="I961" s="61"/>
      <c r="J961" s="61"/>
      <c r="K961" s="61"/>
      <c r="L961" s="61"/>
      <c r="M961" s="61"/>
      <c r="N961" s="61"/>
      <c r="O961" s="61"/>
      <c r="P961" s="61"/>
      <c r="Q961" s="61"/>
      <c r="R961" s="61"/>
      <c r="S961" s="61"/>
      <c r="T961" s="61"/>
      <c r="U961" s="61"/>
      <c r="V961" s="61"/>
      <c r="W961" s="61"/>
      <c r="X961" s="61"/>
      <c r="Y961" s="61"/>
    </row>
    <row r="962">
      <c r="A962" s="52"/>
      <c r="B962" s="61"/>
      <c r="C962" s="61"/>
      <c r="D962" s="52"/>
      <c r="E962" s="61"/>
      <c r="F962" s="61"/>
      <c r="G962" s="61"/>
      <c r="H962" s="61"/>
      <c r="I962" s="61"/>
      <c r="J962" s="61"/>
      <c r="K962" s="61"/>
      <c r="L962" s="61"/>
      <c r="M962" s="61"/>
      <c r="N962" s="61"/>
      <c r="O962" s="61"/>
      <c r="P962" s="61"/>
      <c r="Q962" s="61"/>
      <c r="R962" s="61"/>
      <c r="S962" s="61"/>
      <c r="T962" s="61"/>
      <c r="U962" s="61"/>
      <c r="V962" s="61"/>
      <c r="W962" s="61"/>
      <c r="X962" s="61"/>
      <c r="Y962" s="61"/>
    </row>
    <row r="963">
      <c r="A963" s="52"/>
      <c r="B963" s="61"/>
      <c r="C963" s="61"/>
      <c r="D963" s="52"/>
      <c r="E963" s="61"/>
      <c r="F963" s="61"/>
      <c r="G963" s="61"/>
      <c r="H963" s="61"/>
      <c r="I963" s="61"/>
      <c r="J963" s="61"/>
      <c r="K963" s="61"/>
      <c r="L963" s="61"/>
      <c r="M963" s="61"/>
      <c r="N963" s="61"/>
      <c r="O963" s="61"/>
      <c r="P963" s="61"/>
      <c r="Q963" s="61"/>
      <c r="R963" s="61"/>
      <c r="S963" s="61"/>
      <c r="T963" s="61"/>
      <c r="U963" s="61"/>
      <c r="V963" s="61"/>
      <c r="W963" s="61"/>
      <c r="X963" s="61"/>
      <c r="Y963" s="61"/>
    </row>
    <row r="964">
      <c r="A964" s="52"/>
      <c r="B964" s="61"/>
      <c r="C964" s="61"/>
      <c r="D964" s="52"/>
      <c r="E964" s="61"/>
      <c r="F964" s="61"/>
      <c r="G964" s="61"/>
      <c r="H964" s="61"/>
      <c r="I964" s="61"/>
      <c r="J964" s="61"/>
      <c r="K964" s="61"/>
      <c r="L964" s="61"/>
      <c r="M964" s="61"/>
      <c r="N964" s="61"/>
      <c r="O964" s="61"/>
      <c r="P964" s="61"/>
      <c r="Q964" s="61"/>
      <c r="R964" s="61"/>
      <c r="S964" s="61"/>
      <c r="T964" s="61"/>
      <c r="U964" s="61"/>
      <c r="V964" s="61"/>
      <c r="W964" s="61"/>
      <c r="X964" s="61"/>
      <c r="Y964" s="61"/>
    </row>
    <row r="965">
      <c r="A965" s="52"/>
      <c r="B965" s="61"/>
      <c r="C965" s="61"/>
      <c r="D965" s="52"/>
      <c r="E965" s="61"/>
      <c r="F965" s="61"/>
      <c r="G965" s="61"/>
      <c r="H965" s="61"/>
      <c r="I965" s="61"/>
      <c r="J965" s="61"/>
      <c r="K965" s="61"/>
      <c r="L965" s="61"/>
      <c r="M965" s="61"/>
      <c r="N965" s="61"/>
      <c r="O965" s="61"/>
      <c r="P965" s="61"/>
      <c r="Q965" s="61"/>
      <c r="R965" s="61"/>
      <c r="S965" s="61"/>
      <c r="T965" s="61"/>
      <c r="U965" s="61"/>
      <c r="V965" s="61"/>
      <c r="W965" s="61"/>
      <c r="X965" s="61"/>
      <c r="Y965" s="61"/>
    </row>
    <row r="966">
      <c r="A966" s="52"/>
      <c r="B966" s="61"/>
      <c r="C966" s="61"/>
      <c r="D966" s="52"/>
      <c r="E966" s="61"/>
      <c r="F966" s="61"/>
      <c r="G966" s="61"/>
      <c r="H966" s="61"/>
      <c r="I966" s="61"/>
      <c r="J966" s="61"/>
      <c r="K966" s="61"/>
      <c r="L966" s="61"/>
      <c r="M966" s="61"/>
      <c r="N966" s="61"/>
      <c r="O966" s="61"/>
      <c r="P966" s="61"/>
      <c r="Q966" s="61"/>
      <c r="R966" s="61"/>
      <c r="S966" s="61"/>
      <c r="T966" s="61"/>
      <c r="U966" s="61"/>
      <c r="V966" s="61"/>
      <c r="W966" s="61"/>
      <c r="X966" s="61"/>
      <c r="Y966" s="61"/>
    </row>
    <row r="967">
      <c r="A967" s="52"/>
      <c r="B967" s="61"/>
      <c r="C967" s="61"/>
      <c r="D967" s="52"/>
      <c r="E967" s="61"/>
      <c r="F967" s="61"/>
      <c r="G967" s="61"/>
      <c r="H967" s="61"/>
      <c r="I967" s="61"/>
      <c r="J967" s="61"/>
      <c r="K967" s="61"/>
      <c r="L967" s="61"/>
      <c r="M967" s="61"/>
      <c r="N967" s="61"/>
      <c r="O967" s="61"/>
      <c r="P967" s="61"/>
      <c r="Q967" s="61"/>
      <c r="R967" s="61"/>
      <c r="S967" s="61"/>
      <c r="T967" s="61"/>
      <c r="U967" s="61"/>
      <c r="V967" s="61"/>
      <c r="W967" s="61"/>
      <c r="X967" s="61"/>
      <c r="Y967" s="61"/>
    </row>
    <row r="968">
      <c r="A968" s="52"/>
      <c r="B968" s="61"/>
      <c r="C968" s="61"/>
      <c r="D968" s="52"/>
      <c r="E968" s="61"/>
      <c r="F968" s="61"/>
      <c r="G968" s="61"/>
      <c r="H968" s="61"/>
      <c r="I968" s="61"/>
      <c r="J968" s="61"/>
      <c r="K968" s="61"/>
      <c r="L968" s="61"/>
      <c r="M968" s="61"/>
      <c r="N968" s="61"/>
      <c r="O968" s="61"/>
      <c r="P968" s="61"/>
      <c r="Q968" s="61"/>
      <c r="R968" s="61"/>
      <c r="S968" s="61"/>
      <c r="T968" s="61"/>
      <c r="U968" s="61"/>
      <c r="V968" s="61"/>
      <c r="W968" s="61"/>
      <c r="X968" s="61"/>
      <c r="Y968" s="61"/>
    </row>
    <row r="969">
      <c r="A969" s="52"/>
      <c r="B969" s="61"/>
      <c r="C969" s="61"/>
      <c r="D969" s="52"/>
      <c r="E969" s="61"/>
      <c r="F969" s="61"/>
      <c r="G969" s="61"/>
      <c r="H969" s="61"/>
      <c r="I969" s="61"/>
      <c r="J969" s="61"/>
      <c r="K969" s="61"/>
      <c r="L969" s="61"/>
      <c r="M969" s="61"/>
      <c r="N969" s="61"/>
      <c r="O969" s="61"/>
      <c r="P969" s="61"/>
      <c r="Q969" s="61"/>
      <c r="R969" s="61"/>
      <c r="S969" s="61"/>
      <c r="T969" s="61"/>
      <c r="U969" s="61"/>
      <c r="V969" s="61"/>
      <c r="W969" s="61"/>
      <c r="X969" s="61"/>
      <c r="Y969" s="61"/>
    </row>
    <row r="970">
      <c r="A970" s="52"/>
      <c r="B970" s="61"/>
      <c r="C970" s="61"/>
      <c r="D970" s="52"/>
      <c r="E970" s="61"/>
      <c r="F970" s="61"/>
      <c r="G970" s="61"/>
      <c r="H970" s="61"/>
      <c r="I970" s="61"/>
      <c r="J970" s="61"/>
      <c r="K970" s="61"/>
      <c r="L970" s="61"/>
      <c r="M970" s="61"/>
      <c r="N970" s="61"/>
      <c r="O970" s="61"/>
      <c r="P970" s="61"/>
      <c r="Q970" s="61"/>
      <c r="R970" s="61"/>
      <c r="S970" s="61"/>
      <c r="T970" s="61"/>
      <c r="U970" s="61"/>
      <c r="V970" s="61"/>
      <c r="W970" s="61"/>
      <c r="X970" s="61"/>
      <c r="Y970" s="61"/>
    </row>
    <row r="971">
      <c r="A971" s="52"/>
      <c r="B971" s="61"/>
      <c r="C971" s="61"/>
      <c r="D971" s="52"/>
      <c r="E971" s="61"/>
      <c r="F971" s="61"/>
      <c r="G971" s="61"/>
      <c r="H971" s="61"/>
      <c r="I971" s="61"/>
      <c r="J971" s="61"/>
      <c r="K971" s="61"/>
      <c r="L971" s="61"/>
      <c r="M971" s="61"/>
      <c r="N971" s="61"/>
      <c r="O971" s="61"/>
      <c r="P971" s="61"/>
      <c r="Q971" s="61"/>
      <c r="R971" s="61"/>
      <c r="S971" s="61"/>
      <c r="T971" s="61"/>
      <c r="U971" s="61"/>
      <c r="V971" s="61"/>
      <c r="W971" s="61"/>
      <c r="X971" s="61"/>
      <c r="Y971" s="61"/>
    </row>
    <row r="972">
      <c r="A972" s="52"/>
      <c r="B972" s="61"/>
      <c r="C972" s="61"/>
      <c r="D972" s="52"/>
      <c r="E972" s="61"/>
      <c r="F972" s="61"/>
      <c r="G972" s="61"/>
      <c r="H972" s="61"/>
      <c r="I972" s="61"/>
      <c r="J972" s="61"/>
      <c r="K972" s="61"/>
      <c r="L972" s="61"/>
      <c r="M972" s="61"/>
      <c r="N972" s="61"/>
      <c r="O972" s="61"/>
      <c r="P972" s="61"/>
      <c r="Q972" s="61"/>
      <c r="R972" s="61"/>
      <c r="S972" s="61"/>
      <c r="T972" s="61"/>
      <c r="U972" s="61"/>
      <c r="V972" s="61"/>
      <c r="W972" s="61"/>
      <c r="X972" s="61"/>
      <c r="Y972" s="61"/>
    </row>
    <row r="973">
      <c r="A973" s="52"/>
      <c r="B973" s="61"/>
      <c r="C973" s="61"/>
      <c r="D973" s="52"/>
      <c r="E973" s="61"/>
      <c r="F973" s="61"/>
      <c r="G973" s="61"/>
      <c r="H973" s="61"/>
      <c r="I973" s="61"/>
      <c r="J973" s="61"/>
      <c r="K973" s="61"/>
      <c r="L973" s="61"/>
      <c r="M973" s="61"/>
      <c r="N973" s="61"/>
      <c r="O973" s="61"/>
      <c r="P973" s="61"/>
      <c r="Q973" s="61"/>
      <c r="R973" s="61"/>
      <c r="S973" s="61"/>
      <c r="T973" s="61"/>
      <c r="U973" s="61"/>
      <c r="V973" s="61"/>
      <c r="W973" s="61"/>
      <c r="X973" s="61"/>
      <c r="Y973" s="61"/>
    </row>
    <row r="974">
      <c r="A974" s="52"/>
      <c r="B974" s="61"/>
      <c r="C974" s="61"/>
      <c r="D974" s="52"/>
      <c r="E974" s="61"/>
      <c r="F974" s="61"/>
      <c r="G974" s="61"/>
      <c r="H974" s="61"/>
      <c r="I974" s="61"/>
      <c r="J974" s="61"/>
      <c r="K974" s="61"/>
      <c r="L974" s="61"/>
      <c r="M974" s="61"/>
      <c r="N974" s="61"/>
      <c r="O974" s="61"/>
      <c r="P974" s="61"/>
      <c r="Q974" s="61"/>
      <c r="R974" s="61"/>
      <c r="S974" s="61"/>
      <c r="T974" s="61"/>
      <c r="U974" s="61"/>
      <c r="V974" s="61"/>
      <c r="W974" s="61"/>
      <c r="X974" s="61"/>
      <c r="Y974" s="61"/>
    </row>
    <row r="975">
      <c r="A975" s="52"/>
      <c r="B975" s="61"/>
      <c r="C975" s="61"/>
      <c r="D975" s="52"/>
      <c r="E975" s="61"/>
      <c r="F975" s="61"/>
      <c r="G975" s="61"/>
      <c r="H975" s="61"/>
      <c r="I975" s="61"/>
      <c r="J975" s="61"/>
      <c r="K975" s="61"/>
      <c r="L975" s="61"/>
      <c r="M975" s="61"/>
      <c r="N975" s="61"/>
      <c r="O975" s="61"/>
      <c r="P975" s="61"/>
      <c r="Q975" s="61"/>
      <c r="R975" s="61"/>
      <c r="S975" s="61"/>
      <c r="T975" s="61"/>
      <c r="U975" s="61"/>
      <c r="V975" s="61"/>
      <c r="W975" s="61"/>
      <c r="X975" s="61"/>
      <c r="Y975" s="61"/>
    </row>
    <row r="976">
      <c r="A976" s="52"/>
      <c r="B976" s="61"/>
      <c r="C976" s="61"/>
      <c r="D976" s="52"/>
      <c r="E976" s="61"/>
      <c r="F976" s="61"/>
      <c r="G976" s="61"/>
      <c r="H976" s="61"/>
      <c r="I976" s="61"/>
      <c r="J976" s="61"/>
      <c r="K976" s="61"/>
      <c r="L976" s="61"/>
      <c r="M976" s="61"/>
      <c r="N976" s="61"/>
      <c r="O976" s="61"/>
      <c r="P976" s="61"/>
      <c r="Q976" s="61"/>
      <c r="R976" s="61"/>
      <c r="S976" s="61"/>
      <c r="T976" s="61"/>
      <c r="U976" s="61"/>
      <c r="V976" s="61"/>
      <c r="W976" s="61"/>
      <c r="X976" s="61"/>
      <c r="Y976" s="61"/>
    </row>
    <row r="977">
      <c r="A977" s="52"/>
      <c r="B977" s="61"/>
      <c r="C977" s="61"/>
      <c r="D977" s="52"/>
      <c r="E977" s="61"/>
      <c r="F977" s="61"/>
      <c r="G977" s="61"/>
      <c r="H977" s="61"/>
      <c r="I977" s="61"/>
      <c r="J977" s="61"/>
      <c r="K977" s="61"/>
      <c r="L977" s="61"/>
      <c r="M977" s="61"/>
      <c r="N977" s="61"/>
      <c r="O977" s="61"/>
      <c r="P977" s="61"/>
      <c r="Q977" s="61"/>
      <c r="R977" s="61"/>
      <c r="S977" s="61"/>
      <c r="T977" s="61"/>
      <c r="U977" s="61"/>
      <c r="V977" s="61"/>
      <c r="W977" s="61"/>
      <c r="X977" s="61"/>
      <c r="Y977" s="61"/>
    </row>
    <row r="978">
      <c r="A978" s="52"/>
      <c r="B978" s="61"/>
      <c r="C978" s="61"/>
      <c r="D978" s="52"/>
      <c r="E978" s="61"/>
      <c r="F978" s="61"/>
      <c r="G978" s="61"/>
      <c r="H978" s="61"/>
      <c r="I978" s="61"/>
      <c r="J978" s="61"/>
      <c r="K978" s="61"/>
      <c r="L978" s="61"/>
      <c r="M978" s="61"/>
      <c r="N978" s="61"/>
      <c r="O978" s="61"/>
      <c r="P978" s="61"/>
      <c r="Q978" s="61"/>
      <c r="R978" s="61"/>
      <c r="S978" s="61"/>
      <c r="T978" s="61"/>
      <c r="U978" s="61"/>
      <c r="V978" s="61"/>
      <c r="W978" s="61"/>
      <c r="X978" s="61"/>
      <c r="Y978" s="61"/>
    </row>
    <row r="979">
      <c r="A979" s="52"/>
      <c r="B979" s="61"/>
      <c r="C979" s="61"/>
      <c r="D979" s="52"/>
      <c r="E979" s="61"/>
      <c r="F979" s="61"/>
      <c r="G979" s="61"/>
      <c r="H979" s="61"/>
      <c r="I979" s="61"/>
      <c r="J979" s="61"/>
      <c r="K979" s="61"/>
      <c r="L979" s="61"/>
      <c r="M979" s="61"/>
      <c r="N979" s="61"/>
      <c r="O979" s="61"/>
      <c r="P979" s="61"/>
      <c r="Q979" s="61"/>
      <c r="R979" s="61"/>
      <c r="S979" s="61"/>
      <c r="T979" s="61"/>
      <c r="U979" s="61"/>
      <c r="V979" s="61"/>
      <c r="W979" s="61"/>
      <c r="X979" s="61"/>
      <c r="Y979" s="61"/>
    </row>
    <row r="980">
      <c r="A980" s="52"/>
      <c r="B980" s="61"/>
      <c r="C980" s="61"/>
      <c r="D980" s="52"/>
      <c r="E980" s="61"/>
      <c r="F980" s="61"/>
      <c r="G980" s="61"/>
      <c r="H980" s="61"/>
      <c r="I980" s="61"/>
      <c r="J980" s="61"/>
      <c r="K980" s="61"/>
      <c r="L980" s="61"/>
      <c r="M980" s="61"/>
      <c r="N980" s="61"/>
      <c r="O980" s="61"/>
      <c r="P980" s="61"/>
      <c r="Q980" s="61"/>
      <c r="R980" s="61"/>
      <c r="S980" s="61"/>
      <c r="T980" s="61"/>
      <c r="U980" s="61"/>
      <c r="V980" s="61"/>
      <c r="W980" s="61"/>
      <c r="X980" s="61"/>
      <c r="Y980" s="61"/>
    </row>
    <row r="981">
      <c r="A981" s="52"/>
      <c r="B981" s="61"/>
      <c r="C981" s="61"/>
      <c r="D981" s="52"/>
      <c r="E981" s="61"/>
      <c r="F981" s="61"/>
      <c r="G981" s="61"/>
      <c r="H981" s="61"/>
      <c r="I981" s="61"/>
      <c r="J981" s="61"/>
      <c r="K981" s="61"/>
      <c r="L981" s="61"/>
      <c r="M981" s="61"/>
      <c r="N981" s="61"/>
      <c r="O981" s="61"/>
      <c r="P981" s="61"/>
      <c r="Q981" s="61"/>
      <c r="R981" s="61"/>
      <c r="S981" s="61"/>
      <c r="T981" s="61"/>
      <c r="U981" s="61"/>
      <c r="V981" s="61"/>
      <c r="W981" s="61"/>
      <c r="X981" s="61"/>
      <c r="Y981" s="61"/>
    </row>
    <row r="982">
      <c r="A982" s="52"/>
      <c r="B982" s="61"/>
      <c r="C982" s="61"/>
      <c r="D982" s="52"/>
      <c r="E982" s="61"/>
      <c r="F982" s="61"/>
      <c r="G982" s="61"/>
      <c r="H982" s="61"/>
      <c r="I982" s="61"/>
      <c r="J982" s="61"/>
      <c r="K982" s="61"/>
      <c r="L982" s="61"/>
      <c r="M982" s="61"/>
      <c r="N982" s="61"/>
      <c r="O982" s="61"/>
      <c r="P982" s="61"/>
      <c r="Q982" s="61"/>
      <c r="R982" s="61"/>
      <c r="S982" s="61"/>
      <c r="T982" s="61"/>
      <c r="U982" s="61"/>
      <c r="V982" s="61"/>
      <c r="W982" s="61"/>
      <c r="X982" s="61"/>
      <c r="Y982" s="61"/>
    </row>
    <row r="983">
      <c r="A983" s="52"/>
      <c r="B983" s="61"/>
      <c r="C983" s="61"/>
      <c r="D983" s="52"/>
      <c r="E983" s="61"/>
      <c r="F983" s="61"/>
      <c r="G983" s="61"/>
      <c r="H983" s="61"/>
      <c r="I983" s="61"/>
      <c r="J983" s="61"/>
      <c r="K983" s="61"/>
      <c r="L983" s="61"/>
      <c r="M983" s="61"/>
      <c r="N983" s="61"/>
      <c r="O983" s="61"/>
      <c r="P983" s="61"/>
      <c r="Q983" s="61"/>
      <c r="R983" s="61"/>
      <c r="S983" s="61"/>
      <c r="T983" s="61"/>
      <c r="U983" s="61"/>
      <c r="V983" s="61"/>
      <c r="W983" s="61"/>
      <c r="X983" s="61"/>
      <c r="Y983" s="61"/>
    </row>
    <row r="984">
      <c r="A984" s="52"/>
      <c r="B984" s="61"/>
      <c r="C984" s="61"/>
      <c r="D984" s="52"/>
      <c r="E984" s="61"/>
      <c r="F984" s="61"/>
      <c r="G984" s="61"/>
      <c r="H984" s="61"/>
      <c r="I984" s="61"/>
      <c r="J984" s="61"/>
      <c r="K984" s="61"/>
      <c r="L984" s="61"/>
      <c r="M984" s="61"/>
      <c r="N984" s="61"/>
      <c r="O984" s="61"/>
      <c r="P984" s="61"/>
      <c r="Q984" s="61"/>
      <c r="R984" s="61"/>
      <c r="S984" s="61"/>
      <c r="T984" s="61"/>
      <c r="U984" s="61"/>
      <c r="V984" s="61"/>
      <c r="W984" s="61"/>
      <c r="X984" s="61"/>
      <c r="Y984" s="61"/>
    </row>
    <row r="985">
      <c r="A985" s="52"/>
      <c r="B985" s="61"/>
      <c r="C985" s="61"/>
      <c r="D985" s="52"/>
      <c r="E985" s="61"/>
      <c r="F985" s="61"/>
      <c r="G985" s="61"/>
      <c r="H985" s="61"/>
      <c r="I985" s="61"/>
      <c r="J985" s="61"/>
      <c r="K985" s="61"/>
      <c r="L985" s="61"/>
      <c r="M985" s="61"/>
      <c r="N985" s="61"/>
      <c r="O985" s="61"/>
      <c r="P985" s="61"/>
      <c r="Q985" s="61"/>
      <c r="R985" s="61"/>
      <c r="S985" s="61"/>
      <c r="T985" s="61"/>
      <c r="U985" s="61"/>
      <c r="V985" s="61"/>
      <c r="W985" s="61"/>
      <c r="X985" s="61"/>
      <c r="Y985" s="61"/>
    </row>
    <row r="986">
      <c r="A986" s="52"/>
      <c r="B986" s="61"/>
      <c r="C986" s="61"/>
      <c r="D986" s="52"/>
      <c r="E986" s="61"/>
      <c r="F986" s="61"/>
      <c r="G986" s="61"/>
      <c r="H986" s="61"/>
      <c r="I986" s="61"/>
      <c r="J986" s="61"/>
      <c r="K986" s="61"/>
      <c r="L986" s="61"/>
      <c r="M986" s="61"/>
      <c r="N986" s="61"/>
      <c r="O986" s="61"/>
      <c r="P986" s="61"/>
      <c r="Q986" s="61"/>
      <c r="R986" s="61"/>
      <c r="S986" s="61"/>
      <c r="T986" s="61"/>
      <c r="U986" s="61"/>
      <c r="V986" s="61"/>
      <c r="W986" s="61"/>
      <c r="X986" s="61"/>
      <c r="Y986" s="61"/>
    </row>
    <row r="987">
      <c r="A987" s="52"/>
      <c r="B987" s="61"/>
      <c r="C987" s="61"/>
      <c r="D987" s="52"/>
      <c r="E987" s="61"/>
      <c r="F987" s="61"/>
      <c r="G987" s="61"/>
      <c r="H987" s="61"/>
      <c r="I987" s="61"/>
      <c r="J987" s="61"/>
      <c r="K987" s="61"/>
      <c r="L987" s="61"/>
      <c r="M987" s="61"/>
      <c r="N987" s="61"/>
      <c r="O987" s="61"/>
      <c r="P987" s="61"/>
      <c r="Q987" s="61"/>
      <c r="R987" s="61"/>
      <c r="S987" s="61"/>
      <c r="T987" s="61"/>
      <c r="U987" s="61"/>
      <c r="V987" s="61"/>
      <c r="W987" s="61"/>
      <c r="X987" s="61"/>
      <c r="Y987" s="61"/>
    </row>
    <row r="988">
      <c r="A988" s="52"/>
      <c r="B988" s="61"/>
      <c r="C988" s="61"/>
      <c r="D988" s="52"/>
      <c r="E988" s="61"/>
      <c r="F988" s="61"/>
      <c r="G988" s="61"/>
      <c r="H988" s="61"/>
      <c r="I988" s="61"/>
      <c r="J988" s="61"/>
      <c r="K988" s="61"/>
      <c r="L988" s="61"/>
      <c r="M988" s="61"/>
      <c r="N988" s="61"/>
      <c r="O988" s="61"/>
      <c r="P988" s="61"/>
      <c r="Q988" s="61"/>
      <c r="R988" s="61"/>
      <c r="S988" s="61"/>
      <c r="T988" s="61"/>
      <c r="U988" s="61"/>
      <c r="V988" s="61"/>
      <c r="W988" s="61"/>
      <c r="X988" s="61"/>
      <c r="Y988" s="61"/>
    </row>
    <row r="989">
      <c r="A989" s="52"/>
      <c r="B989" s="61"/>
      <c r="C989" s="61"/>
      <c r="D989" s="52"/>
      <c r="E989" s="61"/>
      <c r="F989" s="61"/>
      <c r="G989" s="61"/>
      <c r="H989" s="61"/>
      <c r="I989" s="61"/>
      <c r="J989" s="61"/>
      <c r="K989" s="61"/>
      <c r="L989" s="61"/>
      <c r="M989" s="61"/>
      <c r="N989" s="61"/>
      <c r="O989" s="61"/>
      <c r="P989" s="61"/>
      <c r="Q989" s="61"/>
      <c r="R989" s="61"/>
      <c r="S989" s="61"/>
      <c r="T989" s="61"/>
      <c r="U989" s="61"/>
      <c r="V989" s="61"/>
      <c r="W989" s="61"/>
      <c r="X989" s="61"/>
      <c r="Y989" s="61"/>
    </row>
  </sheetData>
  <mergeCells count="89">
    <mergeCell ref="F49:G49"/>
    <mergeCell ref="F50:G50"/>
    <mergeCell ref="F51:G51"/>
    <mergeCell ref="F52:G52"/>
    <mergeCell ref="F53:G53"/>
    <mergeCell ref="F54:G54"/>
    <mergeCell ref="F55:G55"/>
    <mergeCell ref="F56:G56"/>
    <mergeCell ref="F57:G57"/>
    <mergeCell ref="F58:G58"/>
    <mergeCell ref="F59:G59"/>
    <mergeCell ref="F60:G60"/>
    <mergeCell ref="F61:G61"/>
    <mergeCell ref="F62:G62"/>
    <mergeCell ref="F63:G63"/>
    <mergeCell ref="F64:G64"/>
    <mergeCell ref="F65:G65"/>
    <mergeCell ref="F66:G66"/>
    <mergeCell ref="F67:G67"/>
    <mergeCell ref="F68:G68"/>
    <mergeCell ref="F69:G69"/>
    <mergeCell ref="F70:G70"/>
    <mergeCell ref="F71:G71"/>
    <mergeCell ref="F72:G72"/>
    <mergeCell ref="F73:G73"/>
    <mergeCell ref="F74:G74"/>
    <mergeCell ref="F75:G75"/>
    <mergeCell ref="F76:G76"/>
    <mergeCell ref="F77:G77"/>
    <mergeCell ref="F78:G78"/>
    <mergeCell ref="F79:G79"/>
    <mergeCell ref="F80:G80"/>
    <mergeCell ref="F81:G81"/>
    <mergeCell ref="F82:G82"/>
    <mergeCell ref="F83:G83"/>
    <mergeCell ref="F91:G91"/>
    <mergeCell ref="F92:G92"/>
    <mergeCell ref="F84:G84"/>
    <mergeCell ref="F85:G85"/>
    <mergeCell ref="F86:G86"/>
    <mergeCell ref="F87:G87"/>
    <mergeCell ref="F88:G88"/>
    <mergeCell ref="F89:G89"/>
    <mergeCell ref="F90:G90"/>
    <mergeCell ref="B2:C2"/>
    <mergeCell ref="E2:F2"/>
    <mergeCell ref="G2:J2"/>
    <mergeCell ref="S2:W2"/>
    <mergeCell ref="B3:C3"/>
    <mergeCell ref="E3:F11"/>
    <mergeCell ref="B4:C4"/>
    <mergeCell ref="S16:T16"/>
    <mergeCell ref="G3:J11"/>
    <mergeCell ref="E12:I12"/>
    <mergeCell ref="B13:C13"/>
    <mergeCell ref="I14:J14"/>
    <mergeCell ref="I15:J15"/>
    <mergeCell ref="I16:J16"/>
    <mergeCell ref="I17:J17"/>
    <mergeCell ref="E25:J25"/>
    <mergeCell ref="O25:P25"/>
    <mergeCell ref="I18:J18"/>
    <mergeCell ref="I19:J19"/>
    <mergeCell ref="I20:J20"/>
    <mergeCell ref="I21:J21"/>
    <mergeCell ref="I22:J22"/>
    <mergeCell ref="E23:F23"/>
    <mergeCell ref="B25:C25"/>
    <mergeCell ref="I26:J26"/>
    <mergeCell ref="I27:J27"/>
    <mergeCell ref="I28:J28"/>
    <mergeCell ref="I29:J29"/>
    <mergeCell ref="I30:J30"/>
    <mergeCell ref="I31:J31"/>
    <mergeCell ref="I32:J32"/>
    <mergeCell ref="I33:J33"/>
    <mergeCell ref="I34:J34"/>
    <mergeCell ref="I35:J35"/>
    <mergeCell ref="I36:J36"/>
    <mergeCell ref="E37:F37"/>
    <mergeCell ref="B40:H41"/>
    <mergeCell ref="B42:C42"/>
    <mergeCell ref="F42:H42"/>
    <mergeCell ref="F43:G43"/>
    <mergeCell ref="F44:G44"/>
    <mergeCell ref="F45:G45"/>
    <mergeCell ref="F46:G46"/>
    <mergeCell ref="F47:G47"/>
    <mergeCell ref="F48:G48"/>
  </mergeCells>
  <conditionalFormatting sqref="Q27">
    <cfRule type="cellIs" dxfId="12" priority="1" operator="lessThan">
      <formula>0</formula>
    </cfRule>
  </conditionalFormatting>
  <conditionalFormatting sqref="Q27">
    <cfRule type="cellIs" dxfId="8" priority="2" operator="greaterThan">
      <formula>0</formula>
    </cfRule>
  </conditionalFormatting>
  <conditionalFormatting sqref="Q27">
    <cfRule type="cellIs" dxfId="13" priority="3" operator="equal">
      <formula>0</formula>
    </cfRule>
  </conditionalFormatting>
  <conditionalFormatting sqref="Q28">
    <cfRule type="cellIs" dxfId="8" priority="4" operator="greaterThan">
      <formula>0</formula>
    </cfRule>
  </conditionalFormatting>
  <conditionalFormatting sqref="Q28">
    <cfRule type="cellIs" dxfId="12" priority="5" operator="lessThan">
      <formula>0</formula>
    </cfRule>
  </conditionalFormatting>
  <conditionalFormatting sqref="Q29">
    <cfRule type="cellIs" dxfId="13" priority="6" operator="greaterThanOrEqual">
      <formula>0</formula>
    </cfRule>
  </conditionalFormatting>
  <conditionalFormatting sqref="Q29">
    <cfRule type="cellIs" dxfId="14" priority="7" operator="lessThan">
      <formula>0</formula>
    </cfRule>
  </conditionalFormatting>
  <conditionalFormatting sqref="Q30">
    <cfRule type="notContainsBlanks" dxfId="14" priority="8">
      <formula>LEN(TRIM(Q30))&gt;0</formula>
    </cfRule>
  </conditionalFormatting>
  <conditionalFormatting sqref="Q31">
    <cfRule type="cellIs" dxfId="13" priority="9" operator="greaterThanOrEqual">
      <formula>0</formula>
    </cfRule>
  </conditionalFormatting>
  <conditionalFormatting sqref="Q3:Q11">
    <cfRule type="cellIs" dxfId="15" priority="10" operator="lessThan">
      <formula>0</formula>
    </cfRule>
  </conditionalFormatting>
  <conditionalFormatting sqref="Q3:Q11">
    <cfRule type="cellIs" dxfId="7" priority="11" operator="greaterThan">
      <formula>0</formula>
    </cfRule>
  </conditionalFormatting>
  <conditionalFormatting sqref="Q3:Q9">
    <cfRule type="cellIs" dxfId="13" priority="12" operator="equal">
      <formula>0</formula>
    </cfRule>
  </conditionalFormatting>
  <conditionalFormatting sqref="C10 C15">
    <cfRule type="cellIs" dxfId="14" priority="13" operator="lessThan">
      <formula>74.51</formula>
    </cfRule>
  </conditionalFormatting>
  <conditionalFormatting sqref="C10 C15">
    <cfRule type="cellIs" dxfId="3" priority="14" operator="greaterThanOrEqual">
      <formula>74.6</formula>
    </cfRule>
  </conditionalFormatting>
  <conditionalFormatting sqref="C10">
    <cfRule type="cellIs" dxfId="15" priority="15" operator="lessThan">
      <formula>54.59</formula>
    </cfRule>
  </conditionalFormatting>
  <conditionalFormatting sqref="C10">
    <cfRule type="cellIs" dxfId="3" priority="16" operator="greaterThanOrEqual">
      <formula>54.6</formula>
    </cfRule>
  </conditionalFormatting>
  <conditionalFormatting sqref="C14 C16">
    <cfRule type="cellIs" dxfId="16" priority="17" operator="greaterThanOrEqual">
      <formula>54.6</formula>
    </cfRule>
  </conditionalFormatting>
  <conditionalFormatting sqref="C14 C16">
    <cfRule type="cellIs" dxfId="17" priority="18" operator="lessThan">
      <formula>54.5</formula>
    </cfRule>
  </conditionalFormatting>
  <conditionalFormatting sqref="C17">
    <cfRule type="expression" dxfId="14" priority="19">
      <formula>C17&gt;0.7%</formula>
    </cfRule>
  </conditionalFormatting>
  <conditionalFormatting sqref="C17">
    <cfRule type="expression" dxfId="3" priority="20">
      <formula>C17&lt;=0.7%</formula>
    </cfRule>
  </conditionalFormatting>
  <conditionalFormatting sqref="C19">
    <cfRule type="expression" dxfId="16" priority="21">
      <formula>C19&lt;=1%</formula>
    </cfRule>
  </conditionalFormatting>
  <conditionalFormatting sqref="C19">
    <cfRule type="expression" dxfId="18" priority="22">
      <formula>C19&gt;1%</formula>
    </cfRule>
  </conditionalFormatting>
  <conditionalFormatting sqref="C20">
    <cfRule type="expression" dxfId="19" priority="23">
      <formula>C20&lt;=1%</formula>
    </cfRule>
  </conditionalFormatting>
  <conditionalFormatting sqref="C20">
    <cfRule type="expression" dxfId="14" priority="24">
      <formula>C20&gt;1%</formula>
    </cfRule>
  </conditionalFormatting>
  <conditionalFormatting sqref="C21">
    <cfRule type="expression" dxfId="19" priority="25">
      <formula>C21&lt;=1.5%</formula>
    </cfRule>
  </conditionalFormatting>
  <conditionalFormatting sqref="C21">
    <cfRule type="expression" dxfId="15" priority="26">
      <formula>C21&gt;1.5%</formula>
    </cfRule>
  </conditionalFormatting>
  <conditionalFormatting sqref="C18">
    <cfRule type="cellIs" dxfId="14" priority="27" operator="greaterThan">
      <formula>"3%"</formula>
    </cfRule>
  </conditionalFormatting>
  <conditionalFormatting sqref="C18">
    <cfRule type="cellIs" dxfId="7" priority="28" operator="lessThan">
      <formula>"3%"</formula>
    </cfRule>
  </conditionalFormatting>
  <conditionalFormatting sqref="G15">
    <cfRule type="expression" dxfId="20" priority="29">
      <formula>$F15="incapacidad"</formula>
    </cfRule>
  </conditionalFormatting>
  <conditionalFormatting sqref="F14:I18">
    <cfRule type="expression" dxfId="21" priority="30">
      <formula>$F14="incapacidad"</formula>
    </cfRule>
  </conditionalFormatting>
  <conditionalFormatting sqref="G28">
    <cfRule type="expression" dxfId="20" priority="31">
      <formula>$F28="incapacidad"</formula>
    </cfRule>
  </conditionalFormatting>
  <conditionalFormatting sqref="F29:J29">
    <cfRule type="expression" dxfId="21" priority="32">
      <formula>$F29="INCAPACIDAD"</formula>
    </cfRule>
  </conditionalFormatting>
  <drawing r:id="rId1"/>
  <tableParts count="7">
    <tablePart r:id="rId9"/>
    <tablePart r:id="rId10"/>
    <tablePart r:id="rId11"/>
    <tablePart r:id="rId12"/>
    <tablePart r:id="rId13"/>
    <tablePart r:id="rId14"/>
    <tablePart r:id="rId1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7.29"/>
    <col customWidth="1" min="2" max="2" width="9.57"/>
    <col customWidth="1" min="3" max="3" width="12.71"/>
    <col customWidth="1" min="4" max="4" width="16.43"/>
    <col customWidth="1" min="5" max="5" width="10.43"/>
    <col customWidth="1" min="6" max="6" width="9.86"/>
    <col customWidth="1" min="7" max="7" width="11.86"/>
    <col customWidth="1" min="8" max="8" width="17.71"/>
    <col customWidth="1" min="9" max="9" width="15.43"/>
    <col customWidth="1" min="10" max="10" width="16.0"/>
    <col customWidth="1" min="11" max="11" width="12.86"/>
    <col customWidth="1" min="12" max="12" width="17.29"/>
    <col customWidth="1" min="13" max="13" width="13.14"/>
    <col customWidth="1" min="14" max="14" width="14.57"/>
    <col customWidth="1" min="15" max="15" width="13.29"/>
    <col customWidth="1" min="16" max="16" width="7.29"/>
    <col customWidth="1" min="17" max="17" width="14.14"/>
    <col customWidth="1" min="18" max="18" width="18.0"/>
    <col customWidth="1" min="19" max="19" width="12.57"/>
    <col customWidth="1" min="20" max="20" width="15.0"/>
    <col customWidth="1" min="21" max="21" width="10.57"/>
    <col customWidth="1" min="22" max="22" width="203.29"/>
    <col customWidth="1" min="23" max="23" width="13.86"/>
    <col customWidth="1" min="24" max="24" width="20.14"/>
    <col customWidth="1" min="25" max="25" width="18.43"/>
    <col customWidth="1" min="26" max="26" width="14.86"/>
    <col customWidth="1" min="27" max="27" width="13.29"/>
    <col customWidth="1" min="28" max="28" width="8.14"/>
    <col customWidth="1" min="29" max="29" width="10.71"/>
    <col customWidth="1" min="30" max="34" width="21.0"/>
  </cols>
  <sheetData>
    <row r="1" ht="30.75" customHeight="1">
      <c r="A1" s="354" t="s">
        <v>207</v>
      </c>
      <c r="B1" s="355" t="s">
        <v>209</v>
      </c>
      <c r="C1" s="357" t="s">
        <v>36</v>
      </c>
      <c r="D1" s="358" t="s">
        <v>43</v>
      </c>
      <c r="E1" s="357" t="s">
        <v>49</v>
      </c>
      <c r="F1" s="359" t="s">
        <v>39</v>
      </c>
      <c r="G1" s="360" t="s">
        <v>212</v>
      </c>
      <c r="H1" s="361" t="s">
        <v>215</v>
      </c>
      <c r="I1" s="357" t="s">
        <v>73</v>
      </c>
      <c r="J1" s="362" t="s">
        <v>81</v>
      </c>
      <c r="K1" s="357" t="s">
        <v>89</v>
      </c>
      <c r="L1" s="363" t="s">
        <v>90</v>
      </c>
      <c r="M1" s="363" t="s">
        <v>92</v>
      </c>
      <c r="N1" s="363" t="s">
        <v>97</v>
      </c>
      <c r="O1" s="364" t="s">
        <v>105</v>
      </c>
      <c r="P1" s="365" t="s">
        <v>116</v>
      </c>
      <c r="Q1" s="364" t="s">
        <v>121</v>
      </c>
      <c r="R1" s="364" t="s">
        <v>124</v>
      </c>
      <c r="S1" s="364" t="s">
        <v>126</v>
      </c>
      <c r="T1" s="364" t="s">
        <v>220</v>
      </c>
      <c r="U1" s="361" t="s">
        <v>221</v>
      </c>
      <c r="V1" s="366" t="s">
        <v>222</v>
      </c>
      <c r="W1" s="367" t="s">
        <v>223</v>
      </c>
      <c r="X1" s="368" t="s">
        <v>226</v>
      </c>
      <c r="Y1" s="367" t="s">
        <v>227</v>
      </c>
      <c r="Z1" s="369" t="s">
        <v>228</v>
      </c>
      <c r="AA1" s="369" t="s">
        <v>229</v>
      </c>
      <c r="AB1" s="370" t="s">
        <v>230</v>
      </c>
      <c r="AC1" s="371" t="s">
        <v>74</v>
      </c>
      <c r="AD1" s="371" t="s">
        <v>233</v>
      </c>
      <c r="AE1" s="371"/>
      <c r="AF1" s="372"/>
      <c r="AG1" s="372"/>
      <c r="AH1" s="372"/>
    </row>
    <row r="2" ht="30.75" hidden="1" customHeight="1">
      <c r="A2" s="373">
        <v>46094.0</v>
      </c>
      <c r="B2" s="374">
        <f t="array" ref="B2:B1000">IF(Z2:Z1000="","",Z2:Z1000*AA2:AA1000*AB2:AB1000)</f>
        <v>0</v>
      </c>
      <c r="C2" s="375">
        <v>421.0</v>
      </c>
      <c r="D2" s="376">
        <v>0.5833333333333334</v>
      </c>
      <c r="E2" s="376">
        <v>0.88125</v>
      </c>
      <c r="F2" s="377">
        <f t="array" ref="F2:F1000">IF(E2:E1000="","",(E2:E1000-D2:D1000)*24*60)</f>
        <v>429</v>
      </c>
      <c r="G2" s="375">
        <v>61.0</v>
      </c>
      <c r="H2" s="375">
        <v>30.0</v>
      </c>
      <c r="I2" s="378">
        <f t="array" ref="I2:I1000">M2:M1000</f>
        <v>74.73372781</v>
      </c>
      <c r="J2" s="379">
        <f t="array" ref="J2:J1000">IF(F2:F1000="","",(F2:F1000/60))</f>
        <v>7.15</v>
      </c>
      <c r="K2" s="380">
        <v>0.0</v>
      </c>
      <c r="L2" s="378">
        <f t="array" ref="L2:L1000">IFERROR($C$2:$C1000/(($F$2:F1000-$H$2:H1000)/60),"")</f>
        <v>63.30827068</v>
      </c>
      <c r="M2" s="378">
        <f t="array" ref="M2:M1000">IFERROR(C2:C1000/((F2:F1000-(H2:H1000+G2:G1000))/60),"")</f>
        <v>74.73372781</v>
      </c>
      <c r="N2" s="378">
        <f t="array" ref="N2:N1000">IFERROR(C2:C1000/J2:J1000,"")</f>
        <v>58.88111888</v>
      </c>
      <c r="O2" s="382">
        <v>0.0096</v>
      </c>
      <c r="P2" s="383">
        <f t="array" ref="P2:P1000">IFERROR((U2:U1000/C2:C1000),"")</f>
        <v>0.02375296912</v>
      </c>
      <c r="Q2" s="383" t="str">
        <f t="array" ref="Q2:Q50">IFERROR(VLOOKUP($A2:$A50,'LIBERACION DE CANALES'!$B50:$K1000,9,0),"")</f>
        <v/>
      </c>
      <c r="R2" s="383" t="str">
        <f t="array" ref="R2:R50">IFERROR(VLOOKUP($A2:$A50,'LIBERACION DE CANALES'!$B50:$K1000,10,0),"")</f>
        <v/>
      </c>
      <c r="S2" s="383" t="str">
        <f t="array" ref="S2:S50">IFERROR(VLOOKUP($A2:$A50,'LIBERACION DE CANALES'!$B50:$K1000,7,0),"")</f>
        <v/>
      </c>
      <c r="T2" s="385" t="str">
        <f t="array" ref="T2:T50">IFERROR(VLOOKUP($A2:$A50,'LIBERACION DE CANALES'!$B50:$K1000,8,0),"")</f>
        <v/>
      </c>
      <c r="U2" s="375">
        <v>10.0</v>
      </c>
      <c r="V2" s="386"/>
      <c r="W2" s="387">
        <f t="array" ref="W2:W1000">IF(G2:G1000="","",G2:G1000/F2:F1000)</f>
        <v>0.1421911422</v>
      </c>
      <c r="X2" s="378">
        <f t="array" ref="X2:X1000">IF(M2:M1000&gt;75,M2:M1000,75)</f>
        <v>75</v>
      </c>
      <c r="Y2" s="387" t="str">
        <f t="array" ref="Y2:Y1000">IF(Q2:Q1000="","",Q2:Q1000+R2:R1000+S2:S1000+T2:T1000)</f>
        <v/>
      </c>
      <c r="Z2" s="391">
        <f t="array" ref="Z2:Z1000">IF(W2:W1000="","",1-W2:W1000)</f>
        <v>0.8578088578</v>
      </c>
      <c r="AA2" s="391">
        <f t="array" ref="AA2:AA1000">IF(W2:W1000="","",M2:M1000/X2:X1000)</f>
        <v>0.9964497041</v>
      </c>
      <c r="AB2" s="391" t="str">
        <f t="array" ref="AB2:AB1000">IF(Y2:Y1000="","",1-Y2:Y1000)</f>
        <v/>
      </c>
      <c r="AC2" s="391" t="str">
        <f t="array" ref="AC2:AC1000">UPPER(TEXT($A$2:$A1000,"MMMM"))</f>
        <v>MARZO</v>
      </c>
      <c r="AD2" s="391" t="str">
        <f t="array" ref="AD2:AD1000">UPPER(TEXT($A$2:$A1000,"YYY"))</f>
        <v>2026</v>
      </c>
      <c r="AE2" s="395"/>
      <c r="AF2" s="395"/>
      <c r="AG2" s="395"/>
      <c r="AH2" s="395"/>
    </row>
    <row r="3" ht="30.75" hidden="1" customHeight="1">
      <c r="A3" s="373">
        <f t="shared" ref="A3:A1000" si="1">IF(C3="","",A2+1)</f>
        <v>46095</v>
      </c>
      <c r="B3" s="397">
        <v>0.0</v>
      </c>
      <c r="C3" s="398">
        <v>231.0</v>
      </c>
      <c r="D3" s="399">
        <v>0.625</v>
      </c>
      <c r="E3" s="399">
        <v>0.7659722222222223</v>
      </c>
      <c r="F3" s="377">
        <v>203.00000000000009</v>
      </c>
      <c r="G3" s="400">
        <v>9.0</v>
      </c>
      <c r="H3" s="400">
        <v>30.0</v>
      </c>
      <c r="I3" s="378">
        <v>84.51219512195118</v>
      </c>
      <c r="J3" s="379">
        <v>3.3833333333333346</v>
      </c>
      <c r="K3" s="402">
        <v>0.0</v>
      </c>
      <c r="L3" s="378">
        <v>80.11560693641614</v>
      </c>
      <c r="M3" s="378">
        <v>84.51219512195118</v>
      </c>
      <c r="N3" s="378">
        <v>68.2758620689655</v>
      </c>
      <c r="O3" s="403">
        <v>0.0033</v>
      </c>
      <c r="P3" s="404">
        <v>0.017316017316017316</v>
      </c>
      <c r="Q3" s="383" t="s">
        <v>289</v>
      </c>
      <c r="R3" s="383" t="s">
        <v>289</v>
      </c>
      <c r="S3" s="383" t="s">
        <v>289</v>
      </c>
      <c r="T3" s="385" t="s">
        <v>289</v>
      </c>
      <c r="U3" s="375">
        <v>4.0</v>
      </c>
      <c r="V3" s="386"/>
      <c r="W3" s="387">
        <v>0.04433497536945811</v>
      </c>
      <c r="X3" s="378">
        <v>84.51219512195118</v>
      </c>
      <c r="Y3" s="387" t="s">
        <v>289</v>
      </c>
      <c r="Z3" s="391">
        <v>0.9556650246305419</v>
      </c>
      <c r="AA3" s="391">
        <v>1.0</v>
      </c>
      <c r="AB3" s="391" t="s">
        <v>289</v>
      </c>
      <c r="AC3" s="391" t="s">
        <v>98</v>
      </c>
      <c r="AD3" s="395" t="s">
        <v>291</v>
      </c>
      <c r="AE3" s="395"/>
      <c r="AF3" s="395"/>
      <c r="AG3" s="395"/>
      <c r="AH3" s="395"/>
    </row>
    <row r="4" ht="30.75" hidden="1" customHeight="1">
      <c r="A4" s="373">
        <f t="shared" si="1"/>
        <v>46096</v>
      </c>
      <c r="B4" s="374" t="s">
        <v>289</v>
      </c>
      <c r="C4" s="375">
        <v>0.0</v>
      </c>
      <c r="D4" s="406"/>
      <c r="E4" s="406"/>
      <c r="F4" s="377" t="s">
        <v>289</v>
      </c>
      <c r="G4" s="406"/>
      <c r="H4" s="406"/>
      <c r="I4" s="378" t="s">
        <v>289</v>
      </c>
      <c r="J4" s="379" t="s">
        <v>289</v>
      </c>
      <c r="K4" s="407"/>
      <c r="L4" s="378" t="s">
        <v>289</v>
      </c>
      <c r="M4" s="378" t="s">
        <v>289</v>
      </c>
      <c r="N4" s="378" t="s">
        <v>289</v>
      </c>
      <c r="O4" s="409"/>
      <c r="P4" s="387" t="s">
        <v>289</v>
      </c>
      <c r="Q4" s="383" t="s">
        <v>289</v>
      </c>
      <c r="R4" s="383" t="s">
        <v>289</v>
      </c>
      <c r="S4" s="383" t="s">
        <v>289</v>
      </c>
      <c r="T4" s="410" t="s">
        <v>289</v>
      </c>
      <c r="U4" s="406"/>
      <c r="V4" s="386"/>
      <c r="W4" s="387" t="s">
        <v>289</v>
      </c>
      <c r="X4" s="378" t="s">
        <v>289</v>
      </c>
      <c r="Y4" s="387" t="s">
        <v>289</v>
      </c>
      <c r="Z4" s="391" t="s">
        <v>289</v>
      </c>
      <c r="AA4" s="391" t="s">
        <v>289</v>
      </c>
      <c r="AB4" s="391" t="s">
        <v>289</v>
      </c>
      <c r="AC4" s="391" t="s">
        <v>98</v>
      </c>
      <c r="AD4" s="395" t="s">
        <v>291</v>
      </c>
      <c r="AE4" s="395"/>
      <c r="AF4" s="395"/>
      <c r="AG4" s="395"/>
      <c r="AH4" s="395"/>
    </row>
    <row r="5" ht="30.75" hidden="1" customHeight="1">
      <c r="A5" s="373">
        <f t="shared" si="1"/>
        <v>46097</v>
      </c>
      <c r="B5" s="374">
        <v>0.0</v>
      </c>
      <c r="C5" s="375">
        <v>554.0</v>
      </c>
      <c r="D5" s="376">
        <v>0.5833333333333334</v>
      </c>
      <c r="E5" s="376">
        <v>0.9180555555555555</v>
      </c>
      <c r="F5" s="377">
        <v>481.9999999999999</v>
      </c>
      <c r="G5" s="375">
        <v>30.0</v>
      </c>
      <c r="H5" s="375">
        <v>30.0</v>
      </c>
      <c r="I5" s="378">
        <v>78.76777251184836</v>
      </c>
      <c r="J5" s="379">
        <v>8.033333333333331</v>
      </c>
      <c r="K5" s="380">
        <v>0.0</v>
      </c>
      <c r="L5" s="378">
        <v>73.53982300884958</v>
      </c>
      <c r="M5" s="378">
        <v>78.76777251184836</v>
      </c>
      <c r="N5" s="378">
        <v>68.96265560165976</v>
      </c>
      <c r="O5" s="403">
        <v>0.0027</v>
      </c>
      <c r="P5" s="415">
        <v>0.021660649819494584</v>
      </c>
      <c r="Q5" s="383" t="s">
        <v>289</v>
      </c>
      <c r="R5" s="383" t="s">
        <v>289</v>
      </c>
      <c r="S5" s="383" t="s">
        <v>289</v>
      </c>
      <c r="T5" s="385" t="s">
        <v>289</v>
      </c>
      <c r="U5" s="375">
        <v>12.0</v>
      </c>
      <c r="V5" s="386"/>
      <c r="W5" s="387">
        <v>0.06224066390041495</v>
      </c>
      <c r="X5" s="378">
        <v>78.76777251184836</v>
      </c>
      <c r="Y5" s="387" t="s">
        <v>289</v>
      </c>
      <c r="Z5" s="391">
        <v>0.9377593360995851</v>
      </c>
      <c r="AA5" s="391">
        <v>1.0</v>
      </c>
      <c r="AB5" s="391" t="s">
        <v>289</v>
      </c>
      <c r="AC5" s="391" t="s">
        <v>98</v>
      </c>
      <c r="AD5" s="395" t="s">
        <v>291</v>
      </c>
      <c r="AE5" s="395"/>
      <c r="AF5" s="395"/>
      <c r="AG5" s="395"/>
      <c r="AH5" s="395"/>
    </row>
    <row r="6" ht="30.75" hidden="1" customHeight="1">
      <c r="A6" s="373">
        <f t="shared" si="1"/>
        <v>46098</v>
      </c>
      <c r="B6" s="374">
        <v>0.0</v>
      </c>
      <c r="C6" s="375">
        <v>501.0</v>
      </c>
      <c r="D6" s="376">
        <v>0.5833333333333334</v>
      </c>
      <c r="E6" s="376">
        <v>0.8916666666666667</v>
      </c>
      <c r="F6" s="395">
        <v>444.0</v>
      </c>
      <c r="G6" s="375">
        <v>17.0</v>
      </c>
      <c r="H6" s="375">
        <v>30.0</v>
      </c>
      <c r="I6" s="378">
        <v>75.71788413098237</v>
      </c>
      <c r="J6" s="379">
        <v>7.4</v>
      </c>
      <c r="K6" s="380">
        <v>0.0</v>
      </c>
      <c r="L6" s="378">
        <v>72.6086956521739</v>
      </c>
      <c r="M6" s="378">
        <v>75.71788413098237</v>
      </c>
      <c r="N6" s="378">
        <v>67.7027027027027</v>
      </c>
      <c r="O6" s="417">
        <v>0.0096</v>
      </c>
      <c r="P6" s="387">
        <v>0.031936127744510975</v>
      </c>
      <c r="Q6" s="383" t="s">
        <v>289</v>
      </c>
      <c r="R6" s="383" t="s">
        <v>289</v>
      </c>
      <c r="S6" s="383" t="s">
        <v>289</v>
      </c>
      <c r="T6" s="385" t="s">
        <v>289</v>
      </c>
      <c r="U6" s="375">
        <v>16.0</v>
      </c>
      <c r="V6" s="386"/>
      <c r="W6" s="387">
        <v>0.038288288288288286</v>
      </c>
      <c r="X6" s="378">
        <v>75.71788413098237</v>
      </c>
      <c r="Y6" s="387" t="s">
        <v>289</v>
      </c>
      <c r="Z6" s="391">
        <v>0.9617117117117118</v>
      </c>
      <c r="AA6" s="391">
        <v>1.0</v>
      </c>
      <c r="AB6" s="391" t="s">
        <v>289</v>
      </c>
      <c r="AC6" s="391" t="s">
        <v>98</v>
      </c>
      <c r="AD6" s="395" t="s">
        <v>291</v>
      </c>
      <c r="AE6" s="395"/>
      <c r="AF6" s="395"/>
      <c r="AG6" s="395"/>
      <c r="AH6" s="395"/>
    </row>
    <row r="7" ht="30.75" hidden="1" customHeight="1">
      <c r="A7" s="373">
        <f t="shared" si="1"/>
        <v>46099</v>
      </c>
      <c r="B7" s="374">
        <v>0.0</v>
      </c>
      <c r="C7" s="375">
        <v>322.0</v>
      </c>
      <c r="D7" s="376">
        <v>0.625</v>
      </c>
      <c r="E7" s="376">
        <v>0.85</v>
      </c>
      <c r="F7" s="395">
        <v>323.99999999999994</v>
      </c>
      <c r="G7" s="375">
        <v>30.0</v>
      </c>
      <c r="H7" s="375">
        <v>30.0</v>
      </c>
      <c r="I7" s="378">
        <v>73.18181818181819</v>
      </c>
      <c r="J7" s="379">
        <v>5.3999999999999995</v>
      </c>
      <c r="K7" s="380">
        <v>0.0</v>
      </c>
      <c r="L7" s="418">
        <v>65.71428571428572</v>
      </c>
      <c r="M7" s="378">
        <v>73.18181818181819</v>
      </c>
      <c r="N7" s="378">
        <v>59.62962962962963</v>
      </c>
      <c r="O7" s="417">
        <v>0.0024</v>
      </c>
      <c r="P7" s="387">
        <v>0.018633540372670808</v>
      </c>
      <c r="Q7" s="383" t="s">
        <v>289</v>
      </c>
      <c r="R7" s="383" t="s">
        <v>289</v>
      </c>
      <c r="S7" s="383" t="s">
        <v>289</v>
      </c>
      <c r="T7" s="385" t="s">
        <v>289</v>
      </c>
      <c r="U7" s="375">
        <v>6.0</v>
      </c>
      <c r="V7" s="386"/>
      <c r="W7" s="387">
        <v>0.09259259259259262</v>
      </c>
      <c r="X7" s="378">
        <v>75.0</v>
      </c>
      <c r="Y7" s="387" t="s">
        <v>289</v>
      </c>
      <c r="Z7" s="391">
        <v>0.9074074074074074</v>
      </c>
      <c r="AA7" s="391">
        <v>0.9757575757575758</v>
      </c>
      <c r="AB7" s="391" t="s">
        <v>289</v>
      </c>
      <c r="AC7" s="391" t="s">
        <v>98</v>
      </c>
      <c r="AD7" s="395" t="s">
        <v>291</v>
      </c>
      <c r="AE7" s="395"/>
      <c r="AF7" s="395"/>
      <c r="AG7" s="395"/>
      <c r="AH7" s="395"/>
    </row>
    <row r="8" ht="30.75" hidden="1" customHeight="1">
      <c r="A8" s="373">
        <f t="shared" si="1"/>
        <v>46100</v>
      </c>
      <c r="B8" s="374">
        <v>0.0</v>
      </c>
      <c r="C8" s="375">
        <v>618.0</v>
      </c>
      <c r="D8" s="376">
        <v>0.5833333333333334</v>
      </c>
      <c r="E8" s="376">
        <v>0.9576388888888889</v>
      </c>
      <c r="F8" s="419">
        <v>539.0</v>
      </c>
      <c r="G8" s="375">
        <v>37.0</v>
      </c>
      <c r="H8" s="375">
        <v>45.0</v>
      </c>
      <c r="I8" s="378">
        <v>81.13785557986871</v>
      </c>
      <c r="J8" s="379">
        <v>8.983333333333333</v>
      </c>
      <c r="K8" s="380">
        <v>0.0</v>
      </c>
      <c r="L8" s="378">
        <v>75.06072874493928</v>
      </c>
      <c r="M8" s="378">
        <v>81.13785557986871</v>
      </c>
      <c r="N8" s="378">
        <v>68.79406307977737</v>
      </c>
      <c r="O8" s="417">
        <v>0.0157</v>
      </c>
      <c r="P8" s="387">
        <v>0.021035598705501618</v>
      </c>
      <c r="Q8" s="383" t="s">
        <v>289</v>
      </c>
      <c r="R8" s="383" t="s">
        <v>289</v>
      </c>
      <c r="S8" s="383" t="s">
        <v>289</v>
      </c>
      <c r="T8" s="385" t="s">
        <v>289</v>
      </c>
      <c r="U8" s="375">
        <v>13.0</v>
      </c>
      <c r="V8" s="386"/>
      <c r="W8" s="387">
        <v>0.0686456400742115</v>
      </c>
      <c r="X8" s="378">
        <v>81.13785557986871</v>
      </c>
      <c r="Y8" s="387" t="s">
        <v>289</v>
      </c>
      <c r="Z8" s="391">
        <v>0.9313543599257885</v>
      </c>
      <c r="AA8" s="391">
        <v>1.0</v>
      </c>
      <c r="AB8" s="391" t="s">
        <v>289</v>
      </c>
      <c r="AC8" s="391" t="s">
        <v>98</v>
      </c>
      <c r="AD8" s="395" t="s">
        <v>291</v>
      </c>
      <c r="AE8" s="395"/>
      <c r="AF8" s="395"/>
      <c r="AG8" s="395"/>
      <c r="AH8" s="395"/>
    </row>
    <row r="9" ht="30.75" hidden="1" customHeight="1">
      <c r="A9" s="373">
        <f t="shared" si="1"/>
        <v>46101</v>
      </c>
      <c r="B9" s="374">
        <v>0.0</v>
      </c>
      <c r="C9" s="375">
        <v>398.0</v>
      </c>
      <c r="D9" s="376">
        <v>0.5833333333333334</v>
      </c>
      <c r="E9" s="376">
        <v>0.8291666666666667</v>
      </c>
      <c r="F9" s="395">
        <v>354.0</v>
      </c>
      <c r="G9" s="375">
        <v>0.0</v>
      </c>
      <c r="H9" s="420">
        <v>30.4</v>
      </c>
      <c r="I9" s="378">
        <v>73.79480840543881</v>
      </c>
      <c r="J9" s="379">
        <v>5.9</v>
      </c>
      <c r="K9" s="380">
        <v>0.0</v>
      </c>
      <c r="L9" s="378">
        <v>73.79480840543881</v>
      </c>
      <c r="M9" s="378">
        <v>73.79480840543881</v>
      </c>
      <c r="N9" s="378">
        <v>67.45762711864407</v>
      </c>
      <c r="O9" s="417">
        <v>0.0032</v>
      </c>
      <c r="P9" s="387">
        <v>0.01507537688442211</v>
      </c>
      <c r="Q9" s="383" t="s">
        <v>289</v>
      </c>
      <c r="R9" s="383" t="s">
        <v>289</v>
      </c>
      <c r="S9" s="383" t="s">
        <v>289</v>
      </c>
      <c r="T9" s="385" t="s">
        <v>289</v>
      </c>
      <c r="U9" s="375">
        <v>6.0</v>
      </c>
      <c r="V9" s="386"/>
      <c r="W9" s="387">
        <v>0.0</v>
      </c>
      <c r="X9" s="378">
        <v>75.0</v>
      </c>
      <c r="Y9" s="387" t="s">
        <v>289</v>
      </c>
      <c r="Z9" s="391">
        <v>1.0</v>
      </c>
      <c r="AA9" s="391">
        <v>0.9839307787391842</v>
      </c>
      <c r="AB9" s="391" t="s">
        <v>289</v>
      </c>
      <c r="AC9" s="391" t="s">
        <v>98</v>
      </c>
      <c r="AD9" s="395" t="s">
        <v>291</v>
      </c>
      <c r="AE9" s="395"/>
      <c r="AF9" s="395"/>
      <c r="AG9" s="395"/>
      <c r="AH9" s="395"/>
    </row>
    <row r="10" ht="30.75" hidden="1" customHeight="1">
      <c r="A10" s="373">
        <f t="shared" si="1"/>
        <v>46102</v>
      </c>
      <c r="B10" s="374">
        <v>0.0</v>
      </c>
      <c r="C10" s="375">
        <v>313.0</v>
      </c>
      <c r="D10" s="376">
        <v>0.625</v>
      </c>
      <c r="E10" s="376">
        <v>0.7805555555555556</v>
      </c>
      <c r="F10" s="395">
        <v>224.0</v>
      </c>
      <c r="G10" s="375">
        <v>6.0</v>
      </c>
      <c r="H10" s="375">
        <v>0.0</v>
      </c>
      <c r="I10" s="378">
        <v>86.14678899082568</v>
      </c>
      <c r="J10" s="379">
        <v>3.7333333333333334</v>
      </c>
      <c r="K10" s="380">
        <v>0.0</v>
      </c>
      <c r="L10" s="378">
        <v>83.83928571428571</v>
      </c>
      <c r="M10" s="378">
        <v>86.14678899082568</v>
      </c>
      <c r="N10" s="378">
        <v>83.83928571428571</v>
      </c>
      <c r="O10" s="417">
        <v>0.0048</v>
      </c>
      <c r="P10" s="387">
        <v>0.02875399361022364</v>
      </c>
      <c r="Q10" s="383" t="s">
        <v>289</v>
      </c>
      <c r="R10" s="383" t="s">
        <v>289</v>
      </c>
      <c r="S10" s="383" t="s">
        <v>289</v>
      </c>
      <c r="T10" s="385" t="s">
        <v>289</v>
      </c>
      <c r="U10" s="375">
        <v>9.0</v>
      </c>
      <c r="V10" s="386"/>
      <c r="W10" s="387">
        <v>0.026785714285714284</v>
      </c>
      <c r="X10" s="378">
        <v>86.14678899082568</v>
      </c>
      <c r="Y10" s="387" t="s">
        <v>289</v>
      </c>
      <c r="Z10" s="391">
        <v>0.9732142857142857</v>
      </c>
      <c r="AA10" s="391">
        <v>1.0</v>
      </c>
      <c r="AB10" s="391" t="s">
        <v>289</v>
      </c>
      <c r="AC10" s="391" t="s">
        <v>98</v>
      </c>
      <c r="AD10" s="395" t="s">
        <v>291</v>
      </c>
      <c r="AE10" s="395"/>
      <c r="AF10" s="395"/>
      <c r="AG10" s="395"/>
      <c r="AH10" s="395"/>
    </row>
    <row r="11" ht="30.75" hidden="1" customHeight="1">
      <c r="A11" s="373">
        <f t="shared" si="1"/>
        <v>46103</v>
      </c>
      <c r="B11" s="421" t="s">
        <v>289</v>
      </c>
      <c r="C11" s="375">
        <v>0.0</v>
      </c>
      <c r="D11" s="406"/>
      <c r="E11" s="406"/>
      <c r="F11" s="395" t="s">
        <v>289</v>
      </c>
      <c r="G11" s="406"/>
      <c r="H11" s="406"/>
      <c r="I11" s="378" t="s">
        <v>289</v>
      </c>
      <c r="J11" s="379" t="s">
        <v>289</v>
      </c>
      <c r="K11" s="407"/>
      <c r="L11" s="378" t="s">
        <v>289</v>
      </c>
      <c r="M11" s="378" t="s">
        <v>289</v>
      </c>
      <c r="N11" s="378" t="s">
        <v>289</v>
      </c>
      <c r="O11" s="409"/>
      <c r="P11" s="387" t="s">
        <v>289</v>
      </c>
      <c r="Q11" s="383" t="s">
        <v>289</v>
      </c>
      <c r="R11" s="383" t="s">
        <v>289</v>
      </c>
      <c r="S11" s="383" t="s">
        <v>289</v>
      </c>
      <c r="T11" s="410" t="s">
        <v>289</v>
      </c>
      <c r="U11" s="406"/>
      <c r="V11" s="386"/>
      <c r="W11" s="387" t="s">
        <v>289</v>
      </c>
      <c r="X11" s="378" t="s">
        <v>289</v>
      </c>
      <c r="Y11" s="387" t="s">
        <v>289</v>
      </c>
      <c r="Z11" s="391" t="s">
        <v>289</v>
      </c>
      <c r="AA11" s="391" t="s">
        <v>289</v>
      </c>
      <c r="AB11" s="391" t="s">
        <v>289</v>
      </c>
      <c r="AC11" s="391" t="s">
        <v>98</v>
      </c>
      <c r="AD11" s="395" t="s">
        <v>291</v>
      </c>
      <c r="AE11" s="395"/>
      <c r="AF11" s="395"/>
      <c r="AG11" s="395"/>
      <c r="AH11" s="395"/>
    </row>
    <row r="12" ht="30.75" hidden="1" customHeight="1">
      <c r="A12" s="373">
        <f t="shared" si="1"/>
        <v>46104</v>
      </c>
      <c r="B12" s="374">
        <v>0.0</v>
      </c>
      <c r="C12" s="375">
        <v>721.0</v>
      </c>
      <c r="D12" s="376">
        <v>0.5833333333333334</v>
      </c>
      <c r="E12" s="376">
        <v>1.0652777777777778</v>
      </c>
      <c r="F12" s="419">
        <v>694.0</v>
      </c>
      <c r="G12" s="375">
        <v>30.0</v>
      </c>
      <c r="H12" s="375">
        <v>60.0</v>
      </c>
      <c r="I12" s="378">
        <v>71.62251655629139</v>
      </c>
      <c r="J12" s="379">
        <v>11.566666666666666</v>
      </c>
      <c r="K12" s="380">
        <v>0.0</v>
      </c>
      <c r="L12" s="378">
        <v>68.23343848580441</v>
      </c>
      <c r="M12" s="378">
        <v>71.62251655629139</v>
      </c>
      <c r="N12" s="378">
        <v>62.3342939481268</v>
      </c>
      <c r="O12" s="417">
        <v>0.001</v>
      </c>
      <c r="P12" s="387">
        <v>0.012482662968099861</v>
      </c>
      <c r="Q12" s="383" t="s">
        <v>289</v>
      </c>
      <c r="R12" s="383" t="s">
        <v>289</v>
      </c>
      <c r="S12" s="383" t="s">
        <v>289</v>
      </c>
      <c r="T12" s="385" t="s">
        <v>289</v>
      </c>
      <c r="U12" s="375">
        <v>9.0</v>
      </c>
      <c r="V12" s="386"/>
      <c r="W12" s="387">
        <v>0.043227665706051875</v>
      </c>
      <c r="X12" s="378">
        <v>75.0</v>
      </c>
      <c r="Y12" s="387" t="s">
        <v>289</v>
      </c>
      <c r="Z12" s="391">
        <v>0.9567723342939481</v>
      </c>
      <c r="AA12" s="391">
        <v>0.9549668874172185</v>
      </c>
      <c r="AB12" s="391" t="s">
        <v>289</v>
      </c>
      <c r="AC12" s="391" t="s">
        <v>98</v>
      </c>
      <c r="AD12" s="395" t="s">
        <v>291</v>
      </c>
      <c r="AE12" s="395"/>
      <c r="AF12" s="395"/>
      <c r="AG12" s="395"/>
      <c r="AH12" s="395"/>
    </row>
    <row r="13" ht="30.75" hidden="1" customHeight="1">
      <c r="A13" s="373">
        <f t="shared" si="1"/>
        <v>46105</v>
      </c>
      <c r="B13" s="374">
        <v>0.0</v>
      </c>
      <c r="C13" s="375">
        <v>328.0</v>
      </c>
      <c r="D13" s="376">
        <v>0.625</v>
      </c>
      <c r="E13" s="376">
        <v>0.8298611111111112</v>
      </c>
      <c r="F13" s="395">
        <v>295.00000000000006</v>
      </c>
      <c r="G13" s="375">
        <v>20.0</v>
      </c>
      <c r="H13" s="375">
        <v>0.0</v>
      </c>
      <c r="I13" s="378">
        <v>71.56363636363635</v>
      </c>
      <c r="J13" s="379">
        <v>4.916666666666668</v>
      </c>
      <c r="K13" s="380">
        <v>0.0</v>
      </c>
      <c r="L13" s="378">
        <v>66.71186440677964</v>
      </c>
      <c r="M13" s="378">
        <v>71.56363636363635</v>
      </c>
      <c r="N13" s="378">
        <v>66.71186440677964</v>
      </c>
      <c r="O13" s="417">
        <v>0.0076</v>
      </c>
      <c r="P13" s="387">
        <v>0.018292682926829267</v>
      </c>
      <c r="Q13" s="383" t="s">
        <v>289</v>
      </c>
      <c r="R13" s="383" t="s">
        <v>289</v>
      </c>
      <c r="S13" s="383" t="s">
        <v>289</v>
      </c>
      <c r="T13" s="385" t="s">
        <v>289</v>
      </c>
      <c r="U13" s="375">
        <v>6.0</v>
      </c>
      <c r="V13" s="422" t="s">
        <v>292</v>
      </c>
      <c r="W13" s="387">
        <v>0.06779661016949151</v>
      </c>
      <c r="X13" s="378">
        <v>75.0</v>
      </c>
      <c r="Y13" s="387" t="s">
        <v>289</v>
      </c>
      <c r="Z13" s="391">
        <v>0.9322033898305084</v>
      </c>
      <c r="AA13" s="391">
        <v>0.954181818181818</v>
      </c>
      <c r="AB13" s="391" t="s">
        <v>289</v>
      </c>
      <c r="AC13" s="391" t="s">
        <v>98</v>
      </c>
      <c r="AD13" s="395" t="s">
        <v>291</v>
      </c>
      <c r="AE13" s="395"/>
      <c r="AF13" s="395"/>
      <c r="AG13" s="395"/>
      <c r="AH13" s="395"/>
    </row>
    <row r="14" ht="30.75" hidden="1" customHeight="1">
      <c r="A14" s="373">
        <f t="shared" si="1"/>
        <v>46106</v>
      </c>
      <c r="B14" s="374">
        <v>0.0</v>
      </c>
      <c r="C14" s="375">
        <v>359.0</v>
      </c>
      <c r="D14" s="376">
        <v>0.625</v>
      </c>
      <c r="E14" s="376">
        <v>0.8590277777777777</v>
      </c>
      <c r="F14" s="395">
        <v>336.99999999999994</v>
      </c>
      <c r="G14" s="375">
        <v>15.0</v>
      </c>
      <c r="H14" s="375">
        <v>30.0</v>
      </c>
      <c r="I14" s="378">
        <v>73.76712328767125</v>
      </c>
      <c r="J14" s="379">
        <v>5.616666666666665</v>
      </c>
      <c r="K14" s="380">
        <v>0.0</v>
      </c>
      <c r="L14" s="378">
        <v>70.16286644951141</v>
      </c>
      <c r="M14" s="378">
        <v>73.76712328767125</v>
      </c>
      <c r="N14" s="378">
        <v>63.91691394658755</v>
      </c>
      <c r="O14" s="417">
        <v>0.0049</v>
      </c>
      <c r="P14" s="387">
        <v>0.03064066852367688</v>
      </c>
      <c r="Q14" s="383" t="s">
        <v>289</v>
      </c>
      <c r="R14" s="383" t="s">
        <v>289</v>
      </c>
      <c r="S14" s="383" t="s">
        <v>289</v>
      </c>
      <c r="T14" s="385" t="s">
        <v>289</v>
      </c>
      <c r="U14" s="375">
        <v>11.0</v>
      </c>
      <c r="V14" s="423" t="s">
        <v>293</v>
      </c>
      <c r="W14" s="387">
        <v>0.04451038575667657</v>
      </c>
      <c r="X14" s="378">
        <v>75.0</v>
      </c>
      <c r="Y14" s="387" t="s">
        <v>289</v>
      </c>
      <c r="Z14" s="391">
        <v>0.9554896142433235</v>
      </c>
      <c r="AA14" s="391">
        <v>0.9835616438356167</v>
      </c>
      <c r="AB14" s="391" t="s">
        <v>289</v>
      </c>
      <c r="AC14" s="391" t="s">
        <v>98</v>
      </c>
      <c r="AD14" s="395" t="s">
        <v>291</v>
      </c>
      <c r="AE14" s="395"/>
      <c r="AF14" s="395"/>
      <c r="AG14" s="395"/>
      <c r="AH14" s="395"/>
    </row>
    <row r="15" ht="30.75" hidden="1" customHeight="1">
      <c r="A15" s="373">
        <f t="shared" si="1"/>
        <v>46107</v>
      </c>
      <c r="B15" s="374">
        <v>0.0</v>
      </c>
      <c r="C15" s="375">
        <v>504.0</v>
      </c>
      <c r="D15" s="376">
        <v>0.5833333333333334</v>
      </c>
      <c r="E15" s="376">
        <v>0.8930555555555556</v>
      </c>
      <c r="F15" s="395">
        <v>446.0</v>
      </c>
      <c r="G15" s="375">
        <v>35.0</v>
      </c>
      <c r="H15" s="375">
        <v>30.0</v>
      </c>
      <c r="I15" s="378">
        <v>79.37007874015748</v>
      </c>
      <c r="J15" s="379">
        <v>7.433333333333334</v>
      </c>
      <c r="K15" s="380">
        <v>0.0</v>
      </c>
      <c r="L15" s="378">
        <v>72.6923076923077</v>
      </c>
      <c r="M15" s="378">
        <v>79.37007874015748</v>
      </c>
      <c r="N15" s="378">
        <v>67.80269058295964</v>
      </c>
      <c r="O15" s="417">
        <v>0.007</v>
      </c>
      <c r="P15" s="387">
        <v>0.03571428571428571</v>
      </c>
      <c r="Q15" s="383" t="s">
        <v>289</v>
      </c>
      <c r="R15" s="383" t="s">
        <v>289</v>
      </c>
      <c r="S15" s="383" t="s">
        <v>289</v>
      </c>
      <c r="T15" s="385" t="s">
        <v>289</v>
      </c>
      <c r="U15" s="375">
        <v>18.0</v>
      </c>
      <c r="V15" s="424"/>
      <c r="W15" s="387">
        <v>0.07847533632286996</v>
      </c>
      <c r="X15" s="378">
        <v>79.37007874015748</v>
      </c>
      <c r="Y15" s="387" t="s">
        <v>289</v>
      </c>
      <c r="Z15" s="391">
        <v>0.92152466367713</v>
      </c>
      <c r="AA15" s="391">
        <v>1.0</v>
      </c>
      <c r="AB15" s="391" t="s">
        <v>289</v>
      </c>
      <c r="AC15" s="391" t="s">
        <v>98</v>
      </c>
      <c r="AD15" s="395" t="s">
        <v>291</v>
      </c>
      <c r="AE15" s="395"/>
      <c r="AF15" s="395"/>
      <c r="AG15" s="395"/>
      <c r="AH15" s="395"/>
    </row>
    <row r="16" ht="30.75" hidden="1" customHeight="1">
      <c r="A16" s="373">
        <f t="shared" si="1"/>
        <v>46108</v>
      </c>
      <c r="B16" s="374">
        <v>0.0</v>
      </c>
      <c r="C16" s="375">
        <v>337.0</v>
      </c>
      <c r="D16" s="376">
        <v>0.625</v>
      </c>
      <c r="E16" s="376">
        <v>0.8270833333333333</v>
      </c>
      <c r="F16" s="395">
        <v>290.99999999999994</v>
      </c>
      <c r="G16" s="375">
        <v>0.0</v>
      </c>
      <c r="H16" s="375">
        <v>30.0</v>
      </c>
      <c r="I16" s="378">
        <v>77.47126436781612</v>
      </c>
      <c r="J16" s="379">
        <v>4.849999999999999</v>
      </c>
      <c r="K16" s="380">
        <v>0.0</v>
      </c>
      <c r="L16" s="378">
        <v>77.47126436781612</v>
      </c>
      <c r="M16" s="378">
        <v>77.47126436781612</v>
      </c>
      <c r="N16" s="378">
        <v>69.48453608247425</v>
      </c>
      <c r="O16" s="417">
        <v>0.0067</v>
      </c>
      <c r="P16" s="387">
        <v>0.032640949554896145</v>
      </c>
      <c r="Q16" s="383" t="s">
        <v>289</v>
      </c>
      <c r="R16" s="383" t="s">
        <v>289</v>
      </c>
      <c r="S16" s="383" t="s">
        <v>289</v>
      </c>
      <c r="T16" s="385" t="s">
        <v>289</v>
      </c>
      <c r="U16" s="375">
        <v>11.0</v>
      </c>
      <c r="V16" s="425" t="s">
        <v>294</v>
      </c>
      <c r="W16" s="387">
        <v>0.0</v>
      </c>
      <c r="X16" s="378">
        <v>77.47126436781612</v>
      </c>
      <c r="Y16" s="387" t="s">
        <v>289</v>
      </c>
      <c r="Z16" s="391">
        <v>1.0</v>
      </c>
      <c r="AA16" s="391">
        <v>1.0</v>
      </c>
      <c r="AB16" s="391" t="s">
        <v>289</v>
      </c>
      <c r="AC16" s="391" t="s">
        <v>98</v>
      </c>
      <c r="AD16" s="395" t="s">
        <v>291</v>
      </c>
      <c r="AE16" s="395"/>
      <c r="AF16" s="395"/>
      <c r="AG16" s="395"/>
      <c r="AH16" s="395"/>
    </row>
    <row r="17" ht="30.75" hidden="1" customHeight="1">
      <c r="A17" s="373">
        <f t="shared" si="1"/>
        <v>46109</v>
      </c>
      <c r="B17" s="374">
        <v>0.0</v>
      </c>
      <c r="C17" s="375">
        <v>456.0</v>
      </c>
      <c r="D17" s="376">
        <v>0.6298611111111111</v>
      </c>
      <c r="E17" s="376">
        <v>0.9013888888888889</v>
      </c>
      <c r="F17" s="395">
        <v>391.00000000000006</v>
      </c>
      <c r="G17" s="375">
        <v>36.0</v>
      </c>
      <c r="H17" s="375">
        <v>30.0</v>
      </c>
      <c r="I17" s="378">
        <v>84.18461538461537</v>
      </c>
      <c r="J17" s="379">
        <v>6.5166666666666675</v>
      </c>
      <c r="K17" s="380">
        <v>7.0</v>
      </c>
      <c r="L17" s="378">
        <v>75.78947368421052</v>
      </c>
      <c r="M17" s="378">
        <v>84.18461538461537</v>
      </c>
      <c r="N17" s="378">
        <v>69.97442455242965</v>
      </c>
      <c r="O17" s="417">
        <v>0.0071</v>
      </c>
      <c r="P17" s="387">
        <v>0.0</v>
      </c>
      <c r="Q17" s="383" t="s">
        <v>289</v>
      </c>
      <c r="R17" s="383" t="s">
        <v>289</v>
      </c>
      <c r="S17" s="383" t="s">
        <v>289</v>
      </c>
      <c r="T17" s="410" t="s">
        <v>289</v>
      </c>
      <c r="U17" s="406"/>
      <c r="V17" s="425" t="s">
        <v>295</v>
      </c>
      <c r="W17" s="387">
        <v>0.09207161125319692</v>
      </c>
      <c r="X17" s="378">
        <v>84.18461538461537</v>
      </c>
      <c r="Y17" s="387" t="s">
        <v>289</v>
      </c>
      <c r="Z17" s="391">
        <v>0.907928388746803</v>
      </c>
      <c r="AA17" s="391">
        <v>1.0</v>
      </c>
      <c r="AB17" s="391" t="s">
        <v>289</v>
      </c>
      <c r="AC17" s="391" t="s">
        <v>98</v>
      </c>
      <c r="AD17" s="395" t="s">
        <v>291</v>
      </c>
      <c r="AE17" s="395"/>
      <c r="AF17" s="395"/>
      <c r="AG17" s="395"/>
      <c r="AH17" s="395"/>
    </row>
    <row r="18" ht="30.75" hidden="1" customHeight="1">
      <c r="A18" s="373">
        <f t="shared" si="1"/>
        <v>46110</v>
      </c>
      <c r="B18" s="421" t="s">
        <v>289</v>
      </c>
      <c r="C18" s="375">
        <v>0.0</v>
      </c>
      <c r="D18" s="406"/>
      <c r="E18" s="406"/>
      <c r="F18" s="395" t="s">
        <v>289</v>
      </c>
      <c r="G18" s="406"/>
      <c r="H18" s="406"/>
      <c r="I18" s="378" t="s">
        <v>289</v>
      </c>
      <c r="J18" s="379" t="s">
        <v>289</v>
      </c>
      <c r="K18" s="407"/>
      <c r="L18" s="378" t="s">
        <v>289</v>
      </c>
      <c r="M18" s="378" t="s">
        <v>289</v>
      </c>
      <c r="N18" s="378" t="s">
        <v>289</v>
      </c>
      <c r="O18" s="409"/>
      <c r="P18" s="387" t="s">
        <v>289</v>
      </c>
      <c r="Q18" s="383" t="s">
        <v>289</v>
      </c>
      <c r="R18" s="383" t="s">
        <v>289</v>
      </c>
      <c r="S18" s="383" t="s">
        <v>289</v>
      </c>
      <c r="T18" s="410" t="s">
        <v>289</v>
      </c>
      <c r="U18" s="406"/>
      <c r="V18" s="386"/>
      <c r="W18" s="387" t="s">
        <v>289</v>
      </c>
      <c r="X18" s="378" t="s">
        <v>289</v>
      </c>
      <c r="Y18" s="387" t="s">
        <v>289</v>
      </c>
      <c r="Z18" s="391" t="s">
        <v>289</v>
      </c>
      <c r="AA18" s="391" t="s">
        <v>289</v>
      </c>
      <c r="AB18" s="391" t="s">
        <v>289</v>
      </c>
      <c r="AC18" s="391" t="s">
        <v>98</v>
      </c>
      <c r="AD18" s="395" t="s">
        <v>291</v>
      </c>
      <c r="AE18" s="395"/>
      <c r="AF18" s="395"/>
      <c r="AG18" s="395"/>
      <c r="AH18" s="395"/>
    </row>
    <row r="19" ht="30.75" hidden="1" customHeight="1">
      <c r="A19" s="373">
        <f t="shared" si="1"/>
        <v>46111</v>
      </c>
      <c r="B19" s="374">
        <v>0.0</v>
      </c>
      <c r="C19" s="375">
        <v>678.0</v>
      </c>
      <c r="D19" s="376">
        <v>0.5833333333333334</v>
      </c>
      <c r="E19" s="376">
        <v>1.0104166666666667</v>
      </c>
      <c r="F19" s="419">
        <v>615.0</v>
      </c>
      <c r="G19" s="375">
        <v>20.0</v>
      </c>
      <c r="H19" s="375">
        <v>60.0</v>
      </c>
      <c r="I19" s="378">
        <v>76.03738317757009</v>
      </c>
      <c r="J19" s="379">
        <v>10.25</v>
      </c>
      <c r="K19" s="380">
        <v>0.0</v>
      </c>
      <c r="L19" s="378">
        <v>73.29729729729729</v>
      </c>
      <c r="M19" s="378">
        <v>76.03738317757009</v>
      </c>
      <c r="N19" s="378">
        <v>66.14634146341463</v>
      </c>
      <c r="O19" s="417">
        <v>0.0019</v>
      </c>
      <c r="P19" s="387">
        <v>0.028023598820058997</v>
      </c>
      <c r="Q19" s="383" t="s">
        <v>289</v>
      </c>
      <c r="R19" s="383" t="s">
        <v>289</v>
      </c>
      <c r="S19" s="383" t="s">
        <v>289</v>
      </c>
      <c r="T19" s="385" t="s">
        <v>289</v>
      </c>
      <c r="U19" s="375">
        <v>19.0</v>
      </c>
      <c r="V19" s="425" t="s">
        <v>296</v>
      </c>
      <c r="W19" s="387">
        <v>0.032520325203252036</v>
      </c>
      <c r="X19" s="378">
        <v>76.03738317757009</v>
      </c>
      <c r="Y19" s="387" t="s">
        <v>289</v>
      </c>
      <c r="Z19" s="391">
        <v>0.967479674796748</v>
      </c>
      <c r="AA19" s="391">
        <v>1.0</v>
      </c>
      <c r="AB19" s="391" t="s">
        <v>289</v>
      </c>
      <c r="AC19" s="391" t="s">
        <v>98</v>
      </c>
      <c r="AD19" s="395" t="s">
        <v>291</v>
      </c>
      <c r="AE19" s="395"/>
      <c r="AF19" s="395"/>
      <c r="AG19" s="395"/>
      <c r="AH19" s="395"/>
    </row>
    <row r="20" ht="30.75" hidden="1" customHeight="1">
      <c r="A20" s="373">
        <f t="shared" si="1"/>
        <v>46112</v>
      </c>
      <c r="B20" s="374">
        <v>0.0</v>
      </c>
      <c r="C20" s="375">
        <v>430.0</v>
      </c>
      <c r="D20" s="376">
        <v>0.5833333333333334</v>
      </c>
      <c r="E20" s="376">
        <v>0.8513888888888889</v>
      </c>
      <c r="F20" s="395">
        <v>385.9999999999999</v>
      </c>
      <c r="G20" s="406">
        <f>5+9</f>
        <v>14</v>
      </c>
      <c r="H20" s="375">
        <v>30.0</v>
      </c>
      <c r="I20" s="378">
        <v>75.4385964912281</v>
      </c>
      <c r="J20" s="379">
        <v>6.433333333333332</v>
      </c>
      <c r="K20" s="380">
        <v>0.0</v>
      </c>
      <c r="L20" s="378">
        <v>72.47191011235957</v>
      </c>
      <c r="M20" s="378">
        <v>75.4385964912281</v>
      </c>
      <c r="N20" s="378">
        <v>66.83937823834198</v>
      </c>
      <c r="O20" s="417">
        <v>0.0029</v>
      </c>
      <c r="P20" s="387">
        <v>0.023255813953488372</v>
      </c>
      <c r="Q20" s="383" t="s">
        <v>289</v>
      </c>
      <c r="R20" s="383" t="s">
        <v>289</v>
      </c>
      <c r="S20" s="383" t="s">
        <v>289</v>
      </c>
      <c r="T20" s="385" t="s">
        <v>289</v>
      </c>
      <c r="U20" s="375">
        <v>10.0</v>
      </c>
      <c r="V20" s="425" t="s">
        <v>297</v>
      </c>
      <c r="W20" s="387">
        <v>0.03626943005181348</v>
      </c>
      <c r="X20" s="378">
        <v>75.4385964912281</v>
      </c>
      <c r="Y20" s="387" t="s">
        <v>289</v>
      </c>
      <c r="Z20" s="391">
        <v>0.9637305699481865</v>
      </c>
      <c r="AA20" s="391">
        <v>1.0</v>
      </c>
      <c r="AB20" s="391" t="s">
        <v>289</v>
      </c>
      <c r="AC20" s="391" t="s">
        <v>98</v>
      </c>
      <c r="AD20" s="395" t="s">
        <v>291</v>
      </c>
      <c r="AE20" s="395"/>
      <c r="AF20" s="395"/>
      <c r="AG20" s="395"/>
      <c r="AH20" s="395"/>
    </row>
    <row r="21" ht="30.75" hidden="1" customHeight="1">
      <c r="A21" s="373">
        <f t="shared" si="1"/>
        <v>46113</v>
      </c>
      <c r="B21" s="374">
        <v>0.0</v>
      </c>
      <c r="C21" s="375">
        <v>316.0</v>
      </c>
      <c r="D21" s="376">
        <v>0.5833333333333334</v>
      </c>
      <c r="E21" s="376">
        <v>1.1701388888888888</v>
      </c>
      <c r="F21" s="395">
        <v>844.9999999999999</v>
      </c>
      <c r="G21" s="375">
        <v>590.0</v>
      </c>
      <c r="H21" s="375">
        <v>0.0</v>
      </c>
      <c r="I21" s="378">
        <v>74.35294117647062</v>
      </c>
      <c r="J21" s="379">
        <v>14.083333333333332</v>
      </c>
      <c r="K21" s="380">
        <v>0.0</v>
      </c>
      <c r="L21" s="378">
        <v>22.437869822485208</v>
      </c>
      <c r="M21" s="378">
        <v>74.35294117647062</v>
      </c>
      <c r="N21" s="378">
        <v>22.437869822485208</v>
      </c>
      <c r="O21" s="417">
        <v>0.0032</v>
      </c>
      <c r="P21" s="387">
        <v>0.0189873417721519</v>
      </c>
      <c r="Q21" s="383" t="s">
        <v>289</v>
      </c>
      <c r="R21" s="383" t="s">
        <v>289</v>
      </c>
      <c r="S21" s="383" t="s">
        <v>289</v>
      </c>
      <c r="T21" s="385" t="s">
        <v>289</v>
      </c>
      <c r="U21" s="375">
        <v>6.0</v>
      </c>
      <c r="V21" s="425" t="s">
        <v>298</v>
      </c>
      <c r="W21" s="387">
        <v>0.698224852071006</v>
      </c>
      <c r="X21" s="378">
        <v>75.0</v>
      </c>
      <c r="Y21" s="387" t="s">
        <v>289</v>
      </c>
      <c r="Z21" s="391">
        <v>0.30177514792899396</v>
      </c>
      <c r="AA21" s="391">
        <v>0.9913725490196083</v>
      </c>
      <c r="AB21" s="391" t="s">
        <v>289</v>
      </c>
      <c r="AC21" s="391" t="s">
        <v>106</v>
      </c>
      <c r="AD21" s="395" t="s">
        <v>291</v>
      </c>
      <c r="AE21" s="395"/>
      <c r="AF21" s="395"/>
      <c r="AG21" s="395"/>
      <c r="AH21" s="395"/>
    </row>
    <row r="22" ht="30.75" hidden="1" customHeight="1">
      <c r="A22" s="373">
        <f t="shared" si="1"/>
        <v>46114</v>
      </c>
      <c r="B22" s="421" t="s">
        <v>289</v>
      </c>
      <c r="C22" s="375">
        <v>0.0</v>
      </c>
      <c r="D22" s="376"/>
      <c r="E22" s="376"/>
      <c r="F22" s="395" t="s">
        <v>289</v>
      </c>
      <c r="G22" s="375"/>
      <c r="H22" s="406"/>
      <c r="I22" s="378" t="s">
        <v>289</v>
      </c>
      <c r="J22" s="379" t="s">
        <v>289</v>
      </c>
      <c r="K22" s="380"/>
      <c r="L22" s="378" t="s">
        <v>289</v>
      </c>
      <c r="M22" s="378" t="s">
        <v>289</v>
      </c>
      <c r="N22" s="378" t="s">
        <v>289</v>
      </c>
      <c r="O22" s="409"/>
      <c r="P22" s="387" t="s">
        <v>289</v>
      </c>
      <c r="Q22" s="383" t="s">
        <v>289</v>
      </c>
      <c r="R22" s="383" t="s">
        <v>289</v>
      </c>
      <c r="S22" s="383" t="s">
        <v>289</v>
      </c>
      <c r="T22" s="410" t="s">
        <v>289</v>
      </c>
      <c r="U22" s="406"/>
      <c r="V22" s="386"/>
      <c r="W22" s="387" t="s">
        <v>289</v>
      </c>
      <c r="X22" s="378" t="s">
        <v>289</v>
      </c>
      <c r="Y22" s="387" t="s">
        <v>289</v>
      </c>
      <c r="Z22" s="391" t="s">
        <v>289</v>
      </c>
      <c r="AA22" s="391" t="s">
        <v>289</v>
      </c>
      <c r="AB22" s="391" t="s">
        <v>289</v>
      </c>
      <c r="AC22" s="391" t="s">
        <v>106</v>
      </c>
      <c r="AD22" s="395" t="s">
        <v>291</v>
      </c>
      <c r="AE22" s="395"/>
      <c r="AF22" s="395"/>
      <c r="AG22" s="395"/>
      <c r="AH22" s="395"/>
    </row>
    <row r="23" ht="30.75" hidden="1" customHeight="1">
      <c r="A23" s="373">
        <f t="shared" si="1"/>
        <v>46115</v>
      </c>
      <c r="B23" s="421" t="s">
        <v>289</v>
      </c>
      <c r="C23" s="375">
        <v>0.0</v>
      </c>
      <c r="D23" s="406"/>
      <c r="E23" s="376"/>
      <c r="F23" s="395" t="s">
        <v>289</v>
      </c>
      <c r="G23" s="406"/>
      <c r="H23" s="406"/>
      <c r="I23" s="378" t="s">
        <v>289</v>
      </c>
      <c r="J23" s="379" t="s">
        <v>289</v>
      </c>
      <c r="K23" s="407"/>
      <c r="L23" s="378" t="s">
        <v>289</v>
      </c>
      <c r="M23" s="378" t="s">
        <v>289</v>
      </c>
      <c r="N23" s="378" t="s">
        <v>289</v>
      </c>
      <c r="O23" s="409"/>
      <c r="P23" s="387" t="s">
        <v>289</v>
      </c>
      <c r="Q23" s="383" t="s">
        <v>289</v>
      </c>
      <c r="R23" s="383" t="s">
        <v>289</v>
      </c>
      <c r="S23" s="383" t="s">
        <v>289</v>
      </c>
      <c r="T23" s="410" t="s">
        <v>289</v>
      </c>
      <c r="U23" s="406"/>
      <c r="V23" s="386"/>
      <c r="W23" s="387" t="s">
        <v>289</v>
      </c>
      <c r="X23" s="378" t="s">
        <v>289</v>
      </c>
      <c r="Y23" s="387" t="s">
        <v>289</v>
      </c>
      <c r="Z23" s="391" t="s">
        <v>289</v>
      </c>
      <c r="AA23" s="391" t="s">
        <v>289</v>
      </c>
      <c r="AB23" s="391" t="s">
        <v>289</v>
      </c>
      <c r="AC23" s="391" t="s">
        <v>106</v>
      </c>
      <c r="AD23" s="395" t="s">
        <v>291</v>
      </c>
      <c r="AE23" s="395"/>
      <c r="AF23" s="395"/>
      <c r="AG23" s="395"/>
      <c r="AH23" s="395"/>
    </row>
    <row r="24" ht="30.75" hidden="1" customHeight="1">
      <c r="A24" s="373">
        <f t="shared" si="1"/>
        <v>46116</v>
      </c>
      <c r="B24" s="374">
        <v>0.0</v>
      </c>
      <c r="C24" s="375">
        <v>431.0</v>
      </c>
      <c r="D24" s="376">
        <v>0.625</v>
      </c>
      <c r="E24" s="376">
        <v>0.8777777777777778</v>
      </c>
      <c r="F24" s="395">
        <v>364.0</v>
      </c>
      <c r="G24" s="375">
        <v>0.0</v>
      </c>
      <c r="H24" s="375">
        <v>30.0</v>
      </c>
      <c r="I24" s="378">
        <v>77.42514970059881</v>
      </c>
      <c r="J24" s="379">
        <v>6.066666666666666</v>
      </c>
      <c r="K24" s="380">
        <v>0.0</v>
      </c>
      <c r="L24" s="378">
        <v>77.42514970059881</v>
      </c>
      <c r="M24" s="378">
        <v>77.42514970059881</v>
      </c>
      <c r="N24" s="378">
        <v>71.04395604395604</v>
      </c>
      <c r="O24" s="417">
        <v>0.007</v>
      </c>
      <c r="P24" s="387">
        <v>0.027842227378190254</v>
      </c>
      <c r="Q24" s="383" t="s">
        <v>289</v>
      </c>
      <c r="R24" s="383" t="s">
        <v>289</v>
      </c>
      <c r="S24" s="383" t="s">
        <v>289</v>
      </c>
      <c r="T24" s="385" t="s">
        <v>289</v>
      </c>
      <c r="U24" s="375">
        <v>12.0</v>
      </c>
      <c r="V24" s="386"/>
      <c r="W24" s="387">
        <v>0.0</v>
      </c>
      <c r="X24" s="378">
        <v>77.42514970059881</v>
      </c>
      <c r="Y24" s="387" t="s">
        <v>289</v>
      </c>
      <c r="Z24" s="391">
        <v>1.0</v>
      </c>
      <c r="AA24" s="391">
        <v>1.0</v>
      </c>
      <c r="AB24" s="391" t="s">
        <v>289</v>
      </c>
      <c r="AC24" s="391" t="s">
        <v>106</v>
      </c>
      <c r="AD24" s="395" t="s">
        <v>291</v>
      </c>
      <c r="AE24" s="395"/>
      <c r="AF24" s="395"/>
      <c r="AG24" s="395"/>
      <c r="AH24" s="395"/>
    </row>
    <row r="25" ht="30.75" hidden="1" customHeight="1">
      <c r="A25" s="373">
        <f t="shared" si="1"/>
        <v>46117</v>
      </c>
      <c r="B25" s="374" t="s">
        <v>289</v>
      </c>
      <c r="C25" s="375">
        <v>0.0</v>
      </c>
      <c r="D25" s="376"/>
      <c r="E25" s="376"/>
      <c r="F25" s="395" t="s">
        <v>289</v>
      </c>
      <c r="G25" s="375"/>
      <c r="H25" s="375"/>
      <c r="I25" s="378" t="s">
        <v>289</v>
      </c>
      <c r="J25" s="379" t="s">
        <v>289</v>
      </c>
      <c r="K25" s="380">
        <v>0.0</v>
      </c>
      <c r="L25" s="378" t="s">
        <v>289</v>
      </c>
      <c r="M25" s="378" t="s">
        <v>289</v>
      </c>
      <c r="N25" s="378" t="s">
        <v>289</v>
      </c>
      <c r="O25" s="417"/>
      <c r="P25" s="387" t="s">
        <v>289</v>
      </c>
      <c r="Q25" s="383" t="s">
        <v>289</v>
      </c>
      <c r="R25" s="383" t="s">
        <v>289</v>
      </c>
      <c r="S25" s="383" t="s">
        <v>289</v>
      </c>
      <c r="T25" s="385" t="s">
        <v>289</v>
      </c>
      <c r="U25" s="375"/>
      <c r="V25" s="422"/>
      <c r="W25" s="387" t="s">
        <v>289</v>
      </c>
      <c r="X25" s="378" t="s">
        <v>289</v>
      </c>
      <c r="Y25" s="387" t="s">
        <v>289</v>
      </c>
      <c r="Z25" s="391" t="s">
        <v>289</v>
      </c>
      <c r="AA25" s="391" t="s">
        <v>289</v>
      </c>
      <c r="AB25" s="391" t="s">
        <v>289</v>
      </c>
      <c r="AC25" s="391" t="s">
        <v>106</v>
      </c>
      <c r="AD25" s="395" t="s">
        <v>291</v>
      </c>
      <c r="AE25" s="395"/>
      <c r="AF25" s="395"/>
      <c r="AG25" s="395"/>
      <c r="AH25" s="395"/>
    </row>
    <row r="26" ht="30.75" hidden="1" customHeight="1">
      <c r="A26" s="373">
        <f t="shared" si="1"/>
        <v>46118</v>
      </c>
      <c r="B26" s="374">
        <v>0.0</v>
      </c>
      <c r="C26" s="375">
        <v>679.0</v>
      </c>
      <c r="D26" s="376">
        <v>0.5833333333333334</v>
      </c>
      <c r="E26" s="376">
        <v>1.0368055555555555</v>
      </c>
      <c r="F26" s="395">
        <v>653.0</v>
      </c>
      <c r="G26" s="375">
        <v>77.0</v>
      </c>
      <c r="H26" s="375">
        <v>60.0</v>
      </c>
      <c r="I26" s="378">
        <v>78.95348837209302</v>
      </c>
      <c r="J26" s="379">
        <v>10.883333333333333</v>
      </c>
      <c r="K26" s="380">
        <v>0.0</v>
      </c>
      <c r="L26" s="378">
        <v>68.70151770657674</v>
      </c>
      <c r="M26" s="378">
        <v>78.95348837209302</v>
      </c>
      <c r="N26" s="378">
        <v>62.388973966309344</v>
      </c>
      <c r="O26" s="417">
        <v>0.008</v>
      </c>
      <c r="P26" s="387">
        <v>0.025036818851251842</v>
      </c>
      <c r="Q26" s="383" t="s">
        <v>289</v>
      </c>
      <c r="R26" s="383" t="s">
        <v>289</v>
      </c>
      <c r="S26" s="383" t="s">
        <v>289</v>
      </c>
      <c r="T26" s="385" t="s">
        <v>289</v>
      </c>
      <c r="U26" s="375">
        <v>17.0</v>
      </c>
      <c r="V26" s="422" t="s">
        <v>299</v>
      </c>
      <c r="W26" s="387">
        <v>0.11791730474732007</v>
      </c>
      <c r="X26" s="378">
        <v>78.95348837209302</v>
      </c>
      <c r="Y26" s="387" t="s">
        <v>289</v>
      </c>
      <c r="Z26" s="391">
        <v>0.8820826952526799</v>
      </c>
      <c r="AA26" s="391">
        <v>1.0</v>
      </c>
      <c r="AB26" s="391" t="s">
        <v>289</v>
      </c>
      <c r="AC26" s="391" t="s">
        <v>106</v>
      </c>
      <c r="AD26" s="395" t="s">
        <v>291</v>
      </c>
      <c r="AE26" s="395"/>
      <c r="AF26" s="395"/>
      <c r="AG26" s="395"/>
      <c r="AH26" s="395"/>
    </row>
    <row r="27" ht="30.75" hidden="1" customHeight="1">
      <c r="A27" s="373">
        <f t="shared" si="1"/>
        <v>46119</v>
      </c>
      <c r="B27" s="374">
        <v>0.0</v>
      </c>
      <c r="C27" s="375">
        <v>445.0</v>
      </c>
      <c r="D27" s="376">
        <v>0.5833333333333334</v>
      </c>
      <c r="E27" s="376">
        <v>0.8930555555555556</v>
      </c>
      <c r="F27" s="395">
        <v>446.0</v>
      </c>
      <c r="G27" s="375">
        <v>30.0</v>
      </c>
      <c r="H27" s="375">
        <v>35.0</v>
      </c>
      <c r="I27" s="378">
        <v>70.07874015748033</v>
      </c>
      <c r="J27" s="379">
        <v>7.433333333333334</v>
      </c>
      <c r="K27" s="380">
        <v>0.0</v>
      </c>
      <c r="L27" s="378">
        <v>64.96350364963504</v>
      </c>
      <c r="M27" s="378">
        <v>70.07874015748033</v>
      </c>
      <c r="N27" s="378">
        <v>59.865470852017935</v>
      </c>
      <c r="O27" s="417">
        <v>0.0084</v>
      </c>
      <c r="P27" s="387">
        <v>0.024719101123595506</v>
      </c>
      <c r="Q27" s="383" t="s">
        <v>289</v>
      </c>
      <c r="R27" s="383" t="s">
        <v>289</v>
      </c>
      <c r="S27" s="383" t="s">
        <v>289</v>
      </c>
      <c r="T27" s="385" t="s">
        <v>289</v>
      </c>
      <c r="U27" s="375">
        <v>11.0</v>
      </c>
      <c r="V27" s="422" t="s">
        <v>300</v>
      </c>
      <c r="W27" s="387">
        <v>0.06726457399103139</v>
      </c>
      <c r="X27" s="378">
        <v>75.0</v>
      </c>
      <c r="Y27" s="387" t="s">
        <v>289</v>
      </c>
      <c r="Z27" s="391">
        <v>0.9327354260089686</v>
      </c>
      <c r="AA27" s="391">
        <v>0.9343832020997377</v>
      </c>
      <c r="AB27" s="391" t="s">
        <v>289</v>
      </c>
      <c r="AC27" s="391" t="s">
        <v>106</v>
      </c>
      <c r="AD27" s="395" t="s">
        <v>291</v>
      </c>
      <c r="AE27" s="395"/>
      <c r="AF27" s="395"/>
      <c r="AG27" s="395"/>
      <c r="AH27" s="395"/>
    </row>
    <row r="28" ht="30.75" hidden="1" customHeight="1">
      <c r="A28" s="373">
        <f t="shared" si="1"/>
        <v>46120</v>
      </c>
      <c r="B28" s="374">
        <v>0.0</v>
      </c>
      <c r="C28" s="375">
        <v>489.0</v>
      </c>
      <c r="D28" s="376">
        <v>0.5833333333333334</v>
      </c>
      <c r="E28" s="376">
        <v>0.9166666666666666</v>
      </c>
      <c r="F28" s="395">
        <v>479.9999999999999</v>
      </c>
      <c r="G28" s="375">
        <v>70.0</v>
      </c>
      <c r="H28" s="375">
        <v>30.0</v>
      </c>
      <c r="I28" s="378">
        <v>77.2105263157895</v>
      </c>
      <c r="J28" s="379">
        <v>7.999999999999998</v>
      </c>
      <c r="K28" s="380">
        <v>0.0</v>
      </c>
      <c r="L28" s="378">
        <v>65.20000000000002</v>
      </c>
      <c r="M28" s="378">
        <v>77.2105263157895</v>
      </c>
      <c r="N28" s="378">
        <v>61.125000000000014</v>
      </c>
      <c r="O28" s="417">
        <v>0.0118</v>
      </c>
      <c r="P28" s="387">
        <v>0.0</v>
      </c>
      <c r="Q28" s="383" t="s">
        <v>289</v>
      </c>
      <c r="R28" s="383" t="s">
        <v>289</v>
      </c>
      <c r="S28" s="383" t="s">
        <v>289</v>
      </c>
      <c r="T28" s="410" t="s">
        <v>289</v>
      </c>
      <c r="U28" s="406"/>
      <c r="V28" s="422" t="s">
        <v>301</v>
      </c>
      <c r="W28" s="387">
        <v>0.14583333333333337</v>
      </c>
      <c r="X28" s="378">
        <v>77.2105263157895</v>
      </c>
      <c r="Y28" s="387" t="s">
        <v>289</v>
      </c>
      <c r="Z28" s="391">
        <v>0.8541666666666666</v>
      </c>
      <c r="AA28" s="391">
        <v>1.0</v>
      </c>
      <c r="AB28" s="391" t="s">
        <v>289</v>
      </c>
      <c r="AC28" s="391" t="s">
        <v>106</v>
      </c>
      <c r="AD28" s="395" t="s">
        <v>291</v>
      </c>
      <c r="AE28" s="395"/>
      <c r="AF28" s="395"/>
      <c r="AG28" s="395"/>
      <c r="AH28" s="395"/>
    </row>
    <row r="29" ht="30.75" hidden="1" customHeight="1">
      <c r="A29" s="373">
        <f t="shared" si="1"/>
        <v>46121</v>
      </c>
      <c r="B29" s="374">
        <v>0.0</v>
      </c>
      <c r="C29" s="375">
        <v>564.0</v>
      </c>
      <c r="D29" s="376">
        <v>0.5833333333333334</v>
      </c>
      <c r="E29" s="376">
        <v>0.9229166666666667</v>
      </c>
      <c r="F29" s="395">
        <v>489.0</v>
      </c>
      <c r="G29" s="375">
        <v>23.0</v>
      </c>
      <c r="H29" s="375">
        <v>30.0</v>
      </c>
      <c r="I29" s="378">
        <v>77.61467889908256</v>
      </c>
      <c r="J29" s="379">
        <v>8.15</v>
      </c>
      <c r="K29" s="380">
        <v>0.0</v>
      </c>
      <c r="L29" s="378">
        <v>73.72549019607843</v>
      </c>
      <c r="M29" s="378">
        <v>77.61467889908256</v>
      </c>
      <c r="N29" s="378">
        <v>69.20245398773005</v>
      </c>
      <c r="O29" s="417">
        <v>0.0081</v>
      </c>
      <c r="P29" s="387">
        <v>0.02304964539007092</v>
      </c>
      <c r="Q29" s="383" t="s">
        <v>289</v>
      </c>
      <c r="R29" s="383" t="s">
        <v>289</v>
      </c>
      <c r="S29" s="383" t="s">
        <v>289</v>
      </c>
      <c r="T29" s="385" t="s">
        <v>289</v>
      </c>
      <c r="U29" s="375">
        <v>13.0</v>
      </c>
      <c r="V29" s="422" t="s">
        <v>305</v>
      </c>
      <c r="W29" s="387">
        <v>0.04703476482617587</v>
      </c>
      <c r="X29" s="378">
        <v>77.61467889908256</v>
      </c>
      <c r="Y29" s="387" t="s">
        <v>289</v>
      </c>
      <c r="Z29" s="391">
        <v>0.9529652351738241</v>
      </c>
      <c r="AA29" s="391">
        <v>1.0</v>
      </c>
      <c r="AB29" s="391" t="s">
        <v>289</v>
      </c>
      <c r="AC29" s="391" t="s">
        <v>106</v>
      </c>
      <c r="AD29" s="395" t="s">
        <v>291</v>
      </c>
      <c r="AE29" s="395"/>
      <c r="AF29" s="395"/>
      <c r="AG29" s="395"/>
      <c r="AH29" s="395"/>
    </row>
    <row r="30" ht="30.75" hidden="1" customHeight="1">
      <c r="A30" s="373">
        <f t="shared" si="1"/>
        <v>46122</v>
      </c>
      <c r="B30" s="374">
        <v>0.0</v>
      </c>
      <c r="C30" s="375">
        <v>240.0</v>
      </c>
      <c r="D30" s="376">
        <v>0.625</v>
      </c>
      <c r="E30" s="376">
        <v>0.7916666666666666</v>
      </c>
      <c r="F30" s="395">
        <v>239.99999999999994</v>
      </c>
      <c r="G30" s="375">
        <v>6.0</v>
      </c>
      <c r="H30" s="375">
        <v>35.0</v>
      </c>
      <c r="I30" s="378">
        <v>72.36180904522615</v>
      </c>
      <c r="J30" s="379">
        <v>3.999999999999999</v>
      </c>
      <c r="K30" s="380">
        <v>0.0</v>
      </c>
      <c r="L30" s="378">
        <v>70.24390243902441</v>
      </c>
      <c r="M30" s="378">
        <v>72.36180904522615</v>
      </c>
      <c r="N30" s="378">
        <v>60.000000000000014</v>
      </c>
      <c r="O30" s="417">
        <v>0.0031</v>
      </c>
      <c r="P30" s="387">
        <v>0.029166666666666667</v>
      </c>
      <c r="Q30" s="383" t="s">
        <v>289</v>
      </c>
      <c r="R30" s="383" t="s">
        <v>289</v>
      </c>
      <c r="S30" s="383" t="s">
        <v>289</v>
      </c>
      <c r="T30" s="385" t="s">
        <v>289</v>
      </c>
      <c r="U30" s="375">
        <v>7.0</v>
      </c>
      <c r="V30" s="422" t="s">
        <v>310</v>
      </c>
      <c r="W30" s="387">
        <v>0.025000000000000005</v>
      </c>
      <c r="X30" s="378">
        <v>75.0</v>
      </c>
      <c r="Y30" s="387" t="s">
        <v>289</v>
      </c>
      <c r="Z30" s="391">
        <v>0.975</v>
      </c>
      <c r="AA30" s="391">
        <v>0.9648241206030154</v>
      </c>
      <c r="AB30" s="391" t="s">
        <v>289</v>
      </c>
      <c r="AC30" s="391" t="s">
        <v>106</v>
      </c>
      <c r="AD30" s="395" t="s">
        <v>291</v>
      </c>
      <c r="AE30" s="395"/>
      <c r="AF30" s="395"/>
      <c r="AG30" s="395"/>
      <c r="AH30" s="395"/>
    </row>
    <row r="31" ht="30.75" hidden="1" customHeight="1">
      <c r="A31" s="373">
        <f t="shared" si="1"/>
        <v>46123</v>
      </c>
      <c r="B31" s="374">
        <v>0.0</v>
      </c>
      <c r="C31" s="375">
        <v>233.0</v>
      </c>
      <c r="D31" s="376">
        <v>0.625</v>
      </c>
      <c r="E31" s="376">
        <v>0.7625</v>
      </c>
      <c r="F31" s="395">
        <v>197.99999999999994</v>
      </c>
      <c r="G31" s="375">
        <v>14.0</v>
      </c>
      <c r="H31" s="375">
        <v>0.0</v>
      </c>
      <c r="I31" s="378">
        <v>75.97826086956525</v>
      </c>
      <c r="J31" s="379">
        <v>3.299999999999999</v>
      </c>
      <c r="K31" s="380">
        <v>0.0</v>
      </c>
      <c r="L31" s="378">
        <v>70.60606060606062</v>
      </c>
      <c r="M31" s="378">
        <v>75.97826086956525</v>
      </c>
      <c r="N31" s="378">
        <v>70.60606060606062</v>
      </c>
      <c r="O31" s="417">
        <v>0.0043</v>
      </c>
      <c r="P31" s="387">
        <v>0.034334763948497854</v>
      </c>
      <c r="Q31" s="383" t="s">
        <v>289</v>
      </c>
      <c r="R31" s="383" t="s">
        <v>289</v>
      </c>
      <c r="S31" s="383" t="s">
        <v>289</v>
      </c>
      <c r="T31" s="385" t="s">
        <v>289</v>
      </c>
      <c r="U31" s="375">
        <v>8.0</v>
      </c>
      <c r="V31" s="422" t="s">
        <v>315</v>
      </c>
      <c r="W31" s="387">
        <v>0.07070707070707073</v>
      </c>
      <c r="X31" s="378">
        <v>75.97826086956525</v>
      </c>
      <c r="Y31" s="387" t="s">
        <v>289</v>
      </c>
      <c r="Z31" s="391">
        <v>0.9292929292929293</v>
      </c>
      <c r="AA31" s="391">
        <v>1.0</v>
      </c>
      <c r="AB31" s="391" t="s">
        <v>289</v>
      </c>
      <c r="AC31" s="391" t="s">
        <v>106</v>
      </c>
      <c r="AD31" s="395" t="s">
        <v>291</v>
      </c>
      <c r="AE31" s="395"/>
      <c r="AF31" s="395"/>
      <c r="AG31" s="395"/>
      <c r="AH31" s="395"/>
    </row>
    <row r="32" ht="30.75" hidden="1" customHeight="1">
      <c r="A32" s="373">
        <f t="shared" si="1"/>
        <v>46124</v>
      </c>
      <c r="B32" s="421" t="s">
        <v>289</v>
      </c>
      <c r="C32" s="375">
        <v>0.0</v>
      </c>
      <c r="D32" s="406"/>
      <c r="E32" s="376"/>
      <c r="F32" s="395" t="s">
        <v>289</v>
      </c>
      <c r="G32" s="406"/>
      <c r="H32" s="406"/>
      <c r="I32" s="378" t="s">
        <v>289</v>
      </c>
      <c r="J32" s="379" t="s">
        <v>289</v>
      </c>
      <c r="K32" s="407"/>
      <c r="L32" s="378" t="s">
        <v>289</v>
      </c>
      <c r="M32" s="378" t="s">
        <v>289</v>
      </c>
      <c r="N32" s="378" t="s">
        <v>289</v>
      </c>
      <c r="O32" s="409"/>
      <c r="P32" s="387" t="s">
        <v>289</v>
      </c>
      <c r="Q32" s="383" t="s">
        <v>289</v>
      </c>
      <c r="R32" s="383" t="s">
        <v>289</v>
      </c>
      <c r="S32" s="383" t="s">
        <v>289</v>
      </c>
      <c r="T32" s="410" t="s">
        <v>289</v>
      </c>
      <c r="U32" s="406"/>
      <c r="V32" s="422"/>
      <c r="W32" s="387" t="s">
        <v>289</v>
      </c>
      <c r="X32" s="378" t="s">
        <v>289</v>
      </c>
      <c r="Y32" s="387" t="s">
        <v>289</v>
      </c>
      <c r="Z32" s="391" t="s">
        <v>289</v>
      </c>
      <c r="AA32" s="391" t="s">
        <v>289</v>
      </c>
      <c r="AB32" s="391" t="s">
        <v>289</v>
      </c>
      <c r="AC32" s="391" t="s">
        <v>106</v>
      </c>
      <c r="AD32" s="395" t="s">
        <v>291</v>
      </c>
      <c r="AE32" s="395"/>
      <c r="AF32" s="395"/>
      <c r="AG32" s="395"/>
      <c r="AH32" s="395"/>
    </row>
    <row r="33" ht="30.75" hidden="1" customHeight="1">
      <c r="A33" s="373">
        <f t="shared" si="1"/>
        <v>46125</v>
      </c>
      <c r="B33" s="374">
        <v>0.0</v>
      </c>
      <c r="C33" s="375">
        <v>627.0</v>
      </c>
      <c r="D33" s="376">
        <v>0.5833333333333334</v>
      </c>
      <c r="E33" s="376">
        <v>1.0208333333333333</v>
      </c>
      <c r="F33" s="395">
        <v>629.9999999999998</v>
      </c>
      <c r="G33" s="375">
        <v>70.0</v>
      </c>
      <c r="H33" s="375">
        <v>60.0</v>
      </c>
      <c r="I33" s="378">
        <v>75.24000000000002</v>
      </c>
      <c r="J33" s="379">
        <v>10.499999999999996</v>
      </c>
      <c r="K33" s="380">
        <v>0.0</v>
      </c>
      <c r="L33" s="378">
        <v>66.00000000000003</v>
      </c>
      <c r="M33" s="378">
        <v>75.24000000000002</v>
      </c>
      <c r="N33" s="378">
        <v>59.71428571428574</v>
      </c>
      <c r="O33" s="417">
        <v>0.0048</v>
      </c>
      <c r="P33" s="387">
        <v>0.022328548644338118</v>
      </c>
      <c r="Q33" s="383" t="s">
        <v>289</v>
      </c>
      <c r="R33" s="383" t="s">
        <v>289</v>
      </c>
      <c r="S33" s="383" t="s">
        <v>289</v>
      </c>
      <c r="T33" s="385" t="s">
        <v>289</v>
      </c>
      <c r="U33" s="375">
        <v>14.0</v>
      </c>
      <c r="V33" s="422" t="s">
        <v>316</v>
      </c>
      <c r="W33" s="387">
        <v>0.11111111111111115</v>
      </c>
      <c r="X33" s="378">
        <v>75.24000000000002</v>
      </c>
      <c r="Y33" s="387" t="s">
        <v>289</v>
      </c>
      <c r="Z33" s="391">
        <v>0.8888888888888888</v>
      </c>
      <c r="AA33" s="391">
        <v>1.0</v>
      </c>
      <c r="AB33" s="391" t="s">
        <v>289</v>
      </c>
      <c r="AC33" s="391" t="s">
        <v>106</v>
      </c>
      <c r="AD33" s="395" t="s">
        <v>291</v>
      </c>
      <c r="AE33" s="395"/>
      <c r="AF33" s="395"/>
      <c r="AG33" s="395"/>
      <c r="AH33" s="395"/>
    </row>
    <row r="34" ht="30.75" hidden="1" customHeight="1">
      <c r="A34" s="373">
        <f t="shared" si="1"/>
        <v>46126</v>
      </c>
      <c r="B34" s="421">
        <v>0.0</v>
      </c>
      <c r="C34" s="375">
        <v>289.0</v>
      </c>
      <c r="D34" s="376">
        <v>0.5833333333333334</v>
      </c>
      <c r="E34" s="376">
        <v>0.7875</v>
      </c>
      <c r="F34" s="395">
        <v>293.9999999999999</v>
      </c>
      <c r="G34" s="375">
        <v>29.0</v>
      </c>
      <c r="H34" s="375">
        <v>30.0</v>
      </c>
      <c r="I34" s="378">
        <v>73.78723404255322</v>
      </c>
      <c r="J34" s="379">
        <v>4.899999999999998</v>
      </c>
      <c r="K34" s="380">
        <v>0.0</v>
      </c>
      <c r="L34" s="378">
        <v>65.68181818181822</v>
      </c>
      <c r="M34" s="378">
        <v>73.78723404255322</v>
      </c>
      <c r="N34" s="378">
        <v>58.97959183673472</v>
      </c>
      <c r="O34" s="417">
        <v>0.0069</v>
      </c>
      <c r="P34" s="387">
        <v>0.03806228373702422</v>
      </c>
      <c r="Q34" s="383" t="s">
        <v>289</v>
      </c>
      <c r="R34" s="383" t="s">
        <v>289</v>
      </c>
      <c r="S34" s="383" t="s">
        <v>289</v>
      </c>
      <c r="T34" s="385" t="s">
        <v>289</v>
      </c>
      <c r="U34" s="375">
        <v>11.0</v>
      </c>
      <c r="V34" s="422" t="s">
        <v>317</v>
      </c>
      <c r="W34" s="387">
        <v>0.09863945578231297</v>
      </c>
      <c r="X34" s="378">
        <v>75.0</v>
      </c>
      <c r="Y34" s="387" t="s">
        <v>289</v>
      </c>
      <c r="Z34" s="391">
        <v>0.9013605442176871</v>
      </c>
      <c r="AA34" s="391">
        <v>0.983829787234043</v>
      </c>
      <c r="AB34" s="391" t="s">
        <v>289</v>
      </c>
      <c r="AC34" s="391" t="s">
        <v>106</v>
      </c>
      <c r="AD34" s="395" t="s">
        <v>291</v>
      </c>
      <c r="AE34" s="395"/>
      <c r="AF34" s="395"/>
      <c r="AG34" s="395"/>
      <c r="AH34" s="395"/>
    </row>
    <row r="35" ht="30.75" hidden="1" customHeight="1">
      <c r="A35" s="373">
        <f t="shared" si="1"/>
        <v>46127</v>
      </c>
      <c r="B35" s="374">
        <v>0.0</v>
      </c>
      <c r="C35" s="375">
        <v>483.0</v>
      </c>
      <c r="D35" s="376">
        <v>0.625</v>
      </c>
      <c r="E35" s="376">
        <v>0.9145833333333333</v>
      </c>
      <c r="F35" s="395">
        <v>416.99999999999994</v>
      </c>
      <c r="G35" s="375">
        <v>46.0</v>
      </c>
      <c r="H35" s="375">
        <v>30.0</v>
      </c>
      <c r="I35" s="378">
        <v>84.98533724340177</v>
      </c>
      <c r="J35" s="379">
        <v>6.949999999999999</v>
      </c>
      <c r="K35" s="380">
        <v>0.0</v>
      </c>
      <c r="L35" s="378">
        <v>74.88372093023257</v>
      </c>
      <c r="M35" s="378">
        <v>84.98533724340177</v>
      </c>
      <c r="N35" s="378">
        <v>69.49640287769785</v>
      </c>
      <c r="O35" s="417">
        <v>0.0202</v>
      </c>
      <c r="P35" s="387">
        <v>0.018633540372670808</v>
      </c>
      <c r="Q35" s="383" t="s">
        <v>289</v>
      </c>
      <c r="R35" s="383" t="s">
        <v>289</v>
      </c>
      <c r="S35" s="383" t="s">
        <v>289</v>
      </c>
      <c r="T35" s="385" t="s">
        <v>289</v>
      </c>
      <c r="U35" s="375">
        <v>9.0</v>
      </c>
      <c r="V35" s="422" t="s">
        <v>318</v>
      </c>
      <c r="W35" s="387">
        <v>0.1103117505995204</v>
      </c>
      <c r="X35" s="378">
        <v>84.98533724340177</v>
      </c>
      <c r="Y35" s="387" t="s">
        <v>289</v>
      </c>
      <c r="Z35" s="391">
        <v>0.8896882494004796</v>
      </c>
      <c r="AA35" s="391">
        <v>1.0</v>
      </c>
      <c r="AB35" s="391" t="s">
        <v>289</v>
      </c>
      <c r="AC35" s="391" t="s">
        <v>106</v>
      </c>
      <c r="AD35" s="395" t="s">
        <v>291</v>
      </c>
      <c r="AE35" s="395"/>
      <c r="AF35" s="395"/>
      <c r="AG35" s="395"/>
      <c r="AH35" s="395"/>
    </row>
    <row r="36" ht="30.75" hidden="1" customHeight="1">
      <c r="A36" s="373">
        <f t="shared" si="1"/>
        <v>46128</v>
      </c>
      <c r="B36" s="374">
        <v>0.0</v>
      </c>
      <c r="C36" s="375">
        <v>688.0</v>
      </c>
      <c r="D36" s="376">
        <v>0.5833333333333334</v>
      </c>
      <c r="E36" s="376">
        <v>1.0583333333333333</v>
      </c>
      <c r="F36" s="395">
        <v>683.9999999999999</v>
      </c>
      <c r="G36" s="375">
        <v>99.0</v>
      </c>
      <c r="H36" s="375">
        <v>65.0</v>
      </c>
      <c r="I36" s="378">
        <v>79.3846153846154</v>
      </c>
      <c r="J36" s="379">
        <v>11.399999999999999</v>
      </c>
      <c r="K36" s="380">
        <v>0.0</v>
      </c>
      <c r="L36" s="378">
        <v>66.68820678513733</v>
      </c>
      <c r="M36" s="378">
        <v>79.3846153846154</v>
      </c>
      <c r="N36" s="378">
        <v>60.350877192982466</v>
      </c>
      <c r="O36" s="417">
        <v>0.007</v>
      </c>
      <c r="P36" s="387">
        <v>0.0188953488372093</v>
      </c>
      <c r="Q36" s="383" t="s">
        <v>289</v>
      </c>
      <c r="R36" s="383" t="s">
        <v>289</v>
      </c>
      <c r="S36" s="383" t="s">
        <v>289</v>
      </c>
      <c r="T36" s="385" t="s">
        <v>289</v>
      </c>
      <c r="U36" s="375">
        <v>13.0</v>
      </c>
      <c r="V36" s="422" t="s">
        <v>319</v>
      </c>
      <c r="W36" s="387">
        <v>0.1447368421052632</v>
      </c>
      <c r="X36" s="378">
        <v>79.3846153846154</v>
      </c>
      <c r="Y36" s="387" t="s">
        <v>289</v>
      </c>
      <c r="Z36" s="391">
        <v>0.8552631578947368</v>
      </c>
      <c r="AA36" s="391">
        <v>1.0</v>
      </c>
      <c r="AB36" s="391" t="s">
        <v>289</v>
      </c>
      <c r="AC36" s="391" t="s">
        <v>106</v>
      </c>
      <c r="AD36" s="395" t="s">
        <v>291</v>
      </c>
      <c r="AE36" s="395"/>
      <c r="AF36" s="395"/>
      <c r="AG36" s="395"/>
      <c r="AH36" s="395"/>
    </row>
    <row r="37" ht="30.75" hidden="1" customHeight="1">
      <c r="A37" s="373">
        <f t="shared" si="1"/>
        <v>46129</v>
      </c>
      <c r="B37" s="374">
        <v>0.0</v>
      </c>
      <c r="C37" s="375">
        <v>573.0</v>
      </c>
      <c r="D37" s="376">
        <v>0.5833333333333334</v>
      </c>
      <c r="E37" s="376">
        <v>0.9576388888888889</v>
      </c>
      <c r="F37" s="395">
        <v>539.0</v>
      </c>
      <c r="G37" s="375">
        <v>54.0</v>
      </c>
      <c r="H37" s="375">
        <v>30.0</v>
      </c>
      <c r="I37" s="378">
        <v>75.56043956043956</v>
      </c>
      <c r="J37" s="379">
        <v>8.983333333333333</v>
      </c>
      <c r="K37" s="380">
        <v>0.0</v>
      </c>
      <c r="L37" s="378">
        <v>67.5442043222004</v>
      </c>
      <c r="M37" s="378">
        <v>75.56043956043956</v>
      </c>
      <c r="N37" s="378">
        <v>63.78478664192951</v>
      </c>
      <c r="O37" s="417">
        <v>0.0039</v>
      </c>
      <c r="P37" s="387">
        <v>0.012216404886561954</v>
      </c>
      <c r="Q37" s="383" t="s">
        <v>289</v>
      </c>
      <c r="R37" s="383" t="s">
        <v>289</v>
      </c>
      <c r="S37" s="383" t="s">
        <v>289</v>
      </c>
      <c r="T37" s="385" t="s">
        <v>289</v>
      </c>
      <c r="U37" s="375">
        <v>7.0</v>
      </c>
      <c r="V37" s="422" t="s">
        <v>320</v>
      </c>
      <c r="W37" s="387">
        <v>0.10018552875695733</v>
      </c>
      <c r="X37" s="378">
        <v>75.56043956043956</v>
      </c>
      <c r="Y37" s="387" t="s">
        <v>289</v>
      </c>
      <c r="Z37" s="391">
        <v>0.8998144712430427</v>
      </c>
      <c r="AA37" s="391">
        <v>1.0</v>
      </c>
      <c r="AB37" s="391" t="s">
        <v>289</v>
      </c>
      <c r="AC37" s="391" t="s">
        <v>106</v>
      </c>
      <c r="AD37" s="395" t="s">
        <v>291</v>
      </c>
      <c r="AE37" s="395"/>
      <c r="AF37" s="395"/>
      <c r="AG37" s="395"/>
      <c r="AH37" s="395"/>
    </row>
    <row r="38" ht="30.75" hidden="1" customHeight="1">
      <c r="A38" s="373">
        <f t="shared" si="1"/>
        <v>46130</v>
      </c>
      <c r="B38" s="374">
        <v>0.0</v>
      </c>
      <c r="C38" s="375">
        <v>292.0</v>
      </c>
      <c r="D38" s="376">
        <v>0.625</v>
      </c>
      <c r="E38" s="376">
        <v>0.7986111111111112</v>
      </c>
      <c r="F38" s="395">
        <v>250.00000000000006</v>
      </c>
      <c r="G38" s="406">
        <f>15+4+4</f>
        <v>23</v>
      </c>
      <c r="H38" s="375">
        <v>0.0</v>
      </c>
      <c r="I38" s="378">
        <v>77.18061674008808</v>
      </c>
      <c r="J38" s="379">
        <v>4.166666666666668</v>
      </c>
      <c r="K38" s="380">
        <v>0.0</v>
      </c>
      <c r="L38" s="378">
        <v>70.07999999999998</v>
      </c>
      <c r="M38" s="378">
        <v>77.18061674008808</v>
      </c>
      <c r="N38" s="378">
        <v>70.07999999999998</v>
      </c>
      <c r="O38" s="417">
        <v>0.0052</v>
      </c>
      <c r="P38" s="387">
        <v>0.017123287671232876</v>
      </c>
      <c r="Q38" s="383" t="s">
        <v>289</v>
      </c>
      <c r="R38" s="383" t="s">
        <v>289</v>
      </c>
      <c r="S38" s="383" t="s">
        <v>289</v>
      </c>
      <c r="T38" s="385" t="s">
        <v>289</v>
      </c>
      <c r="U38" s="375">
        <v>5.0</v>
      </c>
      <c r="V38" s="422" t="s">
        <v>323</v>
      </c>
      <c r="W38" s="387">
        <v>0.09199999999999998</v>
      </c>
      <c r="X38" s="378">
        <v>77.18061674008808</v>
      </c>
      <c r="Y38" s="387" t="s">
        <v>289</v>
      </c>
      <c r="Z38" s="391">
        <v>0.908</v>
      </c>
      <c r="AA38" s="391">
        <v>1.0</v>
      </c>
      <c r="AB38" s="391" t="s">
        <v>289</v>
      </c>
      <c r="AC38" s="391" t="s">
        <v>106</v>
      </c>
      <c r="AD38" s="395" t="s">
        <v>291</v>
      </c>
      <c r="AE38" s="395"/>
      <c r="AF38" s="395"/>
      <c r="AG38" s="395"/>
      <c r="AH38" s="395"/>
    </row>
    <row r="39" ht="30.75" hidden="1" customHeight="1">
      <c r="A39" s="373">
        <f t="shared" si="1"/>
        <v>46131</v>
      </c>
      <c r="B39" s="421" t="s">
        <v>289</v>
      </c>
      <c r="C39" s="375">
        <v>0.0</v>
      </c>
      <c r="D39" s="376"/>
      <c r="E39" s="376"/>
      <c r="F39" s="395" t="s">
        <v>289</v>
      </c>
      <c r="G39" s="375"/>
      <c r="H39" s="406"/>
      <c r="I39" s="378" t="s">
        <v>289</v>
      </c>
      <c r="J39" s="379" t="s">
        <v>289</v>
      </c>
      <c r="K39" s="380"/>
      <c r="L39" s="378" t="s">
        <v>289</v>
      </c>
      <c r="M39" s="378" t="s">
        <v>289</v>
      </c>
      <c r="N39" s="378" t="s">
        <v>289</v>
      </c>
      <c r="O39" s="409"/>
      <c r="P39" s="387" t="s">
        <v>289</v>
      </c>
      <c r="Q39" s="383" t="s">
        <v>289</v>
      </c>
      <c r="R39" s="383" t="s">
        <v>289</v>
      </c>
      <c r="S39" s="383" t="s">
        <v>289</v>
      </c>
      <c r="T39" s="410" t="s">
        <v>289</v>
      </c>
      <c r="U39" s="406"/>
      <c r="V39" s="422"/>
      <c r="W39" s="387" t="s">
        <v>289</v>
      </c>
      <c r="X39" s="378" t="s">
        <v>289</v>
      </c>
      <c r="Y39" s="387" t="s">
        <v>289</v>
      </c>
      <c r="Z39" s="391" t="s">
        <v>289</v>
      </c>
      <c r="AA39" s="391" t="s">
        <v>289</v>
      </c>
      <c r="AB39" s="391" t="s">
        <v>289</v>
      </c>
      <c r="AC39" s="391" t="s">
        <v>106</v>
      </c>
      <c r="AD39" s="395" t="s">
        <v>291</v>
      </c>
      <c r="AE39" s="395"/>
      <c r="AF39" s="395"/>
      <c r="AG39" s="395"/>
      <c r="AH39" s="395"/>
    </row>
    <row r="40" ht="30.75" hidden="1" customHeight="1">
      <c r="A40" s="373">
        <f t="shared" si="1"/>
        <v>46132</v>
      </c>
      <c r="B40" s="374">
        <v>0.0</v>
      </c>
      <c r="C40" s="375">
        <v>610.0</v>
      </c>
      <c r="D40" s="376">
        <v>0.625</v>
      </c>
      <c r="E40" s="376">
        <v>1.038888888888889</v>
      </c>
      <c r="F40" s="395">
        <v>596.0000000000001</v>
      </c>
      <c r="G40" s="375">
        <v>84.0</v>
      </c>
      <c r="H40" s="375">
        <v>60.0</v>
      </c>
      <c r="I40" s="378">
        <v>80.97345132743361</v>
      </c>
      <c r="J40" s="379">
        <v>9.933333333333335</v>
      </c>
      <c r="K40" s="380">
        <v>0.0</v>
      </c>
      <c r="L40" s="378">
        <v>68.28358208955223</v>
      </c>
      <c r="M40" s="378">
        <v>80.97345132743361</v>
      </c>
      <c r="N40" s="378">
        <v>61.40939597315435</v>
      </c>
      <c r="O40" s="417">
        <v>0.0095</v>
      </c>
      <c r="P40" s="387">
        <v>0.013114754098360656</v>
      </c>
      <c r="Q40" s="383" t="s">
        <v>289</v>
      </c>
      <c r="R40" s="383" t="s">
        <v>289</v>
      </c>
      <c r="S40" s="383" t="s">
        <v>289</v>
      </c>
      <c r="T40" s="385" t="s">
        <v>289</v>
      </c>
      <c r="U40" s="375">
        <v>8.0</v>
      </c>
      <c r="V40" s="422" t="s">
        <v>324</v>
      </c>
      <c r="W40" s="387">
        <v>0.1409395973154362</v>
      </c>
      <c r="X40" s="378">
        <v>80.97345132743361</v>
      </c>
      <c r="Y40" s="387" t="s">
        <v>289</v>
      </c>
      <c r="Z40" s="391">
        <v>0.8590604026845639</v>
      </c>
      <c r="AA40" s="391">
        <v>1.0</v>
      </c>
      <c r="AB40" s="391" t="s">
        <v>289</v>
      </c>
      <c r="AC40" s="391" t="s">
        <v>106</v>
      </c>
      <c r="AD40" s="395" t="s">
        <v>291</v>
      </c>
      <c r="AE40" s="395"/>
      <c r="AF40" s="395"/>
      <c r="AG40" s="395"/>
      <c r="AH40" s="395"/>
    </row>
    <row r="41" ht="30.75" hidden="1" customHeight="1">
      <c r="A41" s="373">
        <f t="shared" si="1"/>
        <v>46133</v>
      </c>
      <c r="B41" s="374">
        <v>0.0</v>
      </c>
      <c r="C41" s="375">
        <v>496.0</v>
      </c>
      <c r="D41" s="376">
        <v>0.5833333333333334</v>
      </c>
      <c r="E41" s="376">
        <v>0.8986111111111111</v>
      </c>
      <c r="F41" s="395">
        <v>454.0</v>
      </c>
      <c r="G41" s="375">
        <v>18.0</v>
      </c>
      <c r="H41" s="375">
        <v>30.0</v>
      </c>
      <c r="I41" s="378">
        <v>73.30049261083744</v>
      </c>
      <c r="J41" s="379">
        <v>7.566666666666666</v>
      </c>
      <c r="K41" s="380">
        <v>0.0</v>
      </c>
      <c r="L41" s="378">
        <v>70.18867924528303</v>
      </c>
      <c r="M41" s="378">
        <v>73.30049261083744</v>
      </c>
      <c r="N41" s="378">
        <v>65.55066079295155</v>
      </c>
      <c r="O41" s="417">
        <v>0.0106</v>
      </c>
      <c r="P41" s="387">
        <v>0.02620967741935484</v>
      </c>
      <c r="Q41" s="383" t="s">
        <v>289</v>
      </c>
      <c r="R41" s="383" t="s">
        <v>289</v>
      </c>
      <c r="S41" s="383" t="s">
        <v>289</v>
      </c>
      <c r="T41" s="410" t="s">
        <v>289</v>
      </c>
      <c r="U41" s="375">
        <v>13.0</v>
      </c>
      <c r="V41" s="422" t="s">
        <v>325</v>
      </c>
      <c r="W41" s="387">
        <v>0.039647577092511016</v>
      </c>
      <c r="X41" s="378">
        <v>75.0</v>
      </c>
      <c r="Y41" s="387" t="s">
        <v>289</v>
      </c>
      <c r="Z41" s="383">
        <v>0.960352422907489</v>
      </c>
      <c r="AA41" s="383">
        <v>0.9773399014778325</v>
      </c>
      <c r="AB41" s="383" t="s">
        <v>289</v>
      </c>
      <c r="AC41" s="391" t="s">
        <v>106</v>
      </c>
      <c r="AD41" s="395" t="s">
        <v>291</v>
      </c>
      <c r="AE41" s="395"/>
      <c r="AF41" s="395"/>
      <c r="AG41" s="395"/>
      <c r="AH41" s="387"/>
    </row>
    <row r="42" ht="30.75" hidden="1" customHeight="1">
      <c r="A42" s="373">
        <f t="shared" si="1"/>
        <v>46134</v>
      </c>
      <c r="B42" s="421">
        <v>0.0</v>
      </c>
      <c r="C42" s="375">
        <v>441.0</v>
      </c>
      <c r="D42" s="376">
        <v>0.625</v>
      </c>
      <c r="E42" s="376">
        <v>0.9006944444444445</v>
      </c>
      <c r="F42" s="395">
        <v>397.0</v>
      </c>
      <c r="G42" s="375">
        <v>36.0</v>
      </c>
      <c r="H42" s="375">
        <v>30.0</v>
      </c>
      <c r="I42" s="378">
        <v>79.93957703927492</v>
      </c>
      <c r="J42" s="379">
        <v>6.616666666666666</v>
      </c>
      <c r="K42" s="380">
        <v>0.0</v>
      </c>
      <c r="L42" s="378">
        <v>72.09809264305177</v>
      </c>
      <c r="M42" s="378">
        <v>79.93957703927492</v>
      </c>
      <c r="N42" s="378">
        <v>66.64987405541562</v>
      </c>
      <c r="O42" s="417">
        <v>0.0113</v>
      </c>
      <c r="P42" s="387">
        <v>0.022675736961451247</v>
      </c>
      <c r="Q42" s="383" t="s">
        <v>289</v>
      </c>
      <c r="R42" s="383" t="s">
        <v>289</v>
      </c>
      <c r="S42" s="383" t="s">
        <v>289</v>
      </c>
      <c r="T42" s="410" t="s">
        <v>289</v>
      </c>
      <c r="U42" s="375">
        <v>10.0</v>
      </c>
      <c r="V42" s="422" t="s">
        <v>326</v>
      </c>
      <c r="W42" s="387">
        <v>0.0906801007556675</v>
      </c>
      <c r="X42" s="378">
        <v>79.93957703927492</v>
      </c>
      <c r="Y42" s="387" t="s">
        <v>289</v>
      </c>
      <c r="Z42" s="391">
        <v>0.9093198992443325</v>
      </c>
      <c r="AA42" s="391">
        <v>1.0</v>
      </c>
      <c r="AB42" s="391" t="s">
        <v>289</v>
      </c>
      <c r="AC42" s="391" t="s">
        <v>106</v>
      </c>
      <c r="AD42" s="395" t="s">
        <v>291</v>
      </c>
      <c r="AE42" s="395"/>
      <c r="AF42" s="395"/>
      <c r="AG42" s="395"/>
      <c r="AH42" s="395"/>
    </row>
    <row r="43" ht="30.75" hidden="1" customHeight="1">
      <c r="A43" s="373">
        <f t="shared" si="1"/>
        <v>46135</v>
      </c>
      <c r="B43" s="421">
        <v>0.0</v>
      </c>
      <c r="C43" s="375">
        <v>496.0</v>
      </c>
      <c r="D43" s="376">
        <v>0.5833333333333334</v>
      </c>
      <c r="E43" s="376">
        <v>0.88125</v>
      </c>
      <c r="F43" s="395">
        <v>428.9999999999999</v>
      </c>
      <c r="G43" s="375">
        <v>8.0</v>
      </c>
      <c r="H43" s="375">
        <v>30.0</v>
      </c>
      <c r="I43" s="378">
        <v>76.11253196930949</v>
      </c>
      <c r="J43" s="379">
        <v>7.149999999999998</v>
      </c>
      <c r="K43" s="380">
        <v>0.0</v>
      </c>
      <c r="L43" s="378">
        <v>74.58646616541355</v>
      </c>
      <c r="M43" s="378">
        <v>76.11253196930949</v>
      </c>
      <c r="N43" s="378">
        <v>69.37062937062939</v>
      </c>
      <c r="O43" s="417">
        <v>0.0061</v>
      </c>
      <c r="P43" s="387">
        <v>0.02217741935483871</v>
      </c>
      <c r="Q43" s="383" t="s">
        <v>289</v>
      </c>
      <c r="R43" s="383" t="s">
        <v>289</v>
      </c>
      <c r="S43" s="383" t="s">
        <v>289</v>
      </c>
      <c r="T43" s="410" t="s">
        <v>289</v>
      </c>
      <c r="U43" s="375">
        <v>11.0</v>
      </c>
      <c r="V43" s="422" t="s">
        <v>327</v>
      </c>
      <c r="W43" s="387">
        <v>0.01864801864801865</v>
      </c>
      <c r="X43" s="378">
        <v>76.11253196930949</v>
      </c>
      <c r="Y43" s="387" t="s">
        <v>289</v>
      </c>
      <c r="Z43" s="391">
        <v>0.9813519813519813</v>
      </c>
      <c r="AA43" s="391">
        <v>1.0</v>
      </c>
      <c r="AB43" s="391" t="s">
        <v>289</v>
      </c>
      <c r="AC43" s="391" t="s">
        <v>106</v>
      </c>
      <c r="AD43" s="395" t="s">
        <v>291</v>
      </c>
      <c r="AE43" s="395"/>
      <c r="AF43" s="395"/>
      <c r="AG43" s="395"/>
      <c r="AH43" s="395"/>
    </row>
    <row r="44" ht="30.75" hidden="1" customHeight="1">
      <c r="A44" s="373">
        <f t="shared" si="1"/>
        <v>46136</v>
      </c>
      <c r="B44" s="421">
        <v>0.0</v>
      </c>
      <c r="C44" s="375">
        <v>407.0</v>
      </c>
      <c r="D44" s="376">
        <v>0.625</v>
      </c>
      <c r="E44" s="376">
        <v>0.8736111111111111</v>
      </c>
      <c r="F44" s="395">
        <v>358.0</v>
      </c>
      <c r="G44" s="375">
        <v>14.0</v>
      </c>
      <c r="H44" s="375">
        <v>30.0</v>
      </c>
      <c r="I44" s="378">
        <v>77.77070063694268</v>
      </c>
      <c r="J44" s="379">
        <v>5.966666666666667</v>
      </c>
      <c r="K44" s="380">
        <v>0.0</v>
      </c>
      <c r="L44" s="378">
        <v>74.45121951219512</v>
      </c>
      <c r="M44" s="378">
        <v>77.77070063694268</v>
      </c>
      <c r="N44" s="378">
        <v>68.2122905027933</v>
      </c>
      <c r="O44" s="417">
        <v>0.008</v>
      </c>
      <c r="P44" s="387">
        <v>0.0343980343980344</v>
      </c>
      <c r="Q44" s="383" t="s">
        <v>289</v>
      </c>
      <c r="R44" s="383" t="s">
        <v>289</v>
      </c>
      <c r="S44" s="383" t="s">
        <v>289</v>
      </c>
      <c r="T44" s="410" t="s">
        <v>289</v>
      </c>
      <c r="U44" s="375">
        <v>14.0</v>
      </c>
      <c r="V44" s="422" t="s">
        <v>328</v>
      </c>
      <c r="W44" s="387">
        <v>0.03910614525139665</v>
      </c>
      <c r="X44" s="378">
        <v>77.77070063694268</v>
      </c>
      <c r="Y44" s="387" t="s">
        <v>289</v>
      </c>
      <c r="Z44" s="391">
        <v>0.9608938547486033</v>
      </c>
      <c r="AA44" s="391">
        <v>1.0</v>
      </c>
      <c r="AB44" s="391" t="s">
        <v>289</v>
      </c>
      <c r="AC44" s="391" t="s">
        <v>106</v>
      </c>
      <c r="AD44" s="395" t="s">
        <v>291</v>
      </c>
      <c r="AE44" s="395"/>
      <c r="AF44" s="395"/>
      <c r="AG44" s="395"/>
      <c r="AH44" s="395"/>
    </row>
    <row r="45" ht="30.75" hidden="1" customHeight="1">
      <c r="A45" s="373">
        <f t="shared" si="1"/>
        <v>46137</v>
      </c>
      <c r="B45" s="421">
        <v>0.0</v>
      </c>
      <c r="C45" s="375">
        <v>303.0</v>
      </c>
      <c r="D45" s="376">
        <v>0.625</v>
      </c>
      <c r="E45" s="376">
        <v>0.8118055555555556</v>
      </c>
      <c r="F45" s="395">
        <v>269.0</v>
      </c>
      <c r="G45" s="375">
        <v>0.0</v>
      </c>
      <c r="H45" s="375">
        <v>0.0</v>
      </c>
      <c r="I45" s="378">
        <v>67.58364312267658</v>
      </c>
      <c r="J45" s="379">
        <v>4.483333333333333</v>
      </c>
      <c r="K45" s="380">
        <v>0.0</v>
      </c>
      <c r="L45" s="378">
        <v>67.58364312267658</v>
      </c>
      <c r="M45" s="378">
        <v>67.58364312267658</v>
      </c>
      <c r="N45" s="378">
        <v>67.58364312267658</v>
      </c>
      <c r="O45" s="417">
        <v>0.0066</v>
      </c>
      <c r="P45" s="387">
        <v>0.0231023102310231</v>
      </c>
      <c r="Q45" s="383" t="s">
        <v>289</v>
      </c>
      <c r="R45" s="383" t="s">
        <v>289</v>
      </c>
      <c r="S45" s="383" t="s">
        <v>289</v>
      </c>
      <c r="T45" s="410" t="s">
        <v>289</v>
      </c>
      <c r="U45" s="375">
        <v>7.0</v>
      </c>
      <c r="V45" s="422" t="s">
        <v>329</v>
      </c>
      <c r="W45" s="387">
        <v>0.0</v>
      </c>
      <c r="X45" s="378">
        <v>75.0</v>
      </c>
      <c r="Y45" s="387" t="s">
        <v>289</v>
      </c>
      <c r="Z45" s="391">
        <v>1.0</v>
      </c>
      <c r="AA45" s="391">
        <v>0.9011152416356877</v>
      </c>
      <c r="AB45" s="391" t="s">
        <v>289</v>
      </c>
      <c r="AC45" s="391" t="s">
        <v>106</v>
      </c>
      <c r="AD45" s="395" t="s">
        <v>291</v>
      </c>
      <c r="AE45" s="395"/>
      <c r="AF45" s="395"/>
      <c r="AG45" s="395"/>
      <c r="AH45" s="395"/>
    </row>
    <row r="46" ht="30.75" hidden="1" customHeight="1">
      <c r="A46" s="373">
        <f t="shared" si="1"/>
        <v>46138</v>
      </c>
      <c r="B46" s="421" t="s">
        <v>289</v>
      </c>
      <c r="C46" s="375">
        <v>0.0</v>
      </c>
      <c r="D46" s="406"/>
      <c r="E46" s="376"/>
      <c r="F46" s="395" t="s">
        <v>289</v>
      </c>
      <c r="G46" s="406"/>
      <c r="H46" s="406"/>
      <c r="I46" s="378" t="s">
        <v>289</v>
      </c>
      <c r="J46" s="379" t="s">
        <v>289</v>
      </c>
      <c r="K46" s="407"/>
      <c r="L46" s="378" t="s">
        <v>289</v>
      </c>
      <c r="M46" s="378" t="s">
        <v>289</v>
      </c>
      <c r="N46" s="378" t="s">
        <v>289</v>
      </c>
      <c r="O46" s="409"/>
      <c r="P46" s="387" t="s">
        <v>289</v>
      </c>
      <c r="Q46" s="383" t="s">
        <v>289</v>
      </c>
      <c r="R46" s="383" t="s">
        <v>289</v>
      </c>
      <c r="S46" s="383" t="s">
        <v>289</v>
      </c>
      <c r="T46" s="410" t="s">
        <v>289</v>
      </c>
      <c r="U46" s="406"/>
      <c r="V46" s="386"/>
      <c r="W46" s="387" t="s">
        <v>289</v>
      </c>
      <c r="X46" s="378" t="s">
        <v>289</v>
      </c>
      <c r="Y46" s="387" t="s">
        <v>289</v>
      </c>
      <c r="Z46" s="391" t="s">
        <v>289</v>
      </c>
      <c r="AA46" s="391" t="s">
        <v>289</v>
      </c>
      <c r="AB46" s="391" t="s">
        <v>289</v>
      </c>
      <c r="AC46" s="391" t="s">
        <v>106</v>
      </c>
      <c r="AD46" s="395" t="s">
        <v>291</v>
      </c>
      <c r="AE46" s="395"/>
      <c r="AF46" s="395"/>
      <c r="AG46" s="395"/>
      <c r="AH46" s="395"/>
    </row>
    <row r="47" ht="30.75" hidden="1" customHeight="1">
      <c r="A47" s="373">
        <f t="shared" si="1"/>
        <v>46139</v>
      </c>
      <c r="B47" s="421">
        <v>0.0</v>
      </c>
      <c r="C47" s="375">
        <v>452.0</v>
      </c>
      <c r="D47" s="376">
        <v>0.5833333333333334</v>
      </c>
      <c r="E47" s="376">
        <v>0.8493055555555555</v>
      </c>
      <c r="F47" s="395">
        <v>382.99999999999994</v>
      </c>
      <c r="G47" s="375">
        <v>8.0</v>
      </c>
      <c r="H47" s="375">
        <v>30.0</v>
      </c>
      <c r="I47" s="378">
        <v>78.60869565217392</v>
      </c>
      <c r="J47" s="379">
        <v>6.383333333333332</v>
      </c>
      <c r="K47" s="380">
        <v>0.0</v>
      </c>
      <c r="L47" s="378">
        <v>76.82719546742211</v>
      </c>
      <c r="M47" s="378">
        <v>78.60869565217392</v>
      </c>
      <c r="N47" s="378">
        <v>70.8093994778068</v>
      </c>
      <c r="O47" s="417">
        <v>0.0039</v>
      </c>
      <c r="P47" s="387">
        <v>0.01991150442477876</v>
      </c>
      <c r="Q47" s="383" t="s">
        <v>289</v>
      </c>
      <c r="R47" s="383" t="s">
        <v>289</v>
      </c>
      <c r="S47" s="383" t="s">
        <v>289</v>
      </c>
      <c r="T47" s="410" t="s">
        <v>289</v>
      </c>
      <c r="U47" s="375">
        <v>9.0</v>
      </c>
      <c r="V47" s="422" t="s">
        <v>330</v>
      </c>
      <c r="W47" s="387">
        <v>0.02088772845953003</v>
      </c>
      <c r="X47" s="378">
        <v>78.60869565217392</v>
      </c>
      <c r="Y47" s="387" t="s">
        <v>289</v>
      </c>
      <c r="Z47" s="391">
        <v>0.97911227154047</v>
      </c>
      <c r="AA47" s="391">
        <v>1.0</v>
      </c>
      <c r="AB47" s="391" t="s">
        <v>289</v>
      </c>
      <c r="AC47" s="391" t="s">
        <v>106</v>
      </c>
      <c r="AD47" s="395" t="s">
        <v>291</v>
      </c>
      <c r="AE47" s="395"/>
      <c r="AF47" s="395"/>
      <c r="AG47" s="395"/>
      <c r="AH47" s="395"/>
    </row>
    <row r="48" ht="30.75" hidden="1" customHeight="1">
      <c r="A48" s="373">
        <f t="shared" si="1"/>
        <v>46140</v>
      </c>
      <c r="B48" s="421">
        <v>0.0</v>
      </c>
      <c r="C48" s="375">
        <v>557.0</v>
      </c>
      <c r="D48" s="376">
        <v>0.5833333333333334</v>
      </c>
      <c r="E48" s="376">
        <v>0.9361111111111111</v>
      </c>
      <c r="F48" s="395">
        <v>507.9999999999999</v>
      </c>
      <c r="G48" s="375">
        <v>8.0</v>
      </c>
      <c r="H48" s="375">
        <v>30.0</v>
      </c>
      <c r="I48" s="378">
        <v>71.10638297872342</v>
      </c>
      <c r="J48" s="379">
        <v>8.466666666666665</v>
      </c>
      <c r="K48" s="380">
        <v>0.0</v>
      </c>
      <c r="L48" s="378">
        <v>69.91631799163181</v>
      </c>
      <c r="M48" s="378">
        <v>71.10638297872342</v>
      </c>
      <c r="N48" s="378">
        <v>65.78740157480317</v>
      </c>
      <c r="O48" s="417">
        <v>0.0089</v>
      </c>
      <c r="P48" s="387">
        <v>0.02872531418312388</v>
      </c>
      <c r="Q48" s="383" t="s">
        <v>289</v>
      </c>
      <c r="R48" s="383" t="s">
        <v>289</v>
      </c>
      <c r="S48" s="383" t="s">
        <v>289</v>
      </c>
      <c r="T48" s="410" t="s">
        <v>289</v>
      </c>
      <c r="U48" s="375">
        <v>16.0</v>
      </c>
      <c r="V48" s="422" t="s">
        <v>331</v>
      </c>
      <c r="W48" s="387">
        <v>0.015748031496062995</v>
      </c>
      <c r="X48" s="378">
        <v>75.0</v>
      </c>
      <c r="Y48" s="387" t="s">
        <v>289</v>
      </c>
      <c r="Z48" s="391">
        <v>0.984251968503937</v>
      </c>
      <c r="AA48" s="391">
        <v>0.9480851063829789</v>
      </c>
      <c r="AB48" s="391" t="s">
        <v>289</v>
      </c>
      <c r="AC48" s="391" t="s">
        <v>106</v>
      </c>
      <c r="AD48" s="395" t="s">
        <v>291</v>
      </c>
      <c r="AE48" s="395"/>
      <c r="AF48" s="395"/>
      <c r="AG48" s="395"/>
      <c r="AH48" s="395"/>
    </row>
    <row r="49" ht="30.75" hidden="1" customHeight="1">
      <c r="A49" s="373">
        <f t="shared" si="1"/>
        <v>46141</v>
      </c>
      <c r="B49" s="421">
        <v>0.0</v>
      </c>
      <c r="C49" s="375">
        <v>454.0</v>
      </c>
      <c r="D49" s="376">
        <v>0.5833333333333334</v>
      </c>
      <c r="E49" s="376">
        <v>0.8722222222222222</v>
      </c>
      <c r="F49" s="395">
        <v>415.99999999999994</v>
      </c>
      <c r="G49" s="375">
        <v>23.0</v>
      </c>
      <c r="H49" s="375">
        <v>30.0</v>
      </c>
      <c r="I49" s="378">
        <v>75.0413223140496</v>
      </c>
      <c r="J49" s="379">
        <v>6.933333333333333</v>
      </c>
      <c r="K49" s="380">
        <v>0.0</v>
      </c>
      <c r="L49" s="378">
        <v>70.5699481865285</v>
      </c>
      <c r="M49" s="378">
        <v>75.0413223140496</v>
      </c>
      <c r="N49" s="378">
        <v>65.48076923076924</v>
      </c>
      <c r="O49" s="417">
        <v>0.0111</v>
      </c>
      <c r="P49" s="387">
        <v>0.030837004405286344</v>
      </c>
      <c r="Q49" s="383" t="s">
        <v>289</v>
      </c>
      <c r="R49" s="383" t="s">
        <v>289</v>
      </c>
      <c r="S49" s="383" t="s">
        <v>289</v>
      </c>
      <c r="T49" s="410" t="s">
        <v>289</v>
      </c>
      <c r="U49" s="375">
        <v>14.0</v>
      </c>
      <c r="V49" s="422" t="s">
        <v>332</v>
      </c>
      <c r="W49" s="387">
        <v>0.05528846153846154</v>
      </c>
      <c r="X49" s="378">
        <v>75.0413223140496</v>
      </c>
      <c r="Y49" s="387" t="s">
        <v>289</v>
      </c>
      <c r="Z49" s="391">
        <v>0.9447115384615384</v>
      </c>
      <c r="AA49" s="391">
        <v>1.0</v>
      </c>
      <c r="AB49" s="391" t="s">
        <v>289</v>
      </c>
      <c r="AC49" s="391" t="s">
        <v>106</v>
      </c>
      <c r="AD49" s="395" t="s">
        <v>291</v>
      </c>
      <c r="AE49" s="395"/>
      <c r="AF49" s="395"/>
      <c r="AG49" s="395"/>
      <c r="AH49" s="395"/>
    </row>
    <row r="50" ht="30.75" hidden="1" customHeight="1">
      <c r="A50" s="373">
        <f t="shared" si="1"/>
        <v>46142</v>
      </c>
      <c r="B50" s="421">
        <v>0.0</v>
      </c>
      <c r="C50" s="375">
        <v>418.0</v>
      </c>
      <c r="D50" s="376">
        <v>0.5833333333333334</v>
      </c>
      <c r="E50" s="376">
        <v>0.8638888888888889</v>
      </c>
      <c r="F50" s="395">
        <v>404.0</v>
      </c>
      <c r="G50" s="406">
        <f>9+12+5+5+13</f>
        <v>44</v>
      </c>
      <c r="H50" s="375">
        <v>30.0</v>
      </c>
      <c r="I50" s="378">
        <v>76.0</v>
      </c>
      <c r="J50" s="379">
        <v>6.733333333333333</v>
      </c>
      <c r="K50" s="380">
        <v>0.0</v>
      </c>
      <c r="L50" s="378">
        <v>67.05882352941177</v>
      </c>
      <c r="M50" s="378">
        <v>76.0</v>
      </c>
      <c r="N50" s="378">
        <v>62.07920792079208</v>
      </c>
      <c r="O50" s="417">
        <v>0.0066</v>
      </c>
      <c r="P50" s="387">
        <v>0.03349282296650718</v>
      </c>
      <c r="Q50" s="383" t="s">
        <v>289</v>
      </c>
      <c r="R50" s="383" t="s">
        <v>289</v>
      </c>
      <c r="S50" s="383" t="s">
        <v>289</v>
      </c>
      <c r="T50" s="410" t="s">
        <v>289</v>
      </c>
      <c r="U50" s="375">
        <v>14.0</v>
      </c>
      <c r="V50" s="422" t="s">
        <v>333</v>
      </c>
      <c r="W50" s="387">
        <v>0.10891089108910891</v>
      </c>
      <c r="X50" s="378">
        <v>76.0</v>
      </c>
      <c r="Y50" s="387" t="s">
        <v>289</v>
      </c>
      <c r="Z50" s="391">
        <v>0.8910891089108911</v>
      </c>
      <c r="AA50" s="391">
        <v>1.0</v>
      </c>
      <c r="AB50" s="391" t="s">
        <v>289</v>
      </c>
      <c r="AC50" s="391" t="s">
        <v>106</v>
      </c>
      <c r="AD50" s="395" t="s">
        <v>291</v>
      </c>
      <c r="AE50" s="395"/>
      <c r="AF50" s="395"/>
      <c r="AG50" s="395"/>
      <c r="AH50" s="395"/>
    </row>
    <row r="51" ht="30.75" hidden="1" customHeight="1">
      <c r="A51" s="373">
        <f t="shared" si="1"/>
        <v>46143</v>
      </c>
      <c r="B51" s="421">
        <v>0.8381433774834437</v>
      </c>
      <c r="C51" s="375">
        <v>325.0</v>
      </c>
      <c r="D51" s="376">
        <v>0.625</v>
      </c>
      <c r="E51" s="376">
        <v>0.8347222222222223</v>
      </c>
      <c r="F51" s="395">
        <v>302.00000000000006</v>
      </c>
      <c r="G51" s="375">
        <v>45.0</v>
      </c>
      <c r="H51" s="375">
        <v>0.0</v>
      </c>
      <c r="I51" s="378">
        <v>75.87548638132294</v>
      </c>
      <c r="J51" s="379">
        <v>5.033333333333334</v>
      </c>
      <c r="K51" s="380">
        <v>0.0</v>
      </c>
      <c r="L51" s="378">
        <v>64.56953642384104</v>
      </c>
      <c r="M51" s="378">
        <v>75.87548638132294</v>
      </c>
      <c r="N51" s="378">
        <v>64.56953642384104</v>
      </c>
      <c r="O51" s="417">
        <v>0.01</v>
      </c>
      <c r="P51" s="387">
        <v>0.015384615384615385</v>
      </c>
      <c r="Q51" s="415">
        <v>0.0043</v>
      </c>
      <c r="R51" s="415">
        <v>0.0</v>
      </c>
      <c r="S51" s="415">
        <v>0.0108</v>
      </c>
      <c r="T51" s="385">
        <v>0.0</v>
      </c>
      <c r="U51" s="375">
        <v>5.0</v>
      </c>
      <c r="V51" s="422" t="s">
        <v>334</v>
      </c>
      <c r="W51" s="387">
        <v>0.14900662251655628</v>
      </c>
      <c r="X51" s="378">
        <v>75.87548638132294</v>
      </c>
      <c r="Y51" s="387">
        <v>0.0151</v>
      </c>
      <c r="Z51" s="391">
        <v>0.8509933774834437</v>
      </c>
      <c r="AA51" s="391">
        <v>1.0</v>
      </c>
      <c r="AB51" s="391">
        <v>0.9849</v>
      </c>
      <c r="AC51" s="391" t="s">
        <v>117</v>
      </c>
      <c r="AD51" s="395" t="s">
        <v>291</v>
      </c>
      <c r="AE51" s="395"/>
      <c r="AF51" s="395"/>
      <c r="AG51" s="395"/>
      <c r="AH51" s="395"/>
    </row>
    <row r="52" ht="30.75" hidden="1" customHeight="1">
      <c r="A52" s="373">
        <f t="shared" si="1"/>
        <v>46144</v>
      </c>
      <c r="B52" s="421">
        <v>0.92479541218638</v>
      </c>
      <c r="C52" s="375">
        <v>328.0</v>
      </c>
      <c r="D52" s="376">
        <v>0.625</v>
      </c>
      <c r="E52" s="376">
        <v>0.81875</v>
      </c>
      <c r="F52" s="395">
        <v>278.99999999999994</v>
      </c>
      <c r="G52" s="375">
        <v>0.0</v>
      </c>
      <c r="H52" s="375">
        <v>0.0</v>
      </c>
      <c r="I52" s="378">
        <v>70.53763440860216</v>
      </c>
      <c r="J52" s="379">
        <v>4.6499999999999995</v>
      </c>
      <c r="K52" s="380">
        <v>0.0</v>
      </c>
      <c r="L52" s="378">
        <v>70.53763440860216</v>
      </c>
      <c r="M52" s="378">
        <v>70.53763440860216</v>
      </c>
      <c r="N52" s="378">
        <v>70.53763440860216</v>
      </c>
      <c r="O52" s="417">
        <v>0.0084</v>
      </c>
      <c r="P52" s="387">
        <v>0.01524390243902439</v>
      </c>
      <c r="Q52" s="415">
        <v>0.0061</v>
      </c>
      <c r="R52" s="415">
        <v>0.003</v>
      </c>
      <c r="S52" s="415">
        <v>0.0061</v>
      </c>
      <c r="T52" s="385">
        <v>0.0015</v>
      </c>
      <c r="U52" s="375">
        <v>5.0</v>
      </c>
      <c r="V52" s="422" t="s">
        <v>335</v>
      </c>
      <c r="W52" s="387">
        <v>0.0</v>
      </c>
      <c r="X52" s="378">
        <v>75.0</v>
      </c>
      <c r="Y52" s="387">
        <v>0.016700000000000003</v>
      </c>
      <c r="Z52" s="391">
        <v>1.0</v>
      </c>
      <c r="AA52" s="391">
        <v>0.9405017921146954</v>
      </c>
      <c r="AB52" s="391">
        <v>0.9833</v>
      </c>
      <c r="AC52" s="391" t="s">
        <v>117</v>
      </c>
      <c r="AD52" s="395" t="s">
        <v>291</v>
      </c>
      <c r="AE52" s="395"/>
      <c r="AF52" s="395"/>
      <c r="AG52" s="395"/>
      <c r="AH52" s="395"/>
    </row>
    <row r="53" ht="30.75" hidden="1" customHeight="1">
      <c r="A53" s="373">
        <f t="shared" si="1"/>
        <v>46145</v>
      </c>
      <c r="B53" s="421" t="s">
        <v>289</v>
      </c>
      <c r="C53" s="375">
        <v>0.0</v>
      </c>
      <c r="D53" s="406"/>
      <c r="E53" s="376"/>
      <c r="F53" s="395" t="s">
        <v>289</v>
      </c>
      <c r="G53" s="406"/>
      <c r="H53" s="406"/>
      <c r="I53" s="378" t="s">
        <v>289</v>
      </c>
      <c r="J53" s="379" t="s">
        <v>289</v>
      </c>
      <c r="K53" s="407"/>
      <c r="L53" s="378" t="s">
        <v>289</v>
      </c>
      <c r="M53" s="378" t="s">
        <v>289</v>
      </c>
      <c r="N53" s="378" t="s">
        <v>289</v>
      </c>
      <c r="O53" s="409"/>
      <c r="P53" s="387" t="s">
        <v>289</v>
      </c>
      <c r="Q53" s="383"/>
      <c r="R53" s="383"/>
      <c r="S53" s="383"/>
      <c r="T53" s="410"/>
      <c r="U53" s="406"/>
      <c r="V53" s="386"/>
      <c r="W53" s="387" t="s">
        <v>289</v>
      </c>
      <c r="X53" s="378" t="s">
        <v>289</v>
      </c>
      <c r="Y53" s="387" t="s">
        <v>289</v>
      </c>
      <c r="Z53" s="391" t="s">
        <v>289</v>
      </c>
      <c r="AA53" s="391" t="s">
        <v>289</v>
      </c>
      <c r="AB53" s="391" t="s">
        <v>289</v>
      </c>
      <c r="AC53" s="391" t="s">
        <v>117</v>
      </c>
      <c r="AD53" s="395" t="s">
        <v>291</v>
      </c>
      <c r="AE53" s="395"/>
      <c r="AF53" s="395"/>
      <c r="AG53" s="395"/>
      <c r="AH53" s="395"/>
    </row>
    <row r="54" ht="30.75" hidden="1" customHeight="1">
      <c r="A54" s="373">
        <f t="shared" si="1"/>
        <v>46146</v>
      </c>
      <c r="B54" s="421">
        <v>0.8855952917488495</v>
      </c>
      <c r="C54" s="375">
        <v>617.0</v>
      </c>
      <c r="D54" s="376">
        <v>0.5833333333333334</v>
      </c>
      <c r="E54" s="376">
        <v>0.9833333333333333</v>
      </c>
      <c r="F54" s="395">
        <v>575.9999999999999</v>
      </c>
      <c r="G54" s="375">
        <v>39.0</v>
      </c>
      <c r="H54" s="375">
        <v>30.0</v>
      </c>
      <c r="I54" s="378">
        <v>73.01775147928996</v>
      </c>
      <c r="J54" s="379">
        <v>9.599999999999998</v>
      </c>
      <c r="K54" s="380">
        <v>0.0</v>
      </c>
      <c r="L54" s="378">
        <v>67.80219780219782</v>
      </c>
      <c r="M54" s="378">
        <v>73.01775147928996</v>
      </c>
      <c r="N54" s="378">
        <v>64.27083333333334</v>
      </c>
      <c r="O54" s="417">
        <v>0.0085</v>
      </c>
      <c r="P54" s="387">
        <v>0.022690437601296597</v>
      </c>
      <c r="Q54" s="415">
        <v>8.0E-4</v>
      </c>
      <c r="R54" s="415">
        <v>0.0154</v>
      </c>
      <c r="S54" s="415">
        <v>0.0065</v>
      </c>
      <c r="T54" s="385">
        <v>0.0016</v>
      </c>
      <c r="U54" s="375">
        <v>14.0</v>
      </c>
      <c r="V54" s="422" t="s">
        <v>336</v>
      </c>
      <c r="W54" s="387">
        <v>0.06770833333333334</v>
      </c>
      <c r="X54" s="378">
        <v>75.0</v>
      </c>
      <c r="Y54" s="387">
        <v>0.0243</v>
      </c>
      <c r="Z54" s="391">
        <v>0.9322916666666666</v>
      </c>
      <c r="AA54" s="391">
        <v>0.973570019723866</v>
      </c>
      <c r="AB54" s="391">
        <v>0.9757</v>
      </c>
      <c r="AC54" s="391" t="s">
        <v>117</v>
      </c>
      <c r="AD54" s="395" t="s">
        <v>291</v>
      </c>
      <c r="AE54" s="395"/>
      <c r="AF54" s="395"/>
      <c r="AG54" s="395"/>
      <c r="AH54" s="395"/>
    </row>
    <row r="55" ht="30.75" hidden="1" customHeight="1">
      <c r="A55" s="373">
        <f t="shared" si="1"/>
        <v>46147</v>
      </c>
      <c r="B55" s="421">
        <v>0.9679729729729729</v>
      </c>
      <c r="C55" s="375">
        <v>533.0</v>
      </c>
      <c r="D55" s="376">
        <v>0.5833333333333334</v>
      </c>
      <c r="E55" s="376">
        <v>0.9173611111111111</v>
      </c>
      <c r="F55" s="395">
        <v>480.99999999999994</v>
      </c>
      <c r="G55" s="375">
        <v>6.0</v>
      </c>
      <c r="H55" s="375">
        <v>60.0</v>
      </c>
      <c r="I55" s="378">
        <v>77.06024096385543</v>
      </c>
      <c r="J55" s="379">
        <v>8.016666666666666</v>
      </c>
      <c r="K55" s="380">
        <v>0.0</v>
      </c>
      <c r="L55" s="378">
        <v>75.96199524940619</v>
      </c>
      <c r="M55" s="378">
        <v>77.06024096385543</v>
      </c>
      <c r="N55" s="378">
        <v>66.4864864864865</v>
      </c>
      <c r="O55" s="417">
        <v>0.0066</v>
      </c>
      <c r="P55" s="387">
        <v>0.0150093808630394</v>
      </c>
      <c r="Q55" s="415">
        <v>0.0066</v>
      </c>
      <c r="R55" s="415">
        <v>0.0038</v>
      </c>
      <c r="S55" s="415">
        <v>0.0094</v>
      </c>
      <c r="T55" s="385">
        <v>0.0</v>
      </c>
      <c r="U55" s="375">
        <v>8.0</v>
      </c>
      <c r="V55" s="422" t="s">
        <v>337</v>
      </c>
      <c r="W55" s="387">
        <v>0.012474012474012475</v>
      </c>
      <c r="X55" s="378">
        <v>77.06024096385543</v>
      </c>
      <c r="Y55" s="387">
        <v>0.019799999999999998</v>
      </c>
      <c r="Z55" s="391">
        <v>0.9875259875259875</v>
      </c>
      <c r="AA55" s="391">
        <v>1.0</v>
      </c>
      <c r="AB55" s="391">
        <v>0.9802</v>
      </c>
      <c r="AC55" s="391" t="s">
        <v>117</v>
      </c>
      <c r="AD55" s="395" t="s">
        <v>291</v>
      </c>
      <c r="AE55" s="395"/>
      <c r="AF55" s="395"/>
      <c r="AG55" s="395"/>
      <c r="AH55" s="395"/>
    </row>
    <row r="56" ht="30.75" hidden="1" customHeight="1">
      <c r="A56" s="373">
        <f t="shared" si="1"/>
        <v>46148</v>
      </c>
      <c r="B56" s="421">
        <v>0.9208535048231513</v>
      </c>
      <c r="C56" s="375">
        <v>362.0</v>
      </c>
      <c r="D56" s="376">
        <v>0.6763888888888889</v>
      </c>
      <c r="E56" s="376">
        <v>0.9131944444444444</v>
      </c>
      <c r="F56" s="395">
        <v>340.9999999999999</v>
      </c>
      <c r="G56" s="375">
        <v>0.0</v>
      </c>
      <c r="H56" s="375">
        <v>30.0</v>
      </c>
      <c r="I56" s="378">
        <v>69.83922829581995</v>
      </c>
      <c r="J56" s="379">
        <v>5.683333333333332</v>
      </c>
      <c r="K56" s="380">
        <v>64.0</v>
      </c>
      <c r="L56" s="378">
        <v>69.83922829581995</v>
      </c>
      <c r="M56" s="378">
        <v>69.83922829581995</v>
      </c>
      <c r="N56" s="378">
        <v>63.69501466275661</v>
      </c>
      <c r="O56" s="417">
        <v>0.0063</v>
      </c>
      <c r="P56" s="387">
        <v>0.013812154696132596</v>
      </c>
      <c r="Q56" s="415">
        <v>0.0028</v>
      </c>
      <c r="R56" s="415">
        <v>0.0014</v>
      </c>
      <c r="S56" s="415">
        <v>0.0069</v>
      </c>
      <c r="T56" s="385">
        <v>0.0</v>
      </c>
      <c r="U56" s="375">
        <v>5.0</v>
      </c>
      <c r="V56" s="422" t="s">
        <v>338</v>
      </c>
      <c r="W56" s="387">
        <v>0.0</v>
      </c>
      <c r="X56" s="378">
        <v>75.0</v>
      </c>
      <c r="Y56" s="387">
        <v>0.011099999999999999</v>
      </c>
      <c r="Z56" s="391">
        <v>1.0</v>
      </c>
      <c r="AA56" s="391">
        <v>0.9311897106109327</v>
      </c>
      <c r="AB56" s="391">
        <v>0.9889</v>
      </c>
      <c r="AC56" s="391" t="s">
        <v>117</v>
      </c>
      <c r="AD56" s="395" t="s">
        <v>291</v>
      </c>
      <c r="AE56" s="395"/>
      <c r="AF56" s="395"/>
      <c r="AG56" s="395"/>
      <c r="AH56" s="395"/>
    </row>
    <row r="57" ht="30.75" hidden="1" customHeight="1">
      <c r="A57" s="373">
        <f t="shared" si="1"/>
        <v>46149</v>
      </c>
      <c r="B57" s="421">
        <v>0.9633710691823899</v>
      </c>
      <c r="C57" s="375">
        <v>563.0</v>
      </c>
      <c r="D57" s="376">
        <v>0.625</v>
      </c>
      <c r="E57" s="376">
        <v>0.95625</v>
      </c>
      <c r="F57" s="395">
        <v>477.00000000000006</v>
      </c>
      <c r="G57" s="375">
        <v>10.0</v>
      </c>
      <c r="H57" s="375">
        <v>35.0</v>
      </c>
      <c r="I57" s="378">
        <v>78.19444444444443</v>
      </c>
      <c r="J57" s="379">
        <v>7.950000000000001</v>
      </c>
      <c r="K57" s="380">
        <v>0.0</v>
      </c>
      <c r="L57" s="378">
        <v>76.42533936651583</v>
      </c>
      <c r="M57" s="378">
        <v>78.19444444444443</v>
      </c>
      <c r="N57" s="378">
        <v>70.81761006289307</v>
      </c>
      <c r="O57" s="417">
        <v>0.0053</v>
      </c>
      <c r="P57" s="387">
        <v>0.02664298401420959</v>
      </c>
      <c r="Q57" s="415">
        <v>0.0018</v>
      </c>
      <c r="R57" s="415">
        <v>0.008</v>
      </c>
      <c r="S57" s="415">
        <v>0.0062</v>
      </c>
      <c r="T57" s="385">
        <v>0.0</v>
      </c>
      <c r="U57" s="375">
        <v>15.0</v>
      </c>
      <c r="V57" s="422" t="s">
        <v>339</v>
      </c>
      <c r="W57" s="387">
        <v>0.020964360587002094</v>
      </c>
      <c r="X57" s="378">
        <v>78.19444444444443</v>
      </c>
      <c r="Y57" s="387">
        <v>0.016</v>
      </c>
      <c r="Z57" s="391">
        <v>0.9790356394129979</v>
      </c>
      <c r="AA57" s="391">
        <v>1.0</v>
      </c>
      <c r="AB57" s="391">
        <v>0.984</v>
      </c>
      <c r="AC57" s="391" t="s">
        <v>117</v>
      </c>
      <c r="AD57" s="395" t="s">
        <v>291</v>
      </c>
      <c r="AE57" s="395"/>
      <c r="AF57" s="395"/>
      <c r="AG57" s="395"/>
      <c r="AH57" s="395"/>
    </row>
    <row r="58" ht="30.75" hidden="1" customHeight="1">
      <c r="A58" s="373">
        <f t="shared" si="1"/>
        <v>46150</v>
      </c>
      <c r="B58" s="421">
        <v>0.8490463917525775</v>
      </c>
      <c r="C58" s="375">
        <v>485.0</v>
      </c>
      <c r="D58" s="376">
        <v>0.6701388888888888</v>
      </c>
      <c r="E58" s="376">
        <v>1.0069444444444444</v>
      </c>
      <c r="F58" s="395">
        <v>485.00000000000006</v>
      </c>
      <c r="G58" s="375">
        <v>68.0</v>
      </c>
      <c r="H58" s="375">
        <v>30.0</v>
      </c>
      <c r="I58" s="378">
        <v>75.19379844961239</v>
      </c>
      <c r="J58" s="379">
        <v>8.083333333333334</v>
      </c>
      <c r="K58" s="380">
        <v>125.0</v>
      </c>
      <c r="L58" s="378">
        <v>63.95604395604395</v>
      </c>
      <c r="M58" s="378">
        <v>75.19379844961239</v>
      </c>
      <c r="N58" s="378">
        <v>59.99999999999999</v>
      </c>
      <c r="O58" s="417">
        <v>0.0098</v>
      </c>
      <c r="P58" s="387">
        <v>0.01443298969072165</v>
      </c>
      <c r="Q58" s="415">
        <v>0.0052</v>
      </c>
      <c r="R58" s="415">
        <v>0.0</v>
      </c>
      <c r="S58" s="415">
        <v>0.0052</v>
      </c>
      <c r="T58" s="385">
        <v>0.0021</v>
      </c>
      <c r="U58" s="375">
        <v>7.0</v>
      </c>
      <c r="V58" s="422" t="s">
        <v>340</v>
      </c>
      <c r="W58" s="387">
        <v>0.14020618556701028</v>
      </c>
      <c r="X58" s="378">
        <v>75.19379844961239</v>
      </c>
      <c r="Y58" s="387">
        <v>0.012499999999999999</v>
      </c>
      <c r="Z58" s="391">
        <v>0.8597938144329897</v>
      </c>
      <c r="AA58" s="391">
        <v>1.0</v>
      </c>
      <c r="AB58" s="391">
        <v>0.9875</v>
      </c>
      <c r="AC58" s="391" t="s">
        <v>117</v>
      </c>
      <c r="AD58" s="395" t="s">
        <v>291</v>
      </c>
      <c r="AE58" s="395"/>
      <c r="AF58" s="395"/>
      <c r="AG58" s="395"/>
      <c r="AH58" s="395"/>
    </row>
    <row r="59" ht="30.75" hidden="1" customHeight="1">
      <c r="A59" s="373">
        <f t="shared" si="1"/>
        <v>46151</v>
      </c>
      <c r="B59" s="421">
        <v>0.8999613255653699</v>
      </c>
      <c r="C59" s="375">
        <v>377.0</v>
      </c>
      <c r="D59" s="376">
        <v>0.625</v>
      </c>
      <c r="E59" s="376">
        <v>0.8729166666666667</v>
      </c>
      <c r="F59" s="395">
        <v>357.0</v>
      </c>
      <c r="G59" s="375">
        <v>14.0</v>
      </c>
      <c r="H59" s="375">
        <v>30.0</v>
      </c>
      <c r="I59" s="378">
        <v>72.26837060702876</v>
      </c>
      <c r="J59" s="379">
        <v>5.95</v>
      </c>
      <c r="K59" s="380">
        <v>0.0</v>
      </c>
      <c r="L59" s="378">
        <v>69.1743119266055</v>
      </c>
      <c r="M59" s="378">
        <v>72.26837060702876</v>
      </c>
      <c r="N59" s="378">
        <v>63.36134453781512</v>
      </c>
      <c r="O59" s="417">
        <v>0.0173</v>
      </c>
      <c r="P59" s="387">
        <v>0.021220159151193633</v>
      </c>
      <c r="Q59" s="415">
        <v>0.0066</v>
      </c>
      <c r="R59" s="415">
        <v>0.0</v>
      </c>
      <c r="S59" s="415">
        <v>0.0186</v>
      </c>
      <c r="T59" s="385">
        <v>0.0027</v>
      </c>
      <c r="U59" s="375">
        <v>8.0</v>
      </c>
      <c r="V59" s="422" t="s">
        <v>341</v>
      </c>
      <c r="W59" s="387">
        <v>0.0392156862745098</v>
      </c>
      <c r="X59" s="378">
        <v>75.0</v>
      </c>
      <c r="Y59" s="387">
        <v>0.0279</v>
      </c>
      <c r="Z59" s="391">
        <v>0.9607843137254902</v>
      </c>
      <c r="AA59" s="391">
        <v>0.9635782747603834</v>
      </c>
      <c r="AB59" s="391">
        <v>0.9721</v>
      </c>
      <c r="AC59" s="391" t="s">
        <v>117</v>
      </c>
      <c r="AD59" s="395" t="s">
        <v>291</v>
      </c>
      <c r="AE59" s="395"/>
      <c r="AF59" s="395"/>
      <c r="AG59" s="395"/>
      <c r="AH59" s="395"/>
    </row>
    <row r="60" ht="30.75" hidden="1" customHeight="1">
      <c r="A60" s="373">
        <f t="shared" si="1"/>
        <v>46152</v>
      </c>
      <c r="B60" s="421" t="s">
        <v>289</v>
      </c>
      <c r="C60" s="375">
        <v>0.0</v>
      </c>
      <c r="D60" s="406"/>
      <c r="E60" s="376"/>
      <c r="F60" s="395" t="s">
        <v>289</v>
      </c>
      <c r="G60" s="406"/>
      <c r="H60" s="406"/>
      <c r="I60" s="378" t="s">
        <v>289</v>
      </c>
      <c r="J60" s="379" t="s">
        <v>289</v>
      </c>
      <c r="K60" s="407"/>
      <c r="L60" s="378" t="s">
        <v>289</v>
      </c>
      <c r="M60" s="378" t="s">
        <v>289</v>
      </c>
      <c r="N60" s="378" t="s">
        <v>289</v>
      </c>
      <c r="O60" s="409"/>
      <c r="P60" s="387" t="s">
        <v>289</v>
      </c>
      <c r="Q60" s="383"/>
      <c r="R60" s="383"/>
      <c r="S60" s="383"/>
      <c r="T60" s="410"/>
      <c r="U60" s="406"/>
      <c r="V60" s="386"/>
      <c r="W60" s="387" t="s">
        <v>289</v>
      </c>
      <c r="X60" s="378" t="s">
        <v>289</v>
      </c>
      <c r="Y60" s="387" t="s">
        <v>289</v>
      </c>
      <c r="Z60" s="391" t="s">
        <v>289</v>
      </c>
      <c r="AA60" s="391" t="s">
        <v>289</v>
      </c>
      <c r="AB60" s="391" t="s">
        <v>289</v>
      </c>
      <c r="AC60" s="391" t="s">
        <v>117</v>
      </c>
      <c r="AD60" s="395" t="s">
        <v>291</v>
      </c>
      <c r="AE60" s="395"/>
      <c r="AF60" s="395"/>
      <c r="AG60" s="395"/>
      <c r="AH60" s="395"/>
    </row>
    <row r="61" ht="30.75" hidden="1" customHeight="1">
      <c r="A61" s="373">
        <f t="shared" si="1"/>
        <v>46153</v>
      </c>
      <c r="B61" s="421">
        <v>0.9377547107438016</v>
      </c>
      <c r="C61" s="375">
        <v>690.0</v>
      </c>
      <c r="D61" s="376">
        <v>0.5833333333333334</v>
      </c>
      <c r="E61" s="376">
        <v>1.0034722222222223</v>
      </c>
      <c r="F61" s="395">
        <v>605.0000000000001</v>
      </c>
      <c r="G61" s="375">
        <v>31.0</v>
      </c>
      <c r="H61" s="375">
        <v>60.0</v>
      </c>
      <c r="I61" s="378">
        <v>80.54474708171205</v>
      </c>
      <c r="J61" s="379">
        <v>10.083333333333336</v>
      </c>
      <c r="K61" s="380">
        <v>0.0</v>
      </c>
      <c r="L61" s="378">
        <v>75.96330275229356</v>
      </c>
      <c r="M61" s="378">
        <v>80.54474708171205</v>
      </c>
      <c r="N61" s="378">
        <v>68.42975206611568</v>
      </c>
      <c r="O61" s="417">
        <v>0.0105</v>
      </c>
      <c r="P61" s="387">
        <v>0.013043478260869565</v>
      </c>
      <c r="Q61" s="415">
        <v>0.0043</v>
      </c>
      <c r="R61" s="415">
        <v>0.0051</v>
      </c>
      <c r="S61" s="415">
        <v>0.0022</v>
      </c>
      <c r="T61" s="385">
        <v>0.0</v>
      </c>
      <c r="U61" s="375">
        <v>9.0</v>
      </c>
      <c r="V61" s="422" t="s">
        <v>342</v>
      </c>
      <c r="W61" s="387">
        <v>0.051239669421487596</v>
      </c>
      <c r="X61" s="378">
        <v>80.54474708171205</v>
      </c>
      <c r="Y61" s="387">
        <v>0.011600000000000001</v>
      </c>
      <c r="Z61" s="391">
        <v>0.9487603305785124</v>
      </c>
      <c r="AA61" s="391">
        <v>1.0</v>
      </c>
      <c r="AB61" s="391">
        <v>0.9884</v>
      </c>
      <c r="AC61" s="391" t="s">
        <v>117</v>
      </c>
      <c r="AD61" s="395" t="s">
        <v>291</v>
      </c>
      <c r="AE61" s="395"/>
      <c r="AF61" s="395"/>
      <c r="AG61" s="395"/>
      <c r="AH61" s="395"/>
    </row>
    <row r="62" ht="30.75" hidden="1" customHeight="1">
      <c r="A62" s="373">
        <f t="shared" si="1"/>
        <v>46154</v>
      </c>
      <c r="B62" s="421">
        <v>0.8745423208191127</v>
      </c>
      <c r="C62" s="375">
        <v>622.0</v>
      </c>
      <c r="D62" s="376">
        <v>0.5833333333333334</v>
      </c>
      <c r="E62" s="376">
        <v>0.9902777777777778</v>
      </c>
      <c r="F62" s="395">
        <v>586.0</v>
      </c>
      <c r="G62" s="375">
        <v>60.0</v>
      </c>
      <c r="H62" s="375">
        <v>60.0</v>
      </c>
      <c r="I62" s="378">
        <v>80.08583690987125</v>
      </c>
      <c r="J62" s="379">
        <v>9.766666666666667</v>
      </c>
      <c r="K62" s="380">
        <v>0.0</v>
      </c>
      <c r="L62" s="378">
        <v>70.95057034220531</v>
      </c>
      <c r="M62" s="378">
        <v>80.08583690987125</v>
      </c>
      <c r="N62" s="378">
        <v>63.68600682593856</v>
      </c>
      <c r="O62" s="417">
        <v>0.0096</v>
      </c>
      <c r="P62" s="387">
        <v>0.028938906752411574</v>
      </c>
      <c r="Q62" s="415">
        <v>0.0064</v>
      </c>
      <c r="R62" s="415">
        <v>0.0048</v>
      </c>
      <c r="S62" s="415">
        <v>0.0129</v>
      </c>
      <c r="T62" s="385">
        <v>0.0016</v>
      </c>
      <c r="U62" s="375">
        <v>18.0</v>
      </c>
      <c r="V62" s="422" t="s">
        <v>344</v>
      </c>
      <c r="W62" s="387">
        <v>0.10238907849829351</v>
      </c>
      <c r="X62" s="378">
        <v>80.08583690987125</v>
      </c>
      <c r="Y62" s="387">
        <v>0.0257</v>
      </c>
      <c r="Z62" s="391">
        <v>0.8976109215017065</v>
      </c>
      <c r="AA62" s="391">
        <v>1.0</v>
      </c>
      <c r="AB62" s="391">
        <v>0.9742999999999999</v>
      </c>
      <c r="AC62" s="391" t="s">
        <v>117</v>
      </c>
      <c r="AD62" s="395" t="s">
        <v>291</v>
      </c>
      <c r="AE62" s="395"/>
      <c r="AF62" s="395"/>
      <c r="AG62" s="395"/>
      <c r="AH62" s="395"/>
    </row>
    <row r="63" ht="30.75" hidden="1" customHeight="1">
      <c r="A63" s="373">
        <f t="shared" si="1"/>
        <v>46155</v>
      </c>
      <c r="B63" s="421">
        <v>0.9370613003095973</v>
      </c>
      <c r="C63" s="375">
        <v>368.0</v>
      </c>
      <c r="D63" s="376">
        <v>0.625</v>
      </c>
      <c r="E63" s="376">
        <v>0.8611111111111112</v>
      </c>
      <c r="F63" s="395">
        <v>340.00000000000006</v>
      </c>
      <c r="G63" s="375">
        <v>6.0</v>
      </c>
      <c r="H63" s="375">
        <v>30.0</v>
      </c>
      <c r="I63" s="378">
        <v>72.63157894736841</v>
      </c>
      <c r="J63" s="379">
        <v>5.666666666666668</v>
      </c>
      <c r="K63" s="380">
        <v>0.0</v>
      </c>
      <c r="L63" s="378">
        <v>71.22580645161288</v>
      </c>
      <c r="M63" s="378">
        <v>72.63157894736841</v>
      </c>
      <c r="N63" s="378">
        <v>64.94117647058822</v>
      </c>
      <c r="O63" s="417">
        <v>0.0096</v>
      </c>
      <c r="P63" s="387">
        <v>0.029891304347826088</v>
      </c>
      <c r="Q63" s="415">
        <v>0.0027</v>
      </c>
      <c r="R63" s="415">
        <v>0.0014</v>
      </c>
      <c r="S63" s="415">
        <v>0.0082</v>
      </c>
      <c r="T63" s="385">
        <v>0.0027</v>
      </c>
      <c r="U63" s="375">
        <v>11.0</v>
      </c>
      <c r="V63" s="422" t="s">
        <v>345</v>
      </c>
      <c r="W63" s="387">
        <v>0.017647058823529408</v>
      </c>
      <c r="X63" s="378">
        <v>75.0</v>
      </c>
      <c r="Y63" s="387">
        <v>0.015000000000000003</v>
      </c>
      <c r="Z63" s="391">
        <v>0.9823529411764705</v>
      </c>
      <c r="AA63" s="391">
        <v>0.9684210526315788</v>
      </c>
      <c r="AB63" s="391">
        <v>0.985</v>
      </c>
      <c r="AC63" s="391" t="s">
        <v>117</v>
      </c>
      <c r="AD63" s="395" t="s">
        <v>291</v>
      </c>
      <c r="AE63" s="395"/>
      <c r="AF63" s="395"/>
      <c r="AG63" s="395"/>
      <c r="AH63" s="395"/>
    </row>
    <row r="64" ht="30.75" hidden="1" customHeight="1">
      <c r="A64" s="373">
        <f t="shared" si="1"/>
        <v>46156</v>
      </c>
      <c r="B64" s="421">
        <v>0.9289313199105145</v>
      </c>
      <c r="C64" s="375">
        <v>543.0</v>
      </c>
      <c r="D64" s="376">
        <v>0.5833333333333334</v>
      </c>
      <c r="E64" s="376">
        <v>0.89375</v>
      </c>
      <c r="F64" s="395">
        <v>447.0</v>
      </c>
      <c r="G64" s="375">
        <v>26.0</v>
      </c>
      <c r="H64" s="375">
        <v>30.0</v>
      </c>
      <c r="I64" s="378">
        <v>83.32480818414322</v>
      </c>
      <c r="J64" s="379">
        <v>7.45</v>
      </c>
      <c r="K64" s="380">
        <v>0.0</v>
      </c>
      <c r="L64" s="378">
        <v>78.12949640287769</v>
      </c>
      <c r="M64" s="378">
        <v>83.32480818414322</v>
      </c>
      <c r="N64" s="378">
        <v>72.88590604026845</v>
      </c>
      <c r="O64" s="417">
        <v>0.0041</v>
      </c>
      <c r="P64" s="387">
        <v>0.022099447513812154</v>
      </c>
      <c r="Q64" s="415">
        <v>0.0018</v>
      </c>
      <c r="R64" s="415">
        <v>0.0055</v>
      </c>
      <c r="S64" s="415">
        <v>0.0064</v>
      </c>
      <c r="T64" s="385">
        <v>0.0</v>
      </c>
      <c r="U64" s="375">
        <v>12.0</v>
      </c>
      <c r="V64" s="422" t="s">
        <v>346</v>
      </c>
      <c r="W64" s="387">
        <v>0.058165548098434</v>
      </c>
      <c r="X64" s="378">
        <v>83.32480818414322</v>
      </c>
      <c r="Y64" s="387">
        <v>0.0137</v>
      </c>
      <c r="Z64" s="391">
        <v>0.941834451901566</v>
      </c>
      <c r="AA64" s="391">
        <v>1.0</v>
      </c>
      <c r="AB64" s="391">
        <v>0.9863</v>
      </c>
      <c r="AC64" s="391" t="s">
        <v>117</v>
      </c>
      <c r="AD64" s="395" t="s">
        <v>291</v>
      </c>
      <c r="AE64" s="395"/>
      <c r="AF64" s="395"/>
      <c r="AG64" s="395"/>
      <c r="AH64" s="395"/>
    </row>
    <row r="65" ht="30.75" hidden="1" customHeight="1">
      <c r="A65" s="373">
        <f t="shared" si="1"/>
        <v>46157</v>
      </c>
      <c r="B65" s="421">
        <v>0.7706907915993537</v>
      </c>
      <c r="C65" s="375">
        <v>583.0</v>
      </c>
      <c r="D65" s="376">
        <v>0.5833333333333334</v>
      </c>
      <c r="E65" s="376">
        <v>1.0131944444444445</v>
      </c>
      <c r="F65" s="395">
        <v>619.0</v>
      </c>
      <c r="G65" s="375">
        <v>133.0</v>
      </c>
      <c r="H65" s="375">
        <v>30.0</v>
      </c>
      <c r="I65" s="378">
        <v>76.71052631578948</v>
      </c>
      <c r="J65" s="379">
        <v>10.316666666666666</v>
      </c>
      <c r="K65" s="380">
        <v>0.0</v>
      </c>
      <c r="L65" s="378">
        <v>59.38879456706282</v>
      </c>
      <c r="M65" s="378">
        <v>76.71052631578948</v>
      </c>
      <c r="N65" s="378">
        <v>56.51050080775445</v>
      </c>
      <c r="O65" s="417">
        <v>0.009</v>
      </c>
      <c r="P65" s="387">
        <v>0.018867924528301886</v>
      </c>
      <c r="Q65" s="448">
        <v>0.0043</v>
      </c>
      <c r="R65" s="448">
        <v>0.0051</v>
      </c>
      <c r="S65" s="448">
        <v>0.009</v>
      </c>
      <c r="T65" s="448">
        <v>0.0</v>
      </c>
      <c r="U65" s="375">
        <v>11.0</v>
      </c>
      <c r="V65" s="422" t="s">
        <v>347</v>
      </c>
      <c r="W65" s="387">
        <v>0.2148626817447496</v>
      </c>
      <c r="X65" s="378">
        <v>76.71052631578948</v>
      </c>
      <c r="Y65" s="387">
        <v>0.0184</v>
      </c>
      <c r="Z65" s="391">
        <v>0.7851373182552503</v>
      </c>
      <c r="AA65" s="391">
        <v>1.0</v>
      </c>
      <c r="AB65" s="391">
        <v>0.9816</v>
      </c>
      <c r="AC65" s="391" t="s">
        <v>117</v>
      </c>
      <c r="AD65" s="395" t="s">
        <v>291</v>
      </c>
      <c r="AE65" s="395"/>
      <c r="AF65" s="395"/>
      <c r="AG65" s="395"/>
      <c r="AH65" s="395"/>
    </row>
    <row r="66" ht="30.75" hidden="1" customHeight="1">
      <c r="A66" s="373">
        <f t="shared" si="1"/>
        <v>46158</v>
      </c>
      <c r="B66" s="421">
        <v>0.9077240718562875</v>
      </c>
      <c r="C66" s="375">
        <v>386.0</v>
      </c>
      <c r="D66" s="376">
        <v>0.625</v>
      </c>
      <c r="E66" s="376">
        <v>0.8777777777777778</v>
      </c>
      <c r="F66" s="395">
        <v>364.0</v>
      </c>
      <c r="G66" s="375">
        <v>0.0</v>
      </c>
      <c r="H66" s="375">
        <v>30.0</v>
      </c>
      <c r="I66" s="378">
        <v>69.34131736526946</v>
      </c>
      <c r="J66" s="379">
        <v>6.066666666666666</v>
      </c>
      <c r="K66" s="380">
        <v>0.0</v>
      </c>
      <c r="L66" s="378">
        <v>69.34131736526946</v>
      </c>
      <c r="M66" s="378">
        <v>69.34131736526946</v>
      </c>
      <c r="N66" s="378">
        <v>63.62637362637363</v>
      </c>
      <c r="O66" s="417">
        <v>0.0058</v>
      </c>
      <c r="P66" s="387">
        <v>0.018134715025906734</v>
      </c>
      <c r="Q66" s="415">
        <v>0.0065</v>
      </c>
      <c r="R66" s="415">
        <v>0.0078</v>
      </c>
      <c r="S66" s="415">
        <v>0.0039</v>
      </c>
      <c r="T66" s="385">
        <v>0.0</v>
      </c>
      <c r="U66" s="375">
        <v>7.0</v>
      </c>
      <c r="V66" s="422" t="s">
        <v>348</v>
      </c>
      <c r="W66" s="387">
        <v>0.0</v>
      </c>
      <c r="X66" s="378">
        <v>75.0</v>
      </c>
      <c r="Y66" s="387">
        <v>0.0182</v>
      </c>
      <c r="Z66" s="391">
        <v>1.0</v>
      </c>
      <c r="AA66" s="391">
        <v>0.9245508982035928</v>
      </c>
      <c r="AB66" s="391">
        <v>0.9818</v>
      </c>
      <c r="AC66" s="391" t="s">
        <v>117</v>
      </c>
      <c r="AD66" s="395" t="s">
        <v>291</v>
      </c>
      <c r="AE66" s="395"/>
      <c r="AF66" s="395"/>
      <c r="AG66" s="395"/>
      <c r="AH66" s="395"/>
    </row>
    <row r="67" ht="30.75" hidden="1" customHeight="1">
      <c r="A67" s="373">
        <f t="shared" si="1"/>
        <v>46159</v>
      </c>
      <c r="B67" s="421" t="s">
        <v>289</v>
      </c>
      <c r="C67" s="375">
        <v>0.0</v>
      </c>
      <c r="D67" s="406"/>
      <c r="E67" s="376"/>
      <c r="F67" s="395" t="s">
        <v>289</v>
      </c>
      <c r="G67" s="406"/>
      <c r="H67" s="406"/>
      <c r="I67" s="378" t="s">
        <v>289</v>
      </c>
      <c r="J67" s="379" t="s">
        <v>289</v>
      </c>
      <c r="K67" s="407"/>
      <c r="L67" s="378" t="s">
        <v>289</v>
      </c>
      <c r="M67" s="378" t="s">
        <v>289</v>
      </c>
      <c r="N67" s="378" t="s">
        <v>289</v>
      </c>
      <c r="O67" s="409"/>
      <c r="P67" s="387" t="s">
        <v>289</v>
      </c>
      <c r="Q67" s="383"/>
      <c r="R67" s="383"/>
      <c r="S67" s="383"/>
      <c r="T67" s="410"/>
      <c r="U67" s="406"/>
      <c r="V67" s="386"/>
      <c r="W67" s="387" t="s">
        <v>289</v>
      </c>
      <c r="X67" s="378" t="s">
        <v>289</v>
      </c>
      <c r="Y67" s="387" t="s">
        <v>289</v>
      </c>
      <c r="Z67" s="391" t="s">
        <v>289</v>
      </c>
      <c r="AA67" s="391" t="s">
        <v>289</v>
      </c>
      <c r="AB67" s="391" t="s">
        <v>289</v>
      </c>
      <c r="AC67" s="391" t="s">
        <v>117</v>
      </c>
      <c r="AD67" s="395" t="s">
        <v>291</v>
      </c>
      <c r="AE67" s="395"/>
      <c r="AF67" s="395"/>
      <c r="AG67" s="395"/>
      <c r="AH67" s="395"/>
    </row>
    <row r="68" ht="30.75" hidden="1" customHeight="1">
      <c r="A68" s="373">
        <f t="shared" si="1"/>
        <v>46160</v>
      </c>
      <c r="B68" s="421">
        <v>0.9591278996865203</v>
      </c>
      <c r="C68" s="375">
        <v>710.0</v>
      </c>
      <c r="D68" s="376">
        <v>0.5416666666666666</v>
      </c>
      <c r="E68" s="376">
        <v>0.9847222222222223</v>
      </c>
      <c r="F68" s="395">
        <v>638.0000000000002</v>
      </c>
      <c r="G68" s="375">
        <v>16.0</v>
      </c>
      <c r="H68" s="375">
        <v>60.0</v>
      </c>
      <c r="I68" s="378">
        <v>75.80071174377221</v>
      </c>
      <c r="J68" s="379">
        <v>10.633333333333336</v>
      </c>
      <c r="K68" s="380">
        <v>0.0</v>
      </c>
      <c r="L68" s="378">
        <v>73.7024221453287</v>
      </c>
      <c r="M68" s="378">
        <v>75.80071174377221</v>
      </c>
      <c r="N68" s="378">
        <v>66.77115987460813</v>
      </c>
      <c r="O68" s="417">
        <v>0.0036</v>
      </c>
      <c r="P68" s="387">
        <v>0.014084507042253521</v>
      </c>
      <c r="Q68" s="415">
        <v>0.0028</v>
      </c>
      <c r="R68" s="415">
        <v>0.0021</v>
      </c>
      <c r="S68" s="415">
        <v>0.0106</v>
      </c>
      <c r="T68" s="385">
        <v>7.0E-4</v>
      </c>
      <c r="U68" s="375">
        <v>10.0</v>
      </c>
      <c r="V68" s="422" t="s">
        <v>350</v>
      </c>
      <c r="W68" s="387">
        <v>0.025078369905956105</v>
      </c>
      <c r="X68" s="378">
        <v>75.80071174377221</v>
      </c>
      <c r="Y68" s="387">
        <v>0.0162</v>
      </c>
      <c r="Z68" s="391">
        <v>0.9749216300940439</v>
      </c>
      <c r="AA68" s="391">
        <v>1.0</v>
      </c>
      <c r="AB68" s="391">
        <v>0.9838</v>
      </c>
      <c r="AC68" s="391" t="s">
        <v>117</v>
      </c>
      <c r="AD68" s="395" t="s">
        <v>291</v>
      </c>
      <c r="AE68" s="395"/>
      <c r="AF68" s="395"/>
      <c r="AG68" s="395"/>
      <c r="AH68" s="395"/>
    </row>
    <row r="69" ht="30.75" hidden="1" customHeight="1">
      <c r="A69" s="373">
        <f t="shared" si="1"/>
        <v>46161</v>
      </c>
      <c r="B69" s="421">
        <v>0.8952966346153846</v>
      </c>
      <c r="C69" s="375">
        <v>441.0</v>
      </c>
      <c r="D69" s="376">
        <v>0.625</v>
      </c>
      <c r="E69" s="376">
        <v>0.9138888888888889</v>
      </c>
      <c r="F69" s="395">
        <v>415.99999999999994</v>
      </c>
      <c r="G69" s="375">
        <v>38.0</v>
      </c>
      <c r="H69" s="375">
        <v>30.0</v>
      </c>
      <c r="I69" s="378">
        <v>76.0344827586207</v>
      </c>
      <c r="J69" s="379">
        <v>6.933333333333333</v>
      </c>
      <c r="K69" s="380">
        <v>0.0</v>
      </c>
      <c r="L69" s="378">
        <v>68.54922279792747</v>
      </c>
      <c r="M69" s="378">
        <v>76.0344827586207</v>
      </c>
      <c r="N69" s="378">
        <v>63.60576923076923</v>
      </c>
      <c r="O69" s="417">
        <v>0.0051</v>
      </c>
      <c r="P69" s="387">
        <v>0.018140589569160998</v>
      </c>
      <c r="Q69" s="415">
        <v>0.0011</v>
      </c>
      <c r="R69" s="415">
        <v>0.0125</v>
      </c>
      <c r="S69" s="415">
        <v>0.0011</v>
      </c>
      <c r="T69" s="385">
        <v>0.0</v>
      </c>
      <c r="U69" s="375">
        <v>8.0</v>
      </c>
      <c r="V69" s="422" t="s">
        <v>352</v>
      </c>
      <c r="W69" s="387">
        <v>0.09134615384615385</v>
      </c>
      <c r="X69" s="378">
        <v>76.0344827586207</v>
      </c>
      <c r="Y69" s="387">
        <v>0.014700000000000001</v>
      </c>
      <c r="Z69" s="391">
        <v>0.9086538461538461</v>
      </c>
      <c r="AA69" s="391">
        <v>1.0</v>
      </c>
      <c r="AB69" s="391">
        <v>0.9853</v>
      </c>
      <c r="AC69" s="391" t="s">
        <v>117</v>
      </c>
      <c r="AD69" s="395" t="s">
        <v>291</v>
      </c>
      <c r="AE69" s="395"/>
      <c r="AF69" s="395"/>
      <c r="AG69" s="395"/>
      <c r="AH69" s="395"/>
    </row>
    <row r="70" ht="30.75" hidden="1" customHeight="1">
      <c r="A70" s="373">
        <f t="shared" si="1"/>
        <v>46162</v>
      </c>
      <c r="B70" s="421">
        <v>0.9141172009029347</v>
      </c>
      <c r="C70" s="375">
        <v>477.0</v>
      </c>
      <c r="D70" s="376">
        <v>0.625</v>
      </c>
      <c r="E70" s="376">
        <v>0.9326388888888889</v>
      </c>
      <c r="F70" s="395">
        <v>443.0</v>
      </c>
      <c r="G70" s="375">
        <v>23.0</v>
      </c>
      <c r="H70" s="375">
        <v>30.0</v>
      </c>
      <c r="I70" s="378">
        <v>73.38461538461539</v>
      </c>
      <c r="J70" s="379">
        <v>7.383333333333334</v>
      </c>
      <c r="K70" s="380">
        <v>0.0</v>
      </c>
      <c r="L70" s="378">
        <v>69.29782082324455</v>
      </c>
      <c r="M70" s="378">
        <v>73.38461538461539</v>
      </c>
      <c r="N70" s="378">
        <v>64.60496613995485</v>
      </c>
      <c r="O70" s="417">
        <v>0.0084</v>
      </c>
      <c r="P70" s="387">
        <v>0.020964360587002098</v>
      </c>
      <c r="Q70" s="415">
        <v>0.0031</v>
      </c>
      <c r="R70" s="415">
        <v>0.0031</v>
      </c>
      <c r="S70" s="415">
        <v>0.0063</v>
      </c>
      <c r="T70" s="385">
        <v>0.0021</v>
      </c>
      <c r="U70" s="375">
        <v>10.0</v>
      </c>
      <c r="V70" s="422" t="s">
        <v>355</v>
      </c>
      <c r="W70" s="387">
        <v>0.05191873589164785</v>
      </c>
      <c r="X70" s="378">
        <v>75.0</v>
      </c>
      <c r="Y70" s="387">
        <v>0.0146</v>
      </c>
      <c r="Z70" s="391">
        <v>0.9480812641083521</v>
      </c>
      <c r="AA70" s="391">
        <v>0.9784615384615385</v>
      </c>
      <c r="AB70" s="391">
        <v>0.9854</v>
      </c>
      <c r="AC70" s="391" t="s">
        <v>117</v>
      </c>
      <c r="AD70" s="395" t="s">
        <v>291</v>
      </c>
      <c r="AE70" s="395"/>
      <c r="AF70" s="395"/>
      <c r="AG70" s="395"/>
      <c r="AH70" s="395"/>
    </row>
    <row r="71" ht="30.75" hidden="1" customHeight="1">
      <c r="A71" s="373">
        <f t="shared" si="1"/>
        <v>46163</v>
      </c>
      <c r="B71" s="421">
        <v>0.8896776255707762</v>
      </c>
      <c r="C71" s="375">
        <v>484.0</v>
      </c>
      <c r="D71" s="376">
        <v>0.5833333333333334</v>
      </c>
      <c r="E71" s="376">
        <v>0.8875</v>
      </c>
      <c r="F71" s="395">
        <v>437.9999999999999</v>
      </c>
      <c r="G71" s="375">
        <v>32.0</v>
      </c>
      <c r="H71" s="375">
        <v>30.0</v>
      </c>
      <c r="I71" s="378">
        <v>77.23404255319151</v>
      </c>
      <c r="J71" s="379">
        <v>7.299999999999998</v>
      </c>
      <c r="K71" s="380">
        <v>0.0</v>
      </c>
      <c r="L71" s="378">
        <v>71.17647058823532</v>
      </c>
      <c r="M71" s="378">
        <v>77.23404255319151</v>
      </c>
      <c r="N71" s="378">
        <v>66.30136986301372</v>
      </c>
      <c r="O71" s="417">
        <v>0.0082</v>
      </c>
      <c r="P71" s="387">
        <v>0.02066115702479339</v>
      </c>
      <c r="Q71" s="415">
        <v>0.001</v>
      </c>
      <c r="R71" s="415">
        <v>0.0124</v>
      </c>
      <c r="S71" s="415">
        <v>0.0258</v>
      </c>
      <c r="T71" s="385">
        <v>0.001</v>
      </c>
      <c r="U71" s="375">
        <v>10.0</v>
      </c>
      <c r="V71" s="422" t="s">
        <v>358</v>
      </c>
      <c r="W71" s="387">
        <v>0.07305936073059363</v>
      </c>
      <c r="X71" s="378">
        <v>77.23404255319151</v>
      </c>
      <c r="Y71" s="387">
        <v>0.0402</v>
      </c>
      <c r="Z71" s="391">
        <v>0.9269406392694064</v>
      </c>
      <c r="AA71" s="391">
        <v>1.0</v>
      </c>
      <c r="AB71" s="391">
        <v>0.9598</v>
      </c>
      <c r="AC71" s="391" t="s">
        <v>117</v>
      </c>
      <c r="AD71" s="395" t="s">
        <v>291</v>
      </c>
      <c r="AE71" s="395"/>
      <c r="AF71" s="395"/>
      <c r="AG71" s="395"/>
      <c r="AH71" s="395"/>
    </row>
    <row r="72" ht="30.75" hidden="1" customHeight="1">
      <c r="A72" s="373">
        <f t="shared" si="1"/>
        <v>46164</v>
      </c>
      <c r="B72" s="421">
        <v>0.8298131578947369</v>
      </c>
      <c r="C72" s="375">
        <v>549.0</v>
      </c>
      <c r="D72" s="376">
        <v>0.5833333333333334</v>
      </c>
      <c r="E72" s="376">
        <v>0.9263888888888889</v>
      </c>
      <c r="F72" s="395">
        <v>494.00000000000006</v>
      </c>
      <c r="G72" s="375">
        <v>73.0</v>
      </c>
      <c r="H72" s="375">
        <v>30.0</v>
      </c>
      <c r="I72" s="378">
        <v>84.24552429667519</v>
      </c>
      <c r="J72" s="379">
        <v>8.233333333333334</v>
      </c>
      <c r="K72" s="380">
        <v>0.0</v>
      </c>
      <c r="L72" s="378">
        <v>70.99137931034483</v>
      </c>
      <c r="M72" s="378">
        <v>84.24552429667519</v>
      </c>
      <c r="N72" s="378">
        <v>66.68016194331983</v>
      </c>
      <c r="O72" s="417">
        <v>0.0059</v>
      </c>
      <c r="P72" s="387">
        <v>0.029143897996357013</v>
      </c>
      <c r="Q72" s="415">
        <v>0.0036</v>
      </c>
      <c r="R72" s="415">
        <v>0.0082</v>
      </c>
      <c r="S72" s="415">
        <v>0.0109</v>
      </c>
      <c r="T72" s="385">
        <v>0.0036</v>
      </c>
      <c r="U72" s="375">
        <v>16.0</v>
      </c>
      <c r="V72" s="422" t="s">
        <v>361</v>
      </c>
      <c r="W72" s="387">
        <v>0.1477732793522267</v>
      </c>
      <c r="X72" s="378">
        <v>84.24552429667519</v>
      </c>
      <c r="Y72" s="387">
        <v>0.0263</v>
      </c>
      <c r="Z72" s="391">
        <v>0.8522267206477733</v>
      </c>
      <c r="AA72" s="391">
        <v>1.0</v>
      </c>
      <c r="AB72" s="391">
        <v>0.9737</v>
      </c>
      <c r="AC72" s="391" t="s">
        <v>117</v>
      </c>
      <c r="AD72" s="395" t="s">
        <v>291</v>
      </c>
      <c r="AE72" s="395"/>
      <c r="AF72" s="395"/>
      <c r="AG72" s="395"/>
      <c r="AH72" s="395"/>
    </row>
    <row r="73" ht="30.75" hidden="1" customHeight="1">
      <c r="A73" s="373">
        <f t="shared" si="1"/>
        <v>46165</v>
      </c>
      <c r="B73" s="421">
        <v>0.9382801105699617</v>
      </c>
      <c r="C73" s="375">
        <v>345.0</v>
      </c>
      <c r="D73" s="376">
        <v>0.625</v>
      </c>
      <c r="E73" s="376">
        <v>0.8479166666666667</v>
      </c>
      <c r="F73" s="395">
        <v>321.0</v>
      </c>
      <c r="G73" s="375">
        <v>7.0</v>
      </c>
      <c r="H73" s="375">
        <v>30.0</v>
      </c>
      <c r="I73" s="378">
        <v>72.88732394366197</v>
      </c>
      <c r="J73" s="379">
        <v>5.35</v>
      </c>
      <c r="K73" s="380">
        <v>0.0</v>
      </c>
      <c r="L73" s="378">
        <v>71.1340206185567</v>
      </c>
      <c r="M73" s="378">
        <v>72.88732394366197</v>
      </c>
      <c r="N73" s="378">
        <v>64.48598130841123</v>
      </c>
      <c r="O73" s="417">
        <v>0.0058</v>
      </c>
      <c r="P73" s="387">
        <v>0.020289855072463767</v>
      </c>
      <c r="Q73" s="415">
        <v>0.0043</v>
      </c>
      <c r="R73" s="415">
        <v>0.0</v>
      </c>
      <c r="S73" s="415">
        <v>0.0087</v>
      </c>
      <c r="T73" s="385">
        <v>0.0</v>
      </c>
      <c r="U73" s="375">
        <v>7.0</v>
      </c>
      <c r="V73" s="422" t="s">
        <v>362</v>
      </c>
      <c r="W73" s="387">
        <v>0.021806853582554516</v>
      </c>
      <c r="X73" s="378">
        <v>75.0</v>
      </c>
      <c r="Y73" s="387">
        <v>0.013</v>
      </c>
      <c r="Z73" s="391">
        <v>0.9781931464174455</v>
      </c>
      <c r="AA73" s="391">
        <v>0.9718309859154929</v>
      </c>
      <c r="AB73" s="391">
        <v>0.987</v>
      </c>
      <c r="AC73" s="391" t="s">
        <v>117</v>
      </c>
      <c r="AD73" s="395" t="s">
        <v>291</v>
      </c>
      <c r="AE73" s="395"/>
      <c r="AF73" s="395"/>
      <c r="AG73" s="395"/>
      <c r="AH73" s="395"/>
    </row>
    <row r="74" ht="30.75" hidden="1" customHeight="1">
      <c r="A74" s="373">
        <f t="shared" si="1"/>
        <v>46166</v>
      </c>
      <c r="B74" s="421" t="s">
        <v>289</v>
      </c>
      <c r="C74" s="375">
        <v>0.0</v>
      </c>
      <c r="D74" s="406"/>
      <c r="E74" s="376"/>
      <c r="F74" s="395" t="s">
        <v>289</v>
      </c>
      <c r="G74" s="406"/>
      <c r="H74" s="406"/>
      <c r="I74" s="378" t="s">
        <v>289</v>
      </c>
      <c r="J74" s="379" t="s">
        <v>289</v>
      </c>
      <c r="K74" s="407"/>
      <c r="L74" s="378" t="s">
        <v>289</v>
      </c>
      <c r="M74" s="378" t="s">
        <v>289</v>
      </c>
      <c r="N74" s="378" t="s">
        <v>289</v>
      </c>
      <c r="O74" s="409"/>
      <c r="P74" s="387" t="s">
        <v>289</v>
      </c>
      <c r="Q74" s="383"/>
      <c r="R74" s="383"/>
      <c r="S74" s="383"/>
      <c r="T74" s="410"/>
      <c r="U74" s="406"/>
      <c r="V74" s="386"/>
      <c r="W74" s="387" t="s">
        <v>289</v>
      </c>
      <c r="X74" s="378" t="s">
        <v>289</v>
      </c>
      <c r="Y74" s="387" t="s">
        <v>289</v>
      </c>
      <c r="Z74" s="391" t="s">
        <v>289</v>
      </c>
      <c r="AA74" s="391" t="s">
        <v>289</v>
      </c>
      <c r="AB74" s="391" t="s">
        <v>289</v>
      </c>
      <c r="AC74" s="391" t="s">
        <v>117</v>
      </c>
      <c r="AD74" s="395" t="s">
        <v>291</v>
      </c>
      <c r="AE74" s="395"/>
      <c r="AF74" s="395"/>
      <c r="AG74" s="395"/>
      <c r="AH74" s="395"/>
    </row>
    <row r="75" ht="30.75" hidden="1" customHeight="1">
      <c r="A75" s="373">
        <f t="shared" si="1"/>
        <v>46167</v>
      </c>
      <c r="B75" s="421">
        <v>0.9237271317829457</v>
      </c>
      <c r="C75" s="375">
        <v>691.0</v>
      </c>
      <c r="D75" s="376">
        <v>0.5430555555555555</v>
      </c>
      <c r="E75" s="376">
        <v>0.9909722222222223</v>
      </c>
      <c r="F75" s="395">
        <v>645.0000000000001</v>
      </c>
      <c r="G75" s="375">
        <v>40.0</v>
      </c>
      <c r="H75" s="375">
        <v>60.0</v>
      </c>
      <c r="I75" s="378">
        <v>76.07339449541283</v>
      </c>
      <c r="J75" s="379">
        <v>10.750000000000002</v>
      </c>
      <c r="K75" s="380">
        <v>2.0</v>
      </c>
      <c r="L75" s="378">
        <v>70.87179487179486</v>
      </c>
      <c r="M75" s="378">
        <v>76.07339449541283</v>
      </c>
      <c r="N75" s="378">
        <v>64.27906976744185</v>
      </c>
      <c r="O75" s="417">
        <v>0.0055</v>
      </c>
      <c r="P75" s="387">
        <v>0.02170767004341534</v>
      </c>
      <c r="Q75" s="415">
        <v>7.0E-4</v>
      </c>
      <c r="R75" s="415">
        <v>0.0065</v>
      </c>
      <c r="S75" s="415">
        <v>0.008</v>
      </c>
      <c r="T75" s="385">
        <v>0.0</v>
      </c>
      <c r="U75" s="375">
        <v>15.0</v>
      </c>
      <c r="V75" s="422" t="s">
        <v>363</v>
      </c>
      <c r="W75" s="387">
        <v>0.062015503875968984</v>
      </c>
      <c r="X75" s="378">
        <v>76.07339449541283</v>
      </c>
      <c r="Y75" s="387">
        <v>0.0152</v>
      </c>
      <c r="Z75" s="391">
        <v>0.937984496124031</v>
      </c>
      <c r="AA75" s="391">
        <v>1.0</v>
      </c>
      <c r="AB75" s="391">
        <v>0.9848</v>
      </c>
      <c r="AC75" s="391" t="s">
        <v>117</v>
      </c>
      <c r="AD75" s="395" t="s">
        <v>291</v>
      </c>
      <c r="AE75" s="395"/>
      <c r="AF75" s="395"/>
      <c r="AG75" s="395"/>
      <c r="AH75" s="395"/>
    </row>
    <row r="76" ht="30.75" hidden="1" customHeight="1">
      <c r="A76" s="373">
        <f t="shared" si="1"/>
        <v>46168</v>
      </c>
      <c r="B76" s="421">
        <v>0.7946852564102563</v>
      </c>
      <c r="C76" s="375">
        <v>455.0</v>
      </c>
      <c r="D76" s="376">
        <v>0.5833333333333334</v>
      </c>
      <c r="E76" s="376">
        <v>0.9083333333333333</v>
      </c>
      <c r="F76" s="395">
        <v>467.99999999999994</v>
      </c>
      <c r="G76" s="375">
        <v>89.0</v>
      </c>
      <c r="H76" s="375">
        <v>35.0</v>
      </c>
      <c r="I76" s="378">
        <v>79.36046511627909</v>
      </c>
      <c r="J76" s="379">
        <v>7.799999999999999</v>
      </c>
      <c r="K76" s="380">
        <v>0.0</v>
      </c>
      <c r="L76" s="378">
        <v>63.0484988452656</v>
      </c>
      <c r="M76" s="378">
        <v>79.36046511627909</v>
      </c>
      <c r="N76" s="378">
        <v>58.33333333333334</v>
      </c>
      <c r="O76" s="417">
        <v>0.0088</v>
      </c>
      <c r="P76" s="387">
        <v>0.03076923076923077</v>
      </c>
      <c r="Q76" s="415">
        <v>0.0022</v>
      </c>
      <c r="R76" s="415">
        <v>0.0022</v>
      </c>
      <c r="S76" s="415">
        <v>0.0143</v>
      </c>
      <c r="T76" s="385">
        <v>0.0</v>
      </c>
      <c r="U76" s="375">
        <v>14.0</v>
      </c>
      <c r="V76" s="422" t="s">
        <v>364</v>
      </c>
      <c r="W76" s="387">
        <v>0.1901709401709402</v>
      </c>
      <c r="X76" s="378">
        <v>79.36046511627909</v>
      </c>
      <c r="Y76" s="387">
        <v>0.0187</v>
      </c>
      <c r="Z76" s="391">
        <v>0.8098290598290598</v>
      </c>
      <c r="AA76" s="391">
        <v>1.0</v>
      </c>
      <c r="AB76" s="391">
        <v>0.9813</v>
      </c>
      <c r="AC76" s="391" t="s">
        <v>117</v>
      </c>
      <c r="AD76" s="395" t="s">
        <v>291</v>
      </c>
      <c r="AE76" s="395"/>
      <c r="AF76" s="395"/>
      <c r="AG76" s="395"/>
      <c r="AH76" s="395"/>
    </row>
    <row r="77" ht="30.75" hidden="1" customHeight="1">
      <c r="A77" s="373">
        <f t="shared" si="1"/>
        <v>46169</v>
      </c>
      <c r="B77" s="421">
        <v>0.8586</v>
      </c>
      <c r="C77" s="375">
        <v>600.0</v>
      </c>
      <c r="D77" s="376">
        <v>0.5833333333333334</v>
      </c>
      <c r="E77" s="376">
        <v>0.9923611111111111</v>
      </c>
      <c r="F77" s="395">
        <v>589.0</v>
      </c>
      <c r="G77" s="375">
        <v>76.0</v>
      </c>
      <c r="H77" s="375">
        <v>60.0</v>
      </c>
      <c r="I77" s="378">
        <v>79.47019867549669</v>
      </c>
      <c r="J77" s="379">
        <v>9.816666666666666</v>
      </c>
      <c r="K77" s="380">
        <v>0.0</v>
      </c>
      <c r="L77" s="378">
        <v>68.05293005671078</v>
      </c>
      <c r="M77" s="378">
        <v>79.47019867549669</v>
      </c>
      <c r="N77" s="378">
        <v>61.12054329371817</v>
      </c>
      <c r="O77" s="417">
        <v>0.0079</v>
      </c>
      <c r="P77" s="387">
        <v>0.021666666666666667</v>
      </c>
      <c r="Q77" s="415">
        <v>8.0E-4</v>
      </c>
      <c r="R77" s="415">
        <v>0.0067</v>
      </c>
      <c r="S77" s="415">
        <v>0.0067</v>
      </c>
      <c r="T77" s="385">
        <v>0.0</v>
      </c>
      <c r="U77" s="375">
        <v>13.0</v>
      </c>
      <c r="V77" s="463" t="s">
        <v>365</v>
      </c>
      <c r="W77" s="387">
        <v>0.12903225806451613</v>
      </c>
      <c r="X77" s="378">
        <v>79.47019867549669</v>
      </c>
      <c r="Y77" s="387">
        <v>0.0142</v>
      </c>
      <c r="Z77" s="391">
        <v>0.8709677419354839</v>
      </c>
      <c r="AA77" s="391">
        <v>1.0</v>
      </c>
      <c r="AB77" s="391">
        <v>0.9858</v>
      </c>
      <c r="AC77" s="391" t="s">
        <v>117</v>
      </c>
      <c r="AD77" s="395" t="s">
        <v>291</v>
      </c>
      <c r="AE77" s="395"/>
      <c r="AF77" s="395"/>
      <c r="AG77" s="395"/>
      <c r="AH77" s="395"/>
    </row>
    <row r="78" ht="30.75" hidden="1" customHeight="1">
      <c r="A78" s="373">
        <f t="shared" si="1"/>
        <v>46170</v>
      </c>
      <c r="B78" s="421">
        <v>0.8844493096646943</v>
      </c>
      <c r="C78" s="375">
        <v>530.0</v>
      </c>
      <c r="D78" s="376">
        <v>0.7083333333333334</v>
      </c>
      <c r="E78" s="376">
        <v>1.0604166666666666</v>
      </c>
      <c r="F78" s="395">
        <v>506.9999999999998</v>
      </c>
      <c r="G78" s="375">
        <v>53.0</v>
      </c>
      <c r="H78" s="375">
        <v>60.0</v>
      </c>
      <c r="I78" s="378">
        <v>80.7106598984772</v>
      </c>
      <c r="J78" s="379">
        <v>8.449999999999996</v>
      </c>
      <c r="K78" s="380">
        <v>0.0</v>
      </c>
      <c r="L78" s="378">
        <v>71.14093959731547</v>
      </c>
      <c r="M78" s="378">
        <v>80.7106598984772</v>
      </c>
      <c r="N78" s="378">
        <v>62.72189349112429</v>
      </c>
      <c r="O78" s="417">
        <v>0.0104</v>
      </c>
      <c r="P78" s="387">
        <v>0.04150943396226415</v>
      </c>
      <c r="Q78" s="415">
        <v>0.0028</v>
      </c>
      <c r="R78" s="415">
        <v>0.0038</v>
      </c>
      <c r="S78" s="415">
        <v>0.0057</v>
      </c>
      <c r="T78" s="385">
        <v>0.0</v>
      </c>
      <c r="U78" s="375">
        <v>22.0</v>
      </c>
      <c r="V78" s="422" t="s">
        <v>366</v>
      </c>
      <c r="W78" s="387">
        <v>0.10453648915187382</v>
      </c>
      <c r="X78" s="378">
        <v>80.7106598984772</v>
      </c>
      <c r="Y78" s="387">
        <v>0.0123</v>
      </c>
      <c r="Z78" s="391">
        <v>0.8954635108481261</v>
      </c>
      <c r="AA78" s="391">
        <v>1.0</v>
      </c>
      <c r="AB78" s="391">
        <v>0.9877</v>
      </c>
      <c r="AC78" s="391" t="s">
        <v>117</v>
      </c>
      <c r="AD78" s="395" t="s">
        <v>291</v>
      </c>
      <c r="AE78" s="395"/>
      <c r="AF78" s="395"/>
      <c r="AG78" s="395"/>
      <c r="AH78" s="395"/>
    </row>
    <row r="79" ht="30.75" hidden="1" customHeight="1">
      <c r="A79" s="373">
        <f t="shared" si="1"/>
        <v>46171</v>
      </c>
      <c r="B79" s="421">
        <v>0.846742194848824</v>
      </c>
      <c r="C79" s="375">
        <v>522.0</v>
      </c>
      <c r="D79" s="376">
        <v>0.7083333333333334</v>
      </c>
      <c r="E79" s="376">
        <v>1.1</v>
      </c>
      <c r="F79" s="395">
        <v>564.0000000000001</v>
      </c>
      <c r="G79" s="375">
        <v>38.0</v>
      </c>
      <c r="H79" s="375">
        <v>70.0</v>
      </c>
      <c r="I79" s="378">
        <v>68.68421052631577</v>
      </c>
      <c r="J79" s="379">
        <v>9.400000000000002</v>
      </c>
      <c r="K79" s="380">
        <v>0.0</v>
      </c>
      <c r="L79" s="378">
        <v>63.40080971659917</v>
      </c>
      <c r="M79" s="378">
        <v>68.68421052631577</v>
      </c>
      <c r="N79" s="378">
        <v>55.53191489361701</v>
      </c>
      <c r="O79" s="417">
        <v>0.0143</v>
      </c>
      <c r="P79" s="387">
        <v>0.019157088122605363</v>
      </c>
      <c r="Q79" s="415">
        <v>0.0029</v>
      </c>
      <c r="R79" s="415">
        <v>0.0038</v>
      </c>
      <c r="S79" s="415">
        <v>0.0019</v>
      </c>
      <c r="T79" s="385">
        <v>0.0</v>
      </c>
      <c r="U79" s="375">
        <v>10.0</v>
      </c>
      <c r="V79" s="422" t="s">
        <v>367</v>
      </c>
      <c r="W79" s="387">
        <v>0.06737588652482268</v>
      </c>
      <c r="X79" s="378">
        <v>75.0</v>
      </c>
      <c r="Y79" s="387">
        <v>0.0086</v>
      </c>
      <c r="Z79" s="391">
        <v>0.9326241134751774</v>
      </c>
      <c r="AA79" s="391">
        <v>0.9157894736842103</v>
      </c>
      <c r="AB79" s="391">
        <v>0.9914</v>
      </c>
      <c r="AC79" s="391" t="s">
        <v>117</v>
      </c>
      <c r="AD79" s="395" t="s">
        <v>291</v>
      </c>
      <c r="AE79" s="395"/>
      <c r="AF79" s="395"/>
      <c r="AG79" s="395"/>
      <c r="AH79" s="395"/>
    </row>
    <row r="80" ht="30.75" hidden="1" customHeight="1">
      <c r="A80" s="373">
        <f t="shared" si="1"/>
        <v>46172</v>
      </c>
      <c r="B80" s="421">
        <v>0.8157427450980391</v>
      </c>
      <c r="C80" s="375">
        <v>318.0</v>
      </c>
      <c r="D80" s="376">
        <v>0.7222222222222222</v>
      </c>
      <c r="E80" s="376">
        <v>0.9347222222222222</v>
      </c>
      <c r="F80" s="395">
        <v>306.00000000000006</v>
      </c>
      <c r="G80" s="375">
        <v>0.0</v>
      </c>
      <c r="H80" s="375">
        <v>0.0</v>
      </c>
      <c r="I80" s="378">
        <v>62.35294117647058</v>
      </c>
      <c r="J80" s="379">
        <v>5.1000000000000005</v>
      </c>
      <c r="K80" s="380">
        <v>20.0</v>
      </c>
      <c r="L80" s="378">
        <v>62.35294117647058</v>
      </c>
      <c r="M80" s="378">
        <v>62.35294117647058</v>
      </c>
      <c r="N80" s="378">
        <v>62.35294117647058</v>
      </c>
      <c r="O80" s="417">
        <v>0.0142</v>
      </c>
      <c r="P80" s="387">
        <v>0.018867924528301886</v>
      </c>
      <c r="Q80" s="415">
        <v>0.0047</v>
      </c>
      <c r="R80" s="415">
        <v>0.0031</v>
      </c>
      <c r="S80" s="415">
        <v>0.011</v>
      </c>
      <c r="T80" s="385">
        <v>0.0</v>
      </c>
      <c r="U80" s="375">
        <v>6.0</v>
      </c>
      <c r="V80" s="422" t="s">
        <v>368</v>
      </c>
      <c r="W80" s="387">
        <v>0.0</v>
      </c>
      <c r="X80" s="378">
        <v>75.0</v>
      </c>
      <c r="Y80" s="387">
        <v>0.018799999999999997</v>
      </c>
      <c r="Z80" s="391">
        <v>1.0</v>
      </c>
      <c r="AA80" s="391">
        <v>0.8313725490196078</v>
      </c>
      <c r="AB80" s="391">
        <v>0.9812</v>
      </c>
      <c r="AC80" s="391" t="s">
        <v>117</v>
      </c>
      <c r="AD80" s="395" t="s">
        <v>291</v>
      </c>
      <c r="AE80" s="395"/>
      <c r="AF80" s="395"/>
      <c r="AG80" s="395"/>
      <c r="AH80" s="395"/>
    </row>
    <row r="81" ht="30.75" hidden="1" customHeight="1">
      <c r="A81" s="373">
        <f t="shared" si="1"/>
        <v>46173</v>
      </c>
      <c r="B81" s="421" t="s">
        <v>289</v>
      </c>
      <c r="C81" s="375">
        <v>0.0</v>
      </c>
      <c r="D81" s="406"/>
      <c r="E81" s="376"/>
      <c r="F81" s="395" t="s">
        <v>289</v>
      </c>
      <c r="G81" s="406"/>
      <c r="H81" s="406"/>
      <c r="I81" s="378" t="s">
        <v>289</v>
      </c>
      <c r="J81" s="379" t="s">
        <v>289</v>
      </c>
      <c r="K81" s="407"/>
      <c r="L81" s="378" t="s">
        <v>289</v>
      </c>
      <c r="M81" s="378" t="s">
        <v>289</v>
      </c>
      <c r="N81" s="378" t="s">
        <v>289</v>
      </c>
      <c r="O81" s="409"/>
      <c r="P81" s="387" t="s">
        <v>289</v>
      </c>
      <c r="Q81" s="383"/>
      <c r="R81" s="383"/>
      <c r="S81" s="383"/>
      <c r="T81" s="410"/>
      <c r="U81" s="406"/>
      <c r="V81" s="386"/>
      <c r="W81" s="387" t="s">
        <v>289</v>
      </c>
      <c r="X81" s="378" t="s">
        <v>289</v>
      </c>
      <c r="Y81" s="387" t="s">
        <v>289</v>
      </c>
      <c r="Z81" s="391" t="s">
        <v>289</v>
      </c>
      <c r="AA81" s="391" t="s">
        <v>289</v>
      </c>
      <c r="AB81" s="391" t="s">
        <v>289</v>
      </c>
      <c r="AC81" s="391" t="s">
        <v>117</v>
      </c>
      <c r="AD81" s="395" t="s">
        <v>291</v>
      </c>
      <c r="AE81" s="395"/>
      <c r="AF81" s="395"/>
      <c r="AG81" s="395"/>
      <c r="AH81" s="395"/>
    </row>
    <row r="82" ht="30.75" hidden="1" customHeight="1">
      <c r="A82" s="373">
        <f t="shared" si="1"/>
        <v>46174</v>
      </c>
      <c r="B82" s="421">
        <v>0.8544006884681584</v>
      </c>
      <c r="C82" s="375">
        <v>555.0</v>
      </c>
      <c r="D82" s="376">
        <v>0.5833333333333334</v>
      </c>
      <c r="E82" s="376">
        <v>0.9868055555555556</v>
      </c>
      <c r="F82" s="395">
        <v>581.0</v>
      </c>
      <c r="G82" s="375">
        <v>71.0</v>
      </c>
      <c r="H82" s="375">
        <v>60.0</v>
      </c>
      <c r="I82" s="378">
        <v>74.0</v>
      </c>
      <c r="J82" s="379">
        <v>9.683333333333334</v>
      </c>
      <c r="K82" s="380">
        <v>0.0</v>
      </c>
      <c r="L82" s="378">
        <v>63.91554702495201</v>
      </c>
      <c r="M82" s="378">
        <v>74.0</v>
      </c>
      <c r="N82" s="378">
        <v>57.31497418244406</v>
      </c>
      <c r="O82" s="417">
        <v>0.0091</v>
      </c>
      <c r="P82" s="387">
        <v>0.025225225225225224</v>
      </c>
      <c r="Q82" s="415">
        <v>0.0045</v>
      </c>
      <c r="R82" s="415">
        <v>0.0018</v>
      </c>
      <c r="S82" s="415">
        <v>0.0045</v>
      </c>
      <c r="T82" s="385">
        <v>0.0027</v>
      </c>
      <c r="U82" s="375">
        <v>14.0</v>
      </c>
      <c r="V82" s="422" t="s">
        <v>370</v>
      </c>
      <c r="W82" s="387">
        <v>0.12220309810671257</v>
      </c>
      <c r="X82" s="378">
        <v>75.0</v>
      </c>
      <c r="Y82" s="387">
        <v>0.013500000000000002</v>
      </c>
      <c r="Z82" s="391">
        <v>0.8777969018932874</v>
      </c>
      <c r="AA82" s="391">
        <v>0.9866666666666667</v>
      </c>
      <c r="AB82" s="391">
        <v>0.9865</v>
      </c>
      <c r="AC82" s="391" t="s">
        <v>122</v>
      </c>
      <c r="AD82" s="395" t="s">
        <v>291</v>
      </c>
      <c r="AE82" s="395"/>
      <c r="AF82" s="395"/>
      <c r="AG82" s="395"/>
      <c r="AH82" s="395"/>
    </row>
    <row r="83" ht="30.75" hidden="1" customHeight="1">
      <c r="A83" s="373">
        <f t="shared" si="1"/>
        <v>46175</v>
      </c>
      <c r="B83" s="421">
        <v>0.7714401525221198</v>
      </c>
      <c r="C83" s="375">
        <v>507.0</v>
      </c>
      <c r="D83" s="376">
        <v>0.5833333333333334</v>
      </c>
      <c r="E83" s="376">
        <v>0.9645833333333333</v>
      </c>
      <c r="F83" s="395">
        <v>548.9999999999999</v>
      </c>
      <c r="G83" s="375">
        <v>112.0</v>
      </c>
      <c r="H83" s="375">
        <v>30.0</v>
      </c>
      <c r="I83" s="378">
        <v>74.74201474201476</v>
      </c>
      <c r="J83" s="379">
        <v>9.149999999999999</v>
      </c>
      <c r="K83" s="380">
        <v>0.0</v>
      </c>
      <c r="L83" s="378">
        <v>58.61271676300579</v>
      </c>
      <c r="M83" s="378">
        <v>74.74201474201476</v>
      </c>
      <c r="N83" s="378">
        <v>55.40983606557378</v>
      </c>
      <c r="O83" s="417">
        <v>0.0064</v>
      </c>
      <c r="P83" s="387">
        <v>0.02564102564102564</v>
      </c>
      <c r="Q83" s="415">
        <v>0.0059</v>
      </c>
      <c r="R83" s="415">
        <v>0.0039</v>
      </c>
      <c r="S83" s="415">
        <v>0.0118</v>
      </c>
      <c r="T83" s="385">
        <v>0.0059</v>
      </c>
      <c r="U83" s="375">
        <v>13.0</v>
      </c>
      <c r="V83" s="422" t="s">
        <v>371</v>
      </c>
      <c r="W83" s="387">
        <v>0.20400728597449913</v>
      </c>
      <c r="X83" s="378">
        <v>75.0</v>
      </c>
      <c r="Y83" s="387">
        <v>0.0275</v>
      </c>
      <c r="Z83" s="391">
        <v>0.7959927140255009</v>
      </c>
      <c r="AA83" s="391">
        <v>0.9965601965601968</v>
      </c>
      <c r="AB83" s="391">
        <v>0.9725</v>
      </c>
      <c r="AC83" s="391" t="s">
        <v>122</v>
      </c>
      <c r="AD83" s="395" t="s">
        <v>291</v>
      </c>
      <c r="AE83" s="395"/>
      <c r="AF83" s="395"/>
      <c r="AG83" s="395"/>
      <c r="AH83" s="395"/>
    </row>
    <row r="84" ht="30.75" hidden="1" customHeight="1">
      <c r="A84" s="373">
        <f t="shared" si="1"/>
        <v>46176</v>
      </c>
      <c r="B84" s="421">
        <v>0.9177467455621302</v>
      </c>
      <c r="C84" s="375">
        <v>561.0</v>
      </c>
      <c r="D84" s="376">
        <v>0.5833333333333334</v>
      </c>
      <c r="E84" s="376">
        <v>0.9354166666666667</v>
      </c>
      <c r="F84" s="395">
        <v>506.99999999999994</v>
      </c>
      <c r="G84" s="375">
        <v>35.0</v>
      </c>
      <c r="H84" s="375">
        <v>30.0</v>
      </c>
      <c r="I84" s="378">
        <v>76.15384615384616</v>
      </c>
      <c r="J84" s="379">
        <v>8.45</v>
      </c>
      <c r="K84" s="380">
        <v>0.0</v>
      </c>
      <c r="L84" s="378">
        <v>70.56603773584906</v>
      </c>
      <c r="M84" s="378">
        <v>76.15384615384616</v>
      </c>
      <c r="N84" s="378">
        <v>66.3905325443787</v>
      </c>
      <c r="O84" s="417">
        <v>0.0031</v>
      </c>
      <c r="P84" s="387">
        <v>0.017825311942959002</v>
      </c>
      <c r="Q84" s="415">
        <v>0.0027</v>
      </c>
      <c r="R84" s="415">
        <v>0.0053</v>
      </c>
      <c r="S84" s="415">
        <v>0.0062</v>
      </c>
      <c r="T84" s="385">
        <v>0.0</v>
      </c>
      <c r="U84" s="375">
        <v>10.0</v>
      </c>
      <c r="V84" s="422" t="s">
        <v>372</v>
      </c>
      <c r="W84" s="387">
        <v>0.06903353057199212</v>
      </c>
      <c r="X84" s="378">
        <v>76.15384615384616</v>
      </c>
      <c r="Y84" s="387">
        <v>0.0142</v>
      </c>
      <c r="Z84" s="391">
        <v>0.9309664694280079</v>
      </c>
      <c r="AA84" s="391">
        <v>1.0</v>
      </c>
      <c r="AB84" s="391">
        <v>0.9858</v>
      </c>
      <c r="AC84" s="391" t="s">
        <v>122</v>
      </c>
      <c r="AD84" s="395" t="s">
        <v>291</v>
      </c>
      <c r="AE84" s="395"/>
      <c r="AF84" s="395"/>
      <c r="AG84" s="395"/>
      <c r="AH84" s="395"/>
    </row>
    <row r="85" ht="30.75" hidden="1" customHeight="1">
      <c r="A85" s="373">
        <f t="shared" si="1"/>
        <v>46177</v>
      </c>
      <c r="B85" s="421">
        <v>0.9756</v>
      </c>
      <c r="C85" s="375">
        <v>617.0</v>
      </c>
      <c r="D85" s="376">
        <v>0.5833333333333334</v>
      </c>
      <c r="E85" s="376">
        <v>0.9291666666666667</v>
      </c>
      <c r="F85" s="395">
        <v>498.00000000000006</v>
      </c>
      <c r="G85" s="375">
        <v>0.0</v>
      </c>
      <c r="H85" s="375">
        <v>30.0</v>
      </c>
      <c r="I85" s="378">
        <v>79.1025641025641</v>
      </c>
      <c r="J85" s="379">
        <v>8.3</v>
      </c>
      <c r="K85" s="380">
        <v>0.0</v>
      </c>
      <c r="L85" s="378">
        <v>79.1025641025641</v>
      </c>
      <c r="M85" s="378">
        <v>79.1025641025641</v>
      </c>
      <c r="N85" s="378">
        <v>74.33734939759036</v>
      </c>
      <c r="O85" s="417">
        <v>0.0045</v>
      </c>
      <c r="P85" s="387">
        <v>0.022690437601296597</v>
      </c>
      <c r="Q85" s="415">
        <v>0.0057</v>
      </c>
      <c r="R85" s="415">
        <v>0.0041</v>
      </c>
      <c r="S85" s="415">
        <v>0.0122</v>
      </c>
      <c r="T85" s="385">
        <v>0.0024</v>
      </c>
      <c r="U85" s="375">
        <v>14.0</v>
      </c>
      <c r="V85" s="386"/>
      <c r="W85" s="387">
        <v>0.0</v>
      </c>
      <c r="X85" s="378">
        <v>79.1025641025641</v>
      </c>
      <c r="Y85" s="387">
        <v>0.024399999999999998</v>
      </c>
      <c r="Z85" s="391">
        <v>1.0</v>
      </c>
      <c r="AA85" s="391">
        <v>1.0</v>
      </c>
      <c r="AB85" s="391">
        <v>0.9756</v>
      </c>
      <c r="AC85" s="391" t="s">
        <v>122</v>
      </c>
      <c r="AD85" s="395" t="s">
        <v>291</v>
      </c>
      <c r="AE85" s="395"/>
      <c r="AF85" s="395"/>
      <c r="AG85" s="395"/>
      <c r="AH85" s="395"/>
    </row>
    <row r="86" ht="30.75" hidden="1" customHeight="1">
      <c r="A86" s="373">
        <f t="shared" si="1"/>
        <v>46178</v>
      </c>
      <c r="B86" s="421">
        <v>0.7708708708708708</v>
      </c>
      <c r="C86" s="375">
        <v>350.0</v>
      </c>
      <c r="D86" s="376">
        <v>0.625</v>
      </c>
      <c r="E86" s="376">
        <v>0.85625</v>
      </c>
      <c r="F86" s="395">
        <v>332.99999999999994</v>
      </c>
      <c r="G86" s="375">
        <v>31.0</v>
      </c>
      <c r="H86" s="375">
        <v>30.0</v>
      </c>
      <c r="I86" s="378">
        <v>77.20588235294119</v>
      </c>
      <c r="J86" s="379">
        <v>5.549999999999999</v>
      </c>
      <c r="K86" s="380">
        <v>0.0</v>
      </c>
      <c r="L86" s="378">
        <v>69.30693069306932</v>
      </c>
      <c r="M86" s="378">
        <v>77.20588235294119</v>
      </c>
      <c r="N86" s="378">
        <v>63.063063063063076</v>
      </c>
      <c r="O86" s="417">
        <v>0.0043</v>
      </c>
      <c r="P86" s="387">
        <v>0.022857142857142857</v>
      </c>
      <c r="Q86" s="415">
        <v>0.0043</v>
      </c>
      <c r="R86" s="415">
        <v>0.0</v>
      </c>
      <c r="S86" s="415">
        <v>0.0057</v>
      </c>
      <c r="T86" s="385">
        <v>0.14</v>
      </c>
      <c r="U86" s="375">
        <v>8.0</v>
      </c>
      <c r="V86" s="422" t="s">
        <v>373</v>
      </c>
      <c r="W86" s="387">
        <v>0.0930930930930931</v>
      </c>
      <c r="X86" s="378">
        <v>77.20588235294119</v>
      </c>
      <c r="Y86" s="387">
        <v>0.15000000000000002</v>
      </c>
      <c r="Z86" s="391">
        <v>0.9069069069069069</v>
      </c>
      <c r="AA86" s="391">
        <v>1.0</v>
      </c>
      <c r="AB86" s="391">
        <v>0.85</v>
      </c>
      <c r="AC86" s="391" t="s">
        <v>122</v>
      </c>
      <c r="AD86" s="395" t="s">
        <v>291</v>
      </c>
      <c r="AE86" s="395"/>
      <c r="AF86" s="395"/>
      <c r="AG86" s="395"/>
      <c r="AH86" s="395"/>
    </row>
    <row r="87" ht="30.75" hidden="1" customHeight="1">
      <c r="A87" s="373">
        <f t="shared" si="1"/>
        <v>46179</v>
      </c>
      <c r="B87" s="421">
        <v>0.9564164824264304</v>
      </c>
      <c r="C87" s="375">
        <v>393.0</v>
      </c>
      <c r="D87" s="376">
        <v>0.625</v>
      </c>
      <c r="E87" s="376">
        <v>0.8701388888888889</v>
      </c>
      <c r="F87" s="395">
        <v>353.0</v>
      </c>
      <c r="G87" s="375">
        <v>6.0</v>
      </c>
      <c r="H87" s="375">
        <v>30.0</v>
      </c>
      <c r="I87" s="378">
        <v>74.38485804416403</v>
      </c>
      <c r="J87" s="379">
        <v>5.883333333333334</v>
      </c>
      <c r="K87" s="380">
        <v>0.0</v>
      </c>
      <c r="L87" s="378">
        <v>73.0030959752322</v>
      </c>
      <c r="M87" s="378">
        <v>74.38485804416403</v>
      </c>
      <c r="N87" s="378">
        <v>66.79886685552407</v>
      </c>
      <c r="O87" s="417">
        <v>0.0019</v>
      </c>
      <c r="P87" s="387">
        <v>0.061068702290076333</v>
      </c>
      <c r="Q87" s="415">
        <v>0.0038</v>
      </c>
      <c r="R87" s="415">
        <v>0.0127</v>
      </c>
      <c r="S87" s="415">
        <v>0.0025</v>
      </c>
      <c r="T87" s="385">
        <v>0.0</v>
      </c>
      <c r="U87" s="375">
        <v>24.0</v>
      </c>
      <c r="V87" s="422" t="s">
        <v>374</v>
      </c>
      <c r="W87" s="387">
        <v>0.0169971671388102</v>
      </c>
      <c r="X87" s="378">
        <v>75.0</v>
      </c>
      <c r="Y87" s="387">
        <v>0.019</v>
      </c>
      <c r="Z87" s="391">
        <v>0.9830028328611898</v>
      </c>
      <c r="AA87" s="391">
        <v>0.9917981072555204</v>
      </c>
      <c r="AB87" s="391">
        <v>0.981</v>
      </c>
      <c r="AC87" s="391" t="s">
        <v>122</v>
      </c>
      <c r="AD87" s="395" t="s">
        <v>291</v>
      </c>
      <c r="AE87" s="395"/>
      <c r="AF87" s="395"/>
      <c r="AG87" s="395"/>
      <c r="AH87" s="395"/>
    </row>
    <row r="88" ht="30.75" hidden="1" customHeight="1">
      <c r="A88" s="373">
        <f t="shared" si="1"/>
        <v>46180</v>
      </c>
      <c r="B88" s="421" t="s">
        <v>289</v>
      </c>
      <c r="C88" s="375">
        <v>0.0</v>
      </c>
      <c r="D88" s="406"/>
      <c r="E88" s="376"/>
      <c r="F88" s="395" t="s">
        <v>289</v>
      </c>
      <c r="G88" s="406"/>
      <c r="H88" s="406"/>
      <c r="I88" s="378" t="s">
        <v>289</v>
      </c>
      <c r="J88" s="379" t="s">
        <v>289</v>
      </c>
      <c r="K88" s="407"/>
      <c r="L88" s="378" t="s">
        <v>289</v>
      </c>
      <c r="M88" s="378" t="s">
        <v>289</v>
      </c>
      <c r="N88" s="378" t="s">
        <v>289</v>
      </c>
      <c r="O88" s="409"/>
      <c r="P88" s="387" t="s">
        <v>289</v>
      </c>
      <c r="Q88" s="383"/>
      <c r="R88" s="383"/>
      <c r="S88" s="383"/>
      <c r="T88" s="410"/>
      <c r="U88" s="406"/>
      <c r="V88" s="386"/>
      <c r="W88" s="387" t="s">
        <v>289</v>
      </c>
      <c r="X88" s="378" t="s">
        <v>289</v>
      </c>
      <c r="Y88" s="387" t="s">
        <v>289</v>
      </c>
      <c r="Z88" s="391" t="s">
        <v>289</v>
      </c>
      <c r="AA88" s="391" t="s">
        <v>289</v>
      </c>
      <c r="AB88" s="391" t="s">
        <v>289</v>
      </c>
      <c r="AC88" s="391" t="s">
        <v>122</v>
      </c>
      <c r="AD88" s="395" t="s">
        <v>291</v>
      </c>
      <c r="AE88" s="395"/>
      <c r="AF88" s="395"/>
      <c r="AG88" s="395"/>
      <c r="AH88" s="395"/>
    </row>
    <row r="89" ht="30.75" hidden="1" customHeight="1">
      <c r="A89" s="373">
        <f t="shared" si="1"/>
        <v>46181</v>
      </c>
      <c r="B89" s="421">
        <v>0.9398084086645063</v>
      </c>
      <c r="C89" s="375">
        <v>658.0</v>
      </c>
      <c r="D89" s="376">
        <v>0.5416666666666666</v>
      </c>
      <c r="E89" s="376">
        <v>0.9694444444444444</v>
      </c>
      <c r="F89" s="395">
        <v>616.0</v>
      </c>
      <c r="G89" s="375">
        <f>7+6+10</f>
        <v>23</v>
      </c>
      <c r="H89" s="375">
        <v>60.0</v>
      </c>
      <c r="I89" s="378">
        <v>74.07129455909944</v>
      </c>
      <c r="J89" s="379">
        <v>10.266666666666667</v>
      </c>
      <c r="K89" s="380">
        <v>0.0</v>
      </c>
      <c r="L89" s="378">
        <v>71.0071942446043</v>
      </c>
      <c r="M89" s="378">
        <v>74.07129455909944</v>
      </c>
      <c r="N89" s="378">
        <v>64.09090909090908</v>
      </c>
      <c r="O89" s="417">
        <v>0.0065</v>
      </c>
      <c r="P89" s="387">
        <v>0.025835866261398176</v>
      </c>
      <c r="Q89" s="415">
        <v>8.0E-4</v>
      </c>
      <c r="R89" s="415">
        <v>0.0015</v>
      </c>
      <c r="S89" s="415">
        <v>0.0084</v>
      </c>
      <c r="T89" s="385">
        <v>8.0E-4</v>
      </c>
      <c r="U89" s="375">
        <v>17.0</v>
      </c>
      <c r="V89" s="422" t="s">
        <v>375</v>
      </c>
      <c r="W89" s="387">
        <v>0.037337662337662336</v>
      </c>
      <c r="X89" s="378">
        <v>75.0</v>
      </c>
      <c r="Y89" s="387">
        <v>0.0115</v>
      </c>
      <c r="Z89" s="391">
        <v>0.9626623376623377</v>
      </c>
      <c r="AA89" s="391">
        <v>0.9876172607879926</v>
      </c>
      <c r="AB89" s="391">
        <v>0.9885</v>
      </c>
      <c r="AC89" s="391" t="s">
        <v>122</v>
      </c>
      <c r="AD89" s="395" t="s">
        <v>291</v>
      </c>
      <c r="AE89" s="395"/>
      <c r="AF89" s="395"/>
      <c r="AG89" s="395"/>
      <c r="AH89" s="395"/>
    </row>
    <row r="90" ht="30.75" hidden="1" customHeight="1">
      <c r="A90" s="373">
        <f t="shared" si="1"/>
        <v>46182</v>
      </c>
      <c r="B90" s="421">
        <v>0.8774982324058919</v>
      </c>
      <c r="C90" s="375">
        <v>459.0</v>
      </c>
      <c r="D90" s="376">
        <v>0.625</v>
      </c>
      <c r="E90" s="376">
        <v>0.9319444444444445</v>
      </c>
      <c r="F90" s="395">
        <v>442.0</v>
      </c>
      <c r="G90" s="375">
        <v>36.0</v>
      </c>
      <c r="H90" s="375">
        <v>30.0</v>
      </c>
      <c r="I90" s="378">
        <v>73.24468085106383</v>
      </c>
      <c r="J90" s="379">
        <v>7.366666666666666</v>
      </c>
      <c r="K90" s="380">
        <v>5.0</v>
      </c>
      <c r="L90" s="378">
        <v>66.84466019417476</v>
      </c>
      <c r="M90" s="378">
        <v>73.24468085106383</v>
      </c>
      <c r="N90" s="378">
        <v>62.307692307692314</v>
      </c>
      <c r="O90" s="417">
        <v>0.0115</v>
      </c>
      <c r="P90" s="387">
        <v>0.026143790849673203</v>
      </c>
      <c r="Q90" s="415">
        <v>0.0098</v>
      </c>
      <c r="R90" s="415">
        <v>0.0</v>
      </c>
      <c r="S90" s="415">
        <v>0.0033</v>
      </c>
      <c r="T90" s="385">
        <v>0.0087</v>
      </c>
      <c r="U90" s="375">
        <v>12.0</v>
      </c>
      <c r="V90" s="422" t="s">
        <v>376</v>
      </c>
      <c r="W90" s="387">
        <v>0.08144796380090498</v>
      </c>
      <c r="X90" s="378">
        <v>75.0</v>
      </c>
      <c r="Y90" s="387">
        <v>0.0218</v>
      </c>
      <c r="Z90" s="391">
        <v>0.918552036199095</v>
      </c>
      <c r="AA90" s="391">
        <v>0.9765957446808511</v>
      </c>
      <c r="AB90" s="391">
        <v>0.9782</v>
      </c>
      <c r="AC90" s="391" t="s">
        <v>122</v>
      </c>
      <c r="AD90" s="395" t="s">
        <v>291</v>
      </c>
      <c r="AE90" s="395"/>
      <c r="AF90" s="395"/>
      <c r="AG90" s="395"/>
      <c r="AH90" s="395"/>
    </row>
    <row r="91" ht="30.75" hidden="1" customHeight="1">
      <c r="A91" s="373">
        <f t="shared" si="1"/>
        <v>46183</v>
      </c>
      <c r="B91" s="421">
        <v>0.924830170345134</v>
      </c>
      <c r="C91" s="375">
        <v>519.0</v>
      </c>
      <c r="D91" s="376">
        <v>0.5833333333333334</v>
      </c>
      <c r="E91" s="376">
        <v>0.9104166666666667</v>
      </c>
      <c r="F91" s="395">
        <v>470.99999999999994</v>
      </c>
      <c r="G91" s="375">
        <v>11.0</v>
      </c>
      <c r="H91" s="375">
        <v>30.0</v>
      </c>
      <c r="I91" s="378">
        <v>72.4186046511628</v>
      </c>
      <c r="J91" s="379">
        <v>7.849999999999999</v>
      </c>
      <c r="K91" s="380">
        <v>0.0</v>
      </c>
      <c r="L91" s="378">
        <v>70.6122448979592</v>
      </c>
      <c r="M91" s="378">
        <v>72.4186046511628</v>
      </c>
      <c r="N91" s="378">
        <v>66.11464968152868</v>
      </c>
      <c r="O91" s="417">
        <v>0.0086</v>
      </c>
      <c r="P91" s="387">
        <v>0.04431599229287091</v>
      </c>
      <c r="Q91" s="415">
        <v>0.0029</v>
      </c>
      <c r="R91" s="415">
        <v>0.0106</v>
      </c>
      <c r="S91" s="415">
        <v>0.0058</v>
      </c>
      <c r="T91" s="385">
        <v>0.0</v>
      </c>
      <c r="U91" s="375">
        <v>23.0</v>
      </c>
      <c r="V91" s="422" t="s">
        <v>377</v>
      </c>
      <c r="W91" s="387">
        <v>0.023354564755838643</v>
      </c>
      <c r="X91" s="378">
        <v>75.0</v>
      </c>
      <c r="Y91" s="387">
        <v>0.019299999999999998</v>
      </c>
      <c r="Z91" s="391">
        <v>0.9766454352441614</v>
      </c>
      <c r="AA91" s="391">
        <v>0.9655813953488372</v>
      </c>
      <c r="AB91" s="391">
        <v>0.9807</v>
      </c>
      <c r="AC91" s="391" t="s">
        <v>122</v>
      </c>
      <c r="AD91" s="395" t="s">
        <v>291</v>
      </c>
      <c r="AE91" s="395"/>
      <c r="AF91" s="395"/>
      <c r="AG91" s="395"/>
      <c r="AH91" s="395"/>
    </row>
    <row r="92" ht="30.75" hidden="1" customHeight="1">
      <c r="A92" s="373">
        <f t="shared" si="1"/>
        <v>46184</v>
      </c>
      <c r="B92" s="421">
        <v>0.9168044628706374</v>
      </c>
      <c r="C92" s="375">
        <v>609.0</v>
      </c>
      <c r="D92" s="376">
        <v>0.5833333333333334</v>
      </c>
      <c r="E92" s="376">
        <v>0.96875</v>
      </c>
      <c r="F92" s="395">
        <v>555.0</v>
      </c>
      <c r="G92" s="375">
        <v>10.0</v>
      </c>
      <c r="H92" s="375">
        <v>30.0</v>
      </c>
      <c r="I92" s="378">
        <v>70.9514563106796</v>
      </c>
      <c r="J92" s="379">
        <v>9.25</v>
      </c>
      <c r="K92" s="380">
        <v>0.0</v>
      </c>
      <c r="L92" s="378">
        <v>69.6</v>
      </c>
      <c r="M92" s="378">
        <v>70.9514563106796</v>
      </c>
      <c r="N92" s="378">
        <v>65.83783783783784</v>
      </c>
      <c r="O92" s="417">
        <v>0.007</v>
      </c>
      <c r="P92" s="387">
        <v>0.019704433497536946</v>
      </c>
      <c r="Q92" s="415">
        <v>0.0057</v>
      </c>
      <c r="R92" s="415">
        <v>0.0033</v>
      </c>
      <c r="S92" s="415">
        <v>0.0041</v>
      </c>
      <c r="T92" s="385">
        <v>0.0</v>
      </c>
      <c r="U92" s="375">
        <v>12.0</v>
      </c>
      <c r="V92" s="422" t="s">
        <v>378</v>
      </c>
      <c r="W92" s="387">
        <v>0.018018018018018018</v>
      </c>
      <c r="X92" s="378">
        <v>75.0</v>
      </c>
      <c r="Y92" s="387">
        <v>0.0131</v>
      </c>
      <c r="Z92" s="391">
        <v>0.9819819819819819</v>
      </c>
      <c r="AA92" s="391">
        <v>0.946019417475728</v>
      </c>
      <c r="AB92" s="391">
        <v>0.9869</v>
      </c>
      <c r="AC92" s="391" t="s">
        <v>122</v>
      </c>
      <c r="AD92" s="395" t="s">
        <v>291</v>
      </c>
      <c r="AE92" s="395"/>
      <c r="AF92" s="395"/>
      <c r="AG92" s="395"/>
      <c r="AH92" s="395"/>
    </row>
    <row r="93" ht="30.75" hidden="1" customHeight="1">
      <c r="A93" s="373">
        <f t="shared" si="1"/>
        <v>46185</v>
      </c>
      <c r="B93" s="421">
        <v>0.9784779369627508</v>
      </c>
      <c r="C93" s="375">
        <v>411.0</v>
      </c>
      <c r="D93" s="376">
        <v>0.625</v>
      </c>
      <c r="E93" s="376">
        <v>0.8673611111111111</v>
      </c>
      <c r="F93" s="395">
        <v>349.00000000000006</v>
      </c>
      <c r="G93" s="375">
        <v>5.0</v>
      </c>
      <c r="H93" s="375">
        <v>30.0</v>
      </c>
      <c r="I93" s="378">
        <v>78.53503184713374</v>
      </c>
      <c r="J93" s="379">
        <v>5.816666666666667</v>
      </c>
      <c r="K93" s="380">
        <v>0.0</v>
      </c>
      <c r="L93" s="378">
        <v>77.3040752351097</v>
      </c>
      <c r="M93" s="378">
        <v>78.53503184713374</v>
      </c>
      <c r="N93" s="378">
        <v>70.6590257879656</v>
      </c>
      <c r="O93" s="417">
        <v>0.0042</v>
      </c>
      <c r="P93" s="387">
        <v>0.024330900243309004</v>
      </c>
      <c r="Q93" s="415">
        <v>0.0049</v>
      </c>
      <c r="R93" s="415">
        <v>0.0</v>
      </c>
      <c r="S93" s="415">
        <v>0.0024</v>
      </c>
      <c r="T93" s="385">
        <v>0.0</v>
      </c>
      <c r="U93" s="375">
        <v>10.0</v>
      </c>
      <c r="V93" s="422" t="s">
        <v>379</v>
      </c>
      <c r="W93" s="387">
        <v>0.014326647564469911</v>
      </c>
      <c r="X93" s="378">
        <v>78.53503184713374</v>
      </c>
      <c r="Y93" s="387">
        <v>0.007299999999999999</v>
      </c>
      <c r="Z93" s="391">
        <v>0.9856733524355301</v>
      </c>
      <c r="AA93" s="391">
        <v>1.0</v>
      </c>
      <c r="AB93" s="391">
        <v>0.9927</v>
      </c>
      <c r="AC93" s="391" t="s">
        <v>122</v>
      </c>
      <c r="AD93" s="395" t="s">
        <v>291</v>
      </c>
      <c r="AE93" s="395"/>
      <c r="AF93" s="395"/>
      <c r="AG93" s="395"/>
      <c r="AH93" s="395"/>
    </row>
    <row r="94" ht="30.75" hidden="1" customHeight="1">
      <c r="A94" s="373">
        <f t="shared" si="1"/>
        <v>46186</v>
      </c>
      <c r="B94" s="421">
        <v>0.9227959493670885</v>
      </c>
      <c r="C94" s="375">
        <v>367.0</v>
      </c>
      <c r="D94" s="376">
        <v>0.625</v>
      </c>
      <c r="E94" s="376">
        <v>0.8444444444444444</v>
      </c>
      <c r="F94" s="395">
        <v>316.0</v>
      </c>
      <c r="G94" s="375">
        <v>13.0</v>
      </c>
      <c r="H94" s="375">
        <v>0.0</v>
      </c>
      <c r="I94" s="378">
        <v>72.67326732673267</v>
      </c>
      <c r="J94" s="379">
        <v>5.266666666666667</v>
      </c>
      <c r="K94" s="380">
        <v>0.0</v>
      </c>
      <c r="L94" s="378">
        <v>69.68354430379748</v>
      </c>
      <c r="M94" s="378">
        <v>72.67326732673267</v>
      </c>
      <c r="N94" s="378">
        <v>69.68354430379748</v>
      </c>
      <c r="O94" s="417">
        <v>0.0076</v>
      </c>
      <c r="P94" s="387">
        <v>0.05449591280653951</v>
      </c>
      <c r="Q94" s="415">
        <v>0.0</v>
      </c>
      <c r="R94" s="415">
        <v>0.0054</v>
      </c>
      <c r="S94" s="415">
        <v>0.0014</v>
      </c>
      <c r="T94" s="385">
        <v>0.0</v>
      </c>
      <c r="U94" s="375">
        <v>20.0</v>
      </c>
      <c r="V94" s="422" t="s">
        <v>382</v>
      </c>
      <c r="W94" s="387">
        <v>0.04113924050632911</v>
      </c>
      <c r="X94" s="378">
        <v>75.0</v>
      </c>
      <c r="Y94" s="387">
        <v>0.0068000000000000005</v>
      </c>
      <c r="Z94" s="391">
        <v>0.9588607594936709</v>
      </c>
      <c r="AA94" s="391">
        <v>0.9689768976897689</v>
      </c>
      <c r="AB94" s="391">
        <v>0.9932</v>
      </c>
      <c r="AC94" s="391" t="s">
        <v>122</v>
      </c>
      <c r="AD94" s="395" t="s">
        <v>291</v>
      </c>
      <c r="AE94" s="395"/>
      <c r="AF94" s="395"/>
      <c r="AG94" s="395"/>
      <c r="AH94" s="395"/>
    </row>
    <row r="95" ht="30.75" hidden="1" customHeight="1">
      <c r="A95" s="373">
        <f t="shared" si="1"/>
        <v>46187</v>
      </c>
      <c r="B95" s="421" t="s">
        <v>289</v>
      </c>
      <c r="C95" s="375">
        <v>0.0</v>
      </c>
      <c r="D95" s="406"/>
      <c r="E95" s="376"/>
      <c r="F95" s="395" t="s">
        <v>289</v>
      </c>
      <c r="G95" s="406"/>
      <c r="H95" s="406"/>
      <c r="I95" s="378" t="s">
        <v>289</v>
      </c>
      <c r="J95" s="379" t="s">
        <v>289</v>
      </c>
      <c r="K95" s="407"/>
      <c r="L95" s="378" t="s">
        <v>289</v>
      </c>
      <c r="M95" s="378" t="s">
        <v>289</v>
      </c>
      <c r="N95" s="378" t="s">
        <v>289</v>
      </c>
      <c r="O95" s="409"/>
      <c r="P95" s="387" t="s">
        <v>289</v>
      </c>
      <c r="Q95" s="383"/>
      <c r="R95" s="383"/>
      <c r="S95" s="383"/>
      <c r="T95" s="410"/>
      <c r="U95" s="406"/>
      <c r="V95" s="386"/>
      <c r="W95" s="387" t="s">
        <v>289</v>
      </c>
      <c r="X95" s="378" t="s">
        <v>289</v>
      </c>
      <c r="Y95" s="387" t="s">
        <v>289</v>
      </c>
      <c r="Z95" s="391" t="s">
        <v>289</v>
      </c>
      <c r="AA95" s="391" t="s">
        <v>289</v>
      </c>
      <c r="AB95" s="391" t="s">
        <v>289</v>
      </c>
      <c r="AC95" s="391" t="s">
        <v>122</v>
      </c>
      <c r="AD95" s="395" t="s">
        <v>291</v>
      </c>
      <c r="AE95" s="395"/>
      <c r="AF95" s="395"/>
      <c r="AG95" s="395"/>
      <c r="AH95" s="395"/>
    </row>
    <row r="96" ht="30.75" hidden="1" customHeight="1">
      <c r="A96" s="373">
        <f t="shared" si="1"/>
        <v>46188</v>
      </c>
      <c r="B96" s="421">
        <v>0.8999794227438156</v>
      </c>
      <c r="C96" s="375">
        <v>607.0</v>
      </c>
      <c r="D96" s="376">
        <v>0.5416666666666666</v>
      </c>
      <c r="E96" s="376">
        <v>0.9541666666666667</v>
      </c>
      <c r="F96" s="395">
        <v>594.0000000000001</v>
      </c>
      <c r="G96" s="375">
        <v>15.0</v>
      </c>
      <c r="H96" s="375">
        <v>60.0</v>
      </c>
      <c r="I96" s="378">
        <v>70.17341040462426</v>
      </c>
      <c r="J96" s="379">
        <v>9.900000000000002</v>
      </c>
      <c r="K96" s="380">
        <v>0.0</v>
      </c>
      <c r="L96" s="378">
        <v>68.20224719101122</v>
      </c>
      <c r="M96" s="378">
        <v>70.17341040462426</v>
      </c>
      <c r="N96" s="378">
        <v>61.3131313131313</v>
      </c>
      <c r="O96" s="417">
        <v>0.0063</v>
      </c>
      <c r="P96" s="387">
        <v>0.019769357495881382</v>
      </c>
      <c r="Q96" s="415">
        <v>0.0025</v>
      </c>
      <c r="R96" s="415">
        <v>0.0041</v>
      </c>
      <c r="S96" s="415">
        <v>0.0058</v>
      </c>
      <c r="T96" s="385">
        <v>8.0E-4</v>
      </c>
      <c r="U96" s="375">
        <v>12.0</v>
      </c>
      <c r="V96" s="422" t="s">
        <v>383</v>
      </c>
      <c r="W96" s="387">
        <v>0.02525252525252525</v>
      </c>
      <c r="X96" s="378">
        <v>75.0</v>
      </c>
      <c r="Y96" s="387">
        <v>0.0132</v>
      </c>
      <c r="Z96" s="391">
        <v>0.9747474747474747</v>
      </c>
      <c r="AA96" s="391">
        <v>0.9356454720616568</v>
      </c>
      <c r="AB96" s="391">
        <v>0.9868</v>
      </c>
      <c r="AC96" s="391" t="s">
        <v>122</v>
      </c>
      <c r="AD96" s="395" t="s">
        <v>291</v>
      </c>
      <c r="AE96" s="395"/>
      <c r="AF96" s="395"/>
      <c r="AG96" s="395"/>
      <c r="AH96" s="395"/>
    </row>
    <row r="97" ht="30.75" hidden="1" customHeight="1">
      <c r="A97" s="373">
        <f t="shared" si="1"/>
        <v>46189</v>
      </c>
      <c r="B97" s="421">
        <v>0.8995587565982407</v>
      </c>
      <c r="C97" s="375">
        <v>492.0</v>
      </c>
      <c r="D97" s="376">
        <v>0.5833333333333334</v>
      </c>
      <c r="E97" s="376">
        <v>0.90625</v>
      </c>
      <c r="F97" s="395">
        <v>464.99999999999994</v>
      </c>
      <c r="G97" s="375">
        <v>39.0</v>
      </c>
      <c r="H97" s="375">
        <v>30.0</v>
      </c>
      <c r="I97" s="378">
        <v>74.54545454545456</v>
      </c>
      <c r="J97" s="379">
        <v>7.749999999999999</v>
      </c>
      <c r="K97" s="380">
        <v>0.0</v>
      </c>
      <c r="L97" s="378">
        <v>67.86206896551725</v>
      </c>
      <c r="M97" s="418">
        <v>74.54545454545456</v>
      </c>
      <c r="N97" s="378">
        <v>63.48387096774194</v>
      </c>
      <c r="O97" s="417">
        <v>0.0229</v>
      </c>
      <c r="P97" s="387">
        <v>0.042682926829268296</v>
      </c>
      <c r="Q97" s="415">
        <v>0.0071</v>
      </c>
      <c r="R97" s="415">
        <v>0.003</v>
      </c>
      <c r="S97" s="415">
        <v>0.002</v>
      </c>
      <c r="T97" s="385">
        <v>0.0</v>
      </c>
      <c r="U97" s="375">
        <v>21.0</v>
      </c>
      <c r="V97" s="422" t="s">
        <v>384</v>
      </c>
      <c r="W97" s="387">
        <v>0.08387096774193549</v>
      </c>
      <c r="X97" s="378">
        <v>75.0</v>
      </c>
      <c r="Y97" s="387">
        <v>0.012100000000000001</v>
      </c>
      <c r="Z97" s="391">
        <v>0.9161290322580645</v>
      </c>
      <c r="AA97" s="391">
        <v>0.9939393939393941</v>
      </c>
      <c r="AB97" s="391">
        <v>0.9879</v>
      </c>
      <c r="AC97" s="391" t="s">
        <v>122</v>
      </c>
      <c r="AD97" s="395" t="s">
        <v>291</v>
      </c>
      <c r="AE97" s="395"/>
      <c r="AF97" s="395"/>
      <c r="AG97" s="395"/>
      <c r="AH97" s="395"/>
    </row>
    <row r="98" ht="30.75" hidden="1" customHeight="1">
      <c r="A98" s="373">
        <f t="shared" si="1"/>
        <v>46190</v>
      </c>
      <c r="B98" s="421">
        <v>0.848392</v>
      </c>
      <c r="C98" s="375">
        <v>417.0</v>
      </c>
      <c r="D98" s="376">
        <v>0.625</v>
      </c>
      <c r="E98" s="376">
        <v>0.9027777777777778</v>
      </c>
      <c r="F98" s="395">
        <v>400.0</v>
      </c>
      <c r="G98" s="406">
        <f>13+28+13</f>
        <v>54</v>
      </c>
      <c r="H98" s="375">
        <v>30.0</v>
      </c>
      <c r="I98" s="378">
        <v>79.17721518987342</v>
      </c>
      <c r="J98" s="379">
        <v>6.666666666666667</v>
      </c>
      <c r="K98" s="380">
        <v>0.0</v>
      </c>
      <c r="L98" s="378">
        <v>67.62162162162161</v>
      </c>
      <c r="M98" s="378">
        <v>79.17721518987342</v>
      </c>
      <c r="N98" s="378">
        <v>62.55</v>
      </c>
      <c r="O98" s="417">
        <v>0.012</v>
      </c>
      <c r="P98" s="387">
        <v>0.016786570743405275</v>
      </c>
      <c r="Q98" s="415">
        <v>0.0048</v>
      </c>
      <c r="R98" s="415">
        <v>0.0012</v>
      </c>
      <c r="S98" s="415">
        <v>0.012</v>
      </c>
      <c r="T98" s="385">
        <v>0.0012</v>
      </c>
      <c r="U98" s="375">
        <v>7.0</v>
      </c>
      <c r="V98" s="422" t="s">
        <v>386</v>
      </c>
      <c r="W98" s="387">
        <v>0.135</v>
      </c>
      <c r="X98" s="378">
        <v>79.17721518987342</v>
      </c>
      <c r="Y98" s="387">
        <v>0.0192</v>
      </c>
      <c r="Z98" s="391">
        <v>0.865</v>
      </c>
      <c r="AA98" s="391">
        <v>1.0</v>
      </c>
      <c r="AB98" s="391">
        <v>0.9808</v>
      </c>
      <c r="AC98" s="391" t="s">
        <v>122</v>
      </c>
      <c r="AD98" s="395" t="s">
        <v>291</v>
      </c>
      <c r="AE98" s="395"/>
      <c r="AF98" s="395"/>
      <c r="AG98" s="395"/>
      <c r="AH98" s="395"/>
    </row>
    <row r="99" ht="30.75" hidden="1" customHeight="1">
      <c r="A99" s="373">
        <f t="shared" si="1"/>
        <v>46191</v>
      </c>
      <c r="B99" s="421">
        <v>0.945526567164179</v>
      </c>
      <c r="C99" s="375">
        <v>644.0</v>
      </c>
      <c r="D99" s="376">
        <v>0.5833333333333334</v>
      </c>
      <c r="E99" s="376">
        <v>0.9972222222222222</v>
      </c>
      <c r="F99" s="395">
        <v>596.0</v>
      </c>
      <c r="G99" s="375">
        <v>0.0</v>
      </c>
      <c r="H99" s="375">
        <v>60.0</v>
      </c>
      <c r="I99" s="378">
        <v>72.08955223880596</v>
      </c>
      <c r="J99" s="379">
        <v>9.933333333333334</v>
      </c>
      <c r="K99" s="380">
        <v>0.0</v>
      </c>
      <c r="L99" s="378">
        <v>72.08955223880596</v>
      </c>
      <c r="M99" s="378">
        <v>72.08955223880596</v>
      </c>
      <c r="N99" s="378">
        <v>64.83221476510067</v>
      </c>
      <c r="O99" s="417">
        <v>0.0133</v>
      </c>
      <c r="P99" s="387">
        <v>0.018633540372670808</v>
      </c>
      <c r="Q99" s="415">
        <v>0.0031</v>
      </c>
      <c r="R99" s="415">
        <v>0.0062</v>
      </c>
      <c r="S99" s="415">
        <v>0.007</v>
      </c>
      <c r="T99" s="385">
        <v>0.0</v>
      </c>
      <c r="U99" s="375">
        <v>12.0</v>
      </c>
      <c r="V99" s="422" t="s">
        <v>387</v>
      </c>
      <c r="W99" s="387">
        <v>0.0</v>
      </c>
      <c r="X99" s="378">
        <v>75.0</v>
      </c>
      <c r="Y99" s="387">
        <v>0.0163</v>
      </c>
      <c r="Z99" s="391">
        <v>1.0</v>
      </c>
      <c r="AA99" s="391">
        <v>0.9611940298507462</v>
      </c>
      <c r="AB99" s="391">
        <v>0.9837</v>
      </c>
      <c r="AC99" s="391" t="s">
        <v>122</v>
      </c>
      <c r="AD99" s="395" t="s">
        <v>291</v>
      </c>
      <c r="AE99" s="395"/>
      <c r="AF99" s="395"/>
      <c r="AG99" s="395"/>
      <c r="AH99" s="395"/>
    </row>
    <row r="100" ht="30.75" hidden="1" customHeight="1">
      <c r="A100" s="373">
        <f t="shared" si="1"/>
        <v>46192</v>
      </c>
      <c r="B100" s="421">
        <v>0.8531764683592271</v>
      </c>
      <c r="C100" s="375">
        <v>405.0</v>
      </c>
      <c r="D100" s="376">
        <v>0.7083333333333334</v>
      </c>
      <c r="E100" s="376">
        <v>0.9902777777777778</v>
      </c>
      <c r="F100" s="395">
        <v>406.0</v>
      </c>
      <c r="G100" s="375">
        <v>12.0</v>
      </c>
      <c r="H100" s="375">
        <v>30.0</v>
      </c>
      <c r="I100" s="378">
        <v>66.75824175824177</v>
      </c>
      <c r="J100" s="379">
        <v>6.766666666666667</v>
      </c>
      <c r="K100" s="380">
        <v>0.0</v>
      </c>
      <c r="L100" s="378">
        <v>64.62765957446808</v>
      </c>
      <c r="M100" s="378">
        <v>66.75824175824177</v>
      </c>
      <c r="N100" s="378">
        <v>59.85221674876848</v>
      </c>
      <c r="O100" s="417">
        <v>0.0043</v>
      </c>
      <c r="P100" s="387">
        <v>0.014814814814814815</v>
      </c>
      <c r="Q100" s="415">
        <v>0.0086</v>
      </c>
      <c r="R100" s="415">
        <v>0.0025</v>
      </c>
      <c r="S100" s="415">
        <v>0.0012</v>
      </c>
      <c r="T100" s="385">
        <v>0.0</v>
      </c>
      <c r="U100" s="375">
        <v>6.0</v>
      </c>
      <c r="V100" s="422" t="s">
        <v>388</v>
      </c>
      <c r="W100" s="387">
        <v>0.029556650246305417</v>
      </c>
      <c r="X100" s="378">
        <v>75.0</v>
      </c>
      <c r="Y100" s="387">
        <v>0.0123</v>
      </c>
      <c r="Z100" s="391">
        <v>0.9704433497536946</v>
      </c>
      <c r="AA100" s="391">
        <v>0.8901098901098902</v>
      </c>
      <c r="AB100" s="391">
        <v>0.9877</v>
      </c>
      <c r="AC100" s="391" t="s">
        <v>122</v>
      </c>
      <c r="AD100" s="395" t="s">
        <v>291</v>
      </c>
      <c r="AE100" s="395"/>
      <c r="AF100" s="395"/>
      <c r="AG100" s="395"/>
      <c r="AH100" s="395"/>
    </row>
    <row r="101" ht="30.75" hidden="1" customHeight="1">
      <c r="A101" s="373">
        <f t="shared" si="1"/>
        <v>46193</v>
      </c>
      <c r="B101" s="421">
        <v>0.9334599975533173</v>
      </c>
      <c r="C101" s="375">
        <v>447.0</v>
      </c>
      <c r="D101" s="376">
        <v>0.5833333333333334</v>
      </c>
      <c r="E101" s="376">
        <v>0.86875</v>
      </c>
      <c r="F101" s="395">
        <v>411.0</v>
      </c>
      <c r="G101" s="375">
        <v>23.0</v>
      </c>
      <c r="H101" s="375">
        <v>30.0</v>
      </c>
      <c r="I101" s="378">
        <v>74.91620111731844</v>
      </c>
      <c r="J101" s="379">
        <v>6.85</v>
      </c>
      <c r="K101" s="380">
        <v>0.0</v>
      </c>
      <c r="L101" s="378">
        <v>70.39370078740158</v>
      </c>
      <c r="M101" s="378">
        <v>74.91620111731844</v>
      </c>
      <c r="N101" s="378">
        <v>65.25547445255475</v>
      </c>
      <c r="O101" s="417">
        <v>0.0051</v>
      </c>
      <c r="P101" s="387">
        <v>0.020134228187919462</v>
      </c>
      <c r="Q101" s="415">
        <v>0.0022</v>
      </c>
      <c r="R101" s="415">
        <v>0.0034</v>
      </c>
      <c r="S101" s="415">
        <v>0.0045</v>
      </c>
      <c r="T101" s="385">
        <v>0.0</v>
      </c>
      <c r="U101" s="375">
        <v>9.0</v>
      </c>
      <c r="V101" s="463" t="s">
        <v>389</v>
      </c>
      <c r="W101" s="387">
        <v>0.05596107055961071</v>
      </c>
      <c r="X101" s="378">
        <v>75.0</v>
      </c>
      <c r="Y101" s="387">
        <v>0.0101</v>
      </c>
      <c r="Z101" s="391">
        <v>0.9440389294403893</v>
      </c>
      <c r="AA101" s="391">
        <v>0.9988826815642459</v>
      </c>
      <c r="AB101" s="391">
        <v>0.9899</v>
      </c>
      <c r="AC101" s="391" t="s">
        <v>122</v>
      </c>
      <c r="AD101" s="395" t="s">
        <v>291</v>
      </c>
      <c r="AE101" s="395"/>
      <c r="AF101" s="395"/>
      <c r="AG101" s="395"/>
      <c r="AH101" s="395"/>
    </row>
    <row r="102" ht="30.75" hidden="1" customHeight="1">
      <c r="A102" s="373">
        <f t="shared" si="1"/>
        <v>46194</v>
      </c>
      <c r="B102" s="421" t="s">
        <v>289</v>
      </c>
      <c r="C102" s="375">
        <v>0.0</v>
      </c>
      <c r="D102" s="406"/>
      <c r="E102" s="376"/>
      <c r="F102" s="395" t="s">
        <v>289</v>
      </c>
      <c r="G102" s="406"/>
      <c r="H102" s="406"/>
      <c r="I102" s="378" t="s">
        <v>289</v>
      </c>
      <c r="J102" s="379" t="s">
        <v>289</v>
      </c>
      <c r="K102" s="407"/>
      <c r="L102" s="378" t="s">
        <v>289</v>
      </c>
      <c r="M102" s="378" t="s">
        <v>289</v>
      </c>
      <c r="N102" s="378" t="s">
        <v>289</v>
      </c>
      <c r="O102" s="409"/>
      <c r="P102" s="387" t="s">
        <v>289</v>
      </c>
      <c r="Q102" s="383"/>
      <c r="R102" s="383"/>
      <c r="S102" s="383"/>
      <c r="T102" s="410"/>
      <c r="U102" s="406"/>
      <c r="V102" s="386"/>
      <c r="W102" s="387" t="s">
        <v>289</v>
      </c>
      <c r="X102" s="378" t="s">
        <v>289</v>
      </c>
      <c r="Y102" s="387" t="s">
        <v>289</v>
      </c>
      <c r="Z102" s="391" t="s">
        <v>289</v>
      </c>
      <c r="AA102" s="391" t="s">
        <v>289</v>
      </c>
      <c r="AB102" s="391" t="s">
        <v>289</v>
      </c>
      <c r="AC102" s="391" t="s">
        <v>122</v>
      </c>
      <c r="AD102" s="395" t="s">
        <v>291</v>
      </c>
      <c r="AE102" s="395"/>
      <c r="AF102" s="395"/>
      <c r="AG102" s="395"/>
      <c r="AH102" s="395"/>
    </row>
    <row r="103" ht="30.75" hidden="1" customHeight="1">
      <c r="A103" s="373">
        <f t="shared" si="1"/>
        <v>46195</v>
      </c>
      <c r="B103" s="421">
        <v>0.8737962395509034</v>
      </c>
      <c r="C103" s="375">
        <v>450.0</v>
      </c>
      <c r="D103" s="376">
        <v>0.5833333333333334</v>
      </c>
      <c r="E103" s="376">
        <v>0.8972222222222223</v>
      </c>
      <c r="F103" s="395">
        <v>452.0</v>
      </c>
      <c r="G103" s="375">
        <v>46.0</v>
      </c>
      <c r="H103" s="375">
        <v>45.0</v>
      </c>
      <c r="I103" s="378">
        <v>74.79224376731302</v>
      </c>
      <c r="J103" s="379">
        <v>7.533333333333333</v>
      </c>
      <c r="K103" s="380">
        <v>0.0</v>
      </c>
      <c r="L103" s="378">
        <v>66.33906633906633</v>
      </c>
      <c r="M103" s="378">
        <v>74.79224376731302</v>
      </c>
      <c r="N103" s="378">
        <v>59.73451327433629</v>
      </c>
      <c r="O103" s="417">
        <v>0.009</v>
      </c>
      <c r="P103" s="387">
        <v>0.03111111111111111</v>
      </c>
      <c r="Q103" s="415">
        <v>0.0056</v>
      </c>
      <c r="R103" s="415">
        <v>0.01</v>
      </c>
      <c r="S103" s="415">
        <v>0.0078</v>
      </c>
      <c r="T103" s="385">
        <v>0.0011</v>
      </c>
      <c r="U103" s="375">
        <v>14.0</v>
      </c>
      <c r="V103" s="422" t="s">
        <v>390</v>
      </c>
      <c r="W103" s="387">
        <v>0.10176991150442478</v>
      </c>
      <c r="X103" s="378">
        <v>75.0</v>
      </c>
      <c r="Y103" s="387">
        <v>0.024499999999999997</v>
      </c>
      <c r="Z103" s="391">
        <v>0.8982300884955752</v>
      </c>
      <c r="AA103" s="391">
        <v>0.997229916897507</v>
      </c>
      <c r="AB103" s="391">
        <v>0.9755</v>
      </c>
      <c r="AC103" s="391" t="s">
        <v>122</v>
      </c>
      <c r="AD103" s="395" t="s">
        <v>291</v>
      </c>
      <c r="AE103" s="395"/>
      <c r="AF103" s="395"/>
      <c r="AG103" s="395"/>
      <c r="AH103" s="395"/>
    </row>
    <row r="104" ht="30.75" hidden="1" customHeight="1">
      <c r="A104" s="373">
        <f t="shared" si="1"/>
        <v>46196</v>
      </c>
      <c r="B104" s="421">
        <v>0.9036133738601824</v>
      </c>
      <c r="C104" s="375">
        <v>387.0</v>
      </c>
      <c r="D104" s="376">
        <v>0.625</v>
      </c>
      <c r="E104" s="376">
        <v>0.8534722222222222</v>
      </c>
      <c r="F104" s="395">
        <v>328.99999999999994</v>
      </c>
      <c r="G104" s="375">
        <v>27.0</v>
      </c>
      <c r="H104" s="375">
        <v>0.0</v>
      </c>
      <c r="I104" s="378">
        <v>76.88741721854306</v>
      </c>
      <c r="J104" s="379">
        <v>5.4833333333333325</v>
      </c>
      <c r="K104" s="380">
        <v>0.0</v>
      </c>
      <c r="L104" s="378">
        <v>70.57750759878421</v>
      </c>
      <c r="M104" s="378">
        <v>76.88741721854306</v>
      </c>
      <c r="N104" s="378">
        <v>70.57750759878421</v>
      </c>
      <c r="O104" s="417">
        <v>0.0118</v>
      </c>
      <c r="P104" s="387">
        <v>0.028423772609819122</v>
      </c>
      <c r="Q104" s="415">
        <v>0.0039</v>
      </c>
      <c r="R104" s="415">
        <v>0.0052</v>
      </c>
      <c r="S104" s="415">
        <v>0.0065</v>
      </c>
      <c r="T104" s="385">
        <v>0.0</v>
      </c>
      <c r="U104" s="375">
        <v>11.0</v>
      </c>
      <c r="V104" s="422" t="s">
        <v>391</v>
      </c>
      <c r="W104" s="387">
        <v>0.08206686930091187</v>
      </c>
      <c r="X104" s="378">
        <v>76.88741721854306</v>
      </c>
      <c r="Y104" s="387">
        <v>0.0156</v>
      </c>
      <c r="Z104" s="391">
        <v>0.9179331306990881</v>
      </c>
      <c r="AA104" s="391">
        <v>1.0</v>
      </c>
      <c r="AB104" s="391">
        <v>0.9844</v>
      </c>
      <c r="AC104" s="391" t="s">
        <v>122</v>
      </c>
      <c r="AD104" s="395" t="s">
        <v>291</v>
      </c>
      <c r="AE104" s="395"/>
      <c r="AF104" s="395"/>
      <c r="AG104" s="395"/>
      <c r="AH104" s="395"/>
    </row>
    <row r="105" ht="30.75" hidden="1" customHeight="1">
      <c r="A105" s="373">
        <f t="shared" si="1"/>
        <v>46197</v>
      </c>
      <c r="B105" s="421">
        <v>0.8769725940519749</v>
      </c>
      <c r="C105" s="375">
        <v>597.0</v>
      </c>
      <c r="D105" s="376">
        <v>0.5833333333333334</v>
      </c>
      <c r="E105" s="376">
        <v>0.9729166666666667</v>
      </c>
      <c r="F105" s="395">
        <v>560.9999999999999</v>
      </c>
      <c r="G105" s="375">
        <v>18.0</v>
      </c>
      <c r="H105" s="375">
        <v>30.0</v>
      </c>
      <c r="I105" s="378">
        <v>69.82456140350878</v>
      </c>
      <c r="J105" s="379">
        <v>9.349999999999998</v>
      </c>
      <c r="K105" s="380">
        <v>0.0</v>
      </c>
      <c r="L105" s="378">
        <v>67.45762711864408</v>
      </c>
      <c r="M105" s="378">
        <v>69.82456140350878</v>
      </c>
      <c r="N105" s="378">
        <v>63.85026737967916</v>
      </c>
      <c r="O105" s="417">
        <v>0.01</v>
      </c>
      <c r="P105" s="387">
        <v>0.031825795644891124</v>
      </c>
      <c r="Q105" s="415">
        <v>0.0109</v>
      </c>
      <c r="R105" s="415">
        <v>0.0117</v>
      </c>
      <c r="S105" s="415">
        <v>0.0042</v>
      </c>
      <c r="T105" s="385">
        <v>0.0</v>
      </c>
      <c r="U105" s="375">
        <v>19.0</v>
      </c>
      <c r="V105" s="422" t="s">
        <v>392</v>
      </c>
      <c r="W105" s="387">
        <v>0.03208556149732621</v>
      </c>
      <c r="X105" s="378">
        <v>75.0</v>
      </c>
      <c r="Y105" s="387">
        <v>0.0268</v>
      </c>
      <c r="Z105" s="391">
        <v>0.9679144385026738</v>
      </c>
      <c r="AA105" s="391">
        <v>0.9309941520467837</v>
      </c>
      <c r="AB105" s="391">
        <v>0.9732</v>
      </c>
      <c r="AC105" s="391" t="s">
        <v>122</v>
      </c>
      <c r="AD105" s="395" t="s">
        <v>291</v>
      </c>
      <c r="AE105" s="395"/>
      <c r="AF105" s="395"/>
      <c r="AG105" s="395"/>
      <c r="AH105" s="395"/>
    </row>
    <row r="106" ht="30.75" hidden="1" customHeight="1">
      <c r="A106" s="373">
        <f t="shared" si="1"/>
        <v>46198</v>
      </c>
      <c r="B106" s="421">
        <v>0.9433341101694915</v>
      </c>
      <c r="C106" s="375">
        <v>554.0</v>
      </c>
      <c r="D106" s="376">
        <v>0.5833333333333334</v>
      </c>
      <c r="E106" s="376">
        <v>0.9111111111111111</v>
      </c>
      <c r="F106" s="395">
        <v>471.99999999999994</v>
      </c>
      <c r="G106" s="375">
        <v>19.0</v>
      </c>
      <c r="H106" s="375">
        <v>30.0</v>
      </c>
      <c r="I106" s="378">
        <v>78.58156028368795</v>
      </c>
      <c r="J106" s="379">
        <v>7.866666666666665</v>
      </c>
      <c r="K106" s="380">
        <v>0.0</v>
      </c>
      <c r="L106" s="378">
        <v>75.20361990950228</v>
      </c>
      <c r="M106" s="378">
        <v>78.58156028368795</v>
      </c>
      <c r="N106" s="378">
        <v>70.42372881355934</v>
      </c>
      <c r="O106" s="417">
        <v>0.005</v>
      </c>
      <c r="P106" s="387">
        <v>0.016245487364620937</v>
      </c>
      <c r="Q106" s="415">
        <v>0.0054</v>
      </c>
      <c r="R106" s="415">
        <v>0.0036</v>
      </c>
      <c r="S106" s="415">
        <v>0.0081</v>
      </c>
      <c r="T106" s="385">
        <v>0.0</v>
      </c>
      <c r="U106" s="375">
        <v>9.0</v>
      </c>
      <c r="V106" s="422" t="s">
        <v>393</v>
      </c>
      <c r="W106" s="387">
        <v>0.0402542372881356</v>
      </c>
      <c r="X106" s="378">
        <v>78.58156028368795</v>
      </c>
      <c r="Y106" s="387">
        <v>0.0171</v>
      </c>
      <c r="Z106" s="391">
        <v>0.9597457627118644</v>
      </c>
      <c r="AA106" s="391">
        <v>1.0</v>
      </c>
      <c r="AB106" s="391">
        <v>0.9829</v>
      </c>
      <c r="AC106" s="391" t="s">
        <v>122</v>
      </c>
      <c r="AD106" s="395" t="s">
        <v>291</v>
      </c>
      <c r="AE106" s="395"/>
      <c r="AF106" s="395"/>
      <c r="AG106" s="395"/>
      <c r="AH106" s="395"/>
    </row>
    <row r="107" ht="30.75" hidden="1" customHeight="1">
      <c r="A107" s="373">
        <f t="shared" si="1"/>
        <v>46199</v>
      </c>
      <c r="B107" s="421">
        <v>0.9183068181818183</v>
      </c>
      <c r="C107" s="375">
        <v>588.0</v>
      </c>
      <c r="D107" s="376">
        <v>0.625</v>
      </c>
      <c r="E107" s="376">
        <v>0.9916666666666667</v>
      </c>
      <c r="F107" s="395">
        <v>528.0</v>
      </c>
      <c r="G107" s="375">
        <v>36.0</v>
      </c>
      <c r="H107" s="375">
        <v>30.0</v>
      </c>
      <c r="I107" s="378">
        <v>76.36363636363636</v>
      </c>
      <c r="J107" s="379">
        <v>8.8</v>
      </c>
      <c r="K107" s="380">
        <v>0.0</v>
      </c>
      <c r="L107" s="378">
        <v>70.8433734939759</v>
      </c>
      <c r="M107" s="378">
        <v>76.36363636363636</v>
      </c>
      <c r="N107" s="378">
        <v>66.81818181818181</v>
      </c>
      <c r="O107" s="417">
        <v>0.0025</v>
      </c>
      <c r="P107" s="387">
        <v>0.01870748299319728</v>
      </c>
      <c r="Q107" s="415">
        <v>0.0068</v>
      </c>
      <c r="R107" s="415">
        <v>9.0E-4</v>
      </c>
      <c r="S107" s="415">
        <v>0.0068</v>
      </c>
      <c r="T107" s="385">
        <v>0.0</v>
      </c>
      <c r="U107" s="375">
        <v>11.0</v>
      </c>
      <c r="V107" s="422" t="s">
        <v>394</v>
      </c>
      <c r="W107" s="387">
        <v>0.06818181818181818</v>
      </c>
      <c r="X107" s="378">
        <v>76.36363636363636</v>
      </c>
      <c r="Y107" s="387">
        <v>0.014499999999999999</v>
      </c>
      <c r="Z107" s="391">
        <v>0.9318181818181819</v>
      </c>
      <c r="AA107" s="391">
        <v>1.0</v>
      </c>
      <c r="AB107" s="391">
        <v>0.9855</v>
      </c>
      <c r="AC107" s="391" t="s">
        <v>122</v>
      </c>
      <c r="AD107" s="395" t="s">
        <v>291</v>
      </c>
      <c r="AE107" s="395"/>
      <c r="AF107" s="395"/>
      <c r="AG107" s="395"/>
      <c r="AH107" s="395"/>
    </row>
    <row r="108" ht="30.75" hidden="1" customHeight="1">
      <c r="A108" s="373">
        <f t="shared" si="1"/>
        <v>46200</v>
      </c>
      <c r="B108" s="421">
        <v>0.919240671641791</v>
      </c>
      <c r="C108" s="375">
        <v>324.0</v>
      </c>
      <c r="D108" s="376">
        <v>0.625</v>
      </c>
      <c r="E108" s="376">
        <v>0.8111111111111111</v>
      </c>
      <c r="F108" s="395">
        <v>268.0</v>
      </c>
      <c r="G108" s="375">
        <v>17.0</v>
      </c>
      <c r="H108" s="375">
        <v>0.0</v>
      </c>
      <c r="I108" s="378">
        <v>77.45019920318725</v>
      </c>
      <c r="J108" s="379">
        <v>4.466666666666667</v>
      </c>
      <c r="K108" s="380">
        <v>0.0</v>
      </c>
      <c r="L108" s="378">
        <v>72.53731343283582</v>
      </c>
      <c r="M108" s="378">
        <v>77.45019920318725</v>
      </c>
      <c r="N108" s="378">
        <v>72.53731343283582</v>
      </c>
      <c r="O108" s="417">
        <v>0.0046</v>
      </c>
      <c r="P108" s="387">
        <v>0.018518518518518517</v>
      </c>
      <c r="Q108" s="415">
        <v>0.0093</v>
      </c>
      <c r="R108" s="415">
        <v>0.0046</v>
      </c>
      <c r="S108" s="415">
        <v>0.0046</v>
      </c>
      <c r="T108" s="385">
        <v>0.0</v>
      </c>
      <c r="U108" s="375">
        <v>6.0</v>
      </c>
      <c r="V108" s="422" t="s">
        <v>395</v>
      </c>
      <c r="W108" s="387">
        <v>0.06343283582089553</v>
      </c>
      <c r="X108" s="378">
        <v>77.45019920318725</v>
      </c>
      <c r="Y108" s="387">
        <v>0.0185</v>
      </c>
      <c r="Z108" s="391">
        <v>0.9365671641791045</v>
      </c>
      <c r="AA108" s="391">
        <v>1.0</v>
      </c>
      <c r="AB108" s="391">
        <v>0.9815</v>
      </c>
      <c r="AC108" s="391" t="s">
        <v>122</v>
      </c>
      <c r="AD108" s="395" t="s">
        <v>291</v>
      </c>
      <c r="AE108" s="395"/>
      <c r="AF108" s="395"/>
      <c r="AG108" s="395"/>
      <c r="AH108" s="395"/>
    </row>
    <row r="109" ht="30.75" hidden="1" customHeight="1">
      <c r="A109" s="373">
        <f t="shared" si="1"/>
        <v>46201</v>
      </c>
      <c r="B109" s="421" t="s">
        <v>289</v>
      </c>
      <c r="C109" s="375">
        <v>0.0</v>
      </c>
      <c r="D109" s="376"/>
      <c r="E109" s="376"/>
      <c r="F109" s="395" t="s">
        <v>289</v>
      </c>
      <c r="G109" s="375"/>
      <c r="H109" s="375"/>
      <c r="I109" s="378" t="s">
        <v>289</v>
      </c>
      <c r="J109" s="379" t="s">
        <v>289</v>
      </c>
      <c r="K109" s="380"/>
      <c r="L109" s="378" t="s">
        <v>289</v>
      </c>
      <c r="M109" s="378" t="s">
        <v>289</v>
      </c>
      <c r="N109" s="378" t="s">
        <v>289</v>
      </c>
      <c r="O109" s="409"/>
      <c r="P109" s="387" t="s">
        <v>289</v>
      </c>
      <c r="Q109" s="383"/>
      <c r="R109" s="383"/>
      <c r="S109" s="383"/>
      <c r="T109" s="410"/>
      <c r="U109" s="406"/>
      <c r="V109" s="422"/>
      <c r="W109" s="387" t="s">
        <v>289</v>
      </c>
      <c r="X109" s="378" t="s">
        <v>289</v>
      </c>
      <c r="Y109" s="387" t="s">
        <v>289</v>
      </c>
      <c r="Z109" s="391" t="s">
        <v>289</v>
      </c>
      <c r="AA109" s="391" t="s">
        <v>289</v>
      </c>
      <c r="AB109" s="391" t="s">
        <v>289</v>
      </c>
      <c r="AC109" s="391" t="s">
        <v>122</v>
      </c>
      <c r="AD109" s="395" t="s">
        <v>291</v>
      </c>
      <c r="AE109" s="395"/>
      <c r="AF109" s="395"/>
      <c r="AG109" s="395"/>
      <c r="AH109" s="395"/>
    </row>
    <row r="110" ht="30.75" hidden="1" customHeight="1">
      <c r="A110" s="373">
        <f t="shared" si="1"/>
        <v>46202</v>
      </c>
      <c r="B110" s="421">
        <v>0.8691462954719646</v>
      </c>
      <c r="C110" s="375">
        <v>580.0</v>
      </c>
      <c r="D110" s="376">
        <v>0.5416666666666666</v>
      </c>
      <c r="E110" s="376">
        <v>0.9493055555555555</v>
      </c>
      <c r="F110" s="395">
        <v>587.0</v>
      </c>
      <c r="G110" s="375">
        <v>18.0</v>
      </c>
      <c r="H110" s="375">
        <v>60.0</v>
      </c>
      <c r="I110" s="378">
        <v>68.36935166994107</v>
      </c>
      <c r="J110" s="379">
        <v>9.783333333333333</v>
      </c>
      <c r="K110" s="380">
        <v>0.0</v>
      </c>
      <c r="L110" s="378">
        <v>66.03415559772296</v>
      </c>
      <c r="M110" s="378">
        <v>68.36935166994107</v>
      </c>
      <c r="N110" s="378">
        <v>59.28449744463373</v>
      </c>
      <c r="O110" s="417">
        <v>0.0035</v>
      </c>
      <c r="P110" s="387">
        <v>0.020689655172413793</v>
      </c>
      <c r="Q110" s="415">
        <v>0.0026</v>
      </c>
      <c r="R110" s="415">
        <v>0.0086</v>
      </c>
      <c r="S110" s="415">
        <v>0.0052</v>
      </c>
      <c r="T110" s="385">
        <v>0.0</v>
      </c>
      <c r="U110" s="375">
        <v>12.0</v>
      </c>
      <c r="V110" s="422" t="s">
        <v>396</v>
      </c>
      <c r="W110" s="387">
        <v>0.030664395229982964</v>
      </c>
      <c r="X110" s="378">
        <v>75.0</v>
      </c>
      <c r="Y110" s="387">
        <v>0.016399999999999998</v>
      </c>
      <c r="Z110" s="391">
        <v>0.969335604770017</v>
      </c>
      <c r="AA110" s="391">
        <v>0.9115913555992142</v>
      </c>
      <c r="AB110" s="391">
        <v>0.9836</v>
      </c>
      <c r="AC110" s="391" t="s">
        <v>122</v>
      </c>
      <c r="AD110" s="395" t="s">
        <v>291</v>
      </c>
      <c r="AE110" s="395"/>
      <c r="AF110" s="395"/>
      <c r="AG110" s="395"/>
      <c r="AH110" s="395"/>
    </row>
    <row r="111" ht="30.75" hidden="1" customHeight="1">
      <c r="A111" s="373">
        <f t="shared" si="1"/>
        <v>46203</v>
      </c>
      <c r="B111" s="421">
        <v>0.9799</v>
      </c>
      <c r="C111" s="375">
        <v>422.0</v>
      </c>
      <c r="D111" s="376">
        <v>0.5833333333333334</v>
      </c>
      <c r="E111" s="376">
        <v>0.8263888888888888</v>
      </c>
      <c r="F111" s="395">
        <v>349.9999999999999</v>
      </c>
      <c r="G111" s="375">
        <v>0.0</v>
      </c>
      <c r="H111" s="375">
        <v>30.0</v>
      </c>
      <c r="I111" s="378">
        <v>79.12500000000003</v>
      </c>
      <c r="J111" s="379">
        <v>5.833333333333331</v>
      </c>
      <c r="K111" s="380">
        <v>0.0</v>
      </c>
      <c r="L111" s="378">
        <v>79.12500000000003</v>
      </c>
      <c r="M111" s="378">
        <v>79.12500000000003</v>
      </c>
      <c r="N111" s="378">
        <v>72.34285714285717</v>
      </c>
      <c r="O111" s="417">
        <v>0.0024</v>
      </c>
      <c r="P111" s="387">
        <v>0.016587677725118485</v>
      </c>
      <c r="Q111" s="415">
        <v>0.0118</v>
      </c>
      <c r="R111" s="415">
        <v>0.0012</v>
      </c>
      <c r="S111" s="415">
        <v>0.0059</v>
      </c>
      <c r="T111" s="385">
        <v>0.0012</v>
      </c>
      <c r="U111" s="375">
        <v>7.0</v>
      </c>
      <c r="V111" s="422" t="s">
        <v>397</v>
      </c>
      <c r="W111" s="387">
        <v>0.0</v>
      </c>
      <c r="X111" s="378">
        <v>79.12500000000003</v>
      </c>
      <c r="Y111" s="387">
        <v>0.0201</v>
      </c>
      <c r="Z111" s="391">
        <v>1.0</v>
      </c>
      <c r="AA111" s="391">
        <v>1.0</v>
      </c>
      <c r="AB111" s="391">
        <v>0.9799</v>
      </c>
      <c r="AC111" s="391" t="s">
        <v>122</v>
      </c>
      <c r="AD111" s="395" t="s">
        <v>291</v>
      </c>
      <c r="AE111" s="395"/>
      <c r="AF111" s="395"/>
      <c r="AG111" s="395"/>
      <c r="AH111" s="395"/>
    </row>
    <row r="112" ht="30.75" customHeight="1">
      <c r="A112" s="373">
        <f t="shared" si="1"/>
        <v>46204</v>
      </c>
      <c r="B112" s="421">
        <v>0.9283653846153846</v>
      </c>
      <c r="C112" s="375">
        <v>479.0</v>
      </c>
      <c r="D112" s="376">
        <v>0.5833333333333334</v>
      </c>
      <c r="E112" s="376">
        <v>0.8722222222222222</v>
      </c>
      <c r="F112" s="395">
        <v>415.99999999999994</v>
      </c>
      <c r="G112" s="375">
        <v>16.0</v>
      </c>
      <c r="H112" s="375">
        <v>30.0</v>
      </c>
      <c r="I112" s="378">
        <v>77.67567567567568</v>
      </c>
      <c r="J112" s="379">
        <v>6.933333333333333</v>
      </c>
      <c r="K112" s="380">
        <v>0.0</v>
      </c>
      <c r="L112" s="378">
        <v>74.4559585492228</v>
      </c>
      <c r="M112" s="378">
        <v>77.67567567567568</v>
      </c>
      <c r="N112" s="378">
        <v>69.08653846153847</v>
      </c>
      <c r="O112" s="417">
        <v>0.002</v>
      </c>
      <c r="P112" s="387">
        <v>0.03549060542797495</v>
      </c>
      <c r="Q112" s="415">
        <v>0.0031</v>
      </c>
      <c r="R112" s="415">
        <v>0.0063</v>
      </c>
      <c r="S112" s="415">
        <v>0.023</v>
      </c>
      <c r="T112" s="385">
        <v>0.0021</v>
      </c>
      <c r="U112" s="375">
        <v>17.0</v>
      </c>
      <c r="V112" s="422" t="s">
        <v>398</v>
      </c>
      <c r="W112" s="387">
        <v>0.038461538461538464</v>
      </c>
      <c r="X112" s="378">
        <v>77.67567567567568</v>
      </c>
      <c r="Y112" s="387">
        <v>0.034499999999999996</v>
      </c>
      <c r="Z112" s="391">
        <v>0.9615384615384616</v>
      </c>
      <c r="AA112" s="391">
        <v>1.0</v>
      </c>
      <c r="AB112" s="391">
        <v>0.9655</v>
      </c>
      <c r="AC112" s="391" t="s">
        <v>127</v>
      </c>
      <c r="AD112" s="395" t="s">
        <v>291</v>
      </c>
      <c r="AE112" s="395"/>
      <c r="AF112" s="395"/>
      <c r="AG112" s="395"/>
      <c r="AH112" s="395"/>
    </row>
    <row r="113" ht="30.75" customHeight="1">
      <c r="A113" s="373">
        <f t="shared" si="1"/>
        <v>46205</v>
      </c>
      <c r="B113" s="421">
        <v>0.9709956616052061</v>
      </c>
      <c r="C113" s="375">
        <v>555.0</v>
      </c>
      <c r="D113" s="376">
        <v>0.5833333333333334</v>
      </c>
      <c r="E113" s="376">
        <v>0.9034722222222222</v>
      </c>
      <c r="F113" s="395">
        <v>460.99999999999994</v>
      </c>
      <c r="G113" s="375">
        <v>6.0</v>
      </c>
      <c r="H113" s="375">
        <v>30.0</v>
      </c>
      <c r="I113" s="378">
        <v>78.35294117647061</v>
      </c>
      <c r="J113" s="379">
        <v>7.683333333333333</v>
      </c>
      <c r="K113" s="380">
        <v>0.0</v>
      </c>
      <c r="L113" s="378">
        <v>77.26218097447797</v>
      </c>
      <c r="M113" s="378">
        <v>78.35294117647061</v>
      </c>
      <c r="N113" s="378">
        <v>72.23427331887203</v>
      </c>
      <c r="O113" s="417">
        <v>0.0046</v>
      </c>
      <c r="P113" s="387">
        <v>0.014414414414414415</v>
      </c>
      <c r="Q113" s="415">
        <v>0.0063</v>
      </c>
      <c r="R113" s="415">
        <v>9.0E-4</v>
      </c>
      <c r="S113" s="415">
        <v>0.009</v>
      </c>
      <c r="T113" s="385">
        <v>0.0</v>
      </c>
      <c r="U113" s="375">
        <v>8.0</v>
      </c>
      <c r="V113" s="422" t="s">
        <v>399</v>
      </c>
      <c r="W113" s="387">
        <v>0.013015184381778743</v>
      </c>
      <c r="X113" s="378">
        <v>78.35294117647061</v>
      </c>
      <c r="Y113" s="387">
        <v>0.0162</v>
      </c>
      <c r="Z113" s="391">
        <v>0.9869848156182213</v>
      </c>
      <c r="AA113" s="391">
        <v>1.0</v>
      </c>
      <c r="AB113" s="391">
        <v>0.9838</v>
      </c>
      <c r="AC113" s="391" t="s">
        <v>127</v>
      </c>
      <c r="AD113" s="395" t="s">
        <v>291</v>
      </c>
      <c r="AE113" s="395"/>
      <c r="AF113" s="395"/>
      <c r="AG113" s="395"/>
      <c r="AH113" s="395"/>
    </row>
    <row r="114" ht="30.75" customHeight="1">
      <c r="A114" s="373">
        <f t="shared" si="1"/>
        <v>46206</v>
      </c>
      <c r="B114" s="421">
        <v>0.9007302231237323</v>
      </c>
      <c r="C114" s="375">
        <v>531.0</v>
      </c>
      <c r="D114" s="376">
        <v>0.6666666666666666</v>
      </c>
      <c r="E114" s="376">
        <v>1.0090277777777779</v>
      </c>
      <c r="F114" s="395">
        <v>493.0000000000001</v>
      </c>
      <c r="G114" s="375">
        <v>43.0</v>
      </c>
      <c r="H114" s="375">
        <v>45.0</v>
      </c>
      <c r="I114" s="378">
        <v>78.66666666666664</v>
      </c>
      <c r="J114" s="379">
        <v>8.216666666666669</v>
      </c>
      <c r="K114" s="380">
        <v>0.0</v>
      </c>
      <c r="L114" s="378">
        <v>71.11607142857142</v>
      </c>
      <c r="M114" s="378">
        <v>78.66666666666664</v>
      </c>
      <c r="N114" s="378">
        <v>64.62474645030424</v>
      </c>
      <c r="O114" s="417">
        <v>0.0052</v>
      </c>
      <c r="P114" s="387">
        <v>0.013182674199623353</v>
      </c>
      <c r="Q114" s="415">
        <v>0.0019</v>
      </c>
      <c r="R114" s="415">
        <v>0.0019</v>
      </c>
      <c r="S114" s="415">
        <v>0.0094</v>
      </c>
      <c r="T114" s="385">
        <v>0.0</v>
      </c>
      <c r="U114" s="375">
        <v>7.0</v>
      </c>
      <c r="V114" s="422" t="s">
        <v>401</v>
      </c>
      <c r="W114" s="387">
        <v>0.08722109533468558</v>
      </c>
      <c r="X114" s="378">
        <v>78.66666666666664</v>
      </c>
      <c r="Y114" s="387">
        <v>0.0132</v>
      </c>
      <c r="Z114" s="391">
        <v>0.9127789046653144</v>
      </c>
      <c r="AA114" s="391">
        <v>1.0</v>
      </c>
      <c r="AB114" s="391">
        <v>0.9868</v>
      </c>
      <c r="AC114" s="391" t="s">
        <v>127</v>
      </c>
      <c r="AD114" s="395" t="s">
        <v>291</v>
      </c>
      <c r="AE114" s="395"/>
      <c r="AF114" s="395"/>
      <c r="AG114" s="395"/>
      <c r="AH114" s="395"/>
    </row>
    <row r="115" ht="30.75" customHeight="1">
      <c r="A115" s="373">
        <f t="shared" si="1"/>
        <v>46207</v>
      </c>
      <c r="B115" s="421">
        <v>0.917121769649036</v>
      </c>
      <c r="C115" s="375">
        <v>438.0</v>
      </c>
      <c r="D115" s="376">
        <v>0.625</v>
      </c>
      <c r="E115" s="376">
        <v>0.9083333333333333</v>
      </c>
      <c r="F115" s="395">
        <v>408.0</v>
      </c>
      <c r="G115" s="375">
        <v>21.0</v>
      </c>
      <c r="H115" s="375">
        <v>30.0</v>
      </c>
      <c r="I115" s="378">
        <v>73.61344537815125</v>
      </c>
      <c r="J115" s="379">
        <v>6.8</v>
      </c>
      <c r="K115" s="380">
        <v>0.0</v>
      </c>
      <c r="L115" s="378">
        <v>69.52380952380953</v>
      </c>
      <c r="M115" s="378">
        <v>73.61344537815125</v>
      </c>
      <c r="N115" s="378">
        <v>64.41176470588235</v>
      </c>
      <c r="O115" s="417">
        <v>0.0022</v>
      </c>
      <c r="P115" s="387">
        <v>0.01141552511415525</v>
      </c>
      <c r="Q115" s="415">
        <v>0.0046</v>
      </c>
      <c r="R115" s="415">
        <v>0.0057</v>
      </c>
      <c r="S115" s="415">
        <v>0.0046</v>
      </c>
      <c r="T115" s="385">
        <v>0.0</v>
      </c>
      <c r="U115" s="375">
        <v>5.0</v>
      </c>
      <c r="V115" s="422" t="s">
        <v>402</v>
      </c>
      <c r="W115" s="387">
        <v>0.051470588235294115</v>
      </c>
      <c r="X115" s="378">
        <v>75.0</v>
      </c>
      <c r="Y115" s="387">
        <v>0.0149</v>
      </c>
      <c r="Z115" s="391">
        <v>0.9485294117647058</v>
      </c>
      <c r="AA115" s="391">
        <v>0.9815126050420168</v>
      </c>
      <c r="AB115" s="391">
        <v>0.9851</v>
      </c>
      <c r="AC115" s="391" t="s">
        <v>127</v>
      </c>
      <c r="AD115" s="395" t="s">
        <v>291</v>
      </c>
      <c r="AE115" s="395"/>
      <c r="AF115" s="395"/>
      <c r="AG115" s="395"/>
      <c r="AH115" s="395"/>
    </row>
    <row r="116" ht="30.75" customHeight="1">
      <c r="A116" s="373">
        <f t="shared" si="1"/>
        <v>46208</v>
      </c>
      <c r="B116" s="421" t="s">
        <v>289</v>
      </c>
      <c r="C116" s="375">
        <v>0.0</v>
      </c>
      <c r="D116" s="406"/>
      <c r="E116" s="376"/>
      <c r="F116" s="395" t="s">
        <v>289</v>
      </c>
      <c r="G116" s="406"/>
      <c r="H116" s="406"/>
      <c r="I116" s="378" t="s">
        <v>289</v>
      </c>
      <c r="J116" s="379" t="s">
        <v>289</v>
      </c>
      <c r="K116" s="407"/>
      <c r="L116" s="378" t="s">
        <v>289</v>
      </c>
      <c r="M116" s="378" t="s">
        <v>289</v>
      </c>
      <c r="N116" s="378" t="s">
        <v>289</v>
      </c>
      <c r="O116" s="409"/>
      <c r="P116" s="387" t="s">
        <v>289</v>
      </c>
      <c r="Q116" s="383"/>
      <c r="R116" s="383"/>
      <c r="S116" s="383"/>
      <c r="T116" s="410"/>
      <c r="U116" s="406"/>
      <c r="V116" s="386"/>
      <c r="W116" s="387" t="s">
        <v>289</v>
      </c>
      <c r="X116" s="378" t="s">
        <v>289</v>
      </c>
      <c r="Y116" s="387" t="s">
        <v>289</v>
      </c>
      <c r="Z116" s="391" t="s">
        <v>289</v>
      </c>
      <c r="AA116" s="391" t="s">
        <v>289</v>
      </c>
      <c r="AB116" s="391" t="s">
        <v>289</v>
      </c>
      <c r="AC116" s="391" t="s">
        <v>127</v>
      </c>
      <c r="AD116" s="395" t="s">
        <v>291</v>
      </c>
      <c r="AE116" s="395"/>
      <c r="AF116" s="395"/>
      <c r="AG116" s="395"/>
      <c r="AH116" s="395"/>
    </row>
    <row r="117" ht="30.75" customHeight="1">
      <c r="A117" s="373">
        <f t="shared" si="1"/>
        <v>46209</v>
      </c>
      <c r="B117" s="421">
        <v>0.8969598890942698</v>
      </c>
      <c r="C117" s="375">
        <v>558.0</v>
      </c>
      <c r="D117" s="376">
        <v>0.5416666666666666</v>
      </c>
      <c r="E117" s="376">
        <v>0.9173611111111111</v>
      </c>
      <c r="F117" s="395">
        <v>541.0</v>
      </c>
      <c r="G117" s="375">
        <v>50.0</v>
      </c>
      <c r="H117" s="375">
        <v>60.0</v>
      </c>
      <c r="I117" s="378">
        <v>77.6798143851508</v>
      </c>
      <c r="J117" s="379">
        <v>9.016666666666667</v>
      </c>
      <c r="K117" s="380">
        <v>30.0</v>
      </c>
      <c r="L117" s="378">
        <v>69.6049896049896</v>
      </c>
      <c r="M117" s="378">
        <v>77.6798143851508</v>
      </c>
      <c r="N117" s="378">
        <v>61.88539741219962</v>
      </c>
      <c r="O117" s="417">
        <v>0.003</v>
      </c>
      <c r="P117" s="387">
        <v>0.010752688172043012</v>
      </c>
      <c r="Q117" s="415">
        <v>0.0067</v>
      </c>
      <c r="R117" s="415">
        <v>0.0</v>
      </c>
      <c r="S117" s="415">
        <v>0.0042</v>
      </c>
      <c r="T117" s="385">
        <v>8.0E-4</v>
      </c>
      <c r="U117" s="375">
        <v>6.0</v>
      </c>
      <c r="V117" s="422" t="s">
        <v>403</v>
      </c>
      <c r="W117" s="387">
        <v>0.09242144177449169</v>
      </c>
      <c r="X117" s="378">
        <v>77.6798143851508</v>
      </c>
      <c r="Y117" s="387">
        <v>0.0117</v>
      </c>
      <c r="Z117" s="391">
        <v>0.9075785582255083</v>
      </c>
      <c r="AA117" s="391">
        <v>1.0</v>
      </c>
      <c r="AB117" s="391">
        <v>0.9883</v>
      </c>
      <c r="AC117" s="391" t="s">
        <v>127</v>
      </c>
      <c r="AD117" s="395" t="s">
        <v>291</v>
      </c>
      <c r="AE117" s="395"/>
      <c r="AF117" s="395"/>
      <c r="AG117" s="395"/>
      <c r="AH117" s="395"/>
    </row>
    <row r="118" ht="30.75" customHeight="1">
      <c r="A118" s="373">
        <f t="shared" si="1"/>
        <v>46210</v>
      </c>
      <c r="B118" s="421">
        <v>0.9165312499999999</v>
      </c>
      <c r="C118" s="375">
        <v>554.0</v>
      </c>
      <c r="D118" s="376">
        <v>0.5</v>
      </c>
      <c r="E118" s="376">
        <v>0.9666666666666667</v>
      </c>
      <c r="F118" s="395">
        <v>672.0</v>
      </c>
      <c r="G118" s="375">
        <f>27+4+8</f>
        <v>39</v>
      </c>
      <c r="H118" s="375">
        <v>195.0</v>
      </c>
      <c r="I118" s="378">
        <v>75.89041095890411</v>
      </c>
      <c r="J118" s="379">
        <v>11.2</v>
      </c>
      <c r="K118" s="380">
        <v>0.0</v>
      </c>
      <c r="L118" s="378">
        <v>69.68553459119497</v>
      </c>
      <c r="M118" s="378">
        <v>75.89041095890411</v>
      </c>
      <c r="N118" s="378">
        <v>49.464285714285715</v>
      </c>
      <c r="O118" s="417">
        <v>0.0023</v>
      </c>
      <c r="P118" s="387">
        <v>0.021660649819494584</v>
      </c>
      <c r="Q118" s="415">
        <v>0.0126</v>
      </c>
      <c r="R118" s="415">
        <v>0.0018</v>
      </c>
      <c r="S118" s="415">
        <v>0.0126</v>
      </c>
      <c r="T118" s="385">
        <v>0.0</v>
      </c>
      <c r="U118" s="375">
        <v>12.0</v>
      </c>
      <c r="V118" s="422" t="s">
        <v>404</v>
      </c>
      <c r="W118" s="387">
        <v>0.05803571428571429</v>
      </c>
      <c r="X118" s="378">
        <v>75.89041095890411</v>
      </c>
      <c r="Y118" s="387">
        <v>0.027</v>
      </c>
      <c r="Z118" s="391">
        <v>0.9419642857142857</v>
      </c>
      <c r="AA118" s="391">
        <v>1.0</v>
      </c>
      <c r="AB118" s="391">
        <v>0.973</v>
      </c>
      <c r="AC118" s="391" t="s">
        <v>127</v>
      </c>
      <c r="AD118" s="395" t="s">
        <v>291</v>
      </c>
      <c r="AE118" s="395"/>
      <c r="AF118" s="395"/>
      <c r="AG118" s="395"/>
      <c r="AH118" s="395"/>
    </row>
    <row r="119" ht="30.75" customHeight="1">
      <c r="A119" s="373">
        <f t="shared" si="1"/>
        <v>46211</v>
      </c>
      <c r="B119" s="421">
        <v>0.9146576842105264</v>
      </c>
      <c r="C119" s="375">
        <v>534.0</v>
      </c>
      <c r="D119" s="376">
        <v>0.6944444444444444</v>
      </c>
      <c r="E119" s="376">
        <v>1.0381944444444444</v>
      </c>
      <c r="F119" s="395">
        <v>495.0</v>
      </c>
      <c r="G119" s="375">
        <v>9.0</v>
      </c>
      <c r="H119" s="375">
        <v>30.0</v>
      </c>
      <c r="I119" s="378">
        <v>70.26315789473685</v>
      </c>
      <c r="J119" s="379">
        <v>8.25</v>
      </c>
      <c r="K119" s="380">
        <v>40.0</v>
      </c>
      <c r="L119" s="378">
        <v>68.90322580645162</v>
      </c>
      <c r="M119" s="378">
        <v>70.26315789473685</v>
      </c>
      <c r="N119" s="378">
        <v>64.72727272727273</v>
      </c>
      <c r="O119" s="417">
        <v>0.0061</v>
      </c>
      <c r="P119" s="387">
        <v>0.0</v>
      </c>
      <c r="Q119" s="415">
        <v>0.0028</v>
      </c>
      <c r="R119" s="415">
        <v>0.0019</v>
      </c>
      <c r="S119" s="415">
        <v>9.0E-4</v>
      </c>
      <c r="T119" s="385">
        <v>0.0</v>
      </c>
      <c r="U119" s="406"/>
      <c r="V119" s="422" t="s">
        <v>405</v>
      </c>
      <c r="W119" s="387">
        <v>0.01818181818181818</v>
      </c>
      <c r="X119" s="378">
        <v>75.0</v>
      </c>
      <c r="Y119" s="387">
        <v>0.0056</v>
      </c>
      <c r="Z119" s="391">
        <v>0.9818181818181818</v>
      </c>
      <c r="AA119" s="391">
        <v>0.936842105263158</v>
      </c>
      <c r="AB119" s="391">
        <v>0.9944</v>
      </c>
      <c r="AC119" s="391" t="s">
        <v>127</v>
      </c>
      <c r="AD119" s="395" t="s">
        <v>291</v>
      </c>
      <c r="AE119" s="395"/>
      <c r="AF119" s="395"/>
      <c r="AG119" s="395"/>
      <c r="AH119" s="395"/>
    </row>
    <row r="120" ht="30.75" customHeight="1">
      <c r="A120" s="373">
        <f t="shared" si="1"/>
        <v>46212</v>
      </c>
      <c r="B120" s="421">
        <v>0.9000888888888889</v>
      </c>
      <c r="C120" s="375">
        <v>499.0</v>
      </c>
      <c r="D120" s="376">
        <v>0.6333333333333333</v>
      </c>
      <c r="E120" s="376">
        <v>0.9458333333333333</v>
      </c>
      <c r="F120" s="395">
        <v>450.0</v>
      </c>
      <c r="G120" s="375">
        <f>18+17</f>
        <v>35</v>
      </c>
      <c r="H120" s="375">
        <v>30.0</v>
      </c>
      <c r="I120" s="378">
        <v>77.76623376623377</v>
      </c>
      <c r="J120" s="379">
        <v>7.5</v>
      </c>
      <c r="K120" s="380">
        <v>12.0</v>
      </c>
      <c r="L120" s="378">
        <v>71.28571428571429</v>
      </c>
      <c r="M120" s="378">
        <v>77.76623376623377</v>
      </c>
      <c r="N120" s="378">
        <v>66.53333333333333</v>
      </c>
      <c r="O120" s="417">
        <v>0.0015</v>
      </c>
      <c r="P120" s="387">
        <v>0.012024048096192385</v>
      </c>
      <c r="Q120" s="415">
        <v>0.01</v>
      </c>
      <c r="R120" s="415">
        <v>0.006</v>
      </c>
      <c r="S120" s="415">
        <v>0.008</v>
      </c>
      <c r="T120" s="385">
        <v>0.0</v>
      </c>
      <c r="U120" s="375">
        <v>6.0</v>
      </c>
      <c r="V120" s="422" t="s">
        <v>406</v>
      </c>
      <c r="W120" s="387">
        <v>0.07777777777777778</v>
      </c>
      <c r="X120" s="378">
        <v>77.76623376623377</v>
      </c>
      <c r="Y120" s="387">
        <v>0.024</v>
      </c>
      <c r="Z120" s="391">
        <v>0.9222222222222223</v>
      </c>
      <c r="AA120" s="391">
        <v>1.0</v>
      </c>
      <c r="AB120" s="391">
        <v>0.976</v>
      </c>
      <c r="AC120" s="391" t="s">
        <v>127</v>
      </c>
      <c r="AD120" s="395" t="s">
        <v>291</v>
      </c>
      <c r="AE120" s="395"/>
      <c r="AF120" s="395"/>
      <c r="AG120" s="395"/>
      <c r="AH120" s="395"/>
    </row>
    <row r="121" ht="30.75" customHeight="1">
      <c r="A121" s="373">
        <f t="shared" si="1"/>
        <v>46213</v>
      </c>
      <c r="B121" s="421">
        <v>0.8887791044776119</v>
      </c>
      <c r="C121" s="375">
        <v>505.0</v>
      </c>
      <c r="D121" s="376">
        <v>0.6666666666666666</v>
      </c>
      <c r="E121" s="376">
        <v>0.9923611111111111</v>
      </c>
      <c r="F121" s="395">
        <v>469.0000000000001</v>
      </c>
      <c r="G121" s="375">
        <f>29+13</f>
        <v>42</v>
      </c>
      <c r="H121" s="375">
        <v>30.0</v>
      </c>
      <c r="I121" s="378">
        <v>76.32241813602012</v>
      </c>
      <c r="J121" s="379">
        <v>7.816666666666668</v>
      </c>
      <c r="K121" s="380">
        <v>0.0</v>
      </c>
      <c r="L121" s="378">
        <v>69.02050113895216</v>
      </c>
      <c r="M121" s="378">
        <v>76.32241813602012</v>
      </c>
      <c r="N121" s="378">
        <v>64.60554371002131</v>
      </c>
      <c r="O121" s="417">
        <v>0.0129</v>
      </c>
      <c r="P121" s="387">
        <v>0.01782178217821782</v>
      </c>
      <c r="Q121" s="415">
        <v>0.0119</v>
      </c>
      <c r="R121" s="415">
        <v>0.002</v>
      </c>
      <c r="S121" s="415">
        <v>0.0099</v>
      </c>
      <c r="T121" s="385">
        <v>0.0</v>
      </c>
      <c r="U121" s="375">
        <v>9.0</v>
      </c>
      <c r="V121" s="422" t="s">
        <v>407</v>
      </c>
      <c r="W121" s="387">
        <v>0.08955223880597013</v>
      </c>
      <c r="X121" s="378">
        <v>76.32241813602012</v>
      </c>
      <c r="Y121" s="387">
        <v>0.0238</v>
      </c>
      <c r="Z121" s="391">
        <v>0.9104477611940298</v>
      </c>
      <c r="AA121" s="391">
        <v>1.0</v>
      </c>
      <c r="AB121" s="391">
        <v>0.9762</v>
      </c>
      <c r="AC121" s="391" t="s">
        <v>127</v>
      </c>
      <c r="AD121" s="395" t="s">
        <v>291</v>
      </c>
      <c r="AE121" s="395"/>
      <c r="AF121" s="395"/>
      <c r="AG121" s="395"/>
      <c r="AH121" s="395"/>
    </row>
    <row r="122" ht="30.75" customHeight="1">
      <c r="A122" s="373">
        <f t="shared" si="1"/>
        <v>46214</v>
      </c>
      <c r="B122" s="421">
        <v>0.8920034020506029</v>
      </c>
      <c r="C122" s="375">
        <v>422.0</v>
      </c>
      <c r="D122" s="376">
        <v>0.7152777777777778</v>
      </c>
      <c r="E122" s="376">
        <v>0.9951388888888889</v>
      </c>
      <c r="F122" s="395">
        <v>403.0</v>
      </c>
      <c r="G122" s="375">
        <v>32.0</v>
      </c>
      <c r="H122" s="375">
        <v>30.0</v>
      </c>
      <c r="I122" s="378">
        <v>74.25219941348973</v>
      </c>
      <c r="J122" s="379">
        <v>6.716666666666667</v>
      </c>
      <c r="K122" s="380">
        <v>10.0</v>
      </c>
      <c r="L122" s="378">
        <v>67.88203753351206</v>
      </c>
      <c r="M122" s="378">
        <v>74.25219941348973</v>
      </c>
      <c r="N122" s="378">
        <v>62.8287841191067</v>
      </c>
      <c r="O122" s="417">
        <v>0.0066</v>
      </c>
      <c r="P122" s="387">
        <v>0.018957345971563982</v>
      </c>
      <c r="Q122" s="415">
        <v>0.0107</v>
      </c>
      <c r="R122" s="415">
        <v>0.0059</v>
      </c>
      <c r="S122" s="415">
        <v>0.0047</v>
      </c>
      <c r="T122" s="385">
        <v>0.0</v>
      </c>
      <c r="U122" s="375">
        <v>8.0</v>
      </c>
      <c r="V122" s="422" t="s">
        <v>408</v>
      </c>
      <c r="W122" s="387">
        <v>0.0794044665012407</v>
      </c>
      <c r="X122" s="378">
        <v>75.0</v>
      </c>
      <c r="Y122" s="387">
        <v>0.0213</v>
      </c>
      <c r="Z122" s="391">
        <v>0.9205955334987593</v>
      </c>
      <c r="AA122" s="391">
        <v>0.9900293255131964</v>
      </c>
      <c r="AB122" s="391">
        <v>0.9787</v>
      </c>
      <c r="AC122" s="391" t="s">
        <v>127</v>
      </c>
      <c r="AD122" s="395" t="s">
        <v>291</v>
      </c>
      <c r="AE122" s="395"/>
      <c r="AF122" s="395"/>
      <c r="AG122" s="395"/>
      <c r="AH122" s="395"/>
    </row>
    <row r="123" ht="30.75" customHeight="1">
      <c r="A123" s="373">
        <f t="shared" si="1"/>
        <v>46215</v>
      </c>
      <c r="B123" s="421" t="s">
        <v>289</v>
      </c>
      <c r="C123" s="375">
        <v>0.0</v>
      </c>
      <c r="D123" s="406"/>
      <c r="E123" s="376"/>
      <c r="F123" s="395" t="s">
        <v>289</v>
      </c>
      <c r="G123" s="406"/>
      <c r="H123" s="406"/>
      <c r="I123" s="378" t="s">
        <v>289</v>
      </c>
      <c r="J123" s="379" t="s">
        <v>289</v>
      </c>
      <c r="K123" s="407"/>
      <c r="L123" s="378" t="s">
        <v>289</v>
      </c>
      <c r="M123" s="378" t="s">
        <v>289</v>
      </c>
      <c r="N123" s="378" t="s">
        <v>289</v>
      </c>
      <c r="O123" s="409"/>
      <c r="P123" s="387" t="s">
        <v>289</v>
      </c>
      <c r="Q123" s="383"/>
      <c r="R123" s="383"/>
      <c r="S123" s="383"/>
      <c r="T123" s="410"/>
      <c r="U123" s="406"/>
      <c r="V123" s="386"/>
      <c r="W123" s="387" t="s">
        <v>289</v>
      </c>
      <c r="X123" s="378" t="s">
        <v>289</v>
      </c>
      <c r="Y123" s="387" t="s">
        <v>289</v>
      </c>
      <c r="Z123" s="391" t="s">
        <v>289</v>
      </c>
      <c r="AA123" s="391" t="s">
        <v>289</v>
      </c>
      <c r="AB123" s="391" t="s">
        <v>289</v>
      </c>
      <c r="AC123" s="391" t="s">
        <v>127</v>
      </c>
      <c r="AD123" s="395" t="s">
        <v>291</v>
      </c>
      <c r="AE123" s="395"/>
      <c r="AF123" s="395"/>
      <c r="AG123" s="395"/>
      <c r="AH123" s="395"/>
    </row>
    <row r="124" ht="30.75" customHeight="1">
      <c r="A124" s="373">
        <f t="shared" si="1"/>
        <v>46216</v>
      </c>
      <c r="B124" s="421">
        <v>0.8511745062765641</v>
      </c>
      <c r="C124" s="375">
        <v>461.0</v>
      </c>
      <c r="D124" s="376">
        <v>0.5833333333333334</v>
      </c>
      <c r="E124" s="376">
        <v>0.8979166666666667</v>
      </c>
      <c r="F124" s="395">
        <v>453.0</v>
      </c>
      <c r="G124" s="375">
        <v>21.0</v>
      </c>
      <c r="H124" s="375">
        <v>30.0</v>
      </c>
      <c r="I124" s="378">
        <v>68.80597014925372</v>
      </c>
      <c r="J124" s="379">
        <v>7.55</v>
      </c>
      <c r="K124" s="380">
        <v>0.0</v>
      </c>
      <c r="L124" s="378">
        <v>65.39007092198582</v>
      </c>
      <c r="M124" s="378">
        <v>68.80597014925372</v>
      </c>
      <c r="N124" s="378">
        <v>61.05960264900662</v>
      </c>
      <c r="O124" s="417">
        <v>0.0066</v>
      </c>
      <c r="P124" s="387">
        <v>0.013015184381778741</v>
      </c>
      <c r="Q124" s="415">
        <v>0.0108</v>
      </c>
      <c r="R124" s="415">
        <v>0.0043</v>
      </c>
      <c r="S124" s="415">
        <v>0.0087</v>
      </c>
      <c r="T124" s="385">
        <v>0.0033</v>
      </c>
      <c r="U124" s="375">
        <v>6.0</v>
      </c>
      <c r="V124" s="422" t="s">
        <v>409</v>
      </c>
      <c r="W124" s="387">
        <v>0.046357615894039736</v>
      </c>
      <c r="X124" s="378">
        <v>75.0</v>
      </c>
      <c r="Y124" s="387">
        <v>0.027100000000000003</v>
      </c>
      <c r="Z124" s="391">
        <v>0.9536423841059603</v>
      </c>
      <c r="AA124" s="391">
        <v>0.917412935323383</v>
      </c>
      <c r="AB124" s="391">
        <v>0.9729</v>
      </c>
      <c r="AC124" s="391" t="s">
        <v>127</v>
      </c>
      <c r="AD124" s="395" t="s">
        <v>291</v>
      </c>
      <c r="AE124" s="395"/>
      <c r="AF124" s="395"/>
      <c r="AG124" s="395"/>
      <c r="AH124" s="395"/>
    </row>
    <row r="125" ht="30.75" customHeight="1">
      <c r="A125" s="373">
        <f t="shared" si="1"/>
        <v>46217</v>
      </c>
      <c r="B125" s="421">
        <v>0.7954566666666667</v>
      </c>
      <c r="C125" s="375">
        <v>493.0</v>
      </c>
      <c r="D125" s="376">
        <v>0.5833333333333334</v>
      </c>
      <c r="E125" s="376">
        <v>0.9458333333333333</v>
      </c>
      <c r="F125" s="395">
        <v>522.0</v>
      </c>
      <c r="G125" s="406">
        <f>45+39</f>
        <v>84</v>
      </c>
      <c r="H125" s="375">
        <v>30.0</v>
      </c>
      <c r="I125" s="378">
        <v>72.5</v>
      </c>
      <c r="J125" s="379">
        <v>8.7</v>
      </c>
      <c r="K125" s="380">
        <v>0.0</v>
      </c>
      <c r="L125" s="378">
        <v>60.1219512195122</v>
      </c>
      <c r="M125" s="378">
        <v>72.5</v>
      </c>
      <c r="N125" s="378">
        <v>56.66666666666667</v>
      </c>
      <c r="O125" s="417">
        <v>0.0091</v>
      </c>
      <c r="P125" s="387">
        <v>0.016227180527383367</v>
      </c>
      <c r="Q125" s="415">
        <v>0.0112</v>
      </c>
      <c r="R125" s="415">
        <v>0.0071</v>
      </c>
      <c r="S125" s="415">
        <v>0.001</v>
      </c>
      <c r="T125" s="385">
        <v>0.0</v>
      </c>
      <c r="U125" s="375">
        <v>8.0</v>
      </c>
      <c r="V125" s="422" t="s">
        <v>410</v>
      </c>
      <c r="W125" s="387">
        <v>0.16091954022988506</v>
      </c>
      <c r="X125" s="378">
        <v>75.0</v>
      </c>
      <c r="Y125" s="387">
        <v>0.0193</v>
      </c>
      <c r="Z125" s="391">
        <v>0.8390804597701149</v>
      </c>
      <c r="AA125" s="391">
        <v>0.9666666666666667</v>
      </c>
      <c r="AB125" s="391">
        <v>0.9807</v>
      </c>
      <c r="AC125" s="391" t="s">
        <v>127</v>
      </c>
      <c r="AD125" s="395" t="s">
        <v>291</v>
      </c>
      <c r="AE125" s="395"/>
      <c r="AF125" s="395"/>
      <c r="AG125" s="395"/>
      <c r="AH125" s="395"/>
    </row>
    <row r="126" ht="30.75" customHeight="1">
      <c r="A126" s="373">
        <f t="shared" si="1"/>
        <v>46218</v>
      </c>
      <c r="B126" s="421">
        <v>0.9432567164179104</v>
      </c>
      <c r="C126" s="375">
        <v>446.0</v>
      </c>
      <c r="D126" s="376">
        <v>0.625</v>
      </c>
      <c r="E126" s="376">
        <v>0.9041666666666667</v>
      </c>
      <c r="F126" s="395">
        <v>402.0</v>
      </c>
      <c r="G126" s="375">
        <v>12.0</v>
      </c>
      <c r="H126" s="375">
        <v>30.0</v>
      </c>
      <c r="I126" s="378">
        <v>74.33333333333333</v>
      </c>
      <c r="J126" s="379">
        <v>6.7</v>
      </c>
      <c r="K126" s="380">
        <v>0.0</v>
      </c>
      <c r="L126" s="378">
        <v>71.93548387096774</v>
      </c>
      <c r="M126" s="378">
        <v>74.33333333333333</v>
      </c>
      <c r="N126" s="378">
        <v>66.56716417910448</v>
      </c>
      <c r="O126" s="417">
        <v>0.0044</v>
      </c>
      <c r="P126" s="387">
        <v>0.04484304932735426</v>
      </c>
      <c r="Q126" s="415">
        <v>0.009</v>
      </c>
      <c r="R126" s="415">
        <v>0.0067</v>
      </c>
      <c r="S126" s="415">
        <v>0.0022</v>
      </c>
      <c r="T126" s="385">
        <v>0.0011</v>
      </c>
      <c r="U126" s="375">
        <v>20.0</v>
      </c>
      <c r="V126" s="422" t="s">
        <v>411</v>
      </c>
      <c r="W126" s="387">
        <v>0.029850746268656716</v>
      </c>
      <c r="X126" s="378">
        <v>75.0</v>
      </c>
      <c r="Y126" s="387">
        <v>0.019</v>
      </c>
      <c r="Z126" s="391">
        <v>0.9701492537313433</v>
      </c>
      <c r="AA126" s="391">
        <v>0.991111111111111</v>
      </c>
      <c r="AB126" s="391">
        <v>0.981</v>
      </c>
      <c r="AC126" s="391" t="s">
        <v>127</v>
      </c>
      <c r="AD126" s="395" t="s">
        <v>291</v>
      </c>
      <c r="AE126" s="395"/>
      <c r="AF126" s="395"/>
      <c r="AG126" s="395"/>
      <c r="AH126" s="395"/>
    </row>
    <row r="127" ht="30.75" customHeight="1">
      <c r="A127" s="373">
        <f t="shared" si="1"/>
        <v>46219</v>
      </c>
      <c r="B127" s="421">
        <v>0.8449077874241901</v>
      </c>
      <c r="C127" s="375">
        <v>430.0</v>
      </c>
      <c r="D127" s="376">
        <v>0.5833333333333334</v>
      </c>
      <c r="E127" s="376">
        <v>0.8840277777777777</v>
      </c>
      <c r="F127" s="395">
        <v>432.9999999999999</v>
      </c>
      <c r="G127" s="375">
        <v>50.0</v>
      </c>
      <c r="H127" s="375">
        <v>30.0</v>
      </c>
      <c r="I127" s="378">
        <v>73.08781869688389</v>
      </c>
      <c r="J127" s="379">
        <v>7.216666666666665</v>
      </c>
      <c r="K127" s="380">
        <v>0.0</v>
      </c>
      <c r="L127" s="378">
        <v>64.01985111662533</v>
      </c>
      <c r="M127" s="378">
        <v>73.08781869688389</v>
      </c>
      <c r="N127" s="378">
        <v>59.58429561200925</v>
      </c>
      <c r="O127" s="417">
        <v>0.0034</v>
      </c>
      <c r="P127" s="387">
        <v>0.011627906976744186</v>
      </c>
      <c r="Q127" s="415">
        <v>0.007</v>
      </c>
      <c r="R127" s="415">
        <v>0.0012</v>
      </c>
      <c r="S127" s="415">
        <v>0.0116</v>
      </c>
      <c r="T127" s="385">
        <v>0.0</v>
      </c>
      <c r="U127" s="375">
        <v>5.0</v>
      </c>
      <c r="V127" s="422" t="s">
        <v>412</v>
      </c>
      <c r="W127" s="387">
        <v>0.11547344110854507</v>
      </c>
      <c r="X127" s="378">
        <v>75.0</v>
      </c>
      <c r="Y127" s="387">
        <v>0.019799999999999998</v>
      </c>
      <c r="Z127" s="391">
        <v>0.8845265588914549</v>
      </c>
      <c r="AA127" s="391">
        <v>0.9745042492917851</v>
      </c>
      <c r="AB127" s="391">
        <v>0.9802</v>
      </c>
      <c r="AC127" s="391" t="s">
        <v>127</v>
      </c>
      <c r="AD127" s="395" t="s">
        <v>291</v>
      </c>
      <c r="AE127" s="395"/>
      <c r="AF127" s="395"/>
      <c r="AG127" s="395"/>
      <c r="AH127" s="395"/>
    </row>
    <row r="128" ht="30.75" customHeight="1">
      <c r="A128" s="373">
        <f t="shared" si="1"/>
        <v>46220</v>
      </c>
      <c r="B128" s="421">
        <v>0.8356496746384873</v>
      </c>
      <c r="C128" s="375">
        <v>461.0</v>
      </c>
      <c r="D128" s="376">
        <v>0.5833333333333334</v>
      </c>
      <c r="E128" s="376">
        <v>0.9055555555555556</v>
      </c>
      <c r="F128" s="395">
        <v>463.99999999999994</v>
      </c>
      <c r="G128" s="375">
        <v>62.0</v>
      </c>
      <c r="H128" s="375">
        <v>30.0</v>
      </c>
      <c r="I128" s="378">
        <v>74.35483870967742</v>
      </c>
      <c r="J128" s="379">
        <v>7.7333333333333325</v>
      </c>
      <c r="K128" s="380">
        <v>0.0</v>
      </c>
      <c r="L128" s="378">
        <v>63.732718894009224</v>
      </c>
      <c r="M128" s="378">
        <v>74.35483870967742</v>
      </c>
      <c r="N128" s="378">
        <v>59.612068965517246</v>
      </c>
      <c r="O128" s="417">
        <v>0.0049</v>
      </c>
      <c r="P128" s="387">
        <v>0.03470715835140998</v>
      </c>
      <c r="Q128" s="415">
        <v>0.0184</v>
      </c>
      <c r="R128" s="415">
        <v>0.0022</v>
      </c>
      <c r="S128" s="415">
        <v>0.0054</v>
      </c>
      <c r="T128" s="385">
        <v>0.0011</v>
      </c>
      <c r="U128" s="375">
        <v>16.0</v>
      </c>
      <c r="V128" s="422" t="s">
        <v>414</v>
      </c>
      <c r="W128" s="387">
        <v>0.13362068965517243</v>
      </c>
      <c r="X128" s="378">
        <v>75.0</v>
      </c>
      <c r="Y128" s="387">
        <v>0.027100000000000003</v>
      </c>
      <c r="Z128" s="391">
        <v>0.8663793103448276</v>
      </c>
      <c r="AA128" s="391">
        <v>0.9913978494623656</v>
      </c>
      <c r="AB128" s="391">
        <v>0.9729</v>
      </c>
      <c r="AC128" s="391" t="s">
        <v>127</v>
      </c>
      <c r="AD128" s="395" t="s">
        <v>291</v>
      </c>
      <c r="AE128" s="395"/>
      <c r="AF128" s="395"/>
      <c r="AG128" s="395"/>
      <c r="AH128" s="395"/>
    </row>
    <row r="129" ht="30.75" customHeight="1">
      <c r="A129" s="373">
        <f t="shared" si="1"/>
        <v>46221</v>
      </c>
      <c r="B129" s="421">
        <v>0.8311253298153035</v>
      </c>
      <c r="C129" s="375">
        <v>364.0</v>
      </c>
      <c r="D129" s="376">
        <v>0.5833333333333334</v>
      </c>
      <c r="E129" s="376">
        <v>0.8465277777777778</v>
      </c>
      <c r="F129" s="395">
        <v>378.99999999999994</v>
      </c>
      <c r="G129" s="375">
        <f>16+3+3+7</f>
        <v>29</v>
      </c>
      <c r="H129" s="375">
        <v>30.0</v>
      </c>
      <c r="I129" s="378">
        <v>68.25000000000001</v>
      </c>
      <c r="J129" s="379">
        <v>6.3166666666666655</v>
      </c>
      <c r="K129" s="380">
        <v>0.0</v>
      </c>
      <c r="L129" s="378">
        <v>62.5787965616046</v>
      </c>
      <c r="M129" s="378">
        <v>68.25000000000001</v>
      </c>
      <c r="N129" s="378">
        <v>57.62532981530344</v>
      </c>
      <c r="O129" s="417">
        <v>0.0028</v>
      </c>
      <c r="P129" s="387">
        <v>0.01098901098901099</v>
      </c>
      <c r="Q129" s="415">
        <v>0.0014</v>
      </c>
      <c r="R129" s="415">
        <v>0.0</v>
      </c>
      <c r="S129" s="415">
        <v>0.0096</v>
      </c>
      <c r="T129" s="385">
        <v>0.0</v>
      </c>
      <c r="U129" s="375">
        <v>4.0</v>
      </c>
      <c r="V129" s="422" t="s">
        <v>415</v>
      </c>
      <c r="W129" s="387">
        <v>0.07651715039577837</v>
      </c>
      <c r="X129" s="378">
        <v>75.0</v>
      </c>
      <c r="Y129" s="387">
        <v>0.011</v>
      </c>
      <c r="Z129" s="391">
        <v>0.9234828496042217</v>
      </c>
      <c r="AA129" s="391">
        <v>0.9100000000000001</v>
      </c>
      <c r="AB129" s="391">
        <v>0.989</v>
      </c>
      <c r="AC129" s="391" t="s">
        <v>127</v>
      </c>
      <c r="AD129" s="395" t="s">
        <v>291</v>
      </c>
      <c r="AE129" s="395"/>
      <c r="AF129" s="395"/>
      <c r="AG129" s="395"/>
      <c r="AH129" s="395"/>
    </row>
    <row r="130" ht="30.75" customHeight="1">
      <c r="A130" s="373">
        <f t="shared" si="1"/>
        <v>46222</v>
      </c>
      <c r="B130" s="421" t="s">
        <v>289</v>
      </c>
      <c r="C130" s="375">
        <v>0.0</v>
      </c>
      <c r="D130" s="376"/>
      <c r="E130" s="376"/>
      <c r="F130" s="395" t="s">
        <v>289</v>
      </c>
      <c r="G130" s="375"/>
      <c r="H130" s="375"/>
      <c r="I130" s="378" t="s">
        <v>289</v>
      </c>
      <c r="J130" s="379" t="s">
        <v>289</v>
      </c>
      <c r="K130" s="380"/>
      <c r="L130" s="378" t="s">
        <v>289</v>
      </c>
      <c r="M130" s="378" t="s">
        <v>289</v>
      </c>
      <c r="N130" s="378" t="s">
        <v>289</v>
      </c>
      <c r="O130" s="409"/>
      <c r="P130" s="387" t="s">
        <v>289</v>
      </c>
      <c r="Q130" s="383"/>
      <c r="R130" s="383"/>
      <c r="S130" s="383"/>
      <c r="T130" s="410"/>
      <c r="U130" s="406"/>
      <c r="V130" s="422"/>
      <c r="W130" s="387" t="s">
        <v>289</v>
      </c>
      <c r="X130" s="378" t="s">
        <v>289</v>
      </c>
      <c r="Y130" s="387" t="s">
        <v>289</v>
      </c>
      <c r="Z130" s="391" t="s">
        <v>289</v>
      </c>
      <c r="AA130" s="391" t="s">
        <v>289</v>
      </c>
      <c r="AB130" s="391" t="s">
        <v>289</v>
      </c>
      <c r="AC130" s="391" t="s">
        <v>127</v>
      </c>
      <c r="AD130" s="395" t="s">
        <v>291</v>
      </c>
      <c r="AE130" s="395"/>
      <c r="AF130" s="395"/>
      <c r="AG130" s="395"/>
      <c r="AH130" s="395"/>
    </row>
    <row r="131" ht="30.75" customHeight="1">
      <c r="A131" s="373">
        <f t="shared" si="1"/>
        <v>46223</v>
      </c>
      <c r="B131" s="421">
        <v>0.7154359477124184</v>
      </c>
      <c r="C131" s="375">
        <v>433.0</v>
      </c>
      <c r="D131" s="376">
        <v>0.5833333333333334</v>
      </c>
      <c r="E131" s="376">
        <v>0.9020833333333333</v>
      </c>
      <c r="F131" s="395">
        <v>458.99999999999994</v>
      </c>
      <c r="G131" s="375">
        <v>128.0</v>
      </c>
      <c r="H131" s="375">
        <v>30.0</v>
      </c>
      <c r="I131" s="378">
        <v>86.312292358804</v>
      </c>
      <c r="J131" s="379">
        <v>7.6499999999999995</v>
      </c>
      <c r="K131" s="380">
        <v>0.0</v>
      </c>
      <c r="L131" s="378">
        <v>60.55944055944057</v>
      </c>
      <c r="M131" s="378">
        <v>86.312292358804</v>
      </c>
      <c r="N131" s="378">
        <v>56.60130718954249</v>
      </c>
      <c r="O131" s="417">
        <v>0.0029</v>
      </c>
      <c r="P131" s="387">
        <v>0.016166281755196306</v>
      </c>
      <c r="Q131" s="415">
        <v>0.0034</v>
      </c>
      <c r="R131" s="415">
        <v>0.0011</v>
      </c>
      <c r="S131" s="415">
        <v>0.0034</v>
      </c>
      <c r="T131" s="385">
        <v>0.0</v>
      </c>
      <c r="U131" s="375">
        <v>7.0</v>
      </c>
      <c r="V131" s="422" t="s">
        <v>416</v>
      </c>
      <c r="W131" s="387">
        <v>0.2788671023965142</v>
      </c>
      <c r="X131" s="378">
        <v>86.312292358804</v>
      </c>
      <c r="Y131" s="387">
        <v>0.007899999999999999</v>
      </c>
      <c r="Z131" s="391">
        <v>0.7211328976034859</v>
      </c>
      <c r="AA131" s="391">
        <v>1.0</v>
      </c>
      <c r="AB131" s="391">
        <v>0.9921</v>
      </c>
      <c r="AC131" s="391" t="s">
        <v>127</v>
      </c>
      <c r="AD131" s="395" t="s">
        <v>291</v>
      </c>
      <c r="AE131" s="395"/>
      <c r="AF131" s="395"/>
      <c r="AG131" s="395"/>
      <c r="AH131" s="395"/>
    </row>
    <row r="132" ht="30.75" customHeight="1">
      <c r="A132" s="373">
        <f t="shared" si="1"/>
        <v>46224</v>
      </c>
      <c r="B132" s="421">
        <v>0.8585945945945945</v>
      </c>
      <c r="C132" s="375">
        <v>504.0</v>
      </c>
      <c r="D132" s="376">
        <v>0.5833333333333334</v>
      </c>
      <c r="E132" s="376">
        <v>0.9173611111111111</v>
      </c>
      <c r="F132" s="395">
        <v>480.99999999999994</v>
      </c>
      <c r="G132" s="375">
        <v>63.0</v>
      </c>
      <c r="H132" s="375">
        <v>15.0</v>
      </c>
      <c r="I132" s="378">
        <v>75.03722084367247</v>
      </c>
      <c r="J132" s="379">
        <v>8.016666666666666</v>
      </c>
      <c r="K132" s="380">
        <v>0.0</v>
      </c>
      <c r="L132" s="378">
        <v>64.89270386266095</v>
      </c>
      <c r="M132" s="378">
        <v>75.03722084367247</v>
      </c>
      <c r="N132" s="378">
        <v>62.86902286902288</v>
      </c>
      <c r="O132" s="417">
        <v>0.0105</v>
      </c>
      <c r="P132" s="387">
        <v>0.025793650793650792</v>
      </c>
      <c r="Q132" s="415">
        <v>0.006</v>
      </c>
      <c r="R132" s="415">
        <v>0.004</v>
      </c>
      <c r="S132" s="415">
        <v>0.001</v>
      </c>
      <c r="T132" s="385">
        <v>0.001</v>
      </c>
      <c r="U132" s="375">
        <v>13.0</v>
      </c>
      <c r="V132" s="422" t="s">
        <v>417</v>
      </c>
      <c r="W132" s="387">
        <v>0.13097713097713098</v>
      </c>
      <c r="X132" s="378">
        <v>75.03722084367247</v>
      </c>
      <c r="Y132" s="387">
        <v>0.012</v>
      </c>
      <c r="Z132" s="391">
        <v>0.869022869022869</v>
      </c>
      <c r="AA132" s="391">
        <v>1.0</v>
      </c>
      <c r="AB132" s="391">
        <v>0.988</v>
      </c>
      <c r="AC132" s="391" t="s">
        <v>127</v>
      </c>
      <c r="AD132" s="395" t="s">
        <v>291</v>
      </c>
      <c r="AE132" s="395"/>
      <c r="AF132" s="395"/>
      <c r="AG132" s="395"/>
      <c r="AH132" s="395"/>
    </row>
    <row r="133" ht="30.75" customHeight="1">
      <c r="A133" s="373">
        <f t="shared" si="1"/>
        <v>46225</v>
      </c>
      <c r="B133" s="421">
        <v>0.9361689717617346</v>
      </c>
      <c r="C133" s="375">
        <v>508.0</v>
      </c>
      <c r="D133" s="376">
        <v>0.625</v>
      </c>
      <c r="E133" s="376">
        <v>0.9409722222222222</v>
      </c>
      <c r="F133" s="395">
        <v>455.0</v>
      </c>
      <c r="G133" s="375">
        <v>11.0</v>
      </c>
      <c r="H133" s="375">
        <v>35.0</v>
      </c>
      <c r="I133" s="378">
        <v>74.52322738386309</v>
      </c>
      <c r="J133" s="379">
        <v>7.583333333333333</v>
      </c>
      <c r="K133" s="380">
        <v>0.0</v>
      </c>
      <c r="L133" s="378">
        <v>72.57142857142857</v>
      </c>
      <c r="M133" s="378">
        <v>74.52322738386309</v>
      </c>
      <c r="N133" s="378">
        <v>66.98901098901099</v>
      </c>
      <c r="O133" s="417">
        <v>0.0094</v>
      </c>
      <c r="P133" s="387">
        <v>0.025590551181102362</v>
      </c>
      <c r="Q133" s="415">
        <v>0.0059</v>
      </c>
      <c r="R133" s="415">
        <v>0.0187</v>
      </c>
      <c r="S133" s="415">
        <v>0.0099</v>
      </c>
      <c r="T133" s="385">
        <v>0.0</v>
      </c>
      <c r="U133" s="375">
        <v>13.0</v>
      </c>
      <c r="V133" s="422" t="s">
        <v>418</v>
      </c>
      <c r="W133" s="387">
        <v>0.024175824175824177</v>
      </c>
      <c r="X133" s="378">
        <v>75.0</v>
      </c>
      <c r="Y133" s="387">
        <v>0.0345</v>
      </c>
      <c r="Z133" s="391">
        <v>0.9758241758241758</v>
      </c>
      <c r="AA133" s="391">
        <v>0.9936430317848411</v>
      </c>
      <c r="AB133" s="391">
        <v>0.9655</v>
      </c>
      <c r="AC133" s="391" t="s">
        <v>127</v>
      </c>
      <c r="AD133" s="395" t="s">
        <v>291</v>
      </c>
      <c r="AE133" s="395"/>
      <c r="AF133" s="395"/>
      <c r="AG133" s="395"/>
      <c r="AH133" s="395"/>
    </row>
    <row r="134" ht="30.75" customHeight="1">
      <c r="A134" s="373">
        <f t="shared" si="1"/>
        <v>46226</v>
      </c>
      <c r="B134" s="421">
        <v>0.8766313225058004</v>
      </c>
      <c r="C134" s="375">
        <v>463.0</v>
      </c>
      <c r="D134" s="376">
        <v>0.625</v>
      </c>
      <c r="E134" s="376">
        <v>0.9243055555555556</v>
      </c>
      <c r="F134" s="395">
        <v>431.00000000000006</v>
      </c>
      <c r="G134" s="375">
        <v>44.0</v>
      </c>
      <c r="H134" s="375">
        <v>30.0</v>
      </c>
      <c r="I134" s="378">
        <v>77.81512605042015</v>
      </c>
      <c r="J134" s="379">
        <v>7.1833333333333345</v>
      </c>
      <c r="K134" s="380">
        <v>0.0</v>
      </c>
      <c r="L134" s="378">
        <v>69.27680798004987</v>
      </c>
      <c r="M134" s="378">
        <v>77.81512605042015</v>
      </c>
      <c r="N134" s="378">
        <v>64.45475638051043</v>
      </c>
      <c r="O134" s="417">
        <v>0.0022</v>
      </c>
      <c r="P134" s="387">
        <v>0.0</v>
      </c>
      <c r="Q134" s="415">
        <v>0.0054</v>
      </c>
      <c r="R134" s="415">
        <v>0.0032</v>
      </c>
      <c r="S134" s="415">
        <v>0.0151</v>
      </c>
      <c r="T134" s="385">
        <v>0.0</v>
      </c>
      <c r="U134" s="406"/>
      <c r="V134" s="422" t="s">
        <v>419</v>
      </c>
      <c r="W134" s="387">
        <v>0.10208816705336425</v>
      </c>
      <c r="X134" s="378">
        <v>77.81512605042015</v>
      </c>
      <c r="Y134" s="387">
        <v>0.0237</v>
      </c>
      <c r="Z134" s="391">
        <v>0.8979118329466358</v>
      </c>
      <c r="AA134" s="391">
        <v>1.0</v>
      </c>
      <c r="AB134" s="391">
        <v>0.9763</v>
      </c>
      <c r="AC134" s="391" t="s">
        <v>127</v>
      </c>
      <c r="AD134" s="395" t="s">
        <v>291</v>
      </c>
      <c r="AE134" s="395"/>
      <c r="AF134" s="395"/>
      <c r="AG134" s="395"/>
      <c r="AH134" s="395"/>
    </row>
    <row r="135" ht="30.75" customHeight="1">
      <c r="A135" s="373">
        <f t="shared" si="1"/>
        <v>46227</v>
      </c>
      <c r="B135" s="421">
        <v>0.9725</v>
      </c>
      <c r="C135" s="375">
        <v>380.0</v>
      </c>
      <c r="D135" s="376">
        <v>0.6666666666666666</v>
      </c>
      <c r="E135" s="376">
        <v>0.8881944444444444</v>
      </c>
      <c r="F135" s="395">
        <v>319.0</v>
      </c>
      <c r="G135" s="375">
        <v>0.0</v>
      </c>
      <c r="H135" s="375">
        <v>30.0</v>
      </c>
      <c r="I135" s="378">
        <v>78.89273356401384</v>
      </c>
      <c r="J135" s="379">
        <v>5.316666666666666</v>
      </c>
      <c r="K135" s="380">
        <v>0.0</v>
      </c>
      <c r="L135" s="378">
        <v>78.89273356401384</v>
      </c>
      <c r="M135" s="378">
        <v>78.89273356401384</v>
      </c>
      <c r="N135" s="378">
        <v>71.47335423197492</v>
      </c>
      <c r="O135" s="417">
        <v>0.003</v>
      </c>
      <c r="P135" s="387">
        <v>0.021052631578947368</v>
      </c>
      <c r="Q135" s="415">
        <v>0.0039</v>
      </c>
      <c r="R135" s="415">
        <v>0.0039</v>
      </c>
      <c r="S135" s="415">
        <v>0.0171</v>
      </c>
      <c r="T135" s="385">
        <v>0.0026</v>
      </c>
      <c r="U135" s="375">
        <v>8.0</v>
      </c>
      <c r="V135" s="422" t="s">
        <v>420</v>
      </c>
      <c r="W135" s="387">
        <v>0.0</v>
      </c>
      <c r="X135" s="378">
        <v>78.89273356401384</v>
      </c>
      <c r="Y135" s="387">
        <v>0.027499999999999997</v>
      </c>
      <c r="Z135" s="391">
        <v>1.0</v>
      </c>
      <c r="AA135" s="391">
        <v>1.0</v>
      </c>
      <c r="AB135" s="391">
        <v>0.9725</v>
      </c>
      <c r="AC135" s="391" t="s">
        <v>127</v>
      </c>
      <c r="AD135" s="395" t="s">
        <v>291</v>
      </c>
      <c r="AE135" s="395"/>
      <c r="AF135" s="395"/>
      <c r="AG135" s="395"/>
      <c r="AH135" s="395"/>
    </row>
    <row r="136" ht="30.75" customHeight="1">
      <c r="A136" s="373">
        <f t="shared" si="1"/>
        <v>46228</v>
      </c>
      <c r="B136" s="421">
        <v>0.9296158227094008</v>
      </c>
      <c r="C136" s="375">
        <v>480.0</v>
      </c>
      <c r="D136" s="376">
        <v>0.5833333333333334</v>
      </c>
      <c r="E136" s="376">
        <v>0.8861111111111111</v>
      </c>
      <c r="F136" s="395">
        <v>435.9999999999999</v>
      </c>
      <c r="G136" s="375">
        <v>21.0</v>
      </c>
      <c r="H136" s="375">
        <v>30.0</v>
      </c>
      <c r="I136" s="378">
        <v>74.80519480519482</v>
      </c>
      <c r="J136" s="379">
        <v>7.266666666666665</v>
      </c>
      <c r="K136" s="380">
        <v>0.0</v>
      </c>
      <c r="L136" s="378">
        <v>70.93596059113302</v>
      </c>
      <c r="M136" s="378">
        <v>74.80519480519482</v>
      </c>
      <c r="N136" s="378">
        <v>66.05504587155966</v>
      </c>
      <c r="O136" s="417">
        <v>0.0036</v>
      </c>
      <c r="P136" s="387">
        <v>0.016666666666666666</v>
      </c>
      <c r="Q136" s="415">
        <v>0.0083</v>
      </c>
      <c r="R136" s="415">
        <v>0.0094</v>
      </c>
      <c r="S136" s="415">
        <v>0.0031</v>
      </c>
      <c r="T136" s="385">
        <v>0.0</v>
      </c>
      <c r="U136" s="375">
        <v>8.0</v>
      </c>
      <c r="V136" s="422" t="s">
        <v>421</v>
      </c>
      <c r="W136" s="387">
        <v>0.04816513761467891</v>
      </c>
      <c r="X136" s="378">
        <v>75.0</v>
      </c>
      <c r="Y136" s="387">
        <v>0.0208</v>
      </c>
      <c r="Z136" s="391">
        <v>0.9518348623853211</v>
      </c>
      <c r="AA136" s="391">
        <v>0.9974025974025975</v>
      </c>
      <c r="AB136" s="391">
        <v>0.9792</v>
      </c>
      <c r="AC136" s="391" t="s">
        <v>127</v>
      </c>
      <c r="AD136" s="395" t="s">
        <v>291</v>
      </c>
      <c r="AE136" s="395"/>
      <c r="AF136" s="395"/>
      <c r="AG136" s="395"/>
      <c r="AH136" s="395"/>
    </row>
    <row r="137" ht="30.75" customHeight="1">
      <c r="A137" s="373">
        <f t="shared" si="1"/>
        <v>46229</v>
      </c>
      <c r="B137" s="421" t="s">
        <v>289</v>
      </c>
      <c r="C137" s="375">
        <v>0.0</v>
      </c>
      <c r="D137" s="406"/>
      <c r="E137" s="376"/>
      <c r="F137" s="395" t="s">
        <v>289</v>
      </c>
      <c r="G137" s="406"/>
      <c r="H137" s="406"/>
      <c r="I137" s="378" t="s">
        <v>289</v>
      </c>
      <c r="J137" s="379" t="s">
        <v>289</v>
      </c>
      <c r="K137" s="407"/>
      <c r="L137" s="378" t="s">
        <v>289</v>
      </c>
      <c r="M137" s="378" t="s">
        <v>289</v>
      </c>
      <c r="N137" s="378" t="s">
        <v>289</v>
      </c>
      <c r="O137" s="409"/>
      <c r="P137" s="387" t="s">
        <v>289</v>
      </c>
      <c r="Q137" s="383"/>
      <c r="R137" s="383"/>
      <c r="S137" s="383"/>
      <c r="T137" s="410"/>
      <c r="U137" s="406"/>
      <c r="V137" s="386"/>
      <c r="W137" s="387" t="s">
        <v>289</v>
      </c>
      <c r="X137" s="378" t="s">
        <v>289</v>
      </c>
      <c r="Y137" s="387" t="s">
        <v>289</v>
      </c>
      <c r="Z137" s="391" t="s">
        <v>289</v>
      </c>
      <c r="AA137" s="391" t="s">
        <v>289</v>
      </c>
      <c r="AB137" s="391" t="s">
        <v>289</v>
      </c>
      <c r="AC137" s="391" t="s">
        <v>127</v>
      </c>
      <c r="AD137" s="395" t="s">
        <v>291</v>
      </c>
      <c r="AE137" s="395"/>
      <c r="AF137" s="395"/>
      <c r="AG137" s="395"/>
      <c r="AH137" s="395"/>
    </row>
    <row r="138" ht="30.75" customHeight="1">
      <c r="A138" s="373">
        <f t="shared" si="1"/>
        <v>46230</v>
      </c>
      <c r="B138" s="421">
        <v>0.9491090016366612</v>
      </c>
      <c r="C138" s="375">
        <v>677.0</v>
      </c>
      <c r="D138" s="376">
        <v>0.5416666666666666</v>
      </c>
      <c r="E138" s="376">
        <v>0.9659722222222222</v>
      </c>
      <c r="F138" s="395">
        <v>611.0</v>
      </c>
      <c r="G138" s="375">
        <v>25.0</v>
      </c>
      <c r="H138" s="375">
        <v>60.0</v>
      </c>
      <c r="I138" s="378">
        <v>77.22433460076044</v>
      </c>
      <c r="J138" s="379">
        <v>10.183333333333334</v>
      </c>
      <c r="K138" s="380">
        <v>0.0</v>
      </c>
      <c r="L138" s="378">
        <v>73.72050816696914</v>
      </c>
      <c r="M138" s="378">
        <v>77.22433460076044</v>
      </c>
      <c r="N138" s="378">
        <v>66.48117839607201</v>
      </c>
      <c r="O138" s="417">
        <v>0.0045</v>
      </c>
      <c r="P138" s="387">
        <v>0.01772525849335303</v>
      </c>
      <c r="Q138" s="415">
        <v>0.0</v>
      </c>
      <c r="R138" s="415">
        <v>0.0059</v>
      </c>
      <c r="S138" s="415">
        <v>0.0015</v>
      </c>
      <c r="T138" s="385">
        <v>0.003</v>
      </c>
      <c r="U138" s="375">
        <v>12.0</v>
      </c>
      <c r="V138" s="422" t="s">
        <v>422</v>
      </c>
      <c r="W138" s="387">
        <v>0.04091653027823241</v>
      </c>
      <c r="X138" s="378">
        <v>77.22433460076044</v>
      </c>
      <c r="Y138" s="387">
        <v>0.0104</v>
      </c>
      <c r="Z138" s="391">
        <v>0.9590834697217676</v>
      </c>
      <c r="AA138" s="391">
        <v>1.0</v>
      </c>
      <c r="AB138" s="391">
        <v>0.9896</v>
      </c>
      <c r="AC138" s="391" t="s">
        <v>127</v>
      </c>
      <c r="AD138" s="395" t="s">
        <v>291</v>
      </c>
      <c r="AE138" s="395"/>
      <c r="AF138" s="395"/>
      <c r="AG138" s="395"/>
      <c r="AH138" s="395"/>
    </row>
    <row r="139" ht="30.75" customHeight="1">
      <c r="A139" s="373">
        <f t="shared" si="1"/>
        <v>46231</v>
      </c>
      <c r="B139" s="421">
        <v>0.9313984120044262</v>
      </c>
      <c r="C139" s="375">
        <v>446.0</v>
      </c>
      <c r="D139" s="376">
        <v>0.5833333333333334</v>
      </c>
      <c r="E139" s="376">
        <v>0.8708333333333333</v>
      </c>
      <c r="F139" s="395">
        <v>413.99999999999994</v>
      </c>
      <c r="G139" s="375">
        <v>16.0</v>
      </c>
      <c r="H139" s="375">
        <v>40.0</v>
      </c>
      <c r="I139" s="378">
        <v>74.74860335195531</v>
      </c>
      <c r="J139" s="379">
        <v>6.8999999999999995</v>
      </c>
      <c r="K139" s="380">
        <v>0.0</v>
      </c>
      <c r="L139" s="378">
        <v>71.55080213903744</v>
      </c>
      <c r="M139" s="378">
        <v>74.74860335195531</v>
      </c>
      <c r="N139" s="378">
        <v>64.6376811594203</v>
      </c>
      <c r="O139" s="417">
        <v>0.0056</v>
      </c>
      <c r="P139" s="387">
        <v>0.013452914798206279</v>
      </c>
      <c r="Q139" s="415">
        <v>0.0179</v>
      </c>
      <c r="R139" s="415">
        <v>0.0011</v>
      </c>
      <c r="S139" s="415">
        <v>0.0078</v>
      </c>
      <c r="T139" s="385">
        <v>0.0011</v>
      </c>
      <c r="U139" s="375">
        <v>6.0</v>
      </c>
      <c r="V139" s="422" t="s">
        <v>423</v>
      </c>
      <c r="W139" s="387">
        <v>0.03864734299516909</v>
      </c>
      <c r="X139" s="378">
        <v>75.0</v>
      </c>
      <c r="Y139" s="387">
        <v>0.027899999999999998</v>
      </c>
      <c r="Z139" s="391">
        <v>0.961352657004831</v>
      </c>
      <c r="AA139" s="391">
        <v>0.9966480446927375</v>
      </c>
      <c r="AB139" s="391">
        <v>0.9721</v>
      </c>
      <c r="AC139" s="391" t="s">
        <v>127</v>
      </c>
      <c r="AD139" s="395" t="s">
        <v>291</v>
      </c>
      <c r="AE139" s="395"/>
      <c r="AF139" s="395"/>
      <c r="AG139" s="395"/>
      <c r="AH139" s="395"/>
    </row>
    <row r="140" ht="30.75" customHeight="1">
      <c r="A140" s="373">
        <f t="shared" si="1"/>
        <v>46232</v>
      </c>
      <c r="B140" s="421">
        <v>0.9389879518072288</v>
      </c>
      <c r="C140" s="375">
        <v>370.0</v>
      </c>
      <c r="D140" s="376">
        <v>0.6666666666666666</v>
      </c>
      <c r="E140" s="376">
        <v>0.8972222222222223</v>
      </c>
      <c r="F140" s="395">
        <v>332.0000000000001</v>
      </c>
      <c r="G140" s="375">
        <v>12.0</v>
      </c>
      <c r="H140" s="375">
        <v>30.0</v>
      </c>
      <c r="I140" s="378">
        <v>76.55172413793102</v>
      </c>
      <c r="J140" s="379">
        <v>5.533333333333335</v>
      </c>
      <c r="K140" s="380">
        <v>0.0</v>
      </c>
      <c r="L140" s="378">
        <v>73.50993377483441</v>
      </c>
      <c r="M140" s="378">
        <v>76.55172413793102</v>
      </c>
      <c r="N140" s="378">
        <v>66.86746987951805</v>
      </c>
      <c r="O140" s="417">
        <v>0.0082</v>
      </c>
      <c r="P140" s="387">
        <v>0.01891891891891892</v>
      </c>
      <c r="Q140" s="415">
        <v>0.0095</v>
      </c>
      <c r="R140" s="415">
        <v>0.0068</v>
      </c>
      <c r="S140" s="415">
        <v>0.0081</v>
      </c>
      <c r="T140" s="385">
        <v>0.0014</v>
      </c>
      <c r="U140" s="375">
        <v>7.0</v>
      </c>
      <c r="V140" s="422" t="s">
        <v>424</v>
      </c>
      <c r="W140" s="387">
        <v>0.036144578313253</v>
      </c>
      <c r="X140" s="378">
        <v>76.55172413793102</v>
      </c>
      <c r="Y140" s="387">
        <v>0.025799999999999997</v>
      </c>
      <c r="Z140" s="391">
        <v>0.963855421686747</v>
      </c>
      <c r="AA140" s="391">
        <v>1.0</v>
      </c>
      <c r="AB140" s="391">
        <v>0.9742</v>
      </c>
      <c r="AC140" s="391" t="s">
        <v>127</v>
      </c>
      <c r="AD140" s="395" t="s">
        <v>291</v>
      </c>
      <c r="AE140" s="395"/>
      <c r="AF140" s="395"/>
      <c r="AG140" s="395"/>
      <c r="AH140" s="395"/>
    </row>
    <row r="141" ht="30.75" customHeight="1">
      <c r="A141" s="373">
        <f t="shared" si="1"/>
        <v>46233</v>
      </c>
      <c r="B141" s="421">
        <v>0.6906119515504191</v>
      </c>
      <c r="C141" s="375">
        <v>532.0</v>
      </c>
      <c r="D141" s="376">
        <v>0.625</v>
      </c>
      <c r="E141" s="376">
        <v>1.0798611111111112</v>
      </c>
      <c r="F141" s="395">
        <v>655.0000000000001</v>
      </c>
      <c r="G141" s="375">
        <v>148.0</v>
      </c>
      <c r="H141" s="375">
        <v>40.0</v>
      </c>
      <c r="I141" s="378">
        <v>68.3511777301927</v>
      </c>
      <c r="J141" s="379">
        <v>10.916666666666668</v>
      </c>
      <c r="K141" s="380">
        <v>0.0</v>
      </c>
      <c r="L141" s="378">
        <v>51.90243902439023</v>
      </c>
      <c r="M141" s="378">
        <v>68.3511777301927</v>
      </c>
      <c r="N141" s="378">
        <v>48.732824427480914</v>
      </c>
      <c r="O141" s="417">
        <v>0.0037</v>
      </c>
      <c r="P141" s="387">
        <v>0.02631578947368421</v>
      </c>
      <c r="Q141" s="415">
        <v>0.004</v>
      </c>
      <c r="R141" s="415">
        <v>0.007</v>
      </c>
      <c r="S141" s="415">
        <v>0.007</v>
      </c>
      <c r="T141" s="385">
        <v>0.003</v>
      </c>
      <c r="U141" s="375">
        <v>14.0</v>
      </c>
      <c r="V141" s="422" t="s">
        <v>425</v>
      </c>
      <c r="W141" s="387">
        <v>0.2259541984732824</v>
      </c>
      <c r="X141" s="378">
        <v>75.0</v>
      </c>
      <c r="Y141" s="387">
        <v>0.020999999999999998</v>
      </c>
      <c r="Z141" s="391">
        <v>0.7740458015267175</v>
      </c>
      <c r="AA141" s="391">
        <v>0.9113490364025694</v>
      </c>
      <c r="AB141" s="391">
        <v>0.979</v>
      </c>
      <c r="AC141" s="391" t="s">
        <v>127</v>
      </c>
      <c r="AD141" s="395" t="s">
        <v>291</v>
      </c>
      <c r="AE141" s="395"/>
      <c r="AF141" s="395"/>
      <c r="AG141" s="395"/>
      <c r="AH141" s="395"/>
    </row>
    <row r="142" ht="30.75" customHeight="1">
      <c r="A142" s="373">
        <f t="shared" si="1"/>
        <v>46234</v>
      </c>
      <c r="B142" s="421">
        <v>0.819939393939394</v>
      </c>
      <c r="C142" s="375">
        <v>499.0</v>
      </c>
      <c r="D142" s="376">
        <v>0.6666666666666666</v>
      </c>
      <c r="E142" s="376">
        <v>1.0104166666666667</v>
      </c>
      <c r="F142" s="395">
        <v>495.0000000000002</v>
      </c>
      <c r="G142" s="375">
        <v>80.0</v>
      </c>
      <c r="H142" s="375">
        <v>30.0</v>
      </c>
      <c r="I142" s="378">
        <v>77.76623376623373</v>
      </c>
      <c r="J142" s="379">
        <v>8.250000000000004</v>
      </c>
      <c r="K142" s="380">
        <v>0.0</v>
      </c>
      <c r="L142" s="378">
        <v>64.38709677419352</v>
      </c>
      <c r="M142" s="378">
        <v>77.76623376623373</v>
      </c>
      <c r="N142" s="378">
        <v>60.484848484848456</v>
      </c>
      <c r="O142" s="417">
        <v>0.0193</v>
      </c>
      <c r="P142" s="387">
        <v>0.022044088176352707</v>
      </c>
      <c r="Q142" s="415">
        <v>0.003</v>
      </c>
      <c r="R142" s="415">
        <v>0.003</v>
      </c>
      <c r="S142" s="415">
        <v>0.012</v>
      </c>
      <c r="T142" s="385">
        <v>0.004</v>
      </c>
      <c r="U142" s="375">
        <v>11.0</v>
      </c>
      <c r="V142" s="422" t="s">
        <v>426</v>
      </c>
      <c r="W142" s="387">
        <v>0.16161616161616155</v>
      </c>
      <c r="X142" s="378">
        <v>77.76623376623373</v>
      </c>
      <c r="Y142" s="387">
        <v>0.022000000000000002</v>
      </c>
      <c r="Z142" s="391">
        <v>0.8383838383838385</v>
      </c>
      <c r="AA142" s="391">
        <v>1.0</v>
      </c>
      <c r="AB142" s="391">
        <v>0.978</v>
      </c>
      <c r="AC142" s="391" t="s">
        <v>127</v>
      </c>
      <c r="AD142" s="395" t="s">
        <v>291</v>
      </c>
      <c r="AE142" s="395"/>
      <c r="AF142" s="395"/>
      <c r="AG142" s="395"/>
      <c r="AH142" s="395"/>
    </row>
    <row r="143" ht="30.75" customHeight="1">
      <c r="A143" s="373">
        <f t="shared" si="1"/>
        <v>46235</v>
      </c>
      <c r="B143" s="421">
        <v>0.8735875389408101</v>
      </c>
      <c r="C143" s="375">
        <v>355.0</v>
      </c>
      <c r="D143" s="376">
        <v>0.5833333333333334</v>
      </c>
      <c r="E143" s="376">
        <v>0.80625</v>
      </c>
      <c r="F143" s="395">
        <v>321.0</v>
      </c>
      <c r="G143" s="375">
        <v>36.0</v>
      </c>
      <c r="H143" s="375">
        <v>0.0</v>
      </c>
      <c r="I143" s="378">
        <v>74.73684210526316</v>
      </c>
      <c r="J143" s="379">
        <v>5.35</v>
      </c>
      <c r="K143" s="380">
        <v>0.0</v>
      </c>
      <c r="L143" s="378">
        <v>66.35514018691589</v>
      </c>
      <c r="M143" s="378">
        <v>74.73684210526316</v>
      </c>
      <c r="N143" s="378">
        <v>66.35514018691589</v>
      </c>
      <c r="O143" s="417">
        <v>0.006</v>
      </c>
      <c r="P143" s="387">
        <v>0.016901408450704224</v>
      </c>
      <c r="Q143" s="415">
        <v>0.007</v>
      </c>
      <c r="R143" s="415">
        <v>0.0028</v>
      </c>
      <c r="S143" s="415">
        <v>0.0028</v>
      </c>
      <c r="T143" s="385">
        <v>0.0</v>
      </c>
      <c r="U143" s="375">
        <v>6.0</v>
      </c>
      <c r="V143" s="422" t="s">
        <v>427</v>
      </c>
      <c r="W143" s="387">
        <v>0.11214953271028037</v>
      </c>
      <c r="X143" s="378">
        <v>75.0</v>
      </c>
      <c r="Y143" s="387">
        <v>0.0126</v>
      </c>
      <c r="Z143" s="391">
        <v>0.8878504672897196</v>
      </c>
      <c r="AA143" s="391">
        <v>0.9964912280701755</v>
      </c>
      <c r="AB143" s="391">
        <v>0.9874</v>
      </c>
      <c r="AC143" s="391" t="s">
        <v>129</v>
      </c>
      <c r="AD143" s="395" t="s">
        <v>291</v>
      </c>
      <c r="AE143" s="395"/>
      <c r="AF143" s="395"/>
      <c r="AG143" s="395"/>
      <c r="AH143" s="395"/>
    </row>
    <row r="144" ht="30.75" customHeight="1">
      <c r="A144" s="373">
        <f t="shared" si="1"/>
        <v>46236</v>
      </c>
      <c r="B144" s="421" t="s">
        <v>289</v>
      </c>
      <c r="C144" s="375">
        <v>0.0</v>
      </c>
      <c r="D144" s="406"/>
      <c r="E144" s="376"/>
      <c r="F144" s="395" t="s">
        <v>289</v>
      </c>
      <c r="G144" s="406"/>
      <c r="H144" s="406"/>
      <c r="I144" s="378" t="s">
        <v>289</v>
      </c>
      <c r="J144" s="379" t="s">
        <v>289</v>
      </c>
      <c r="K144" s="407"/>
      <c r="L144" s="378" t="s">
        <v>289</v>
      </c>
      <c r="M144" s="378" t="s">
        <v>289</v>
      </c>
      <c r="N144" s="378" t="s">
        <v>289</v>
      </c>
      <c r="O144" s="409"/>
      <c r="P144" s="387" t="s">
        <v>289</v>
      </c>
      <c r="Q144" s="383"/>
      <c r="R144" s="383"/>
      <c r="S144" s="383"/>
      <c r="T144" s="410"/>
      <c r="U144" s="406"/>
      <c r="V144" s="386"/>
      <c r="W144" s="387" t="s">
        <v>289</v>
      </c>
      <c r="X144" s="378" t="s">
        <v>289</v>
      </c>
      <c r="Y144" s="387" t="s">
        <v>289</v>
      </c>
      <c r="Z144" s="391" t="s">
        <v>289</v>
      </c>
      <c r="AA144" s="391" t="s">
        <v>289</v>
      </c>
      <c r="AB144" s="391" t="s">
        <v>289</v>
      </c>
      <c r="AC144" s="391" t="s">
        <v>129</v>
      </c>
      <c r="AD144" s="395" t="s">
        <v>291</v>
      </c>
      <c r="AE144" s="395"/>
      <c r="AF144" s="395"/>
      <c r="AG144" s="395"/>
      <c r="AH144" s="395"/>
    </row>
    <row r="145" ht="30.75" customHeight="1">
      <c r="A145" s="373">
        <f t="shared" si="1"/>
        <v>46237</v>
      </c>
      <c r="B145" s="421">
        <v>0.9154728155339805</v>
      </c>
      <c r="C145" s="375">
        <v>540.0</v>
      </c>
      <c r="D145" s="376">
        <v>0.5833333333333334</v>
      </c>
      <c r="E145" s="376">
        <v>0.9409722222222222</v>
      </c>
      <c r="F145" s="395">
        <v>514.9999999999999</v>
      </c>
      <c r="G145" s="375">
        <v>30.0</v>
      </c>
      <c r="H145" s="375">
        <v>60.0</v>
      </c>
      <c r="I145" s="378">
        <v>76.23529411764709</v>
      </c>
      <c r="J145" s="379">
        <v>8.583333333333332</v>
      </c>
      <c r="K145" s="380">
        <v>0.0</v>
      </c>
      <c r="L145" s="378">
        <v>71.20879120879123</v>
      </c>
      <c r="M145" s="378">
        <v>76.23529411764709</v>
      </c>
      <c r="N145" s="378">
        <v>62.91262135922331</v>
      </c>
      <c r="O145" s="417">
        <v>0.007</v>
      </c>
      <c r="P145" s="387">
        <v>0.025925925925925925</v>
      </c>
      <c r="Q145" s="415">
        <v>0.013</v>
      </c>
      <c r="R145" s="415">
        <v>0.0019</v>
      </c>
      <c r="S145" s="415">
        <v>0.013</v>
      </c>
      <c r="T145" s="385">
        <v>0.0</v>
      </c>
      <c r="U145" s="375">
        <v>14.0</v>
      </c>
      <c r="V145" s="422" t="s">
        <v>428</v>
      </c>
      <c r="W145" s="387">
        <v>0.058252427184466035</v>
      </c>
      <c r="X145" s="378">
        <v>76.23529411764709</v>
      </c>
      <c r="Y145" s="387">
        <v>0.0279</v>
      </c>
      <c r="Z145" s="391">
        <v>0.941747572815534</v>
      </c>
      <c r="AA145" s="391">
        <v>1.0</v>
      </c>
      <c r="AB145" s="391">
        <v>0.9721</v>
      </c>
      <c r="AC145" s="391" t="s">
        <v>129</v>
      </c>
      <c r="AD145" s="395" t="s">
        <v>291</v>
      </c>
      <c r="AE145" s="395"/>
      <c r="AF145" s="395"/>
      <c r="AG145" s="395"/>
      <c r="AH145" s="395"/>
    </row>
    <row r="146" ht="30.75" customHeight="1">
      <c r="A146" s="373">
        <f t="shared" si="1"/>
        <v>46238</v>
      </c>
      <c r="B146" s="421">
        <v>0.8990739381116105</v>
      </c>
      <c r="C146" s="375">
        <v>492.0</v>
      </c>
      <c r="D146" s="376">
        <v>0.5833333333333334</v>
      </c>
      <c r="E146" s="376">
        <v>0.9</v>
      </c>
      <c r="F146" s="395">
        <v>456.0</v>
      </c>
      <c r="G146" s="375">
        <v>28.0</v>
      </c>
      <c r="H146" s="375">
        <v>30.0</v>
      </c>
      <c r="I146" s="378">
        <v>74.17085427135677</v>
      </c>
      <c r="J146" s="379">
        <v>7.6</v>
      </c>
      <c r="K146" s="380">
        <v>0.0</v>
      </c>
      <c r="L146" s="378">
        <v>69.29577464788733</v>
      </c>
      <c r="M146" s="378">
        <v>74.17085427135677</v>
      </c>
      <c r="N146" s="378">
        <v>64.73684210526316</v>
      </c>
      <c r="O146" s="417">
        <v>0.0077</v>
      </c>
      <c r="P146" s="387">
        <v>0.02032520325203252</v>
      </c>
      <c r="Q146" s="415">
        <v>0.0122</v>
      </c>
      <c r="R146" s="415">
        <v>0.003</v>
      </c>
      <c r="S146" s="415">
        <v>0.0112</v>
      </c>
      <c r="T146" s="385">
        <v>0.005</v>
      </c>
      <c r="U146" s="375">
        <v>10.0</v>
      </c>
      <c r="V146" s="422" t="s">
        <v>429</v>
      </c>
      <c r="W146" s="387">
        <v>0.06140350877192982</v>
      </c>
      <c r="X146" s="378">
        <v>75.0</v>
      </c>
      <c r="Y146" s="387">
        <v>0.0314</v>
      </c>
      <c r="Z146" s="391">
        <v>0.9385964912280702</v>
      </c>
      <c r="AA146" s="391">
        <v>0.9889447236180903</v>
      </c>
      <c r="AB146" s="391">
        <v>0.9686</v>
      </c>
      <c r="AC146" s="391" t="s">
        <v>129</v>
      </c>
      <c r="AD146" s="395" t="s">
        <v>291</v>
      </c>
      <c r="AE146" s="395"/>
      <c r="AF146" s="395"/>
      <c r="AG146" s="395"/>
      <c r="AH146" s="395"/>
    </row>
    <row r="147" ht="30.75" customHeight="1">
      <c r="A147" s="373">
        <f t="shared" si="1"/>
        <v>46239</v>
      </c>
      <c r="B147" s="421">
        <v>0.8852221818763039</v>
      </c>
      <c r="C147" s="375">
        <v>545.0</v>
      </c>
      <c r="D147" s="376">
        <v>0.5833333333333334</v>
      </c>
      <c r="E147" s="376">
        <v>0.9493055555555555</v>
      </c>
      <c r="F147" s="395">
        <v>526.9999999999999</v>
      </c>
      <c r="G147" s="375">
        <v>19.0</v>
      </c>
      <c r="H147" s="375">
        <v>45.0</v>
      </c>
      <c r="I147" s="378">
        <v>70.62634989200865</v>
      </c>
      <c r="J147" s="379">
        <v>8.783333333333331</v>
      </c>
      <c r="K147" s="380">
        <v>0.0</v>
      </c>
      <c r="L147" s="378">
        <v>67.8423236514523</v>
      </c>
      <c r="M147" s="378">
        <v>70.62634989200865</v>
      </c>
      <c r="N147" s="378">
        <v>62.04933586337762</v>
      </c>
      <c r="O147" s="417">
        <v>0.0189</v>
      </c>
      <c r="P147" s="387">
        <v>0.05688073394495413</v>
      </c>
      <c r="Q147" s="415">
        <v>0.0064</v>
      </c>
      <c r="R147" s="415">
        <v>0.0101</v>
      </c>
      <c r="S147" s="415">
        <v>0.0083</v>
      </c>
      <c r="T147" s="385">
        <v>0.0</v>
      </c>
      <c r="U147" s="375">
        <v>31.0</v>
      </c>
      <c r="V147" s="422" t="s">
        <v>431</v>
      </c>
      <c r="W147" s="387">
        <v>0.03605313092979128</v>
      </c>
      <c r="X147" s="378">
        <v>75.0</v>
      </c>
      <c r="Y147" s="387">
        <v>0.024800000000000003</v>
      </c>
      <c r="Z147" s="391">
        <v>0.9639468690702088</v>
      </c>
      <c r="AA147" s="391">
        <v>0.941684665226782</v>
      </c>
      <c r="AB147" s="391">
        <v>0.9752</v>
      </c>
      <c r="AC147" s="391" t="s">
        <v>129</v>
      </c>
      <c r="AD147" s="395" t="s">
        <v>291</v>
      </c>
      <c r="AE147" s="395"/>
      <c r="AF147" s="395"/>
      <c r="AG147" s="395"/>
      <c r="AH147" s="395"/>
    </row>
    <row r="148" ht="30.75" customHeight="1">
      <c r="A148" s="373">
        <f t="shared" si="1"/>
        <v>46240</v>
      </c>
      <c r="B148" s="421">
        <v>0.9431927437641723</v>
      </c>
      <c r="C148" s="375">
        <v>494.0</v>
      </c>
      <c r="D148" s="376">
        <v>0.5833333333333334</v>
      </c>
      <c r="E148" s="376">
        <v>0.8895833333333333</v>
      </c>
      <c r="F148" s="395">
        <v>440.9999999999999</v>
      </c>
      <c r="G148" s="375">
        <v>20.0</v>
      </c>
      <c r="H148" s="375">
        <v>30.0</v>
      </c>
      <c r="I148" s="378">
        <v>75.8056265984655</v>
      </c>
      <c r="J148" s="379">
        <v>7.349999999999998</v>
      </c>
      <c r="K148" s="380">
        <v>0.0</v>
      </c>
      <c r="L148" s="378">
        <v>72.1167883211679</v>
      </c>
      <c r="M148" s="378">
        <v>75.8056265984655</v>
      </c>
      <c r="N148" s="378">
        <v>67.21088435374152</v>
      </c>
      <c r="O148" s="417">
        <v>0.0061</v>
      </c>
      <c r="P148" s="387">
        <v>0.022267206477732792</v>
      </c>
      <c r="Q148" s="415">
        <v>0.004</v>
      </c>
      <c r="R148" s="415">
        <v>0.003</v>
      </c>
      <c r="S148" s="415">
        <v>0.004</v>
      </c>
      <c r="T148" s="385">
        <v>0.001</v>
      </c>
      <c r="U148" s="375">
        <v>11.0</v>
      </c>
      <c r="V148" s="422" t="s">
        <v>432</v>
      </c>
      <c r="W148" s="387">
        <v>0.04535147392290251</v>
      </c>
      <c r="X148" s="378">
        <v>75.8056265984655</v>
      </c>
      <c r="Y148" s="387">
        <v>0.012</v>
      </c>
      <c r="Z148" s="391">
        <v>0.9546485260770975</v>
      </c>
      <c r="AA148" s="391">
        <v>1.0</v>
      </c>
      <c r="AB148" s="391">
        <v>0.988</v>
      </c>
      <c r="AC148" s="391" t="s">
        <v>129</v>
      </c>
      <c r="AD148" s="395" t="s">
        <v>291</v>
      </c>
      <c r="AE148" s="395"/>
      <c r="AF148" s="395"/>
      <c r="AG148" s="395"/>
      <c r="AH148" s="395"/>
    </row>
    <row r="149" ht="30.75" customHeight="1">
      <c r="A149" s="373">
        <f t="shared" si="1"/>
        <v>46241</v>
      </c>
      <c r="B149" s="421">
        <v>0.9191743702893049</v>
      </c>
      <c r="C149" s="375">
        <v>390.0</v>
      </c>
      <c r="D149" s="376">
        <v>0.625</v>
      </c>
      <c r="E149" s="376">
        <v>0.8763888888888889</v>
      </c>
      <c r="F149" s="395">
        <v>362.0</v>
      </c>
      <c r="G149" s="375">
        <v>19.0</v>
      </c>
      <c r="H149" s="375">
        <v>30.0</v>
      </c>
      <c r="I149" s="378">
        <v>74.76038338658147</v>
      </c>
      <c r="J149" s="379">
        <v>6.033333333333333</v>
      </c>
      <c r="K149" s="380">
        <v>0.0</v>
      </c>
      <c r="L149" s="378">
        <v>70.48192771084338</v>
      </c>
      <c r="M149" s="378">
        <v>74.76038338658147</v>
      </c>
      <c r="N149" s="378">
        <v>64.64088397790056</v>
      </c>
      <c r="O149" s="417">
        <v>0.0078</v>
      </c>
      <c r="P149" s="387">
        <v>0.017948717948717947</v>
      </c>
      <c r="Q149" s="415">
        <v>0.0077</v>
      </c>
      <c r="R149" s="415">
        <v>0.0026</v>
      </c>
      <c r="S149" s="415">
        <v>0.0115</v>
      </c>
      <c r="T149" s="385">
        <v>0.005</v>
      </c>
      <c r="U149" s="375">
        <v>7.0</v>
      </c>
      <c r="V149" s="422" t="s">
        <v>433</v>
      </c>
      <c r="W149" s="387">
        <v>0.052486187845303865</v>
      </c>
      <c r="X149" s="378">
        <v>75.0</v>
      </c>
      <c r="Y149" s="387">
        <v>0.0268</v>
      </c>
      <c r="Z149" s="391">
        <v>0.9475138121546961</v>
      </c>
      <c r="AA149" s="391">
        <v>0.9968051118210862</v>
      </c>
      <c r="AB149" s="391">
        <v>0.9732</v>
      </c>
      <c r="AC149" s="391" t="s">
        <v>129</v>
      </c>
      <c r="AD149" s="395" t="s">
        <v>291</v>
      </c>
      <c r="AE149" s="395"/>
      <c r="AF149" s="395"/>
      <c r="AG149" s="395"/>
      <c r="AH149" s="395"/>
    </row>
    <row r="150" ht="30.75" customHeight="1">
      <c r="A150" s="373">
        <f t="shared" si="1"/>
        <v>46242</v>
      </c>
      <c r="B150" s="421">
        <v>0.839828053657302</v>
      </c>
      <c r="C150" s="375">
        <v>434.0</v>
      </c>
      <c r="D150" s="376">
        <v>0.5416666666666666</v>
      </c>
      <c r="E150" s="376">
        <v>0.8465277777777778</v>
      </c>
      <c r="F150" s="395">
        <v>439.00000000000006</v>
      </c>
      <c r="G150" s="375">
        <v>31.0</v>
      </c>
      <c r="H150" s="375">
        <v>30.0</v>
      </c>
      <c r="I150" s="378">
        <v>68.88888888888889</v>
      </c>
      <c r="J150" s="379">
        <v>7.316666666666667</v>
      </c>
      <c r="K150" s="380">
        <v>0.0</v>
      </c>
      <c r="L150" s="378">
        <v>63.66748166259168</v>
      </c>
      <c r="M150" s="378">
        <v>68.88888888888889</v>
      </c>
      <c r="N150" s="378">
        <v>59.316628701594524</v>
      </c>
      <c r="O150" s="417">
        <v>0.0178</v>
      </c>
      <c r="P150" s="387">
        <v>0.01152073732718894</v>
      </c>
      <c r="Q150" s="415">
        <v>0.0092</v>
      </c>
      <c r="R150" s="415">
        <v>0.0012</v>
      </c>
      <c r="S150" s="415">
        <v>0.0058</v>
      </c>
      <c r="T150" s="385">
        <v>0.0</v>
      </c>
      <c r="U150" s="375">
        <v>5.0</v>
      </c>
      <c r="V150" s="422" t="s">
        <v>434</v>
      </c>
      <c r="W150" s="387">
        <v>0.0706150341685649</v>
      </c>
      <c r="X150" s="378">
        <v>75.0</v>
      </c>
      <c r="Y150" s="387">
        <v>0.0162</v>
      </c>
      <c r="Z150" s="391">
        <v>0.929384965831435</v>
      </c>
      <c r="AA150" s="391">
        <v>0.9185185185185185</v>
      </c>
      <c r="AB150" s="391">
        <v>0.9838</v>
      </c>
      <c r="AC150" s="391" t="s">
        <v>129</v>
      </c>
      <c r="AD150" s="395" t="s">
        <v>291</v>
      </c>
      <c r="AE150" s="395"/>
      <c r="AF150" s="395"/>
      <c r="AG150" s="395"/>
      <c r="AH150" s="395"/>
    </row>
    <row r="151" ht="30.75" customHeight="1">
      <c r="A151" s="373">
        <f t="shared" si="1"/>
        <v>46243</v>
      </c>
      <c r="B151" s="421" t="s">
        <v>289</v>
      </c>
      <c r="C151" s="375">
        <v>0.0</v>
      </c>
      <c r="D151" s="406"/>
      <c r="E151" s="376"/>
      <c r="F151" s="395" t="s">
        <v>289</v>
      </c>
      <c r="G151" s="406"/>
      <c r="H151" s="406"/>
      <c r="I151" s="378" t="s">
        <v>289</v>
      </c>
      <c r="J151" s="379" t="s">
        <v>289</v>
      </c>
      <c r="K151" s="407"/>
      <c r="L151" s="378" t="s">
        <v>289</v>
      </c>
      <c r="M151" s="378" t="s">
        <v>289</v>
      </c>
      <c r="N151" s="378" t="s">
        <v>289</v>
      </c>
      <c r="O151" s="409"/>
      <c r="P151" s="387" t="s">
        <v>289</v>
      </c>
      <c r="Q151" s="383"/>
      <c r="R151" s="383"/>
      <c r="S151" s="383"/>
      <c r="T151" s="410"/>
      <c r="U151" s="406"/>
      <c r="V151" s="386"/>
      <c r="W151" s="387" t="s">
        <v>289</v>
      </c>
      <c r="X151" s="378" t="s">
        <v>289</v>
      </c>
      <c r="Y151" s="387" t="s">
        <v>289</v>
      </c>
      <c r="Z151" s="391" t="s">
        <v>289</v>
      </c>
      <c r="AA151" s="391" t="s">
        <v>289</v>
      </c>
      <c r="AB151" s="391" t="s">
        <v>289</v>
      </c>
      <c r="AC151" s="391" t="s">
        <v>129</v>
      </c>
      <c r="AD151" s="395" t="s">
        <v>291</v>
      </c>
      <c r="AE151" s="395"/>
      <c r="AF151" s="395"/>
      <c r="AG151" s="395"/>
      <c r="AH151" s="395"/>
    </row>
    <row r="152" ht="30.75" customHeight="1">
      <c r="A152" s="373">
        <f t="shared" si="1"/>
        <v>46244</v>
      </c>
      <c r="B152" s="421">
        <v>0.8844852941176471</v>
      </c>
      <c r="C152" s="375">
        <v>600.0</v>
      </c>
      <c r="D152" s="376">
        <v>0.5416666666666666</v>
      </c>
      <c r="E152" s="376">
        <v>0.9430555555555555</v>
      </c>
      <c r="F152" s="395">
        <v>578.0</v>
      </c>
      <c r="G152" s="375">
        <v>55.0</v>
      </c>
      <c r="H152" s="375">
        <v>60.0</v>
      </c>
      <c r="I152" s="378">
        <v>77.75377969762418</v>
      </c>
      <c r="J152" s="379">
        <v>9.633333333333333</v>
      </c>
      <c r="K152" s="380">
        <v>0.0</v>
      </c>
      <c r="L152" s="378">
        <v>69.4980694980695</v>
      </c>
      <c r="M152" s="378">
        <v>77.75377969762418</v>
      </c>
      <c r="N152" s="378">
        <v>62.28373702422146</v>
      </c>
      <c r="O152" s="417">
        <v>0.0063</v>
      </c>
      <c r="P152" s="387">
        <v>0.016666666666666666</v>
      </c>
      <c r="Q152" s="415">
        <v>0.0133</v>
      </c>
      <c r="R152" s="415">
        <v>0.0017</v>
      </c>
      <c r="S152" s="415">
        <v>0.0067</v>
      </c>
      <c r="T152" s="385">
        <v>8.0E-4</v>
      </c>
      <c r="U152" s="375">
        <v>10.0</v>
      </c>
      <c r="V152" s="422" t="s">
        <v>435</v>
      </c>
      <c r="W152" s="387">
        <v>0.09515570934256055</v>
      </c>
      <c r="X152" s="378">
        <v>77.75377969762418</v>
      </c>
      <c r="Y152" s="387">
        <v>0.0225</v>
      </c>
      <c r="Z152" s="391">
        <v>0.9048442906574394</v>
      </c>
      <c r="AA152" s="391">
        <v>1.0</v>
      </c>
      <c r="AB152" s="391">
        <v>0.9775</v>
      </c>
      <c r="AC152" s="391" t="s">
        <v>129</v>
      </c>
      <c r="AD152" s="395" t="s">
        <v>291</v>
      </c>
      <c r="AE152" s="395"/>
      <c r="AF152" s="395"/>
      <c r="AG152" s="395"/>
      <c r="AH152" s="395"/>
    </row>
    <row r="153" ht="30.75" customHeight="1">
      <c r="A153" s="373">
        <f t="shared" si="1"/>
        <v>46245</v>
      </c>
      <c r="B153" s="421">
        <v>0.8086258330896875</v>
      </c>
      <c r="C153" s="375">
        <v>570.0</v>
      </c>
      <c r="D153" s="376">
        <v>0.6006944444444444</v>
      </c>
      <c r="E153" s="376">
        <v>1.0159722222222223</v>
      </c>
      <c r="F153" s="395">
        <v>598.0000000000001</v>
      </c>
      <c r="G153" s="375">
        <v>89.0</v>
      </c>
      <c r="H153" s="375">
        <v>40.0</v>
      </c>
      <c r="I153" s="378">
        <v>72.92110874200425</v>
      </c>
      <c r="J153" s="379">
        <v>9.966666666666669</v>
      </c>
      <c r="K153" s="380">
        <v>25.0</v>
      </c>
      <c r="L153" s="378">
        <v>61.290322580645146</v>
      </c>
      <c r="M153" s="378">
        <v>72.92110874200425</v>
      </c>
      <c r="N153" s="378">
        <v>57.190635451505</v>
      </c>
      <c r="O153" s="417">
        <v>0.0119</v>
      </c>
      <c r="P153" s="387">
        <v>0.02280701754385965</v>
      </c>
      <c r="Q153" s="415">
        <v>0.007</v>
      </c>
      <c r="R153" s="415">
        <v>0.0088</v>
      </c>
      <c r="S153" s="415">
        <v>0.0053</v>
      </c>
      <c r="T153" s="385">
        <v>0.0018</v>
      </c>
      <c r="U153" s="375">
        <v>13.0</v>
      </c>
      <c r="V153" s="422" t="s">
        <v>436</v>
      </c>
      <c r="W153" s="387">
        <v>0.14882943143812707</v>
      </c>
      <c r="X153" s="378">
        <v>75.0</v>
      </c>
      <c r="Y153" s="387">
        <v>0.0229</v>
      </c>
      <c r="Z153" s="391">
        <v>0.8511705685618729</v>
      </c>
      <c r="AA153" s="391">
        <v>0.97228144989339</v>
      </c>
      <c r="AB153" s="391">
        <v>0.9771</v>
      </c>
      <c r="AC153" s="391" t="s">
        <v>129</v>
      </c>
      <c r="AD153" s="395" t="s">
        <v>291</v>
      </c>
      <c r="AE153" s="395"/>
      <c r="AF153" s="395"/>
      <c r="AG153" s="395"/>
      <c r="AH153" s="395"/>
    </row>
    <row r="154" ht="30.75" customHeight="1">
      <c r="A154" s="373">
        <f t="shared" si="1"/>
        <v>46246</v>
      </c>
      <c r="B154" s="421">
        <v>0.9146926829268293</v>
      </c>
      <c r="C154" s="375">
        <v>507.0</v>
      </c>
      <c r="D154" s="376">
        <v>0.5833333333333334</v>
      </c>
      <c r="E154" s="376">
        <v>0.8965277777777778</v>
      </c>
      <c r="F154" s="395">
        <v>451.0</v>
      </c>
      <c r="G154" s="375">
        <v>22.0</v>
      </c>
      <c r="H154" s="375">
        <v>30.0</v>
      </c>
      <c r="I154" s="378">
        <v>76.2406015037594</v>
      </c>
      <c r="J154" s="379">
        <v>7.516666666666667</v>
      </c>
      <c r="K154" s="380">
        <v>0.0</v>
      </c>
      <c r="L154" s="378">
        <v>72.25653206650831</v>
      </c>
      <c r="M154" s="378">
        <v>76.2406015037594</v>
      </c>
      <c r="N154" s="378">
        <v>67.45011086474501</v>
      </c>
      <c r="O154" s="417">
        <v>0.0084</v>
      </c>
      <c r="P154" s="387">
        <v>0.015779092702169626</v>
      </c>
      <c r="Q154" s="415">
        <v>0.0187</v>
      </c>
      <c r="R154" s="415">
        <v>0.0049</v>
      </c>
      <c r="S154" s="415">
        <v>0.0128</v>
      </c>
      <c r="T154" s="385">
        <v>0.002</v>
      </c>
      <c r="U154" s="375">
        <v>8.0</v>
      </c>
      <c r="V154" s="422" t="s">
        <v>437</v>
      </c>
      <c r="W154" s="387">
        <v>0.04878048780487805</v>
      </c>
      <c r="X154" s="378">
        <v>76.2406015037594</v>
      </c>
      <c r="Y154" s="387">
        <v>0.038400000000000004</v>
      </c>
      <c r="Z154" s="391">
        <v>0.9512195121951219</v>
      </c>
      <c r="AA154" s="391">
        <v>1.0</v>
      </c>
      <c r="AB154" s="391">
        <v>0.9616</v>
      </c>
      <c r="AC154" s="391" t="s">
        <v>129</v>
      </c>
      <c r="AD154" s="395" t="s">
        <v>291</v>
      </c>
      <c r="AE154" s="395"/>
      <c r="AF154" s="395"/>
      <c r="AG154" s="395"/>
      <c r="AH154" s="395"/>
    </row>
    <row r="155" ht="30.75" customHeight="1">
      <c r="A155" s="373">
        <f t="shared" si="1"/>
        <v>46247</v>
      </c>
      <c r="B155" s="421">
        <v>0.8723065068493149</v>
      </c>
      <c r="C155" s="375">
        <v>450.0</v>
      </c>
      <c r="D155" s="376">
        <v>0.6666666666666666</v>
      </c>
      <c r="E155" s="376">
        <v>0.9708333333333333</v>
      </c>
      <c r="F155" s="395">
        <v>438.00000000000006</v>
      </c>
      <c r="G155" s="375">
        <v>24.0</v>
      </c>
      <c r="H155" s="375">
        <v>30.0</v>
      </c>
      <c r="I155" s="378">
        <v>70.31249999999999</v>
      </c>
      <c r="J155" s="379">
        <v>7.300000000000001</v>
      </c>
      <c r="K155" s="380">
        <v>0.0</v>
      </c>
      <c r="L155" s="378">
        <v>66.17647058823529</v>
      </c>
      <c r="M155" s="378">
        <v>70.31249999999999</v>
      </c>
      <c r="N155" s="378">
        <v>61.64383561643835</v>
      </c>
      <c r="O155" s="417">
        <v>0.0127</v>
      </c>
      <c r="P155" s="387">
        <v>0.015555555555555555</v>
      </c>
      <c r="Q155" s="415">
        <v>0.0067</v>
      </c>
      <c r="R155" s="415">
        <v>0.0056</v>
      </c>
      <c r="S155" s="415">
        <v>0.0022</v>
      </c>
      <c r="T155" s="385">
        <v>0.0011</v>
      </c>
      <c r="U155" s="375">
        <v>7.0</v>
      </c>
      <c r="V155" s="422" t="s">
        <v>438</v>
      </c>
      <c r="W155" s="387">
        <v>0.054794520547945195</v>
      </c>
      <c r="X155" s="378">
        <v>75.0</v>
      </c>
      <c r="Y155" s="387">
        <v>0.015600000000000001</v>
      </c>
      <c r="Z155" s="391">
        <v>0.9452054794520548</v>
      </c>
      <c r="AA155" s="391">
        <v>0.9374999999999998</v>
      </c>
      <c r="AB155" s="391">
        <v>0.9844</v>
      </c>
      <c r="AC155" s="391" t="s">
        <v>129</v>
      </c>
      <c r="AD155" s="395" t="s">
        <v>291</v>
      </c>
      <c r="AE155" s="395"/>
      <c r="AF155" s="395"/>
      <c r="AG155" s="395"/>
      <c r="AH155" s="395"/>
    </row>
    <row r="156" ht="30.75" customHeight="1">
      <c r="A156" s="373">
        <f t="shared" si="1"/>
        <v>46248</v>
      </c>
      <c r="B156" s="421">
        <v>0.7359097888675624</v>
      </c>
      <c r="C156" s="375">
        <v>471.0</v>
      </c>
      <c r="D156" s="376">
        <v>0.625</v>
      </c>
      <c r="E156" s="376">
        <v>0.9868055555555556</v>
      </c>
      <c r="F156" s="395">
        <v>521.0</v>
      </c>
      <c r="G156" s="375">
        <v>131.0</v>
      </c>
      <c r="H156" s="375">
        <v>30.0</v>
      </c>
      <c r="I156" s="378">
        <v>78.5</v>
      </c>
      <c r="J156" s="379">
        <v>8.683333333333334</v>
      </c>
      <c r="K156" s="380">
        <v>0.0</v>
      </c>
      <c r="L156" s="378">
        <v>57.556008146639506</v>
      </c>
      <c r="M156" s="378">
        <v>78.5</v>
      </c>
      <c r="N156" s="378">
        <v>54.241842610364685</v>
      </c>
      <c r="O156" s="417">
        <v>0.0046</v>
      </c>
      <c r="P156" s="387">
        <v>0.006369426751592357</v>
      </c>
      <c r="Q156" s="415">
        <v>0.0106</v>
      </c>
      <c r="R156" s="415">
        <v>0.0021</v>
      </c>
      <c r="S156" s="415">
        <v>0.0042</v>
      </c>
      <c r="T156" s="385">
        <v>0.0</v>
      </c>
      <c r="U156" s="375">
        <v>3.0</v>
      </c>
      <c r="V156" s="422" t="s">
        <v>439</v>
      </c>
      <c r="W156" s="387">
        <v>0.2514395393474088</v>
      </c>
      <c r="X156" s="378">
        <v>78.5</v>
      </c>
      <c r="Y156" s="387">
        <v>0.0169</v>
      </c>
      <c r="Z156" s="391">
        <v>0.7485604606525912</v>
      </c>
      <c r="AA156" s="391">
        <v>1.0</v>
      </c>
      <c r="AB156" s="391">
        <v>0.9831</v>
      </c>
      <c r="AC156" s="391" t="s">
        <v>129</v>
      </c>
      <c r="AD156" s="395" t="s">
        <v>291</v>
      </c>
      <c r="AE156" s="395"/>
      <c r="AF156" s="395"/>
      <c r="AG156" s="395"/>
      <c r="AH156" s="395"/>
    </row>
    <row r="157" ht="30.75" customHeight="1">
      <c r="A157" s="373">
        <f t="shared" si="1"/>
        <v>46249</v>
      </c>
      <c r="B157" s="421">
        <v>0.888543820224719</v>
      </c>
      <c r="C157" s="375">
        <v>305.0</v>
      </c>
      <c r="D157" s="376">
        <v>0.8458333333333333</v>
      </c>
      <c r="E157" s="376">
        <v>1.03125</v>
      </c>
      <c r="F157" s="395">
        <v>267.0</v>
      </c>
      <c r="G157" s="375">
        <v>16.0</v>
      </c>
      <c r="H157" s="375">
        <v>0.0</v>
      </c>
      <c r="I157" s="378">
        <v>72.90836653386454</v>
      </c>
      <c r="J157" s="379">
        <v>4.45</v>
      </c>
      <c r="K157" s="380">
        <v>0.0</v>
      </c>
      <c r="L157" s="378">
        <v>68.53932584269663</v>
      </c>
      <c r="M157" s="378">
        <v>72.90836653386454</v>
      </c>
      <c r="N157" s="378">
        <v>68.53932584269663</v>
      </c>
      <c r="O157" s="417">
        <v>0.0033</v>
      </c>
      <c r="P157" s="387">
        <v>0.01639344262295082</v>
      </c>
      <c r="Q157" s="415">
        <v>0.0163</v>
      </c>
      <c r="R157" s="415">
        <v>0.0065</v>
      </c>
      <c r="S157" s="415">
        <v>0.0049</v>
      </c>
      <c r="T157" s="385">
        <v>0.0</v>
      </c>
      <c r="U157" s="375">
        <v>5.0</v>
      </c>
      <c r="V157" s="422" t="s">
        <v>440</v>
      </c>
      <c r="W157" s="387">
        <v>0.0599250936329588</v>
      </c>
      <c r="X157" s="378">
        <v>75.0</v>
      </c>
      <c r="Y157" s="387">
        <v>0.027699999999999995</v>
      </c>
      <c r="Z157" s="391">
        <v>0.9400749063670412</v>
      </c>
      <c r="AA157" s="391">
        <v>0.9721115537848605</v>
      </c>
      <c r="AB157" s="391">
        <v>0.9723</v>
      </c>
      <c r="AC157" s="391" t="s">
        <v>129</v>
      </c>
      <c r="AD157" s="395" t="s">
        <v>291</v>
      </c>
      <c r="AE157" s="395"/>
      <c r="AF157" s="395"/>
      <c r="AG157" s="395"/>
      <c r="AH157" s="395"/>
    </row>
    <row r="158" ht="30.75" customHeight="1">
      <c r="A158" s="373">
        <f t="shared" si="1"/>
        <v>46250</v>
      </c>
      <c r="B158" s="421" t="s">
        <v>289</v>
      </c>
      <c r="C158" s="375">
        <v>0.0</v>
      </c>
      <c r="D158" s="406"/>
      <c r="E158" s="376"/>
      <c r="F158" s="395" t="s">
        <v>289</v>
      </c>
      <c r="G158" s="406"/>
      <c r="H158" s="406"/>
      <c r="I158" s="378" t="s">
        <v>289</v>
      </c>
      <c r="J158" s="379" t="s">
        <v>289</v>
      </c>
      <c r="K158" s="407"/>
      <c r="L158" s="378" t="s">
        <v>289</v>
      </c>
      <c r="M158" s="378" t="s">
        <v>289</v>
      </c>
      <c r="N158" s="378" t="s">
        <v>289</v>
      </c>
      <c r="O158" s="409"/>
      <c r="P158" s="387" t="s">
        <v>289</v>
      </c>
      <c r="Q158" s="383"/>
      <c r="R158" s="383"/>
      <c r="S158" s="383"/>
      <c r="T158" s="410"/>
      <c r="U158" s="406"/>
      <c r="V158" s="386"/>
      <c r="W158" s="387" t="s">
        <v>289</v>
      </c>
      <c r="X158" s="378" t="s">
        <v>289</v>
      </c>
      <c r="Y158" s="387" t="s">
        <v>289</v>
      </c>
      <c r="Z158" s="391" t="s">
        <v>289</v>
      </c>
      <c r="AA158" s="391" t="s">
        <v>289</v>
      </c>
      <c r="AB158" s="391" t="s">
        <v>289</v>
      </c>
      <c r="AC158" s="391" t="s">
        <v>129</v>
      </c>
      <c r="AD158" s="395" t="s">
        <v>291</v>
      </c>
      <c r="AE158" s="395"/>
      <c r="AF158" s="395"/>
      <c r="AG158" s="395"/>
      <c r="AH158" s="395"/>
    </row>
    <row r="159" ht="30.75" customHeight="1">
      <c r="A159" s="373">
        <f t="shared" si="1"/>
        <v>46251</v>
      </c>
      <c r="B159" s="421">
        <v>0.9517254474708171</v>
      </c>
      <c r="C159" s="375">
        <v>628.0</v>
      </c>
      <c r="D159" s="376">
        <v>0.5416666666666666</v>
      </c>
      <c r="E159" s="376">
        <v>0.9402777777777778</v>
      </c>
      <c r="F159" s="395">
        <v>574.0</v>
      </c>
      <c r="G159" s="375">
        <v>0.0</v>
      </c>
      <c r="H159" s="375">
        <v>60.0</v>
      </c>
      <c r="I159" s="378">
        <v>73.30739299610894</v>
      </c>
      <c r="J159" s="379">
        <v>9.566666666666666</v>
      </c>
      <c r="K159" s="380">
        <v>0.0</v>
      </c>
      <c r="L159" s="378">
        <v>73.30739299610894</v>
      </c>
      <c r="M159" s="378">
        <v>73.30739299610894</v>
      </c>
      <c r="N159" s="378">
        <v>65.64459930313589</v>
      </c>
      <c r="O159" s="417">
        <v>0.008</v>
      </c>
      <c r="P159" s="387">
        <v>0.0031847133757961785</v>
      </c>
      <c r="Q159" s="415">
        <v>0.0207</v>
      </c>
      <c r="R159" s="415">
        <v>0.0016</v>
      </c>
      <c r="S159" s="415">
        <v>0.0032</v>
      </c>
      <c r="T159" s="385">
        <v>8.0E-4</v>
      </c>
      <c r="U159" s="375">
        <v>2.0</v>
      </c>
      <c r="V159" s="422" t="s">
        <v>441</v>
      </c>
      <c r="W159" s="387">
        <v>0.0</v>
      </c>
      <c r="X159" s="378">
        <v>75.0</v>
      </c>
      <c r="Y159" s="387">
        <v>0.0263</v>
      </c>
      <c r="Z159" s="391">
        <v>1.0</v>
      </c>
      <c r="AA159" s="391">
        <v>0.977431906614786</v>
      </c>
      <c r="AB159" s="391">
        <v>0.9737</v>
      </c>
      <c r="AC159" s="391" t="s">
        <v>129</v>
      </c>
      <c r="AD159" s="395" t="s">
        <v>291</v>
      </c>
      <c r="AE159" s="395"/>
      <c r="AF159" s="395"/>
      <c r="AG159" s="395"/>
      <c r="AH159" s="395"/>
    </row>
    <row r="160" ht="30.75" customHeight="1">
      <c r="A160" s="373">
        <f t="shared" si="1"/>
        <v>46252</v>
      </c>
      <c r="B160" s="421">
        <v>0.9058903070024146</v>
      </c>
      <c r="C160" s="375">
        <v>480.0</v>
      </c>
      <c r="D160" s="376">
        <v>0.625</v>
      </c>
      <c r="E160" s="376">
        <v>0.9347222222222222</v>
      </c>
      <c r="F160" s="395">
        <v>446.0</v>
      </c>
      <c r="G160" s="375">
        <v>26.0</v>
      </c>
      <c r="H160" s="375">
        <v>30.0</v>
      </c>
      <c r="I160" s="378">
        <v>73.84615384615384</v>
      </c>
      <c r="J160" s="379">
        <v>7.433333333333334</v>
      </c>
      <c r="K160" s="380">
        <v>0.0</v>
      </c>
      <c r="L160" s="378">
        <v>69.23076923076923</v>
      </c>
      <c r="M160" s="378">
        <v>73.84615384615384</v>
      </c>
      <c r="N160" s="378">
        <v>64.57399103139014</v>
      </c>
      <c r="O160" s="417">
        <v>0.0099</v>
      </c>
      <c r="P160" s="387">
        <v>0.0125</v>
      </c>
      <c r="Q160" s="415">
        <v>0.0115</v>
      </c>
      <c r="R160" s="415">
        <v>0.0073</v>
      </c>
      <c r="S160" s="415">
        <v>0.0021</v>
      </c>
      <c r="T160" s="385">
        <v>0.0021</v>
      </c>
      <c r="U160" s="375">
        <v>6.0</v>
      </c>
      <c r="V160" s="422" t="s">
        <v>442</v>
      </c>
      <c r="W160" s="387">
        <v>0.05829596412556054</v>
      </c>
      <c r="X160" s="378">
        <v>75.0</v>
      </c>
      <c r="Y160" s="387">
        <v>0.023000000000000003</v>
      </c>
      <c r="Z160" s="391">
        <v>0.9417040358744395</v>
      </c>
      <c r="AA160" s="391">
        <v>0.9846153846153846</v>
      </c>
      <c r="AB160" s="391">
        <v>0.977</v>
      </c>
      <c r="AC160" s="391" t="s">
        <v>129</v>
      </c>
      <c r="AD160" s="395" t="s">
        <v>291</v>
      </c>
      <c r="AE160" s="395"/>
      <c r="AF160" s="395"/>
      <c r="AG160" s="395"/>
      <c r="AH160" s="395"/>
    </row>
    <row r="161" ht="30.75" customHeight="1">
      <c r="A161" s="373">
        <f t="shared" si="1"/>
        <v>46253</v>
      </c>
      <c r="B161" s="421">
        <v>0.8680714350797267</v>
      </c>
      <c r="C161" s="375">
        <v>531.0</v>
      </c>
      <c r="D161" s="376">
        <v>0.625</v>
      </c>
      <c r="E161" s="376">
        <v>0.98125</v>
      </c>
      <c r="F161" s="395">
        <v>512.9999999999999</v>
      </c>
      <c r="G161" s="375">
        <v>39.0</v>
      </c>
      <c r="H161" s="375">
        <v>35.0</v>
      </c>
      <c r="I161" s="378">
        <v>72.5740318906606</v>
      </c>
      <c r="J161" s="379">
        <v>8.549999999999999</v>
      </c>
      <c r="K161" s="380">
        <v>0.0</v>
      </c>
      <c r="L161" s="378">
        <v>66.65271966527197</v>
      </c>
      <c r="M161" s="378">
        <v>72.5740318906606</v>
      </c>
      <c r="N161" s="378">
        <v>62.10526315789475</v>
      </c>
      <c r="O161" s="417">
        <v>0.0112</v>
      </c>
      <c r="P161" s="387">
        <v>0.02824858757062147</v>
      </c>
      <c r="Q161" s="415">
        <v>0.0056</v>
      </c>
      <c r="R161" s="415">
        <v>0.0197</v>
      </c>
      <c r="S161" s="415">
        <v>0.0038</v>
      </c>
      <c r="T161" s="385">
        <v>0.0</v>
      </c>
      <c r="U161" s="375">
        <v>15.0</v>
      </c>
      <c r="V161" s="422" t="s">
        <v>443</v>
      </c>
      <c r="W161" s="387">
        <v>0.07602339181286552</v>
      </c>
      <c r="X161" s="378">
        <v>75.0</v>
      </c>
      <c r="Y161" s="387">
        <v>0.0291</v>
      </c>
      <c r="Z161" s="391">
        <v>0.9239766081871345</v>
      </c>
      <c r="AA161" s="391">
        <v>0.9676537585421414</v>
      </c>
      <c r="AB161" s="391">
        <v>0.9709</v>
      </c>
      <c r="AC161" s="391" t="s">
        <v>129</v>
      </c>
      <c r="AD161" s="395" t="s">
        <v>291</v>
      </c>
      <c r="AE161" s="395"/>
      <c r="AF161" s="395"/>
      <c r="AG161" s="395"/>
      <c r="AH161" s="395"/>
    </row>
    <row r="162" ht="30.75" customHeight="1">
      <c r="A162" s="373">
        <f t="shared" si="1"/>
        <v>46254</v>
      </c>
      <c r="B162" s="421">
        <v>0.9220171938077786</v>
      </c>
      <c r="C162" s="375">
        <v>438.0</v>
      </c>
      <c r="D162" s="376">
        <v>0.5833333333333334</v>
      </c>
      <c r="E162" s="376">
        <v>0.8638888888888889</v>
      </c>
      <c r="F162" s="395">
        <v>404.0</v>
      </c>
      <c r="G162" s="375">
        <v>12.0</v>
      </c>
      <c r="H162" s="375">
        <v>30.0</v>
      </c>
      <c r="I162" s="378">
        <v>72.59668508287292</v>
      </c>
      <c r="J162" s="379">
        <v>6.733333333333333</v>
      </c>
      <c r="K162" s="380">
        <v>0.0</v>
      </c>
      <c r="L162" s="378">
        <v>70.26737967914438</v>
      </c>
      <c r="M162" s="378">
        <v>72.59668508287292</v>
      </c>
      <c r="N162" s="378">
        <v>65.04950495049505</v>
      </c>
      <c r="O162" s="417">
        <v>0.0046</v>
      </c>
      <c r="P162" s="387">
        <v>0.02054794520547945</v>
      </c>
      <c r="Q162" s="415">
        <v>0.0034</v>
      </c>
      <c r="R162" s="415">
        <v>0.0023</v>
      </c>
      <c r="S162" s="415">
        <v>0.0126</v>
      </c>
      <c r="T162" s="385">
        <v>0.0</v>
      </c>
      <c r="U162" s="375">
        <v>9.0</v>
      </c>
      <c r="V162" s="422" t="s">
        <v>444</v>
      </c>
      <c r="W162" s="387">
        <v>0.0297029702970297</v>
      </c>
      <c r="X162" s="378">
        <v>75.0</v>
      </c>
      <c r="Y162" s="387">
        <v>0.0183</v>
      </c>
      <c r="Z162" s="391">
        <v>0.9702970297029703</v>
      </c>
      <c r="AA162" s="391">
        <v>0.9679558011049724</v>
      </c>
      <c r="AB162" s="391">
        <v>0.9817</v>
      </c>
      <c r="AC162" s="391" t="s">
        <v>129</v>
      </c>
      <c r="AD162" s="395" t="s">
        <v>291</v>
      </c>
      <c r="AE162" s="395"/>
      <c r="AF162" s="395"/>
      <c r="AG162" s="395"/>
      <c r="AH162" s="395"/>
    </row>
    <row r="163" ht="30.75" customHeight="1">
      <c r="A163" s="373">
        <f t="shared" si="1"/>
        <v>46255</v>
      </c>
      <c r="B163" s="421">
        <v>0.838266</v>
      </c>
      <c r="C163" s="375">
        <v>500.0</v>
      </c>
      <c r="D163" s="376">
        <v>0.625</v>
      </c>
      <c r="E163" s="376">
        <v>0.9722222222222222</v>
      </c>
      <c r="F163" s="395">
        <v>499.99999999999994</v>
      </c>
      <c r="G163" s="375">
        <v>71.0</v>
      </c>
      <c r="H163" s="375">
        <v>30.0</v>
      </c>
      <c r="I163" s="378">
        <v>75.18796992481204</v>
      </c>
      <c r="J163" s="379">
        <v>8.333333333333332</v>
      </c>
      <c r="K163" s="380">
        <v>0.0</v>
      </c>
      <c r="L163" s="378">
        <v>63.82978723404256</v>
      </c>
      <c r="M163" s="378">
        <v>75.18796992481204</v>
      </c>
      <c r="N163" s="378">
        <v>60.00000000000001</v>
      </c>
      <c r="O163" s="417">
        <v>0.0055</v>
      </c>
      <c r="P163" s="387">
        <v>0.022</v>
      </c>
      <c r="Q163" s="415">
        <v>0.004</v>
      </c>
      <c r="R163" s="415">
        <v>0.011</v>
      </c>
      <c r="S163" s="415">
        <v>0.008</v>
      </c>
      <c r="T163" s="385">
        <v>0.0</v>
      </c>
      <c r="U163" s="375">
        <v>11.0</v>
      </c>
      <c r="V163" s="422" t="s">
        <v>445</v>
      </c>
      <c r="W163" s="387">
        <v>0.14200000000000002</v>
      </c>
      <c r="X163" s="378">
        <v>75.18796992481204</v>
      </c>
      <c r="Y163" s="387">
        <v>0.023</v>
      </c>
      <c r="Z163" s="391">
        <v>0.858</v>
      </c>
      <c r="AA163" s="391">
        <v>1.0</v>
      </c>
      <c r="AB163" s="391">
        <v>0.977</v>
      </c>
      <c r="AC163" s="391" t="s">
        <v>129</v>
      </c>
      <c r="AD163" s="395" t="s">
        <v>291</v>
      </c>
      <c r="AE163" s="395"/>
      <c r="AF163" s="395"/>
      <c r="AG163" s="395"/>
      <c r="AH163" s="395"/>
    </row>
    <row r="164" ht="30.75" customHeight="1">
      <c r="A164" s="373">
        <f t="shared" si="1"/>
        <v>46256</v>
      </c>
      <c r="B164" s="421">
        <v>0.8945664000000001</v>
      </c>
      <c r="C164" s="375">
        <v>312.0</v>
      </c>
      <c r="D164" s="376">
        <v>0.5833333333333334</v>
      </c>
      <c r="E164" s="376">
        <v>0.7743055555555556</v>
      </c>
      <c r="F164" s="395">
        <v>275.0</v>
      </c>
      <c r="G164" s="375">
        <v>7.0</v>
      </c>
      <c r="H164" s="375">
        <v>0.0</v>
      </c>
      <c r="I164" s="378">
        <v>69.85074626865672</v>
      </c>
      <c r="J164" s="379">
        <v>4.583333333333333</v>
      </c>
      <c r="K164" s="380">
        <v>0.0</v>
      </c>
      <c r="L164" s="378">
        <v>68.07272727272728</v>
      </c>
      <c r="M164" s="378">
        <v>69.85074626865672</v>
      </c>
      <c r="N164" s="378">
        <v>68.07272727272728</v>
      </c>
      <c r="O164" s="417">
        <v>0.0104</v>
      </c>
      <c r="P164" s="387">
        <v>0.019230769230769232</v>
      </c>
      <c r="Q164" s="415">
        <v>0.0048</v>
      </c>
      <c r="R164" s="415">
        <v>0.0032</v>
      </c>
      <c r="S164" s="415">
        <v>0.0048</v>
      </c>
      <c r="T164" s="385">
        <v>0.0016</v>
      </c>
      <c r="U164" s="375">
        <v>6.0</v>
      </c>
      <c r="V164" s="422" t="s">
        <v>446</v>
      </c>
      <c r="W164" s="387">
        <v>0.025454545454545455</v>
      </c>
      <c r="X164" s="378">
        <v>75.0</v>
      </c>
      <c r="Y164" s="387">
        <v>0.0144</v>
      </c>
      <c r="Z164" s="391">
        <v>0.9745454545454545</v>
      </c>
      <c r="AA164" s="391">
        <v>0.9313432835820896</v>
      </c>
      <c r="AB164" s="391">
        <v>0.9856</v>
      </c>
      <c r="AC164" s="391" t="s">
        <v>129</v>
      </c>
      <c r="AD164" s="395" t="s">
        <v>291</v>
      </c>
      <c r="AE164" s="395"/>
      <c r="AF164" s="395"/>
      <c r="AG164" s="395"/>
      <c r="AH164" s="395"/>
    </row>
    <row r="165" ht="30.75" customHeight="1">
      <c r="A165" s="373">
        <f t="shared" si="1"/>
        <v>46257</v>
      </c>
      <c r="B165" s="421" t="s">
        <v>289</v>
      </c>
      <c r="C165" s="375">
        <v>0.0</v>
      </c>
      <c r="D165" s="406"/>
      <c r="E165" s="376"/>
      <c r="F165" s="395" t="s">
        <v>289</v>
      </c>
      <c r="G165" s="406"/>
      <c r="H165" s="406"/>
      <c r="I165" s="378" t="s">
        <v>289</v>
      </c>
      <c r="J165" s="379" t="s">
        <v>289</v>
      </c>
      <c r="K165" s="407"/>
      <c r="L165" s="378" t="s">
        <v>289</v>
      </c>
      <c r="M165" s="378" t="s">
        <v>289</v>
      </c>
      <c r="N165" s="378" t="s">
        <v>289</v>
      </c>
      <c r="O165" s="409"/>
      <c r="P165" s="387" t="s">
        <v>289</v>
      </c>
      <c r="Q165" s="383"/>
      <c r="R165" s="383"/>
      <c r="S165" s="383"/>
      <c r="T165" s="410"/>
      <c r="U165" s="406"/>
      <c r="V165" s="386"/>
      <c r="W165" s="387" t="s">
        <v>289</v>
      </c>
      <c r="X165" s="378" t="s">
        <v>289</v>
      </c>
      <c r="Y165" s="387" t="s">
        <v>289</v>
      </c>
      <c r="Z165" s="391" t="s">
        <v>289</v>
      </c>
      <c r="AA165" s="391" t="s">
        <v>289</v>
      </c>
      <c r="AB165" s="391" t="s">
        <v>289</v>
      </c>
      <c r="AC165" s="391" t="s">
        <v>129</v>
      </c>
      <c r="AD165" s="395" t="s">
        <v>291</v>
      </c>
      <c r="AE165" s="395"/>
      <c r="AF165" s="395"/>
      <c r="AG165" s="395"/>
      <c r="AH165" s="395"/>
    </row>
    <row r="166" ht="30.75" customHeight="1">
      <c r="A166" s="373">
        <f t="shared" si="1"/>
        <v>46258</v>
      </c>
      <c r="B166" s="421">
        <v>0.9531288732394366</v>
      </c>
      <c r="C166" s="375">
        <v>628.0</v>
      </c>
      <c r="D166" s="376">
        <v>0.5416666666666666</v>
      </c>
      <c r="E166" s="376">
        <v>0.9361111111111111</v>
      </c>
      <c r="F166" s="395">
        <v>568.0000000000001</v>
      </c>
      <c r="G166" s="375">
        <v>12.0</v>
      </c>
      <c r="H166" s="375">
        <v>60.0</v>
      </c>
      <c r="I166" s="378">
        <v>75.96774193548384</v>
      </c>
      <c r="J166" s="379">
        <v>9.466666666666669</v>
      </c>
      <c r="K166" s="380">
        <v>0.0</v>
      </c>
      <c r="L166" s="378">
        <v>74.17322834645668</v>
      </c>
      <c r="M166" s="378">
        <v>75.96774193548384</v>
      </c>
      <c r="N166" s="378">
        <v>66.33802816901407</v>
      </c>
      <c r="O166" s="417">
        <v>0.002</v>
      </c>
      <c r="P166" s="387">
        <v>0.01592356687898089</v>
      </c>
      <c r="Q166" s="415">
        <v>0.0143</v>
      </c>
      <c r="R166" s="415">
        <v>0.0072</v>
      </c>
      <c r="S166" s="415">
        <v>0.0048</v>
      </c>
      <c r="T166" s="385">
        <v>0.0</v>
      </c>
      <c r="U166" s="375">
        <v>10.0</v>
      </c>
      <c r="V166" s="422" t="s">
        <v>447</v>
      </c>
      <c r="W166" s="387">
        <v>0.021126760563380278</v>
      </c>
      <c r="X166" s="378">
        <v>75.96774193548384</v>
      </c>
      <c r="Y166" s="387">
        <v>0.026299999999999997</v>
      </c>
      <c r="Z166" s="391">
        <v>0.9788732394366197</v>
      </c>
      <c r="AA166" s="391">
        <v>1.0</v>
      </c>
      <c r="AB166" s="391">
        <v>0.9737</v>
      </c>
      <c r="AC166" s="391" t="s">
        <v>129</v>
      </c>
      <c r="AD166" s="395" t="s">
        <v>291</v>
      </c>
      <c r="AE166" s="395"/>
      <c r="AF166" s="395"/>
      <c r="AG166" s="395"/>
      <c r="AH166" s="395"/>
    </row>
    <row r="167" ht="30.75" customHeight="1">
      <c r="A167" s="373">
        <f t="shared" si="1"/>
        <v>46259</v>
      </c>
      <c r="B167" s="421">
        <v>0.8513852270639864</v>
      </c>
      <c r="C167" s="375">
        <v>479.0</v>
      </c>
      <c r="D167" s="376">
        <v>0.5833333333333334</v>
      </c>
      <c r="E167" s="376">
        <v>0.9152777777777777</v>
      </c>
      <c r="F167" s="395">
        <v>477.9999999999999</v>
      </c>
      <c r="G167" s="375">
        <v>38.0</v>
      </c>
      <c r="H167" s="375">
        <v>30.0</v>
      </c>
      <c r="I167" s="378">
        <v>70.09756097560978</v>
      </c>
      <c r="J167" s="379">
        <v>7.966666666666665</v>
      </c>
      <c r="K167" s="380">
        <v>0.0</v>
      </c>
      <c r="L167" s="378">
        <v>64.15178571428572</v>
      </c>
      <c r="M167" s="378">
        <v>70.09756097560978</v>
      </c>
      <c r="N167" s="378">
        <v>60.125523012552314</v>
      </c>
      <c r="O167" s="417">
        <v>0.0063</v>
      </c>
      <c r="P167" s="387">
        <v>0.03549060542797495</v>
      </c>
      <c r="Q167" s="415">
        <v>0.0031</v>
      </c>
      <c r="R167" s="415">
        <v>0.0031</v>
      </c>
      <c r="S167" s="415">
        <v>0.0042</v>
      </c>
      <c r="T167" s="385">
        <v>0.0</v>
      </c>
      <c r="U167" s="375">
        <v>17.0</v>
      </c>
      <c r="V167" s="422" t="s">
        <v>448</v>
      </c>
      <c r="W167" s="387">
        <v>0.07949790794979081</v>
      </c>
      <c r="X167" s="378">
        <v>75.0</v>
      </c>
      <c r="Y167" s="387">
        <v>0.0104</v>
      </c>
      <c r="Z167" s="391">
        <v>0.9205020920502092</v>
      </c>
      <c r="AA167" s="391">
        <v>0.9346341463414638</v>
      </c>
      <c r="AB167" s="391">
        <v>0.9896</v>
      </c>
      <c r="AC167" s="391" t="s">
        <v>129</v>
      </c>
      <c r="AD167" s="395" t="s">
        <v>291</v>
      </c>
      <c r="AE167" s="395"/>
      <c r="AF167" s="395"/>
      <c r="AG167" s="395"/>
      <c r="AH167" s="395"/>
    </row>
    <row r="168" ht="30.75" customHeight="1">
      <c r="A168" s="373">
        <f t="shared" si="1"/>
        <v>46260</v>
      </c>
      <c r="B168" s="421">
        <v>0.6980358139534883</v>
      </c>
      <c r="C168" s="375">
        <v>393.0</v>
      </c>
      <c r="D168" s="376">
        <v>0.5833333333333334</v>
      </c>
      <c r="E168" s="376">
        <v>0.8819444444444444</v>
      </c>
      <c r="F168" s="395">
        <v>429.9999999999999</v>
      </c>
      <c r="G168" s="375">
        <v>124.0</v>
      </c>
      <c r="H168" s="375">
        <v>30.0</v>
      </c>
      <c r="I168" s="378">
        <v>85.4347826086957</v>
      </c>
      <c r="J168" s="379">
        <v>7.166666666666665</v>
      </c>
      <c r="K168" s="380">
        <v>0.0</v>
      </c>
      <c r="L168" s="378">
        <v>58.95000000000001</v>
      </c>
      <c r="M168" s="378">
        <v>85.4347826086957</v>
      </c>
      <c r="N168" s="378">
        <v>54.83720930232559</v>
      </c>
      <c r="O168" s="417">
        <v>0.0025</v>
      </c>
      <c r="P168" s="387">
        <v>0.02544529262086514</v>
      </c>
      <c r="Q168" s="415">
        <v>0.0127</v>
      </c>
      <c r="R168" s="415">
        <v>0.0013</v>
      </c>
      <c r="S168" s="415">
        <v>0.0051</v>
      </c>
      <c r="T168" s="385">
        <v>0.0</v>
      </c>
      <c r="U168" s="375">
        <v>10.0</v>
      </c>
      <c r="V168" s="422" t="s">
        <v>449</v>
      </c>
      <c r="W168" s="387">
        <v>0.2883720930232559</v>
      </c>
      <c r="X168" s="378">
        <v>85.4347826086957</v>
      </c>
      <c r="Y168" s="387">
        <v>0.0191</v>
      </c>
      <c r="Z168" s="391">
        <v>0.7116279069767442</v>
      </c>
      <c r="AA168" s="391">
        <v>1.0</v>
      </c>
      <c r="AB168" s="391">
        <v>0.9809</v>
      </c>
      <c r="AC168" s="391" t="s">
        <v>129</v>
      </c>
      <c r="AD168" s="395" t="s">
        <v>291</v>
      </c>
      <c r="AE168" s="395"/>
      <c r="AF168" s="395"/>
      <c r="AG168" s="395"/>
      <c r="AH168" s="395"/>
    </row>
    <row r="169" ht="30.75" customHeight="1">
      <c r="A169" s="373">
        <f t="shared" si="1"/>
        <v>46261</v>
      </c>
      <c r="B169" s="421">
        <v>0.912331474282822</v>
      </c>
      <c r="C169" s="375">
        <v>440.0</v>
      </c>
      <c r="D169" s="376">
        <v>0.6319444444444444</v>
      </c>
      <c r="E169" s="376">
        <v>0.9118055555555555</v>
      </c>
      <c r="F169" s="395">
        <v>403.0</v>
      </c>
      <c r="G169" s="375">
        <v>20.0</v>
      </c>
      <c r="H169" s="375">
        <v>30.0</v>
      </c>
      <c r="I169" s="378">
        <v>74.78753541076486</v>
      </c>
      <c r="J169" s="379">
        <v>6.716666666666667</v>
      </c>
      <c r="K169" s="380">
        <v>0.0</v>
      </c>
      <c r="L169" s="378">
        <v>70.77747989276139</v>
      </c>
      <c r="M169" s="378">
        <v>74.78753541076486</v>
      </c>
      <c r="N169" s="378">
        <v>65.50868486352357</v>
      </c>
      <c r="O169" s="417">
        <v>0.0068</v>
      </c>
      <c r="P169" s="387">
        <v>0.056818181818181816</v>
      </c>
      <c r="Q169" s="415">
        <v>0.008</v>
      </c>
      <c r="R169" s="415">
        <v>0.01</v>
      </c>
      <c r="S169" s="415">
        <v>0.0148</v>
      </c>
      <c r="T169" s="385">
        <v>0.0045</v>
      </c>
      <c r="U169" s="375">
        <v>25.0</v>
      </c>
      <c r="V169" s="422" t="s">
        <v>450</v>
      </c>
      <c r="W169" s="387">
        <v>0.04962779156327544</v>
      </c>
      <c r="X169" s="378">
        <v>75.0</v>
      </c>
      <c r="Y169" s="387">
        <v>0.0373</v>
      </c>
      <c r="Z169" s="391">
        <v>0.9503722084367245</v>
      </c>
      <c r="AA169" s="391">
        <v>0.9971671388101981</v>
      </c>
      <c r="AB169" s="391">
        <v>0.9627</v>
      </c>
      <c r="AC169" s="391" t="s">
        <v>129</v>
      </c>
      <c r="AD169" s="395" t="s">
        <v>291</v>
      </c>
      <c r="AE169" s="395"/>
      <c r="AF169" s="395"/>
      <c r="AG169" s="395"/>
      <c r="AH169" s="395"/>
    </row>
    <row r="170" ht="30.75" customHeight="1">
      <c r="A170" s="373" t="str">
        <f t="shared" si="1"/>
        <v/>
      </c>
      <c r="B170" s="421" t="s">
        <v>289</v>
      </c>
      <c r="C170" s="406"/>
      <c r="D170" s="406"/>
      <c r="E170" s="376"/>
      <c r="F170" s="395" t="s">
        <v>289</v>
      </c>
      <c r="G170" s="406"/>
      <c r="H170" s="406"/>
      <c r="I170" s="378" t="s">
        <v>289</v>
      </c>
      <c r="J170" s="379" t="s">
        <v>289</v>
      </c>
      <c r="K170" s="407"/>
      <c r="L170" s="378" t="s">
        <v>289</v>
      </c>
      <c r="M170" s="378" t="s">
        <v>289</v>
      </c>
      <c r="N170" s="378" t="s">
        <v>289</v>
      </c>
      <c r="O170" s="409"/>
      <c r="P170" s="387" t="s">
        <v>289</v>
      </c>
      <c r="Q170" s="383"/>
      <c r="R170" s="383"/>
      <c r="S170" s="383"/>
      <c r="T170" s="410"/>
      <c r="U170" s="406"/>
      <c r="V170" s="386"/>
      <c r="W170" s="387" t="s">
        <v>289</v>
      </c>
      <c r="X170" s="378" t="s">
        <v>289</v>
      </c>
      <c r="Y170" s="387" t="s">
        <v>289</v>
      </c>
      <c r="Z170" s="391" t="s">
        <v>289</v>
      </c>
      <c r="AA170" s="391" t="s">
        <v>289</v>
      </c>
      <c r="AB170" s="391" t="s">
        <v>289</v>
      </c>
      <c r="AC170" s="391" t="s">
        <v>289</v>
      </c>
      <c r="AD170" s="395" t="s">
        <v>289</v>
      </c>
      <c r="AE170" s="395"/>
      <c r="AF170" s="395"/>
      <c r="AG170" s="395"/>
      <c r="AH170" s="395"/>
    </row>
    <row r="171" ht="30.75" customHeight="1">
      <c r="A171" s="373" t="str">
        <f t="shared" si="1"/>
        <v/>
      </c>
      <c r="B171" s="421" t="s">
        <v>289</v>
      </c>
      <c r="C171" s="406"/>
      <c r="D171" s="406"/>
      <c r="E171" s="376"/>
      <c r="F171" s="395" t="s">
        <v>289</v>
      </c>
      <c r="G171" s="406"/>
      <c r="H171" s="406"/>
      <c r="I171" s="378" t="s">
        <v>289</v>
      </c>
      <c r="J171" s="379" t="s">
        <v>289</v>
      </c>
      <c r="K171" s="407"/>
      <c r="L171" s="378" t="s">
        <v>289</v>
      </c>
      <c r="M171" s="378" t="s">
        <v>289</v>
      </c>
      <c r="N171" s="378" t="s">
        <v>289</v>
      </c>
      <c r="O171" s="409"/>
      <c r="P171" s="387" t="s">
        <v>289</v>
      </c>
      <c r="Q171" s="383"/>
      <c r="R171" s="383"/>
      <c r="S171" s="383"/>
      <c r="T171" s="410"/>
      <c r="U171" s="406"/>
      <c r="V171" s="386"/>
      <c r="W171" s="387" t="s">
        <v>289</v>
      </c>
      <c r="X171" s="378" t="s">
        <v>289</v>
      </c>
      <c r="Y171" s="387" t="s">
        <v>289</v>
      </c>
      <c r="Z171" s="391" t="s">
        <v>289</v>
      </c>
      <c r="AA171" s="391" t="s">
        <v>289</v>
      </c>
      <c r="AB171" s="391" t="s">
        <v>289</v>
      </c>
      <c r="AC171" s="391" t="s">
        <v>289</v>
      </c>
      <c r="AD171" s="395" t="s">
        <v>289</v>
      </c>
      <c r="AE171" s="395"/>
      <c r="AF171" s="395"/>
      <c r="AG171" s="395"/>
      <c r="AH171" s="395"/>
    </row>
    <row r="172" ht="30.75" customHeight="1">
      <c r="A172" s="373" t="str">
        <f t="shared" si="1"/>
        <v/>
      </c>
      <c r="B172" s="421" t="s">
        <v>289</v>
      </c>
      <c r="C172" s="406"/>
      <c r="D172" s="406"/>
      <c r="E172" s="376"/>
      <c r="F172" s="395" t="s">
        <v>289</v>
      </c>
      <c r="G172" s="406"/>
      <c r="H172" s="406"/>
      <c r="I172" s="378" t="s">
        <v>289</v>
      </c>
      <c r="J172" s="379" t="s">
        <v>289</v>
      </c>
      <c r="K172" s="407"/>
      <c r="L172" s="378" t="s">
        <v>289</v>
      </c>
      <c r="M172" s="378" t="s">
        <v>289</v>
      </c>
      <c r="N172" s="378" t="s">
        <v>289</v>
      </c>
      <c r="O172" s="409"/>
      <c r="P172" s="387" t="s">
        <v>289</v>
      </c>
      <c r="Q172" s="383"/>
      <c r="R172" s="383"/>
      <c r="S172" s="383"/>
      <c r="T172" s="410"/>
      <c r="U172" s="406"/>
      <c r="V172" s="386"/>
      <c r="W172" s="387" t="s">
        <v>289</v>
      </c>
      <c r="X172" s="378" t="s">
        <v>289</v>
      </c>
      <c r="Y172" s="387" t="s">
        <v>289</v>
      </c>
      <c r="Z172" s="391" t="s">
        <v>289</v>
      </c>
      <c r="AA172" s="391" t="s">
        <v>289</v>
      </c>
      <c r="AB172" s="391" t="s">
        <v>289</v>
      </c>
      <c r="AC172" s="391" t="s">
        <v>289</v>
      </c>
      <c r="AD172" s="395" t="s">
        <v>289</v>
      </c>
      <c r="AE172" s="395"/>
      <c r="AF172" s="395"/>
      <c r="AG172" s="395"/>
      <c r="AH172" s="395"/>
    </row>
    <row r="173" ht="30.75" customHeight="1">
      <c r="A173" s="373" t="str">
        <f t="shared" si="1"/>
        <v/>
      </c>
      <c r="B173" s="421" t="s">
        <v>289</v>
      </c>
      <c r="C173" s="406"/>
      <c r="D173" s="406"/>
      <c r="E173" s="376"/>
      <c r="F173" s="395" t="s">
        <v>289</v>
      </c>
      <c r="G173" s="406"/>
      <c r="H173" s="406"/>
      <c r="I173" s="378" t="s">
        <v>289</v>
      </c>
      <c r="J173" s="379" t="s">
        <v>289</v>
      </c>
      <c r="K173" s="407"/>
      <c r="L173" s="378" t="s">
        <v>289</v>
      </c>
      <c r="M173" s="378" t="s">
        <v>289</v>
      </c>
      <c r="N173" s="378" t="s">
        <v>289</v>
      </c>
      <c r="O173" s="409"/>
      <c r="P173" s="387" t="s">
        <v>289</v>
      </c>
      <c r="Q173" s="383"/>
      <c r="R173" s="383"/>
      <c r="S173" s="383"/>
      <c r="T173" s="410"/>
      <c r="U173" s="406"/>
      <c r="V173" s="386"/>
      <c r="W173" s="387" t="s">
        <v>289</v>
      </c>
      <c r="X173" s="378" t="s">
        <v>289</v>
      </c>
      <c r="Y173" s="387" t="s">
        <v>289</v>
      </c>
      <c r="Z173" s="391" t="s">
        <v>289</v>
      </c>
      <c r="AA173" s="391" t="s">
        <v>289</v>
      </c>
      <c r="AB173" s="391" t="s">
        <v>289</v>
      </c>
      <c r="AC173" s="391" t="s">
        <v>289</v>
      </c>
      <c r="AD173" s="395" t="s">
        <v>289</v>
      </c>
      <c r="AE173" s="395"/>
      <c r="AF173" s="395"/>
      <c r="AG173" s="395"/>
      <c r="AH173" s="395"/>
    </row>
    <row r="174" ht="30.75" customHeight="1">
      <c r="A174" s="373" t="str">
        <f t="shared" si="1"/>
        <v/>
      </c>
      <c r="B174" s="421" t="s">
        <v>289</v>
      </c>
      <c r="C174" s="406"/>
      <c r="D174" s="406"/>
      <c r="E174" s="376"/>
      <c r="F174" s="395" t="s">
        <v>289</v>
      </c>
      <c r="G174" s="406"/>
      <c r="H174" s="406"/>
      <c r="I174" s="378" t="s">
        <v>289</v>
      </c>
      <c r="J174" s="379" t="s">
        <v>289</v>
      </c>
      <c r="K174" s="407"/>
      <c r="L174" s="378" t="s">
        <v>289</v>
      </c>
      <c r="M174" s="378" t="s">
        <v>289</v>
      </c>
      <c r="N174" s="378" t="s">
        <v>289</v>
      </c>
      <c r="O174" s="409"/>
      <c r="P174" s="387" t="s">
        <v>289</v>
      </c>
      <c r="Q174" s="383"/>
      <c r="R174" s="383"/>
      <c r="S174" s="383"/>
      <c r="T174" s="410"/>
      <c r="U174" s="406"/>
      <c r="V174" s="386"/>
      <c r="W174" s="387" t="s">
        <v>289</v>
      </c>
      <c r="X174" s="378" t="s">
        <v>289</v>
      </c>
      <c r="Y174" s="387" t="s">
        <v>289</v>
      </c>
      <c r="Z174" s="391" t="s">
        <v>289</v>
      </c>
      <c r="AA174" s="391" t="s">
        <v>289</v>
      </c>
      <c r="AB174" s="391" t="s">
        <v>289</v>
      </c>
      <c r="AC174" s="391" t="s">
        <v>289</v>
      </c>
      <c r="AD174" s="395" t="s">
        <v>289</v>
      </c>
      <c r="AE174" s="395"/>
      <c r="AF174" s="395"/>
      <c r="AG174" s="395"/>
      <c r="AH174" s="395"/>
    </row>
    <row r="175" ht="30.75" customHeight="1">
      <c r="A175" s="373" t="str">
        <f t="shared" si="1"/>
        <v/>
      </c>
      <c r="B175" s="421" t="s">
        <v>289</v>
      </c>
      <c r="C175" s="406"/>
      <c r="D175" s="406"/>
      <c r="E175" s="376"/>
      <c r="F175" s="395" t="s">
        <v>289</v>
      </c>
      <c r="G175" s="406"/>
      <c r="H175" s="406"/>
      <c r="I175" s="378" t="s">
        <v>289</v>
      </c>
      <c r="J175" s="379" t="s">
        <v>289</v>
      </c>
      <c r="K175" s="407"/>
      <c r="L175" s="378" t="s">
        <v>289</v>
      </c>
      <c r="M175" s="378" t="s">
        <v>289</v>
      </c>
      <c r="N175" s="378" t="s">
        <v>289</v>
      </c>
      <c r="O175" s="409"/>
      <c r="P175" s="387" t="s">
        <v>289</v>
      </c>
      <c r="Q175" s="383"/>
      <c r="R175" s="383"/>
      <c r="S175" s="383"/>
      <c r="T175" s="410"/>
      <c r="U175" s="406"/>
      <c r="V175" s="386"/>
      <c r="W175" s="387" t="s">
        <v>289</v>
      </c>
      <c r="X175" s="378" t="s">
        <v>289</v>
      </c>
      <c r="Y175" s="387" t="s">
        <v>289</v>
      </c>
      <c r="Z175" s="391" t="s">
        <v>289</v>
      </c>
      <c r="AA175" s="391" t="s">
        <v>289</v>
      </c>
      <c r="AB175" s="391" t="s">
        <v>289</v>
      </c>
      <c r="AC175" s="391" t="s">
        <v>289</v>
      </c>
      <c r="AD175" s="395" t="s">
        <v>289</v>
      </c>
      <c r="AE175" s="395"/>
      <c r="AF175" s="395"/>
      <c r="AG175" s="395"/>
      <c r="AH175" s="395"/>
    </row>
    <row r="176" ht="30.75" customHeight="1">
      <c r="A176" s="373" t="str">
        <f t="shared" si="1"/>
        <v/>
      </c>
      <c r="B176" s="421" t="s">
        <v>289</v>
      </c>
      <c r="C176" s="406"/>
      <c r="D176" s="406"/>
      <c r="E176" s="376"/>
      <c r="F176" s="395" t="s">
        <v>289</v>
      </c>
      <c r="G176" s="406"/>
      <c r="H176" s="406"/>
      <c r="I176" s="378" t="s">
        <v>289</v>
      </c>
      <c r="J176" s="379" t="s">
        <v>289</v>
      </c>
      <c r="K176" s="407"/>
      <c r="L176" s="378" t="s">
        <v>289</v>
      </c>
      <c r="M176" s="378" t="s">
        <v>289</v>
      </c>
      <c r="N176" s="378" t="s">
        <v>289</v>
      </c>
      <c r="O176" s="409"/>
      <c r="P176" s="387" t="s">
        <v>289</v>
      </c>
      <c r="Q176" s="383"/>
      <c r="R176" s="383"/>
      <c r="S176" s="383"/>
      <c r="T176" s="410"/>
      <c r="U176" s="406"/>
      <c r="V176" s="386"/>
      <c r="W176" s="387" t="s">
        <v>289</v>
      </c>
      <c r="X176" s="378" t="s">
        <v>289</v>
      </c>
      <c r="Y176" s="387" t="s">
        <v>289</v>
      </c>
      <c r="Z176" s="391" t="s">
        <v>289</v>
      </c>
      <c r="AA176" s="391" t="s">
        <v>289</v>
      </c>
      <c r="AB176" s="391" t="s">
        <v>289</v>
      </c>
      <c r="AC176" s="391" t="s">
        <v>289</v>
      </c>
      <c r="AD176" s="395" t="s">
        <v>289</v>
      </c>
      <c r="AE176" s="395"/>
      <c r="AF176" s="395"/>
      <c r="AG176" s="395"/>
      <c r="AH176" s="395"/>
    </row>
    <row r="177" ht="30.75" customHeight="1">
      <c r="A177" s="373" t="str">
        <f t="shared" si="1"/>
        <v/>
      </c>
      <c r="B177" s="421" t="s">
        <v>289</v>
      </c>
      <c r="C177" s="406"/>
      <c r="D177" s="406"/>
      <c r="E177" s="376"/>
      <c r="F177" s="395" t="s">
        <v>289</v>
      </c>
      <c r="G177" s="406"/>
      <c r="H177" s="406"/>
      <c r="I177" s="378" t="s">
        <v>289</v>
      </c>
      <c r="J177" s="379" t="s">
        <v>289</v>
      </c>
      <c r="K177" s="407"/>
      <c r="L177" s="378" t="s">
        <v>289</v>
      </c>
      <c r="M177" s="378" t="s">
        <v>289</v>
      </c>
      <c r="N177" s="378" t="s">
        <v>289</v>
      </c>
      <c r="O177" s="409"/>
      <c r="P177" s="387" t="s">
        <v>289</v>
      </c>
      <c r="Q177" s="383"/>
      <c r="R177" s="383"/>
      <c r="S177" s="383"/>
      <c r="T177" s="410"/>
      <c r="U177" s="406"/>
      <c r="V177" s="386"/>
      <c r="W177" s="387" t="s">
        <v>289</v>
      </c>
      <c r="X177" s="378" t="s">
        <v>289</v>
      </c>
      <c r="Y177" s="387" t="s">
        <v>289</v>
      </c>
      <c r="Z177" s="391" t="s">
        <v>289</v>
      </c>
      <c r="AA177" s="391" t="s">
        <v>289</v>
      </c>
      <c r="AB177" s="391" t="s">
        <v>289</v>
      </c>
      <c r="AC177" s="391" t="s">
        <v>289</v>
      </c>
      <c r="AD177" s="395" t="s">
        <v>289</v>
      </c>
      <c r="AE177" s="395"/>
      <c r="AF177" s="395"/>
      <c r="AG177" s="395"/>
      <c r="AH177" s="395"/>
    </row>
    <row r="178" ht="30.75" customHeight="1">
      <c r="A178" s="373" t="str">
        <f t="shared" si="1"/>
        <v/>
      </c>
      <c r="B178" s="421" t="s">
        <v>289</v>
      </c>
      <c r="C178" s="406"/>
      <c r="D178" s="406"/>
      <c r="E178" s="376"/>
      <c r="F178" s="395" t="s">
        <v>289</v>
      </c>
      <c r="G178" s="406"/>
      <c r="H178" s="406"/>
      <c r="I178" s="378" t="s">
        <v>289</v>
      </c>
      <c r="J178" s="379" t="s">
        <v>289</v>
      </c>
      <c r="K178" s="407"/>
      <c r="L178" s="378" t="s">
        <v>289</v>
      </c>
      <c r="M178" s="378" t="s">
        <v>289</v>
      </c>
      <c r="N178" s="378" t="s">
        <v>289</v>
      </c>
      <c r="O178" s="409"/>
      <c r="P178" s="387" t="s">
        <v>289</v>
      </c>
      <c r="Q178" s="383"/>
      <c r="R178" s="383"/>
      <c r="S178" s="383"/>
      <c r="T178" s="410"/>
      <c r="U178" s="406"/>
      <c r="V178" s="386"/>
      <c r="W178" s="387" t="s">
        <v>289</v>
      </c>
      <c r="X178" s="378" t="s">
        <v>289</v>
      </c>
      <c r="Y178" s="387" t="s">
        <v>289</v>
      </c>
      <c r="Z178" s="391" t="s">
        <v>289</v>
      </c>
      <c r="AA178" s="391" t="s">
        <v>289</v>
      </c>
      <c r="AB178" s="391" t="s">
        <v>289</v>
      </c>
      <c r="AC178" s="391" t="s">
        <v>289</v>
      </c>
      <c r="AD178" s="395" t="s">
        <v>289</v>
      </c>
      <c r="AE178" s="395"/>
      <c r="AF178" s="395"/>
      <c r="AG178" s="395"/>
      <c r="AH178" s="395"/>
    </row>
    <row r="179" ht="30.75" customHeight="1">
      <c r="A179" s="373" t="str">
        <f t="shared" si="1"/>
        <v/>
      </c>
      <c r="B179" s="421" t="s">
        <v>289</v>
      </c>
      <c r="C179" s="406"/>
      <c r="D179" s="406"/>
      <c r="E179" s="376"/>
      <c r="F179" s="395" t="s">
        <v>289</v>
      </c>
      <c r="G179" s="406"/>
      <c r="H179" s="406"/>
      <c r="I179" s="378" t="s">
        <v>289</v>
      </c>
      <c r="J179" s="379" t="s">
        <v>289</v>
      </c>
      <c r="K179" s="407"/>
      <c r="L179" s="378" t="s">
        <v>289</v>
      </c>
      <c r="M179" s="378" t="s">
        <v>289</v>
      </c>
      <c r="N179" s="378" t="s">
        <v>289</v>
      </c>
      <c r="O179" s="409"/>
      <c r="P179" s="387" t="s">
        <v>289</v>
      </c>
      <c r="Q179" s="383"/>
      <c r="R179" s="383"/>
      <c r="S179" s="383"/>
      <c r="T179" s="410"/>
      <c r="U179" s="406"/>
      <c r="V179" s="386"/>
      <c r="W179" s="387" t="s">
        <v>289</v>
      </c>
      <c r="X179" s="378" t="s">
        <v>289</v>
      </c>
      <c r="Y179" s="387" t="s">
        <v>289</v>
      </c>
      <c r="Z179" s="391" t="s">
        <v>289</v>
      </c>
      <c r="AA179" s="391" t="s">
        <v>289</v>
      </c>
      <c r="AB179" s="391" t="s">
        <v>289</v>
      </c>
      <c r="AC179" s="391" t="s">
        <v>289</v>
      </c>
      <c r="AD179" s="395" t="s">
        <v>289</v>
      </c>
      <c r="AE179" s="395"/>
      <c r="AF179" s="395"/>
      <c r="AG179" s="395"/>
      <c r="AH179" s="395"/>
    </row>
    <row r="180" ht="30.75" customHeight="1">
      <c r="A180" s="373" t="str">
        <f t="shared" si="1"/>
        <v/>
      </c>
      <c r="B180" s="421" t="s">
        <v>289</v>
      </c>
      <c r="C180" s="406"/>
      <c r="D180" s="406"/>
      <c r="E180" s="376"/>
      <c r="F180" s="395" t="s">
        <v>289</v>
      </c>
      <c r="G180" s="406"/>
      <c r="H180" s="406"/>
      <c r="I180" s="378" t="s">
        <v>289</v>
      </c>
      <c r="J180" s="379" t="s">
        <v>289</v>
      </c>
      <c r="K180" s="407"/>
      <c r="L180" s="378" t="s">
        <v>289</v>
      </c>
      <c r="M180" s="378" t="s">
        <v>289</v>
      </c>
      <c r="N180" s="378" t="s">
        <v>289</v>
      </c>
      <c r="O180" s="409"/>
      <c r="P180" s="387" t="s">
        <v>289</v>
      </c>
      <c r="Q180" s="383"/>
      <c r="R180" s="383"/>
      <c r="S180" s="383"/>
      <c r="T180" s="410"/>
      <c r="U180" s="406"/>
      <c r="V180" s="386"/>
      <c r="W180" s="387" t="s">
        <v>289</v>
      </c>
      <c r="X180" s="378" t="s">
        <v>289</v>
      </c>
      <c r="Y180" s="387" t="s">
        <v>289</v>
      </c>
      <c r="Z180" s="391" t="s">
        <v>289</v>
      </c>
      <c r="AA180" s="391" t="s">
        <v>289</v>
      </c>
      <c r="AB180" s="391" t="s">
        <v>289</v>
      </c>
      <c r="AC180" s="391" t="s">
        <v>289</v>
      </c>
      <c r="AD180" s="395" t="s">
        <v>289</v>
      </c>
      <c r="AE180" s="395"/>
      <c r="AF180" s="395"/>
      <c r="AG180" s="395"/>
      <c r="AH180" s="395"/>
    </row>
    <row r="181" ht="30.75" customHeight="1">
      <c r="A181" s="373" t="str">
        <f t="shared" si="1"/>
        <v/>
      </c>
      <c r="B181" s="421" t="s">
        <v>289</v>
      </c>
      <c r="C181" s="406"/>
      <c r="D181" s="406"/>
      <c r="E181" s="376"/>
      <c r="F181" s="395" t="s">
        <v>289</v>
      </c>
      <c r="G181" s="406"/>
      <c r="H181" s="406"/>
      <c r="I181" s="378" t="s">
        <v>289</v>
      </c>
      <c r="J181" s="379" t="s">
        <v>289</v>
      </c>
      <c r="K181" s="407"/>
      <c r="L181" s="378" t="s">
        <v>289</v>
      </c>
      <c r="M181" s="378" t="s">
        <v>289</v>
      </c>
      <c r="N181" s="378" t="s">
        <v>289</v>
      </c>
      <c r="O181" s="409"/>
      <c r="P181" s="387" t="s">
        <v>289</v>
      </c>
      <c r="Q181" s="383"/>
      <c r="R181" s="383"/>
      <c r="S181" s="383"/>
      <c r="T181" s="410"/>
      <c r="U181" s="406"/>
      <c r="V181" s="386"/>
      <c r="W181" s="387" t="s">
        <v>289</v>
      </c>
      <c r="X181" s="378" t="s">
        <v>289</v>
      </c>
      <c r="Y181" s="387" t="s">
        <v>289</v>
      </c>
      <c r="Z181" s="391" t="s">
        <v>289</v>
      </c>
      <c r="AA181" s="391" t="s">
        <v>289</v>
      </c>
      <c r="AB181" s="391" t="s">
        <v>289</v>
      </c>
      <c r="AC181" s="391" t="s">
        <v>289</v>
      </c>
      <c r="AD181" s="395" t="s">
        <v>289</v>
      </c>
      <c r="AE181" s="395"/>
      <c r="AF181" s="395"/>
      <c r="AG181" s="395"/>
      <c r="AH181" s="395"/>
    </row>
    <row r="182" ht="30.75" customHeight="1">
      <c r="A182" s="373" t="str">
        <f t="shared" si="1"/>
        <v/>
      </c>
      <c r="B182" s="421" t="s">
        <v>289</v>
      </c>
      <c r="C182" s="406"/>
      <c r="D182" s="406"/>
      <c r="E182" s="376"/>
      <c r="F182" s="395" t="s">
        <v>289</v>
      </c>
      <c r="G182" s="406"/>
      <c r="H182" s="406"/>
      <c r="I182" s="378" t="s">
        <v>289</v>
      </c>
      <c r="J182" s="379" t="s">
        <v>289</v>
      </c>
      <c r="K182" s="407"/>
      <c r="L182" s="378" t="s">
        <v>289</v>
      </c>
      <c r="M182" s="378" t="s">
        <v>289</v>
      </c>
      <c r="N182" s="378" t="s">
        <v>289</v>
      </c>
      <c r="O182" s="409"/>
      <c r="P182" s="387" t="s">
        <v>289</v>
      </c>
      <c r="Q182" s="383"/>
      <c r="R182" s="383"/>
      <c r="S182" s="383"/>
      <c r="T182" s="410"/>
      <c r="U182" s="406"/>
      <c r="V182" s="386"/>
      <c r="W182" s="387" t="s">
        <v>289</v>
      </c>
      <c r="X182" s="378" t="s">
        <v>289</v>
      </c>
      <c r="Y182" s="387" t="s">
        <v>289</v>
      </c>
      <c r="Z182" s="391" t="s">
        <v>289</v>
      </c>
      <c r="AA182" s="391" t="s">
        <v>289</v>
      </c>
      <c r="AB182" s="391" t="s">
        <v>289</v>
      </c>
      <c r="AC182" s="391" t="s">
        <v>289</v>
      </c>
      <c r="AD182" s="395" t="s">
        <v>289</v>
      </c>
      <c r="AE182" s="395"/>
      <c r="AF182" s="395"/>
      <c r="AG182" s="395"/>
      <c r="AH182" s="395"/>
    </row>
    <row r="183" ht="30.75" customHeight="1">
      <c r="A183" s="373" t="str">
        <f t="shared" si="1"/>
        <v/>
      </c>
      <c r="B183" s="421" t="s">
        <v>289</v>
      </c>
      <c r="C183" s="406"/>
      <c r="D183" s="406"/>
      <c r="E183" s="376"/>
      <c r="F183" s="395" t="s">
        <v>289</v>
      </c>
      <c r="G183" s="406"/>
      <c r="H183" s="406"/>
      <c r="I183" s="378" t="s">
        <v>289</v>
      </c>
      <c r="J183" s="379" t="s">
        <v>289</v>
      </c>
      <c r="K183" s="407"/>
      <c r="L183" s="378" t="s">
        <v>289</v>
      </c>
      <c r="M183" s="378" t="s">
        <v>289</v>
      </c>
      <c r="N183" s="378" t="s">
        <v>289</v>
      </c>
      <c r="O183" s="409"/>
      <c r="P183" s="387" t="s">
        <v>289</v>
      </c>
      <c r="Q183" s="383"/>
      <c r="R183" s="383"/>
      <c r="S183" s="383"/>
      <c r="T183" s="410"/>
      <c r="U183" s="406"/>
      <c r="V183" s="386"/>
      <c r="W183" s="387" t="s">
        <v>289</v>
      </c>
      <c r="X183" s="378" t="s">
        <v>289</v>
      </c>
      <c r="Y183" s="387" t="s">
        <v>289</v>
      </c>
      <c r="Z183" s="391" t="s">
        <v>289</v>
      </c>
      <c r="AA183" s="391" t="s">
        <v>289</v>
      </c>
      <c r="AB183" s="391" t="s">
        <v>289</v>
      </c>
      <c r="AC183" s="391" t="s">
        <v>289</v>
      </c>
      <c r="AD183" s="395" t="s">
        <v>289</v>
      </c>
      <c r="AE183" s="395"/>
      <c r="AF183" s="395"/>
      <c r="AG183" s="395"/>
      <c r="AH183" s="395"/>
    </row>
    <row r="184" ht="30.75" customHeight="1">
      <c r="A184" s="373" t="str">
        <f t="shared" si="1"/>
        <v/>
      </c>
      <c r="B184" s="421" t="s">
        <v>289</v>
      </c>
      <c r="C184" s="406"/>
      <c r="D184" s="406"/>
      <c r="E184" s="376"/>
      <c r="F184" s="395" t="s">
        <v>289</v>
      </c>
      <c r="G184" s="406"/>
      <c r="H184" s="406"/>
      <c r="I184" s="378" t="s">
        <v>289</v>
      </c>
      <c r="J184" s="379" t="s">
        <v>289</v>
      </c>
      <c r="K184" s="407"/>
      <c r="L184" s="378" t="s">
        <v>289</v>
      </c>
      <c r="M184" s="378" t="s">
        <v>289</v>
      </c>
      <c r="N184" s="378" t="s">
        <v>289</v>
      </c>
      <c r="O184" s="409"/>
      <c r="P184" s="387" t="s">
        <v>289</v>
      </c>
      <c r="Q184" s="383"/>
      <c r="R184" s="383"/>
      <c r="S184" s="383"/>
      <c r="T184" s="410"/>
      <c r="U184" s="406"/>
      <c r="V184" s="386"/>
      <c r="W184" s="387" t="s">
        <v>289</v>
      </c>
      <c r="X184" s="378" t="s">
        <v>289</v>
      </c>
      <c r="Y184" s="387" t="s">
        <v>289</v>
      </c>
      <c r="Z184" s="391" t="s">
        <v>289</v>
      </c>
      <c r="AA184" s="391" t="s">
        <v>289</v>
      </c>
      <c r="AB184" s="391" t="s">
        <v>289</v>
      </c>
      <c r="AC184" s="391" t="s">
        <v>289</v>
      </c>
      <c r="AD184" s="395" t="s">
        <v>289</v>
      </c>
      <c r="AE184" s="395"/>
      <c r="AF184" s="395"/>
      <c r="AG184" s="395"/>
      <c r="AH184" s="395"/>
    </row>
    <row r="185" ht="30.75" customHeight="1">
      <c r="A185" s="373" t="str">
        <f t="shared" si="1"/>
        <v/>
      </c>
      <c r="B185" s="421" t="s">
        <v>289</v>
      </c>
      <c r="C185" s="406"/>
      <c r="D185" s="406"/>
      <c r="E185" s="376"/>
      <c r="F185" s="395" t="s">
        <v>289</v>
      </c>
      <c r="G185" s="406"/>
      <c r="H185" s="406"/>
      <c r="I185" s="378" t="s">
        <v>289</v>
      </c>
      <c r="J185" s="379" t="s">
        <v>289</v>
      </c>
      <c r="K185" s="407"/>
      <c r="L185" s="378" t="s">
        <v>289</v>
      </c>
      <c r="M185" s="378" t="s">
        <v>289</v>
      </c>
      <c r="N185" s="378" t="s">
        <v>289</v>
      </c>
      <c r="O185" s="409"/>
      <c r="P185" s="387" t="s">
        <v>289</v>
      </c>
      <c r="Q185" s="383"/>
      <c r="R185" s="383"/>
      <c r="S185" s="383"/>
      <c r="T185" s="410"/>
      <c r="U185" s="406"/>
      <c r="V185" s="386"/>
      <c r="W185" s="387" t="s">
        <v>289</v>
      </c>
      <c r="X185" s="378" t="s">
        <v>289</v>
      </c>
      <c r="Y185" s="387" t="s">
        <v>289</v>
      </c>
      <c r="Z185" s="391" t="s">
        <v>289</v>
      </c>
      <c r="AA185" s="391" t="s">
        <v>289</v>
      </c>
      <c r="AB185" s="391" t="s">
        <v>289</v>
      </c>
      <c r="AC185" s="391" t="s">
        <v>289</v>
      </c>
      <c r="AD185" s="395" t="s">
        <v>289</v>
      </c>
      <c r="AE185" s="395"/>
      <c r="AF185" s="395"/>
      <c r="AG185" s="395"/>
      <c r="AH185" s="395"/>
    </row>
    <row r="186" ht="30.75" customHeight="1">
      <c r="A186" s="373" t="str">
        <f t="shared" si="1"/>
        <v/>
      </c>
      <c r="B186" s="421" t="s">
        <v>289</v>
      </c>
      <c r="C186" s="406"/>
      <c r="D186" s="406"/>
      <c r="E186" s="376"/>
      <c r="F186" s="395" t="s">
        <v>289</v>
      </c>
      <c r="G186" s="406"/>
      <c r="H186" s="406"/>
      <c r="I186" s="378" t="s">
        <v>289</v>
      </c>
      <c r="J186" s="379" t="s">
        <v>289</v>
      </c>
      <c r="K186" s="407"/>
      <c r="L186" s="378" t="s">
        <v>289</v>
      </c>
      <c r="M186" s="378" t="s">
        <v>289</v>
      </c>
      <c r="N186" s="378" t="s">
        <v>289</v>
      </c>
      <c r="O186" s="409"/>
      <c r="P186" s="387" t="s">
        <v>289</v>
      </c>
      <c r="Q186" s="383"/>
      <c r="R186" s="383"/>
      <c r="S186" s="383"/>
      <c r="T186" s="410"/>
      <c r="U186" s="406"/>
      <c r="V186" s="386"/>
      <c r="W186" s="387" t="s">
        <v>289</v>
      </c>
      <c r="X186" s="378" t="s">
        <v>289</v>
      </c>
      <c r="Y186" s="387" t="s">
        <v>289</v>
      </c>
      <c r="Z186" s="391" t="s">
        <v>289</v>
      </c>
      <c r="AA186" s="391" t="s">
        <v>289</v>
      </c>
      <c r="AB186" s="391" t="s">
        <v>289</v>
      </c>
      <c r="AC186" s="391" t="s">
        <v>289</v>
      </c>
      <c r="AD186" s="395" t="s">
        <v>289</v>
      </c>
      <c r="AE186" s="395"/>
      <c r="AF186" s="395"/>
      <c r="AG186" s="395"/>
      <c r="AH186" s="395"/>
    </row>
    <row r="187" ht="30.75" customHeight="1">
      <c r="A187" s="373" t="str">
        <f t="shared" si="1"/>
        <v/>
      </c>
      <c r="B187" s="421" t="s">
        <v>289</v>
      </c>
      <c r="C187" s="406"/>
      <c r="D187" s="406"/>
      <c r="E187" s="376"/>
      <c r="F187" s="395" t="s">
        <v>289</v>
      </c>
      <c r="G187" s="406"/>
      <c r="H187" s="406"/>
      <c r="I187" s="378" t="s">
        <v>289</v>
      </c>
      <c r="J187" s="379" t="s">
        <v>289</v>
      </c>
      <c r="K187" s="407"/>
      <c r="L187" s="378" t="s">
        <v>289</v>
      </c>
      <c r="M187" s="378" t="s">
        <v>289</v>
      </c>
      <c r="N187" s="378" t="s">
        <v>289</v>
      </c>
      <c r="O187" s="409"/>
      <c r="P187" s="387" t="s">
        <v>289</v>
      </c>
      <c r="Q187" s="383"/>
      <c r="R187" s="383"/>
      <c r="S187" s="383"/>
      <c r="T187" s="410"/>
      <c r="U187" s="406"/>
      <c r="V187" s="386"/>
      <c r="W187" s="387" t="s">
        <v>289</v>
      </c>
      <c r="X187" s="378" t="s">
        <v>289</v>
      </c>
      <c r="Y187" s="387" t="s">
        <v>289</v>
      </c>
      <c r="Z187" s="391" t="s">
        <v>289</v>
      </c>
      <c r="AA187" s="391" t="s">
        <v>289</v>
      </c>
      <c r="AB187" s="391" t="s">
        <v>289</v>
      </c>
      <c r="AC187" s="391" t="s">
        <v>289</v>
      </c>
      <c r="AD187" s="395" t="s">
        <v>289</v>
      </c>
      <c r="AE187" s="395"/>
      <c r="AF187" s="395"/>
      <c r="AG187" s="395"/>
      <c r="AH187" s="395"/>
    </row>
    <row r="188" ht="30.75" customHeight="1">
      <c r="A188" s="373" t="str">
        <f t="shared" si="1"/>
        <v/>
      </c>
      <c r="B188" s="421" t="s">
        <v>289</v>
      </c>
      <c r="C188" s="406"/>
      <c r="D188" s="406"/>
      <c r="E188" s="376"/>
      <c r="F188" s="395" t="s">
        <v>289</v>
      </c>
      <c r="G188" s="406"/>
      <c r="H188" s="406"/>
      <c r="I188" s="378" t="s">
        <v>289</v>
      </c>
      <c r="J188" s="379" t="s">
        <v>289</v>
      </c>
      <c r="K188" s="407"/>
      <c r="L188" s="378" t="s">
        <v>289</v>
      </c>
      <c r="M188" s="378" t="s">
        <v>289</v>
      </c>
      <c r="N188" s="378" t="s">
        <v>289</v>
      </c>
      <c r="O188" s="409"/>
      <c r="P188" s="387" t="s">
        <v>289</v>
      </c>
      <c r="Q188" s="383"/>
      <c r="R188" s="383"/>
      <c r="S188" s="383"/>
      <c r="T188" s="410"/>
      <c r="U188" s="406"/>
      <c r="V188" s="386"/>
      <c r="W188" s="387" t="s">
        <v>289</v>
      </c>
      <c r="X188" s="378" t="s">
        <v>289</v>
      </c>
      <c r="Y188" s="387" t="s">
        <v>289</v>
      </c>
      <c r="Z188" s="391" t="s">
        <v>289</v>
      </c>
      <c r="AA188" s="391" t="s">
        <v>289</v>
      </c>
      <c r="AB188" s="391" t="s">
        <v>289</v>
      </c>
      <c r="AC188" s="391" t="s">
        <v>289</v>
      </c>
      <c r="AD188" s="395" t="s">
        <v>289</v>
      </c>
      <c r="AE188" s="395"/>
      <c r="AF188" s="395"/>
      <c r="AG188" s="395"/>
      <c r="AH188" s="395"/>
    </row>
    <row r="189" ht="30.75" customHeight="1">
      <c r="A189" s="373" t="str">
        <f t="shared" si="1"/>
        <v/>
      </c>
      <c r="B189" s="421" t="s">
        <v>289</v>
      </c>
      <c r="C189" s="406"/>
      <c r="D189" s="406"/>
      <c r="E189" s="376"/>
      <c r="F189" s="395" t="s">
        <v>289</v>
      </c>
      <c r="G189" s="406"/>
      <c r="H189" s="406"/>
      <c r="I189" s="378" t="s">
        <v>289</v>
      </c>
      <c r="J189" s="379" t="s">
        <v>289</v>
      </c>
      <c r="K189" s="407"/>
      <c r="L189" s="378" t="s">
        <v>289</v>
      </c>
      <c r="M189" s="378" t="s">
        <v>289</v>
      </c>
      <c r="N189" s="378" t="s">
        <v>289</v>
      </c>
      <c r="O189" s="409"/>
      <c r="P189" s="387" t="s">
        <v>289</v>
      </c>
      <c r="Q189" s="383"/>
      <c r="R189" s="383"/>
      <c r="S189" s="383"/>
      <c r="T189" s="410"/>
      <c r="U189" s="406"/>
      <c r="V189" s="386"/>
      <c r="W189" s="387" t="s">
        <v>289</v>
      </c>
      <c r="X189" s="378" t="s">
        <v>289</v>
      </c>
      <c r="Y189" s="387" t="s">
        <v>289</v>
      </c>
      <c r="Z189" s="391" t="s">
        <v>289</v>
      </c>
      <c r="AA189" s="391" t="s">
        <v>289</v>
      </c>
      <c r="AB189" s="391" t="s">
        <v>289</v>
      </c>
      <c r="AC189" s="391" t="s">
        <v>289</v>
      </c>
      <c r="AD189" s="395" t="s">
        <v>289</v>
      </c>
      <c r="AE189" s="395"/>
      <c r="AF189" s="395"/>
      <c r="AG189" s="395"/>
      <c r="AH189" s="395"/>
    </row>
    <row r="190" ht="30.75" customHeight="1">
      <c r="A190" s="373" t="str">
        <f t="shared" si="1"/>
        <v/>
      </c>
      <c r="B190" s="421" t="s">
        <v>289</v>
      </c>
      <c r="C190" s="406"/>
      <c r="D190" s="406"/>
      <c r="E190" s="376"/>
      <c r="F190" s="395" t="s">
        <v>289</v>
      </c>
      <c r="G190" s="406"/>
      <c r="H190" s="406"/>
      <c r="I190" s="378" t="s">
        <v>289</v>
      </c>
      <c r="J190" s="379" t="s">
        <v>289</v>
      </c>
      <c r="K190" s="407"/>
      <c r="L190" s="378" t="s">
        <v>289</v>
      </c>
      <c r="M190" s="378" t="s">
        <v>289</v>
      </c>
      <c r="N190" s="378" t="s">
        <v>289</v>
      </c>
      <c r="O190" s="409"/>
      <c r="P190" s="387" t="s">
        <v>289</v>
      </c>
      <c r="Q190" s="383"/>
      <c r="R190" s="383"/>
      <c r="S190" s="383"/>
      <c r="T190" s="410"/>
      <c r="U190" s="406"/>
      <c r="V190" s="386"/>
      <c r="W190" s="387" t="s">
        <v>289</v>
      </c>
      <c r="X190" s="378" t="s">
        <v>289</v>
      </c>
      <c r="Y190" s="387" t="s">
        <v>289</v>
      </c>
      <c r="Z190" s="391" t="s">
        <v>289</v>
      </c>
      <c r="AA190" s="391" t="s">
        <v>289</v>
      </c>
      <c r="AB190" s="391" t="s">
        <v>289</v>
      </c>
      <c r="AC190" s="391" t="s">
        <v>289</v>
      </c>
      <c r="AD190" s="395" t="s">
        <v>289</v>
      </c>
      <c r="AE190" s="395"/>
      <c r="AF190" s="395"/>
      <c r="AG190" s="395"/>
      <c r="AH190" s="395"/>
    </row>
    <row r="191" ht="30.75" customHeight="1">
      <c r="A191" s="373" t="str">
        <f t="shared" si="1"/>
        <v/>
      </c>
      <c r="B191" s="421" t="s">
        <v>289</v>
      </c>
      <c r="C191" s="406"/>
      <c r="D191" s="406"/>
      <c r="E191" s="376"/>
      <c r="F191" s="395" t="s">
        <v>289</v>
      </c>
      <c r="G191" s="406"/>
      <c r="H191" s="406"/>
      <c r="I191" s="378" t="s">
        <v>289</v>
      </c>
      <c r="J191" s="379" t="s">
        <v>289</v>
      </c>
      <c r="K191" s="407"/>
      <c r="L191" s="378" t="s">
        <v>289</v>
      </c>
      <c r="M191" s="378" t="s">
        <v>289</v>
      </c>
      <c r="N191" s="378" t="s">
        <v>289</v>
      </c>
      <c r="O191" s="409"/>
      <c r="P191" s="387" t="s">
        <v>289</v>
      </c>
      <c r="Q191" s="383"/>
      <c r="R191" s="383"/>
      <c r="S191" s="383"/>
      <c r="T191" s="410"/>
      <c r="U191" s="406"/>
      <c r="V191" s="386"/>
      <c r="W191" s="387" t="s">
        <v>289</v>
      </c>
      <c r="X191" s="378" t="s">
        <v>289</v>
      </c>
      <c r="Y191" s="387" t="s">
        <v>289</v>
      </c>
      <c r="Z191" s="391" t="s">
        <v>289</v>
      </c>
      <c r="AA191" s="391" t="s">
        <v>289</v>
      </c>
      <c r="AB191" s="391" t="s">
        <v>289</v>
      </c>
      <c r="AC191" s="391" t="s">
        <v>289</v>
      </c>
      <c r="AD191" s="395" t="s">
        <v>289</v>
      </c>
      <c r="AE191" s="395"/>
      <c r="AF191" s="395"/>
      <c r="AG191" s="395"/>
      <c r="AH191" s="395"/>
    </row>
    <row r="192" ht="30.75" customHeight="1">
      <c r="A192" s="373" t="str">
        <f t="shared" si="1"/>
        <v/>
      </c>
      <c r="B192" s="421" t="s">
        <v>289</v>
      </c>
      <c r="C192" s="406"/>
      <c r="D192" s="406"/>
      <c r="E192" s="376"/>
      <c r="F192" s="395" t="s">
        <v>289</v>
      </c>
      <c r="G192" s="406"/>
      <c r="H192" s="406"/>
      <c r="I192" s="378" t="s">
        <v>289</v>
      </c>
      <c r="J192" s="379" t="s">
        <v>289</v>
      </c>
      <c r="K192" s="407"/>
      <c r="L192" s="378" t="s">
        <v>289</v>
      </c>
      <c r="M192" s="378" t="s">
        <v>289</v>
      </c>
      <c r="N192" s="378" t="s">
        <v>289</v>
      </c>
      <c r="O192" s="409"/>
      <c r="P192" s="387" t="s">
        <v>289</v>
      </c>
      <c r="Q192" s="383"/>
      <c r="R192" s="383"/>
      <c r="S192" s="383"/>
      <c r="T192" s="410"/>
      <c r="U192" s="406"/>
      <c r="V192" s="386"/>
      <c r="W192" s="387" t="s">
        <v>289</v>
      </c>
      <c r="X192" s="378" t="s">
        <v>289</v>
      </c>
      <c r="Y192" s="387" t="s">
        <v>289</v>
      </c>
      <c r="Z192" s="391" t="s">
        <v>289</v>
      </c>
      <c r="AA192" s="391" t="s">
        <v>289</v>
      </c>
      <c r="AB192" s="391" t="s">
        <v>289</v>
      </c>
      <c r="AC192" s="391" t="s">
        <v>289</v>
      </c>
      <c r="AD192" s="395" t="s">
        <v>289</v>
      </c>
      <c r="AE192" s="395"/>
      <c r="AF192" s="395"/>
      <c r="AG192" s="395"/>
      <c r="AH192" s="395"/>
    </row>
    <row r="193" ht="30.75" customHeight="1">
      <c r="A193" s="373" t="str">
        <f t="shared" si="1"/>
        <v/>
      </c>
      <c r="B193" s="421" t="s">
        <v>289</v>
      </c>
      <c r="C193" s="406"/>
      <c r="D193" s="406"/>
      <c r="E193" s="376"/>
      <c r="F193" s="395" t="s">
        <v>289</v>
      </c>
      <c r="G193" s="406"/>
      <c r="H193" s="406"/>
      <c r="I193" s="378" t="s">
        <v>289</v>
      </c>
      <c r="J193" s="379" t="s">
        <v>289</v>
      </c>
      <c r="K193" s="407"/>
      <c r="L193" s="378" t="s">
        <v>289</v>
      </c>
      <c r="M193" s="378" t="s">
        <v>289</v>
      </c>
      <c r="N193" s="378" t="s">
        <v>289</v>
      </c>
      <c r="O193" s="409"/>
      <c r="P193" s="387" t="s">
        <v>289</v>
      </c>
      <c r="Q193" s="383"/>
      <c r="R193" s="383"/>
      <c r="S193" s="383"/>
      <c r="T193" s="410"/>
      <c r="U193" s="406"/>
      <c r="V193" s="386"/>
      <c r="W193" s="387" t="s">
        <v>289</v>
      </c>
      <c r="X193" s="378" t="s">
        <v>289</v>
      </c>
      <c r="Y193" s="387" t="s">
        <v>289</v>
      </c>
      <c r="Z193" s="391" t="s">
        <v>289</v>
      </c>
      <c r="AA193" s="391" t="s">
        <v>289</v>
      </c>
      <c r="AB193" s="391" t="s">
        <v>289</v>
      </c>
      <c r="AC193" s="391" t="s">
        <v>289</v>
      </c>
      <c r="AD193" s="395" t="s">
        <v>289</v>
      </c>
      <c r="AE193" s="395"/>
      <c r="AF193" s="395"/>
      <c r="AG193" s="395"/>
      <c r="AH193" s="395"/>
    </row>
    <row r="194" ht="30.75" customHeight="1">
      <c r="A194" s="373" t="str">
        <f t="shared" si="1"/>
        <v/>
      </c>
      <c r="B194" s="421" t="s">
        <v>289</v>
      </c>
      <c r="C194" s="406"/>
      <c r="D194" s="406"/>
      <c r="E194" s="376"/>
      <c r="F194" s="395" t="s">
        <v>289</v>
      </c>
      <c r="G194" s="406"/>
      <c r="H194" s="406"/>
      <c r="I194" s="378" t="s">
        <v>289</v>
      </c>
      <c r="J194" s="379" t="s">
        <v>289</v>
      </c>
      <c r="K194" s="407"/>
      <c r="L194" s="378" t="s">
        <v>289</v>
      </c>
      <c r="M194" s="378" t="s">
        <v>289</v>
      </c>
      <c r="N194" s="378" t="s">
        <v>289</v>
      </c>
      <c r="O194" s="409"/>
      <c r="P194" s="387" t="s">
        <v>289</v>
      </c>
      <c r="Q194" s="383"/>
      <c r="R194" s="383"/>
      <c r="S194" s="383"/>
      <c r="T194" s="410"/>
      <c r="U194" s="406"/>
      <c r="V194" s="386"/>
      <c r="W194" s="387" t="s">
        <v>289</v>
      </c>
      <c r="X194" s="378" t="s">
        <v>289</v>
      </c>
      <c r="Y194" s="387" t="s">
        <v>289</v>
      </c>
      <c r="Z194" s="391" t="s">
        <v>289</v>
      </c>
      <c r="AA194" s="391" t="s">
        <v>289</v>
      </c>
      <c r="AB194" s="391" t="s">
        <v>289</v>
      </c>
      <c r="AC194" s="391" t="s">
        <v>289</v>
      </c>
      <c r="AD194" s="395" t="s">
        <v>289</v>
      </c>
      <c r="AE194" s="395"/>
      <c r="AF194" s="395"/>
      <c r="AG194" s="395"/>
      <c r="AH194" s="395"/>
    </row>
    <row r="195" ht="30.75" customHeight="1">
      <c r="A195" s="373" t="str">
        <f t="shared" si="1"/>
        <v/>
      </c>
      <c r="B195" s="421" t="s">
        <v>289</v>
      </c>
      <c r="C195" s="406"/>
      <c r="D195" s="406"/>
      <c r="E195" s="376"/>
      <c r="F195" s="395" t="s">
        <v>289</v>
      </c>
      <c r="G195" s="406"/>
      <c r="H195" s="406"/>
      <c r="I195" s="378" t="s">
        <v>289</v>
      </c>
      <c r="J195" s="379" t="s">
        <v>289</v>
      </c>
      <c r="K195" s="407"/>
      <c r="L195" s="378" t="s">
        <v>289</v>
      </c>
      <c r="M195" s="378" t="s">
        <v>289</v>
      </c>
      <c r="N195" s="378" t="s">
        <v>289</v>
      </c>
      <c r="O195" s="409"/>
      <c r="P195" s="387" t="s">
        <v>289</v>
      </c>
      <c r="Q195" s="383"/>
      <c r="R195" s="383"/>
      <c r="S195" s="383"/>
      <c r="T195" s="410"/>
      <c r="U195" s="406"/>
      <c r="V195" s="386"/>
      <c r="W195" s="387" t="s">
        <v>289</v>
      </c>
      <c r="X195" s="378" t="s">
        <v>289</v>
      </c>
      <c r="Y195" s="387" t="s">
        <v>289</v>
      </c>
      <c r="Z195" s="391" t="s">
        <v>289</v>
      </c>
      <c r="AA195" s="391" t="s">
        <v>289</v>
      </c>
      <c r="AB195" s="391" t="s">
        <v>289</v>
      </c>
      <c r="AC195" s="391" t="s">
        <v>289</v>
      </c>
      <c r="AD195" s="395" t="s">
        <v>289</v>
      </c>
      <c r="AE195" s="395"/>
      <c r="AF195" s="395"/>
      <c r="AG195" s="395"/>
      <c r="AH195" s="395"/>
    </row>
    <row r="196" ht="30.75" customHeight="1">
      <c r="A196" s="373" t="str">
        <f t="shared" si="1"/>
        <v/>
      </c>
      <c r="B196" s="421" t="s">
        <v>289</v>
      </c>
      <c r="C196" s="406"/>
      <c r="D196" s="406"/>
      <c r="E196" s="376"/>
      <c r="F196" s="395" t="s">
        <v>289</v>
      </c>
      <c r="G196" s="406"/>
      <c r="H196" s="406"/>
      <c r="I196" s="378" t="s">
        <v>289</v>
      </c>
      <c r="J196" s="379" t="s">
        <v>289</v>
      </c>
      <c r="K196" s="407"/>
      <c r="L196" s="378" t="s">
        <v>289</v>
      </c>
      <c r="M196" s="378" t="s">
        <v>289</v>
      </c>
      <c r="N196" s="378" t="s">
        <v>289</v>
      </c>
      <c r="O196" s="409"/>
      <c r="P196" s="387" t="s">
        <v>289</v>
      </c>
      <c r="Q196" s="383"/>
      <c r="R196" s="383"/>
      <c r="S196" s="383"/>
      <c r="T196" s="410"/>
      <c r="U196" s="406"/>
      <c r="V196" s="386"/>
      <c r="W196" s="387" t="s">
        <v>289</v>
      </c>
      <c r="X196" s="378" t="s">
        <v>289</v>
      </c>
      <c r="Y196" s="387" t="s">
        <v>289</v>
      </c>
      <c r="Z196" s="391" t="s">
        <v>289</v>
      </c>
      <c r="AA196" s="391" t="s">
        <v>289</v>
      </c>
      <c r="AB196" s="391" t="s">
        <v>289</v>
      </c>
      <c r="AC196" s="391" t="s">
        <v>289</v>
      </c>
      <c r="AD196" s="395" t="s">
        <v>289</v>
      </c>
      <c r="AE196" s="395"/>
      <c r="AF196" s="395"/>
      <c r="AG196" s="395"/>
      <c r="AH196" s="395"/>
    </row>
    <row r="197" ht="30.75" customHeight="1">
      <c r="A197" s="373" t="str">
        <f t="shared" si="1"/>
        <v/>
      </c>
      <c r="B197" s="421" t="s">
        <v>289</v>
      </c>
      <c r="C197" s="406"/>
      <c r="D197" s="406"/>
      <c r="E197" s="376"/>
      <c r="F197" s="395" t="s">
        <v>289</v>
      </c>
      <c r="G197" s="406"/>
      <c r="H197" s="406"/>
      <c r="I197" s="378" t="s">
        <v>289</v>
      </c>
      <c r="J197" s="379" t="s">
        <v>289</v>
      </c>
      <c r="K197" s="407"/>
      <c r="L197" s="378" t="s">
        <v>289</v>
      </c>
      <c r="M197" s="378" t="s">
        <v>289</v>
      </c>
      <c r="N197" s="378" t="s">
        <v>289</v>
      </c>
      <c r="O197" s="409"/>
      <c r="P197" s="387" t="s">
        <v>289</v>
      </c>
      <c r="Q197" s="383"/>
      <c r="R197" s="383"/>
      <c r="S197" s="383"/>
      <c r="T197" s="410"/>
      <c r="U197" s="406"/>
      <c r="V197" s="386"/>
      <c r="W197" s="387" t="s">
        <v>289</v>
      </c>
      <c r="X197" s="378" t="s">
        <v>289</v>
      </c>
      <c r="Y197" s="387" t="s">
        <v>289</v>
      </c>
      <c r="Z197" s="391" t="s">
        <v>289</v>
      </c>
      <c r="AA197" s="391" t="s">
        <v>289</v>
      </c>
      <c r="AB197" s="391" t="s">
        <v>289</v>
      </c>
      <c r="AC197" s="391" t="s">
        <v>289</v>
      </c>
      <c r="AD197" s="395" t="s">
        <v>289</v>
      </c>
      <c r="AE197" s="395"/>
      <c r="AF197" s="395"/>
      <c r="AG197" s="395"/>
      <c r="AH197" s="395"/>
    </row>
    <row r="198" ht="30.75" customHeight="1">
      <c r="A198" s="373" t="str">
        <f t="shared" si="1"/>
        <v/>
      </c>
      <c r="B198" s="421" t="s">
        <v>289</v>
      </c>
      <c r="C198" s="406"/>
      <c r="D198" s="406"/>
      <c r="E198" s="376"/>
      <c r="F198" s="395" t="s">
        <v>289</v>
      </c>
      <c r="G198" s="406"/>
      <c r="H198" s="406"/>
      <c r="I198" s="378" t="s">
        <v>289</v>
      </c>
      <c r="J198" s="379" t="s">
        <v>289</v>
      </c>
      <c r="K198" s="407"/>
      <c r="L198" s="378" t="s">
        <v>289</v>
      </c>
      <c r="M198" s="378" t="s">
        <v>289</v>
      </c>
      <c r="N198" s="378" t="s">
        <v>289</v>
      </c>
      <c r="O198" s="409"/>
      <c r="P198" s="387" t="s">
        <v>289</v>
      </c>
      <c r="Q198" s="383"/>
      <c r="R198" s="383"/>
      <c r="S198" s="383"/>
      <c r="T198" s="410"/>
      <c r="U198" s="406"/>
      <c r="V198" s="386"/>
      <c r="W198" s="387" t="s">
        <v>289</v>
      </c>
      <c r="X198" s="378" t="s">
        <v>289</v>
      </c>
      <c r="Y198" s="387" t="s">
        <v>289</v>
      </c>
      <c r="Z198" s="391" t="s">
        <v>289</v>
      </c>
      <c r="AA198" s="391" t="s">
        <v>289</v>
      </c>
      <c r="AB198" s="391" t="s">
        <v>289</v>
      </c>
      <c r="AC198" s="391" t="s">
        <v>289</v>
      </c>
      <c r="AD198" s="395" t="s">
        <v>289</v>
      </c>
      <c r="AE198" s="395"/>
      <c r="AF198" s="395"/>
      <c r="AG198" s="395"/>
      <c r="AH198" s="395"/>
    </row>
    <row r="199" ht="30.75" customHeight="1">
      <c r="A199" s="373" t="str">
        <f t="shared" si="1"/>
        <v/>
      </c>
      <c r="B199" s="421" t="s">
        <v>289</v>
      </c>
      <c r="C199" s="406"/>
      <c r="D199" s="406"/>
      <c r="E199" s="376"/>
      <c r="F199" s="395" t="s">
        <v>289</v>
      </c>
      <c r="G199" s="406"/>
      <c r="H199" s="406"/>
      <c r="I199" s="378" t="s">
        <v>289</v>
      </c>
      <c r="J199" s="379" t="s">
        <v>289</v>
      </c>
      <c r="K199" s="407"/>
      <c r="L199" s="378" t="s">
        <v>289</v>
      </c>
      <c r="M199" s="378" t="s">
        <v>289</v>
      </c>
      <c r="N199" s="378" t="s">
        <v>289</v>
      </c>
      <c r="O199" s="409"/>
      <c r="P199" s="387" t="s">
        <v>289</v>
      </c>
      <c r="Q199" s="383"/>
      <c r="R199" s="383"/>
      <c r="S199" s="383"/>
      <c r="T199" s="410"/>
      <c r="U199" s="406"/>
      <c r="V199" s="386"/>
      <c r="W199" s="387" t="s">
        <v>289</v>
      </c>
      <c r="X199" s="378" t="s">
        <v>289</v>
      </c>
      <c r="Y199" s="387" t="s">
        <v>289</v>
      </c>
      <c r="Z199" s="391" t="s">
        <v>289</v>
      </c>
      <c r="AA199" s="391" t="s">
        <v>289</v>
      </c>
      <c r="AB199" s="391" t="s">
        <v>289</v>
      </c>
      <c r="AC199" s="391" t="s">
        <v>289</v>
      </c>
      <c r="AD199" s="395" t="s">
        <v>289</v>
      </c>
      <c r="AE199" s="395"/>
      <c r="AF199" s="395"/>
      <c r="AG199" s="395"/>
      <c r="AH199" s="395"/>
    </row>
    <row r="200" ht="30.75" customHeight="1">
      <c r="A200" s="373" t="str">
        <f t="shared" si="1"/>
        <v/>
      </c>
      <c r="B200" s="421" t="s">
        <v>289</v>
      </c>
      <c r="C200" s="406"/>
      <c r="D200" s="406"/>
      <c r="E200" s="406"/>
      <c r="F200" s="395" t="s">
        <v>289</v>
      </c>
      <c r="G200" s="406"/>
      <c r="H200" s="406"/>
      <c r="I200" s="378" t="s">
        <v>289</v>
      </c>
      <c r="J200" s="379" t="s">
        <v>289</v>
      </c>
      <c r="K200" s="407"/>
      <c r="L200" s="378" t="s">
        <v>289</v>
      </c>
      <c r="M200" s="378" t="s">
        <v>289</v>
      </c>
      <c r="N200" s="378" t="s">
        <v>289</v>
      </c>
      <c r="O200" s="409"/>
      <c r="P200" s="387" t="s">
        <v>289</v>
      </c>
      <c r="Q200" s="383"/>
      <c r="R200" s="383"/>
      <c r="S200" s="383"/>
      <c r="T200" s="410"/>
      <c r="U200" s="406"/>
      <c r="V200" s="386"/>
      <c r="W200" s="387" t="s">
        <v>289</v>
      </c>
      <c r="X200" s="378" t="s">
        <v>289</v>
      </c>
      <c r="Y200" s="387" t="s">
        <v>289</v>
      </c>
      <c r="Z200" s="391" t="s">
        <v>289</v>
      </c>
      <c r="AA200" s="391" t="s">
        <v>289</v>
      </c>
      <c r="AB200" s="391" t="s">
        <v>289</v>
      </c>
      <c r="AC200" s="391" t="s">
        <v>289</v>
      </c>
      <c r="AD200" s="395" t="s">
        <v>289</v>
      </c>
      <c r="AE200" s="395"/>
      <c r="AF200" s="395"/>
      <c r="AG200" s="395"/>
      <c r="AH200" s="395"/>
    </row>
    <row r="201" ht="30.75" customHeight="1">
      <c r="A201" s="373" t="str">
        <f t="shared" si="1"/>
        <v/>
      </c>
      <c r="B201" s="421" t="s">
        <v>289</v>
      </c>
      <c r="C201" s="406"/>
      <c r="D201" s="406"/>
      <c r="E201" s="406"/>
      <c r="F201" s="395" t="s">
        <v>289</v>
      </c>
      <c r="G201" s="406"/>
      <c r="H201" s="406"/>
      <c r="I201" s="378" t="s">
        <v>289</v>
      </c>
      <c r="J201" s="379" t="s">
        <v>289</v>
      </c>
      <c r="K201" s="407"/>
      <c r="L201" s="378" t="s">
        <v>289</v>
      </c>
      <c r="M201" s="378" t="s">
        <v>289</v>
      </c>
      <c r="N201" s="378" t="s">
        <v>289</v>
      </c>
      <c r="O201" s="409"/>
      <c r="P201" s="387" t="s">
        <v>289</v>
      </c>
      <c r="Q201" s="383"/>
      <c r="R201" s="383"/>
      <c r="S201" s="383"/>
      <c r="T201" s="410"/>
      <c r="U201" s="406"/>
      <c r="V201" s="386"/>
      <c r="W201" s="387" t="s">
        <v>289</v>
      </c>
      <c r="X201" s="378" t="s">
        <v>289</v>
      </c>
      <c r="Y201" s="387" t="s">
        <v>289</v>
      </c>
      <c r="Z201" s="391" t="s">
        <v>289</v>
      </c>
      <c r="AA201" s="391" t="s">
        <v>289</v>
      </c>
      <c r="AB201" s="391" t="s">
        <v>289</v>
      </c>
      <c r="AC201" s="391" t="s">
        <v>289</v>
      </c>
      <c r="AD201" s="395" t="s">
        <v>289</v>
      </c>
      <c r="AE201" s="395"/>
      <c r="AF201" s="395"/>
      <c r="AG201" s="395"/>
      <c r="AH201" s="395"/>
    </row>
    <row r="202" ht="30.75" customHeight="1">
      <c r="A202" s="373" t="str">
        <f t="shared" si="1"/>
        <v/>
      </c>
      <c r="B202" s="421" t="s">
        <v>289</v>
      </c>
      <c r="C202" s="406"/>
      <c r="D202" s="406"/>
      <c r="E202" s="406"/>
      <c r="F202" s="395" t="s">
        <v>289</v>
      </c>
      <c r="G202" s="406"/>
      <c r="H202" s="406"/>
      <c r="I202" s="378" t="s">
        <v>289</v>
      </c>
      <c r="J202" s="379" t="s">
        <v>289</v>
      </c>
      <c r="K202" s="407"/>
      <c r="L202" s="378" t="s">
        <v>289</v>
      </c>
      <c r="M202" s="378" t="s">
        <v>289</v>
      </c>
      <c r="N202" s="378" t="s">
        <v>289</v>
      </c>
      <c r="O202" s="409"/>
      <c r="P202" s="387" t="s">
        <v>289</v>
      </c>
      <c r="Q202" s="383"/>
      <c r="R202" s="383"/>
      <c r="S202" s="383"/>
      <c r="T202" s="410"/>
      <c r="U202" s="406"/>
      <c r="V202" s="386"/>
      <c r="W202" s="387" t="s">
        <v>289</v>
      </c>
      <c r="X202" s="378" t="s">
        <v>289</v>
      </c>
      <c r="Y202" s="387" t="s">
        <v>289</v>
      </c>
      <c r="Z202" s="391" t="s">
        <v>289</v>
      </c>
      <c r="AA202" s="391" t="s">
        <v>289</v>
      </c>
      <c r="AB202" s="391" t="s">
        <v>289</v>
      </c>
      <c r="AC202" s="391" t="s">
        <v>289</v>
      </c>
      <c r="AD202" s="395" t="s">
        <v>289</v>
      </c>
      <c r="AE202" s="395"/>
      <c r="AF202" s="395"/>
      <c r="AG202" s="395"/>
      <c r="AH202" s="395"/>
    </row>
    <row r="203" ht="30.75" customHeight="1">
      <c r="A203" s="373" t="str">
        <f t="shared" si="1"/>
        <v/>
      </c>
      <c r="B203" s="421" t="s">
        <v>289</v>
      </c>
      <c r="C203" s="406"/>
      <c r="D203" s="406"/>
      <c r="E203" s="406"/>
      <c r="F203" s="395" t="s">
        <v>289</v>
      </c>
      <c r="G203" s="406"/>
      <c r="H203" s="406"/>
      <c r="I203" s="378" t="s">
        <v>289</v>
      </c>
      <c r="J203" s="379" t="s">
        <v>289</v>
      </c>
      <c r="K203" s="407"/>
      <c r="L203" s="378" t="s">
        <v>289</v>
      </c>
      <c r="M203" s="378" t="s">
        <v>289</v>
      </c>
      <c r="N203" s="378" t="s">
        <v>289</v>
      </c>
      <c r="O203" s="409"/>
      <c r="P203" s="387" t="s">
        <v>289</v>
      </c>
      <c r="Q203" s="383"/>
      <c r="R203" s="383"/>
      <c r="S203" s="383"/>
      <c r="T203" s="410"/>
      <c r="U203" s="406"/>
      <c r="V203" s="386"/>
      <c r="W203" s="387" t="s">
        <v>289</v>
      </c>
      <c r="X203" s="378" t="s">
        <v>289</v>
      </c>
      <c r="Y203" s="387" t="s">
        <v>289</v>
      </c>
      <c r="Z203" s="391" t="s">
        <v>289</v>
      </c>
      <c r="AA203" s="391" t="s">
        <v>289</v>
      </c>
      <c r="AB203" s="391" t="s">
        <v>289</v>
      </c>
      <c r="AC203" s="391" t="s">
        <v>289</v>
      </c>
      <c r="AD203" s="395" t="s">
        <v>289</v>
      </c>
      <c r="AE203" s="395"/>
      <c r="AF203" s="395"/>
      <c r="AG203" s="395"/>
      <c r="AH203" s="395"/>
    </row>
    <row r="204" ht="30.75" customHeight="1">
      <c r="A204" s="373" t="str">
        <f t="shared" si="1"/>
        <v/>
      </c>
      <c r="B204" s="421" t="s">
        <v>289</v>
      </c>
      <c r="C204" s="406"/>
      <c r="D204" s="406"/>
      <c r="E204" s="406"/>
      <c r="F204" s="395" t="s">
        <v>289</v>
      </c>
      <c r="G204" s="406"/>
      <c r="H204" s="406"/>
      <c r="I204" s="378" t="s">
        <v>289</v>
      </c>
      <c r="J204" s="379" t="s">
        <v>289</v>
      </c>
      <c r="K204" s="407"/>
      <c r="L204" s="378" t="s">
        <v>289</v>
      </c>
      <c r="M204" s="378" t="s">
        <v>289</v>
      </c>
      <c r="N204" s="378" t="s">
        <v>289</v>
      </c>
      <c r="O204" s="409"/>
      <c r="P204" s="387" t="s">
        <v>289</v>
      </c>
      <c r="Q204" s="383"/>
      <c r="R204" s="383"/>
      <c r="S204" s="383"/>
      <c r="T204" s="410"/>
      <c r="U204" s="406"/>
      <c r="V204" s="386"/>
      <c r="W204" s="387" t="s">
        <v>289</v>
      </c>
      <c r="X204" s="378" t="s">
        <v>289</v>
      </c>
      <c r="Y204" s="387" t="s">
        <v>289</v>
      </c>
      <c r="Z204" s="391" t="s">
        <v>289</v>
      </c>
      <c r="AA204" s="391" t="s">
        <v>289</v>
      </c>
      <c r="AB204" s="391" t="s">
        <v>289</v>
      </c>
      <c r="AC204" s="391" t="s">
        <v>289</v>
      </c>
      <c r="AD204" s="395" t="s">
        <v>289</v>
      </c>
      <c r="AE204" s="395"/>
      <c r="AF204" s="395"/>
      <c r="AG204" s="395"/>
      <c r="AH204" s="395"/>
    </row>
    <row r="205" ht="30.75" customHeight="1">
      <c r="A205" s="373" t="str">
        <f t="shared" si="1"/>
        <v/>
      </c>
      <c r="B205" s="421" t="s">
        <v>289</v>
      </c>
      <c r="C205" s="406"/>
      <c r="D205" s="406"/>
      <c r="E205" s="406"/>
      <c r="F205" s="395" t="s">
        <v>289</v>
      </c>
      <c r="G205" s="406"/>
      <c r="H205" s="406"/>
      <c r="I205" s="378" t="s">
        <v>289</v>
      </c>
      <c r="J205" s="379" t="s">
        <v>289</v>
      </c>
      <c r="K205" s="407"/>
      <c r="L205" s="378" t="s">
        <v>289</v>
      </c>
      <c r="M205" s="378" t="s">
        <v>289</v>
      </c>
      <c r="N205" s="378" t="s">
        <v>289</v>
      </c>
      <c r="O205" s="409"/>
      <c r="P205" s="387" t="s">
        <v>289</v>
      </c>
      <c r="Q205" s="383"/>
      <c r="R205" s="383"/>
      <c r="S205" s="383"/>
      <c r="T205" s="410"/>
      <c r="U205" s="406"/>
      <c r="V205" s="386"/>
      <c r="W205" s="387" t="s">
        <v>289</v>
      </c>
      <c r="X205" s="378" t="s">
        <v>289</v>
      </c>
      <c r="Y205" s="387" t="s">
        <v>289</v>
      </c>
      <c r="Z205" s="391" t="s">
        <v>289</v>
      </c>
      <c r="AA205" s="391" t="s">
        <v>289</v>
      </c>
      <c r="AB205" s="391" t="s">
        <v>289</v>
      </c>
      <c r="AC205" s="391" t="s">
        <v>289</v>
      </c>
      <c r="AD205" s="395" t="s">
        <v>289</v>
      </c>
      <c r="AE205" s="395"/>
      <c r="AF205" s="395"/>
      <c r="AG205" s="395"/>
      <c r="AH205" s="395"/>
    </row>
    <row r="206" ht="30.75" customHeight="1">
      <c r="A206" s="373" t="str">
        <f t="shared" si="1"/>
        <v/>
      </c>
      <c r="B206" s="421" t="s">
        <v>289</v>
      </c>
      <c r="C206" s="406"/>
      <c r="D206" s="406"/>
      <c r="E206" s="406"/>
      <c r="F206" s="395" t="s">
        <v>289</v>
      </c>
      <c r="G206" s="406"/>
      <c r="H206" s="406"/>
      <c r="I206" s="378" t="s">
        <v>289</v>
      </c>
      <c r="J206" s="379" t="s">
        <v>289</v>
      </c>
      <c r="K206" s="407"/>
      <c r="L206" s="378" t="s">
        <v>289</v>
      </c>
      <c r="M206" s="378" t="s">
        <v>289</v>
      </c>
      <c r="N206" s="378" t="s">
        <v>289</v>
      </c>
      <c r="O206" s="409"/>
      <c r="P206" s="387" t="s">
        <v>289</v>
      </c>
      <c r="Q206" s="383"/>
      <c r="R206" s="383"/>
      <c r="S206" s="383"/>
      <c r="T206" s="410"/>
      <c r="U206" s="406"/>
      <c r="V206" s="386"/>
      <c r="W206" s="387" t="s">
        <v>289</v>
      </c>
      <c r="X206" s="378" t="s">
        <v>289</v>
      </c>
      <c r="Y206" s="387" t="s">
        <v>289</v>
      </c>
      <c r="Z206" s="391" t="s">
        <v>289</v>
      </c>
      <c r="AA206" s="391" t="s">
        <v>289</v>
      </c>
      <c r="AB206" s="391" t="s">
        <v>289</v>
      </c>
      <c r="AC206" s="391" t="s">
        <v>289</v>
      </c>
      <c r="AD206" s="395" t="s">
        <v>289</v>
      </c>
      <c r="AE206" s="395"/>
      <c r="AF206" s="395"/>
      <c r="AG206" s="395"/>
      <c r="AH206" s="395"/>
    </row>
    <row r="207" ht="30.75" customHeight="1">
      <c r="A207" s="373" t="str">
        <f t="shared" si="1"/>
        <v/>
      </c>
      <c r="B207" s="421" t="s">
        <v>289</v>
      </c>
      <c r="C207" s="406"/>
      <c r="D207" s="406"/>
      <c r="E207" s="406"/>
      <c r="F207" s="395" t="s">
        <v>289</v>
      </c>
      <c r="G207" s="406"/>
      <c r="H207" s="406"/>
      <c r="I207" s="378" t="s">
        <v>289</v>
      </c>
      <c r="J207" s="379" t="s">
        <v>289</v>
      </c>
      <c r="K207" s="407"/>
      <c r="L207" s="378" t="s">
        <v>289</v>
      </c>
      <c r="M207" s="378" t="s">
        <v>289</v>
      </c>
      <c r="N207" s="378" t="s">
        <v>289</v>
      </c>
      <c r="O207" s="409"/>
      <c r="P207" s="387" t="s">
        <v>289</v>
      </c>
      <c r="Q207" s="383"/>
      <c r="R207" s="383"/>
      <c r="S207" s="383"/>
      <c r="T207" s="410"/>
      <c r="U207" s="406"/>
      <c r="V207" s="386"/>
      <c r="W207" s="387" t="s">
        <v>289</v>
      </c>
      <c r="X207" s="378" t="s">
        <v>289</v>
      </c>
      <c r="Y207" s="387" t="s">
        <v>289</v>
      </c>
      <c r="Z207" s="391" t="s">
        <v>289</v>
      </c>
      <c r="AA207" s="391" t="s">
        <v>289</v>
      </c>
      <c r="AB207" s="391" t="s">
        <v>289</v>
      </c>
      <c r="AC207" s="391" t="s">
        <v>289</v>
      </c>
      <c r="AD207" s="395" t="s">
        <v>289</v>
      </c>
      <c r="AE207" s="395"/>
      <c r="AF207" s="395"/>
      <c r="AG207" s="395"/>
      <c r="AH207" s="395"/>
    </row>
    <row r="208" ht="30.75" customHeight="1">
      <c r="A208" s="373" t="str">
        <f t="shared" si="1"/>
        <v/>
      </c>
      <c r="B208" s="421" t="s">
        <v>289</v>
      </c>
      <c r="C208" s="406"/>
      <c r="D208" s="406"/>
      <c r="E208" s="406"/>
      <c r="F208" s="395" t="s">
        <v>289</v>
      </c>
      <c r="G208" s="406"/>
      <c r="H208" s="406"/>
      <c r="I208" s="378" t="s">
        <v>289</v>
      </c>
      <c r="J208" s="379" t="s">
        <v>289</v>
      </c>
      <c r="K208" s="407"/>
      <c r="L208" s="378" t="s">
        <v>289</v>
      </c>
      <c r="M208" s="378" t="s">
        <v>289</v>
      </c>
      <c r="N208" s="378" t="s">
        <v>289</v>
      </c>
      <c r="O208" s="409"/>
      <c r="P208" s="387" t="s">
        <v>289</v>
      </c>
      <c r="Q208" s="383"/>
      <c r="R208" s="383"/>
      <c r="S208" s="383"/>
      <c r="T208" s="410"/>
      <c r="U208" s="406"/>
      <c r="V208" s="386"/>
      <c r="W208" s="387" t="s">
        <v>289</v>
      </c>
      <c r="X208" s="378" t="s">
        <v>289</v>
      </c>
      <c r="Y208" s="387" t="s">
        <v>289</v>
      </c>
      <c r="Z208" s="391" t="s">
        <v>289</v>
      </c>
      <c r="AA208" s="391" t="s">
        <v>289</v>
      </c>
      <c r="AB208" s="391" t="s">
        <v>289</v>
      </c>
      <c r="AC208" s="391" t="s">
        <v>289</v>
      </c>
      <c r="AD208" s="395" t="s">
        <v>289</v>
      </c>
      <c r="AE208" s="395"/>
      <c r="AF208" s="395"/>
      <c r="AG208" s="395"/>
      <c r="AH208" s="395"/>
    </row>
    <row r="209" ht="30.75" customHeight="1">
      <c r="A209" s="373" t="str">
        <f t="shared" si="1"/>
        <v/>
      </c>
      <c r="B209" s="421" t="s">
        <v>289</v>
      </c>
      <c r="C209" s="406"/>
      <c r="D209" s="406"/>
      <c r="E209" s="406"/>
      <c r="F209" s="395" t="s">
        <v>289</v>
      </c>
      <c r="G209" s="406"/>
      <c r="H209" s="406"/>
      <c r="I209" s="378" t="s">
        <v>289</v>
      </c>
      <c r="J209" s="379" t="s">
        <v>289</v>
      </c>
      <c r="K209" s="407"/>
      <c r="L209" s="378" t="s">
        <v>289</v>
      </c>
      <c r="M209" s="378" t="s">
        <v>289</v>
      </c>
      <c r="N209" s="378" t="s">
        <v>289</v>
      </c>
      <c r="O209" s="409"/>
      <c r="P209" s="387" t="s">
        <v>289</v>
      </c>
      <c r="Q209" s="383"/>
      <c r="R209" s="383"/>
      <c r="S209" s="383"/>
      <c r="T209" s="410"/>
      <c r="U209" s="406"/>
      <c r="V209" s="386"/>
      <c r="W209" s="387" t="s">
        <v>289</v>
      </c>
      <c r="X209" s="378" t="s">
        <v>289</v>
      </c>
      <c r="Y209" s="387" t="s">
        <v>289</v>
      </c>
      <c r="Z209" s="391" t="s">
        <v>289</v>
      </c>
      <c r="AA209" s="391" t="s">
        <v>289</v>
      </c>
      <c r="AB209" s="391" t="s">
        <v>289</v>
      </c>
      <c r="AC209" s="391" t="s">
        <v>289</v>
      </c>
      <c r="AD209" s="395" t="s">
        <v>289</v>
      </c>
      <c r="AE209" s="395"/>
      <c r="AF209" s="395"/>
      <c r="AG209" s="395"/>
      <c r="AH209" s="395"/>
    </row>
    <row r="210" ht="30.75" customHeight="1">
      <c r="A210" s="373" t="str">
        <f t="shared" si="1"/>
        <v/>
      </c>
      <c r="B210" s="421" t="s">
        <v>289</v>
      </c>
      <c r="C210" s="406"/>
      <c r="D210" s="406"/>
      <c r="E210" s="406"/>
      <c r="F210" s="395" t="s">
        <v>289</v>
      </c>
      <c r="G210" s="406"/>
      <c r="H210" s="406"/>
      <c r="I210" s="378" t="s">
        <v>289</v>
      </c>
      <c r="J210" s="379" t="s">
        <v>289</v>
      </c>
      <c r="K210" s="407"/>
      <c r="L210" s="378" t="s">
        <v>289</v>
      </c>
      <c r="M210" s="378" t="s">
        <v>289</v>
      </c>
      <c r="N210" s="378" t="s">
        <v>289</v>
      </c>
      <c r="O210" s="409"/>
      <c r="P210" s="387" t="s">
        <v>289</v>
      </c>
      <c r="Q210" s="383"/>
      <c r="R210" s="383"/>
      <c r="S210" s="383"/>
      <c r="T210" s="410"/>
      <c r="U210" s="406"/>
      <c r="V210" s="386"/>
      <c r="W210" s="387" t="s">
        <v>289</v>
      </c>
      <c r="X210" s="378" t="s">
        <v>289</v>
      </c>
      <c r="Y210" s="387" t="s">
        <v>289</v>
      </c>
      <c r="Z210" s="391" t="s">
        <v>289</v>
      </c>
      <c r="AA210" s="391" t="s">
        <v>289</v>
      </c>
      <c r="AB210" s="391" t="s">
        <v>289</v>
      </c>
      <c r="AC210" s="391" t="s">
        <v>289</v>
      </c>
      <c r="AD210" s="395" t="s">
        <v>289</v>
      </c>
      <c r="AE210" s="395"/>
      <c r="AF210" s="395"/>
      <c r="AG210" s="395"/>
      <c r="AH210" s="395"/>
    </row>
    <row r="211" ht="30.75" customHeight="1">
      <c r="A211" s="373" t="str">
        <f t="shared" si="1"/>
        <v/>
      </c>
      <c r="B211" s="421" t="s">
        <v>289</v>
      </c>
      <c r="C211" s="406"/>
      <c r="D211" s="406"/>
      <c r="E211" s="406"/>
      <c r="F211" s="395" t="s">
        <v>289</v>
      </c>
      <c r="G211" s="406"/>
      <c r="H211" s="406"/>
      <c r="I211" s="378" t="s">
        <v>289</v>
      </c>
      <c r="J211" s="379" t="s">
        <v>289</v>
      </c>
      <c r="K211" s="407"/>
      <c r="L211" s="378" t="s">
        <v>289</v>
      </c>
      <c r="M211" s="378" t="s">
        <v>289</v>
      </c>
      <c r="N211" s="378" t="s">
        <v>289</v>
      </c>
      <c r="O211" s="409"/>
      <c r="P211" s="387" t="s">
        <v>289</v>
      </c>
      <c r="Q211" s="383"/>
      <c r="R211" s="383"/>
      <c r="S211" s="383"/>
      <c r="T211" s="410"/>
      <c r="U211" s="406"/>
      <c r="V211" s="386"/>
      <c r="W211" s="387" t="s">
        <v>289</v>
      </c>
      <c r="X211" s="378" t="s">
        <v>289</v>
      </c>
      <c r="Y211" s="387" t="s">
        <v>289</v>
      </c>
      <c r="Z211" s="391" t="s">
        <v>289</v>
      </c>
      <c r="AA211" s="391" t="s">
        <v>289</v>
      </c>
      <c r="AB211" s="391" t="s">
        <v>289</v>
      </c>
      <c r="AC211" s="391" t="s">
        <v>289</v>
      </c>
      <c r="AD211" s="395" t="s">
        <v>289</v>
      </c>
      <c r="AE211" s="395"/>
      <c r="AF211" s="395"/>
      <c r="AG211" s="395"/>
      <c r="AH211" s="395"/>
    </row>
    <row r="212" ht="30.75" customHeight="1">
      <c r="A212" s="373" t="str">
        <f t="shared" si="1"/>
        <v/>
      </c>
      <c r="B212" s="421" t="s">
        <v>289</v>
      </c>
      <c r="C212" s="406"/>
      <c r="D212" s="406"/>
      <c r="E212" s="406"/>
      <c r="F212" s="395" t="s">
        <v>289</v>
      </c>
      <c r="G212" s="406"/>
      <c r="H212" s="406"/>
      <c r="I212" s="378" t="s">
        <v>289</v>
      </c>
      <c r="J212" s="379" t="s">
        <v>289</v>
      </c>
      <c r="K212" s="407"/>
      <c r="L212" s="378" t="s">
        <v>289</v>
      </c>
      <c r="M212" s="378" t="s">
        <v>289</v>
      </c>
      <c r="N212" s="378" t="s">
        <v>289</v>
      </c>
      <c r="O212" s="409"/>
      <c r="P212" s="387" t="s">
        <v>289</v>
      </c>
      <c r="Q212" s="383"/>
      <c r="R212" s="383"/>
      <c r="S212" s="383"/>
      <c r="T212" s="410"/>
      <c r="U212" s="406"/>
      <c r="V212" s="386"/>
      <c r="W212" s="387" t="s">
        <v>289</v>
      </c>
      <c r="X212" s="378" t="s">
        <v>289</v>
      </c>
      <c r="Y212" s="387" t="s">
        <v>289</v>
      </c>
      <c r="Z212" s="391" t="s">
        <v>289</v>
      </c>
      <c r="AA212" s="391" t="s">
        <v>289</v>
      </c>
      <c r="AB212" s="391" t="s">
        <v>289</v>
      </c>
      <c r="AC212" s="391" t="s">
        <v>289</v>
      </c>
      <c r="AD212" s="395" t="s">
        <v>289</v>
      </c>
      <c r="AE212" s="395"/>
      <c r="AF212" s="395"/>
      <c r="AG212" s="395"/>
      <c r="AH212" s="395"/>
    </row>
    <row r="213" ht="30.75" customHeight="1">
      <c r="A213" s="373" t="str">
        <f t="shared" si="1"/>
        <v/>
      </c>
      <c r="B213" s="421" t="s">
        <v>289</v>
      </c>
      <c r="C213" s="406"/>
      <c r="D213" s="406"/>
      <c r="E213" s="406"/>
      <c r="F213" s="395" t="s">
        <v>289</v>
      </c>
      <c r="G213" s="406"/>
      <c r="H213" s="406"/>
      <c r="I213" s="378" t="s">
        <v>289</v>
      </c>
      <c r="J213" s="379" t="s">
        <v>289</v>
      </c>
      <c r="K213" s="407"/>
      <c r="L213" s="378" t="s">
        <v>289</v>
      </c>
      <c r="M213" s="378" t="s">
        <v>289</v>
      </c>
      <c r="N213" s="378" t="s">
        <v>289</v>
      </c>
      <c r="O213" s="409"/>
      <c r="P213" s="387" t="s">
        <v>289</v>
      </c>
      <c r="Q213" s="383"/>
      <c r="R213" s="383"/>
      <c r="S213" s="383"/>
      <c r="T213" s="410"/>
      <c r="U213" s="406"/>
      <c r="V213" s="386"/>
      <c r="W213" s="387" t="s">
        <v>289</v>
      </c>
      <c r="X213" s="378" t="s">
        <v>289</v>
      </c>
      <c r="Y213" s="387" t="s">
        <v>289</v>
      </c>
      <c r="Z213" s="391" t="s">
        <v>289</v>
      </c>
      <c r="AA213" s="391" t="s">
        <v>289</v>
      </c>
      <c r="AB213" s="391" t="s">
        <v>289</v>
      </c>
      <c r="AC213" s="391" t="s">
        <v>289</v>
      </c>
      <c r="AD213" s="395" t="s">
        <v>289</v>
      </c>
      <c r="AE213" s="395"/>
      <c r="AF213" s="395"/>
      <c r="AG213" s="395"/>
      <c r="AH213" s="395"/>
    </row>
    <row r="214" ht="30.75" customHeight="1">
      <c r="A214" s="373" t="str">
        <f t="shared" si="1"/>
        <v/>
      </c>
      <c r="B214" s="421" t="s">
        <v>289</v>
      </c>
      <c r="C214" s="406"/>
      <c r="D214" s="406"/>
      <c r="E214" s="406"/>
      <c r="F214" s="395" t="s">
        <v>289</v>
      </c>
      <c r="G214" s="406"/>
      <c r="H214" s="406"/>
      <c r="I214" s="378" t="s">
        <v>289</v>
      </c>
      <c r="J214" s="379" t="s">
        <v>289</v>
      </c>
      <c r="K214" s="407"/>
      <c r="L214" s="378" t="s">
        <v>289</v>
      </c>
      <c r="M214" s="378" t="s">
        <v>289</v>
      </c>
      <c r="N214" s="378" t="s">
        <v>289</v>
      </c>
      <c r="O214" s="409"/>
      <c r="P214" s="387" t="s">
        <v>289</v>
      </c>
      <c r="Q214" s="383"/>
      <c r="R214" s="383"/>
      <c r="S214" s="383"/>
      <c r="T214" s="410"/>
      <c r="U214" s="406"/>
      <c r="V214" s="386"/>
      <c r="W214" s="387" t="s">
        <v>289</v>
      </c>
      <c r="X214" s="378" t="s">
        <v>289</v>
      </c>
      <c r="Y214" s="387" t="s">
        <v>289</v>
      </c>
      <c r="Z214" s="391" t="s">
        <v>289</v>
      </c>
      <c r="AA214" s="391" t="s">
        <v>289</v>
      </c>
      <c r="AB214" s="391" t="s">
        <v>289</v>
      </c>
      <c r="AC214" s="391" t="s">
        <v>289</v>
      </c>
      <c r="AD214" s="395" t="s">
        <v>289</v>
      </c>
      <c r="AE214" s="395"/>
      <c r="AF214" s="395"/>
      <c r="AG214" s="395"/>
      <c r="AH214" s="395"/>
    </row>
    <row r="215" ht="30.75" customHeight="1">
      <c r="A215" s="373" t="str">
        <f t="shared" si="1"/>
        <v/>
      </c>
      <c r="B215" s="421" t="s">
        <v>289</v>
      </c>
      <c r="C215" s="406"/>
      <c r="D215" s="406"/>
      <c r="E215" s="406"/>
      <c r="F215" s="395" t="s">
        <v>289</v>
      </c>
      <c r="G215" s="406"/>
      <c r="H215" s="406"/>
      <c r="I215" s="378" t="s">
        <v>289</v>
      </c>
      <c r="J215" s="379" t="s">
        <v>289</v>
      </c>
      <c r="K215" s="407"/>
      <c r="L215" s="378" t="s">
        <v>289</v>
      </c>
      <c r="M215" s="378" t="s">
        <v>289</v>
      </c>
      <c r="N215" s="378" t="s">
        <v>289</v>
      </c>
      <c r="O215" s="409"/>
      <c r="P215" s="387" t="s">
        <v>289</v>
      </c>
      <c r="Q215" s="383"/>
      <c r="R215" s="383"/>
      <c r="S215" s="383"/>
      <c r="T215" s="410"/>
      <c r="U215" s="406"/>
      <c r="V215" s="386"/>
      <c r="W215" s="387" t="s">
        <v>289</v>
      </c>
      <c r="X215" s="378" t="s">
        <v>289</v>
      </c>
      <c r="Y215" s="387" t="s">
        <v>289</v>
      </c>
      <c r="Z215" s="391" t="s">
        <v>289</v>
      </c>
      <c r="AA215" s="391" t="s">
        <v>289</v>
      </c>
      <c r="AB215" s="391" t="s">
        <v>289</v>
      </c>
      <c r="AC215" s="391" t="s">
        <v>289</v>
      </c>
      <c r="AD215" s="395" t="s">
        <v>289</v>
      </c>
      <c r="AE215" s="395"/>
      <c r="AF215" s="395"/>
      <c r="AG215" s="395"/>
      <c r="AH215" s="395"/>
    </row>
    <row r="216" ht="30.75" customHeight="1">
      <c r="A216" s="373" t="str">
        <f t="shared" si="1"/>
        <v/>
      </c>
      <c r="B216" s="421" t="s">
        <v>289</v>
      </c>
      <c r="C216" s="406"/>
      <c r="D216" s="406"/>
      <c r="E216" s="406"/>
      <c r="F216" s="395" t="s">
        <v>289</v>
      </c>
      <c r="G216" s="406"/>
      <c r="H216" s="406"/>
      <c r="I216" s="378" t="s">
        <v>289</v>
      </c>
      <c r="J216" s="379" t="s">
        <v>289</v>
      </c>
      <c r="K216" s="407"/>
      <c r="L216" s="378" t="s">
        <v>289</v>
      </c>
      <c r="M216" s="378" t="s">
        <v>289</v>
      </c>
      <c r="N216" s="378" t="s">
        <v>289</v>
      </c>
      <c r="O216" s="409"/>
      <c r="P216" s="387" t="s">
        <v>289</v>
      </c>
      <c r="Q216" s="383"/>
      <c r="R216" s="383"/>
      <c r="S216" s="383"/>
      <c r="T216" s="410"/>
      <c r="U216" s="406"/>
      <c r="V216" s="386"/>
      <c r="W216" s="387" t="s">
        <v>289</v>
      </c>
      <c r="X216" s="378" t="s">
        <v>289</v>
      </c>
      <c r="Y216" s="387" t="s">
        <v>289</v>
      </c>
      <c r="Z216" s="391" t="s">
        <v>289</v>
      </c>
      <c r="AA216" s="391" t="s">
        <v>289</v>
      </c>
      <c r="AB216" s="391" t="s">
        <v>289</v>
      </c>
      <c r="AC216" s="391" t="s">
        <v>289</v>
      </c>
      <c r="AD216" s="395" t="s">
        <v>289</v>
      </c>
      <c r="AE216" s="395"/>
      <c r="AF216" s="395"/>
      <c r="AG216" s="395"/>
      <c r="AH216" s="395"/>
    </row>
    <row r="217" ht="30.75" customHeight="1">
      <c r="A217" s="373" t="str">
        <f t="shared" si="1"/>
        <v/>
      </c>
      <c r="B217" s="421" t="s">
        <v>289</v>
      </c>
      <c r="C217" s="406"/>
      <c r="D217" s="406"/>
      <c r="E217" s="406"/>
      <c r="F217" s="395" t="s">
        <v>289</v>
      </c>
      <c r="G217" s="406"/>
      <c r="H217" s="406"/>
      <c r="I217" s="378" t="s">
        <v>289</v>
      </c>
      <c r="J217" s="379" t="s">
        <v>289</v>
      </c>
      <c r="K217" s="407"/>
      <c r="L217" s="378" t="s">
        <v>289</v>
      </c>
      <c r="M217" s="378" t="s">
        <v>289</v>
      </c>
      <c r="N217" s="378" t="s">
        <v>289</v>
      </c>
      <c r="O217" s="409"/>
      <c r="P217" s="387" t="s">
        <v>289</v>
      </c>
      <c r="Q217" s="383"/>
      <c r="R217" s="383"/>
      <c r="S217" s="383"/>
      <c r="T217" s="410"/>
      <c r="U217" s="406"/>
      <c r="V217" s="386"/>
      <c r="W217" s="387" t="s">
        <v>289</v>
      </c>
      <c r="X217" s="378" t="s">
        <v>289</v>
      </c>
      <c r="Y217" s="387" t="s">
        <v>289</v>
      </c>
      <c r="Z217" s="391" t="s">
        <v>289</v>
      </c>
      <c r="AA217" s="391" t="s">
        <v>289</v>
      </c>
      <c r="AB217" s="391" t="s">
        <v>289</v>
      </c>
      <c r="AC217" s="391" t="s">
        <v>289</v>
      </c>
      <c r="AD217" s="395" t="s">
        <v>289</v>
      </c>
      <c r="AE217" s="395"/>
      <c r="AF217" s="395"/>
      <c r="AG217" s="395"/>
      <c r="AH217" s="395"/>
    </row>
    <row r="218" ht="30.75" customHeight="1">
      <c r="A218" s="373" t="str">
        <f t="shared" si="1"/>
        <v/>
      </c>
      <c r="B218" s="421" t="s">
        <v>289</v>
      </c>
      <c r="C218" s="406"/>
      <c r="D218" s="406"/>
      <c r="E218" s="406"/>
      <c r="F218" s="395" t="s">
        <v>289</v>
      </c>
      <c r="G218" s="406"/>
      <c r="H218" s="406"/>
      <c r="I218" s="378" t="s">
        <v>289</v>
      </c>
      <c r="J218" s="379" t="s">
        <v>289</v>
      </c>
      <c r="K218" s="407"/>
      <c r="L218" s="378" t="s">
        <v>289</v>
      </c>
      <c r="M218" s="378" t="s">
        <v>289</v>
      </c>
      <c r="N218" s="378" t="s">
        <v>289</v>
      </c>
      <c r="O218" s="409"/>
      <c r="P218" s="387" t="s">
        <v>289</v>
      </c>
      <c r="Q218" s="383"/>
      <c r="R218" s="383"/>
      <c r="S218" s="383"/>
      <c r="T218" s="410"/>
      <c r="U218" s="406"/>
      <c r="V218" s="386"/>
      <c r="W218" s="387" t="s">
        <v>289</v>
      </c>
      <c r="X218" s="378" t="s">
        <v>289</v>
      </c>
      <c r="Y218" s="387" t="s">
        <v>289</v>
      </c>
      <c r="Z218" s="391" t="s">
        <v>289</v>
      </c>
      <c r="AA218" s="391" t="s">
        <v>289</v>
      </c>
      <c r="AB218" s="391" t="s">
        <v>289</v>
      </c>
      <c r="AC218" s="391" t="s">
        <v>289</v>
      </c>
      <c r="AD218" s="395" t="s">
        <v>289</v>
      </c>
      <c r="AE218" s="395"/>
      <c r="AF218" s="395"/>
      <c r="AG218" s="395"/>
      <c r="AH218" s="395"/>
    </row>
    <row r="219" ht="30.75" customHeight="1">
      <c r="A219" s="373" t="str">
        <f t="shared" si="1"/>
        <v/>
      </c>
      <c r="B219" s="421" t="s">
        <v>289</v>
      </c>
      <c r="C219" s="406"/>
      <c r="D219" s="406"/>
      <c r="E219" s="406"/>
      <c r="F219" s="395" t="s">
        <v>289</v>
      </c>
      <c r="G219" s="406"/>
      <c r="H219" s="406"/>
      <c r="I219" s="378" t="s">
        <v>289</v>
      </c>
      <c r="J219" s="379" t="s">
        <v>289</v>
      </c>
      <c r="K219" s="407"/>
      <c r="L219" s="378" t="s">
        <v>289</v>
      </c>
      <c r="M219" s="378" t="s">
        <v>289</v>
      </c>
      <c r="N219" s="378" t="s">
        <v>289</v>
      </c>
      <c r="O219" s="409"/>
      <c r="P219" s="387" t="s">
        <v>289</v>
      </c>
      <c r="Q219" s="383"/>
      <c r="R219" s="383"/>
      <c r="S219" s="383"/>
      <c r="T219" s="410"/>
      <c r="U219" s="406"/>
      <c r="V219" s="386"/>
      <c r="W219" s="387" t="s">
        <v>289</v>
      </c>
      <c r="X219" s="378" t="s">
        <v>289</v>
      </c>
      <c r="Y219" s="387" t="s">
        <v>289</v>
      </c>
      <c r="Z219" s="391" t="s">
        <v>289</v>
      </c>
      <c r="AA219" s="391" t="s">
        <v>289</v>
      </c>
      <c r="AB219" s="391" t="s">
        <v>289</v>
      </c>
      <c r="AC219" s="391" t="s">
        <v>289</v>
      </c>
      <c r="AD219" s="395" t="s">
        <v>289</v>
      </c>
      <c r="AE219" s="395"/>
      <c r="AF219" s="395"/>
      <c r="AG219" s="395"/>
      <c r="AH219" s="395"/>
    </row>
    <row r="220" ht="30.75" customHeight="1">
      <c r="A220" s="373" t="str">
        <f t="shared" si="1"/>
        <v/>
      </c>
      <c r="B220" s="421" t="s">
        <v>289</v>
      </c>
      <c r="C220" s="406"/>
      <c r="D220" s="406"/>
      <c r="E220" s="406"/>
      <c r="F220" s="395" t="s">
        <v>289</v>
      </c>
      <c r="G220" s="406"/>
      <c r="H220" s="406"/>
      <c r="I220" s="378" t="s">
        <v>289</v>
      </c>
      <c r="J220" s="379" t="s">
        <v>289</v>
      </c>
      <c r="K220" s="407"/>
      <c r="L220" s="378" t="s">
        <v>289</v>
      </c>
      <c r="M220" s="378" t="s">
        <v>289</v>
      </c>
      <c r="N220" s="378" t="s">
        <v>289</v>
      </c>
      <c r="O220" s="409"/>
      <c r="P220" s="387" t="s">
        <v>289</v>
      </c>
      <c r="Q220" s="383"/>
      <c r="R220" s="383"/>
      <c r="S220" s="383"/>
      <c r="T220" s="410"/>
      <c r="U220" s="406"/>
      <c r="V220" s="386"/>
      <c r="W220" s="387" t="s">
        <v>289</v>
      </c>
      <c r="X220" s="378" t="s">
        <v>289</v>
      </c>
      <c r="Y220" s="387" t="s">
        <v>289</v>
      </c>
      <c r="Z220" s="391" t="s">
        <v>289</v>
      </c>
      <c r="AA220" s="391" t="s">
        <v>289</v>
      </c>
      <c r="AB220" s="391" t="s">
        <v>289</v>
      </c>
      <c r="AC220" s="391" t="s">
        <v>289</v>
      </c>
      <c r="AD220" s="395" t="s">
        <v>289</v>
      </c>
      <c r="AE220" s="395"/>
      <c r="AF220" s="395"/>
      <c r="AG220" s="395"/>
      <c r="AH220" s="395"/>
    </row>
    <row r="221" ht="30.75" customHeight="1">
      <c r="A221" s="373" t="str">
        <f t="shared" si="1"/>
        <v/>
      </c>
      <c r="B221" s="421" t="s">
        <v>289</v>
      </c>
      <c r="C221" s="406"/>
      <c r="D221" s="406"/>
      <c r="E221" s="406"/>
      <c r="F221" s="395" t="s">
        <v>289</v>
      </c>
      <c r="G221" s="406"/>
      <c r="H221" s="406"/>
      <c r="I221" s="378" t="s">
        <v>289</v>
      </c>
      <c r="J221" s="379" t="s">
        <v>289</v>
      </c>
      <c r="K221" s="407"/>
      <c r="L221" s="378" t="s">
        <v>289</v>
      </c>
      <c r="M221" s="378" t="s">
        <v>289</v>
      </c>
      <c r="N221" s="378" t="s">
        <v>289</v>
      </c>
      <c r="O221" s="409"/>
      <c r="P221" s="387" t="s">
        <v>289</v>
      </c>
      <c r="Q221" s="383"/>
      <c r="R221" s="383"/>
      <c r="S221" s="383"/>
      <c r="T221" s="410"/>
      <c r="U221" s="406"/>
      <c r="V221" s="386"/>
      <c r="W221" s="387" t="s">
        <v>289</v>
      </c>
      <c r="X221" s="378" t="s">
        <v>289</v>
      </c>
      <c r="Y221" s="387" t="s">
        <v>289</v>
      </c>
      <c r="Z221" s="391" t="s">
        <v>289</v>
      </c>
      <c r="AA221" s="391" t="s">
        <v>289</v>
      </c>
      <c r="AB221" s="391" t="s">
        <v>289</v>
      </c>
      <c r="AC221" s="391" t="s">
        <v>289</v>
      </c>
      <c r="AD221" s="395" t="s">
        <v>289</v>
      </c>
      <c r="AE221" s="395"/>
      <c r="AF221" s="395"/>
      <c r="AG221" s="395"/>
      <c r="AH221" s="395"/>
    </row>
    <row r="222" ht="30.75" customHeight="1">
      <c r="A222" s="373" t="str">
        <f t="shared" si="1"/>
        <v/>
      </c>
      <c r="B222" s="421" t="s">
        <v>289</v>
      </c>
      <c r="C222" s="406"/>
      <c r="D222" s="406"/>
      <c r="E222" s="406"/>
      <c r="F222" s="395" t="s">
        <v>289</v>
      </c>
      <c r="G222" s="406"/>
      <c r="H222" s="406"/>
      <c r="I222" s="378" t="s">
        <v>289</v>
      </c>
      <c r="J222" s="379" t="s">
        <v>289</v>
      </c>
      <c r="K222" s="407"/>
      <c r="L222" s="378" t="s">
        <v>289</v>
      </c>
      <c r="M222" s="378" t="s">
        <v>289</v>
      </c>
      <c r="N222" s="378" t="s">
        <v>289</v>
      </c>
      <c r="O222" s="409"/>
      <c r="P222" s="387" t="s">
        <v>289</v>
      </c>
      <c r="Q222" s="383"/>
      <c r="R222" s="383"/>
      <c r="S222" s="383"/>
      <c r="T222" s="410"/>
      <c r="U222" s="406"/>
      <c r="V222" s="386"/>
      <c r="W222" s="387" t="s">
        <v>289</v>
      </c>
      <c r="X222" s="378" t="s">
        <v>289</v>
      </c>
      <c r="Y222" s="387" t="s">
        <v>289</v>
      </c>
      <c r="Z222" s="391" t="s">
        <v>289</v>
      </c>
      <c r="AA222" s="391" t="s">
        <v>289</v>
      </c>
      <c r="AB222" s="391" t="s">
        <v>289</v>
      </c>
      <c r="AC222" s="391" t="s">
        <v>289</v>
      </c>
      <c r="AD222" s="395" t="s">
        <v>289</v>
      </c>
      <c r="AE222" s="395"/>
      <c r="AF222" s="395"/>
      <c r="AG222" s="395"/>
      <c r="AH222" s="395"/>
    </row>
    <row r="223" ht="30.75" customHeight="1">
      <c r="A223" s="373" t="str">
        <f t="shared" si="1"/>
        <v/>
      </c>
      <c r="B223" s="421" t="s">
        <v>289</v>
      </c>
      <c r="C223" s="406"/>
      <c r="D223" s="406"/>
      <c r="E223" s="406"/>
      <c r="F223" s="395" t="s">
        <v>289</v>
      </c>
      <c r="G223" s="406"/>
      <c r="H223" s="406"/>
      <c r="I223" s="378" t="s">
        <v>289</v>
      </c>
      <c r="J223" s="379" t="s">
        <v>289</v>
      </c>
      <c r="K223" s="407"/>
      <c r="L223" s="378" t="s">
        <v>289</v>
      </c>
      <c r="M223" s="378" t="s">
        <v>289</v>
      </c>
      <c r="N223" s="378" t="s">
        <v>289</v>
      </c>
      <c r="O223" s="409"/>
      <c r="P223" s="387" t="s">
        <v>289</v>
      </c>
      <c r="Q223" s="383"/>
      <c r="R223" s="383"/>
      <c r="S223" s="383"/>
      <c r="T223" s="410"/>
      <c r="U223" s="406"/>
      <c r="V223" s="386"/>
      <c r="W223" s="387" t="s">
        <v>289</v>
      </c>
      <c r="X223" s="378" t="s">
        <v>289</v>
      </c>
      <c r="Y223" s="387" t="s">
        <v>289</v>
      </c>
      <c r="Z223" s="391" t="s">
        <v>289</v>
      </c>
      <c r="AA223" s="391" t="s">
        <v>289</v>
      </c>
      <c r="AB223" s="391" t="s">
        <v>289</v>
      </c>
      <c r="AC223" s="391" t="s">
        <v>289</v>
      </c>
      <c r="AD223" s="395" t="s">
        <v>289</v>
      </c>
      <c r="AE223" s="395"/>
      <c r="AF223" s="395"/>
      <c r="AG223" s="395"/>
      <c r="AH223" s="395"/>
    </row>
    <row r="224" ht="30.75" customHeight="1">
      <c r="A224" s="373" t="str">
        <f t="shared" si="1"/>
        <v/>
      </c>
      <c r="B224" s="421" t="s">
        <v>289</v>
      </c>
      <c r="C224" s="406"/>
      <c r="D224" s="406"/>
      <c r="E224" s="406"/>
      <c r="F224" s="395" t="s">
        <v>289</v>
      </c>
      <c r="G224" s="406"/>
      <c r="H224" s="406"/>
      <c r="I224" s="378" t="s">
        <v>289</v>
      </c>
      <c r="J224" s="379" t="s">
        <v>289</v>
      </c>
      <c r="K224" s="407"/>
      <c r="L224" s="378" t="s">
        <v>289</v>
      </c>
      <c r="M224" s="378" t="s">
        <v>289</v>
      </c>
      <c r="N224" s="378" t="s">
        <v>289</v>
      </c>
      <c r="O224" s="409"/>
      <c r="P224" s="387" t="s">
        <v>289</v>
      </c>
      <c r="Q224" s="383"/>
      <c r="R224" s="383"/>
      <c r="S224" s="383"/>
      <c r="T224" s="410"/>
      <c r="U224" s="406"/>
      <c r="V224" s="386"/>
      <c r="W224" s="387" t="s">
        <v>289</v>
      </c>
      <c r="X224" s="378" t="s">
        <v>289</v>
      </c>
      <c r="Y224" s="387" t="s">
        <v>289</v>
      </c>
      <c r="Z224" s="391" t="s">
        <v>289</v>
      </c>
      <c r="AA224" s="391" t="s">
        <v>289</v>
      </c>
      <c r="AB224" s="391" t="s">
        <v>289</v>
      </c>
      <c r="AC224" s="391" t="s">
        <v>289</v>
      </c>
      <c r="AD224" s="395" t="s">
        <v>289</v>
      </c>
      <c r="AE224" s="395"/>
      <c r="AF224" s="395"/>
      <c r="AG224" s="395"/>
      <c r="AH224" s="395"/>
    </row>
    <row r="225" ht="30.75" customHeight="1">
      <c r="A225" s="373" t="str">
        <f t="shared" si="1"/>
        <v/>
      </c>
      <c r="B225" s="421" t="s">
        <v>289</v>
      </c>
      <c r="C225" s="406"/>
      <c r="D225" s="406"/>
      <c r="E225" s="406"/>
      <c r="F225" s="395" t="s">
        <v>289</v>
      </c>
      <c r="G225" s="406"/>
      <c r="H225" s="406"/>
      <c r="I225" s="378" t="s">
        <v>289</v>
      </c>
      <c r="J225" s="379" t="s">
        <v>289</v>
      </c>
      <c r="K225" s="407"/>
      <c r="L225" s="378" t="s">
        <v>289</v>
      </c>
      <c r="M225" s="378" t="s">
        <v>289</v>
      </c>
      <c r="N225" s="378" t="s">
        <v>289</v>
      </c>
      <c r="O225" s="409"/>
      <c r="P225" s="387" t="s">
        <v>289</v>
      </c>
      <c r="Q225" s="383"/>
      <c r="R225" s="383"/>
      <c r="S225" s="383"/>
      <c r="T225" s="410"/>
      <c r="U225" s="406"/>
      <c r="V225" s="386"/>
      <c r="W225" s="387" t="s">
        <v>289</v>
      </c>
      <c r="X225" s="378" t="s">
        <v>289</v>
      </c>
      <c r="Y225" s="387" t="s">
        <v>289</v>
      </c>
      <c r="Z225" s="391" t="s">
        <v>289</v>
      </c>
      <c r="AA225" s="391" t="s">
        <v>289</v>
      </c>
      <c r="AB225" s="391" t="s">
        <v>289</v>
      </c>
      <c r="AC225" s="391" t="s">
        <v>289</v>
      </c>
      <c r="AD225" s="395" t="s">
        <v>289</v>
      </c>
      <c r="AE225" s="395"/>
      <c r="AF225" s="395"/>
      <c r="AG225" s="395"/>
      <c r="AH225" s="395"/>
    </row>
    <row r="226" ht="30.75" customHeight="1">
      <c r="A226" s="373" t="str">
        <f t="shared" si="1"/>
        <v/>
      </c>
      <c r="B226" s="421" t="s">
        <v>289</v>
      </c>
      <c r="C226" s="406"/>
      <c r="D226" s="406"/>
      <c r="E226" s="406"/>
      <c r="F226" s="395" t="s">
        <v>289</v>
      </c>
      <c r="G226" s="406"/>
      <c r="H226" s="406"/>
      <c r="I226" s="378" t="s">
        <v>289</v>
      </c>
      <c r="J226" s="379" t="s">
        <v>289</v>
      </c>
      <c r="K226" s="407"/>
      <c r="L226" s="378" t="s">
        <v>289</v>
      </c>
      <c r="M226" s="378" t="s">
        <v>289</v>
      </c>
      <c r="N226" s="378" t="s">
        <v>289</v>
      </c>
      <c r="O226" s="409"/>
      <c r="P226" s="387" t="s">
        <v>289</v>
      </c>
      <c r="Q226" s="383"/>
      <c r="R226" s="383"/>
      <c r="S226" s="383"/>
      <c r="T226" s="410"/>
      <c r="U226" s="406"/>
      <c r="V226" s="386"/>
      <c r="W226" s="387" t="s">
        <v>289</v>
      </c>
      <c r="X226" s="378" t="s">
        <v>289</v>
      </c>
      <c r="Y226" s="387" t="s">
        <v>289</v>
      </c>
      <c r="Z226" s="391" t="s">
        <v>289</v>
      </c>
      <c r="AA226" s="391" t="s">
        <v>289</v>
      </c>
      <c r="AB226" s="391" t="s">
        <v>289</v>
      </c>
      <c r="AC226" s="391" t="s">
        <v>289</v>
      </c>
      <c r="AD226" s="395" t="s">
        <v>289</v>
      </c>
      <c r="AE226" s="395"/>
      <c r="AF226" s="395"/>
      <c r="AG226" s="395"/>
      <c r="AH226" s="395"/>
    </row>
    <row r="227" ht="30.75" customHeight="1">
      <c r="A227" s="373" t="str">
        <f t="shared" si="1"/>
        <v/>
      </c>
      <c r="B227" s="421" t="s">
        <v>289</v>
      </c>
      <c r="C227" s="406"/>
      <c r="D227" s="406"/>
      <c r="E227" s="406"/>
      <c r="F227" s="395" t="s">
        <v>289</v>
      </c>
      <c r="G227" s="406"/>
      <c r="H227" s="406"/>
      <c r="I227" s="378" t="s">
        <v>289</v>
      </c>
      <c r="J227" s="379" t="s">
        <v>289</v>
      </c>
      <c r="K227" s="407"/>
      <c r="L227" s="378" t="s">
        <v>289</v>
      </c>
      <c r="M227" s="378" t="s">
        <v>289</v>
      </c>
      <c r="N227" s="378" t="s">
        <v>289</v>
      </c>
      <c r="O227" s="409"/>
      <c r="P227" s="387" t="s">
        <v>289</v>
      </c>
      <c r="Q227" s="383"/>
      <c r="R227" s="383"/>
      <c r="S227" s="383"/>
      <c r="T227" s="410"/>
      <c r="U227" s="406"/>
      <c r="V227" s="386"/>
      <c r="W227" s="387" t="s">
        <v>289</v>
      </c>
      <c r="X227" s="378" t="s">
        <v>289</v>
      </c>
      <c r="Y227" s="387" t="s">
        <v>289</v>
      </c>
      <c r="Z227" s="391" t="s">
        <v>289</v>
      </c>
      <c r="AA227" s="391" t="s">
        <v>289</v>
      </c>
      <c r="AB227" s="391" t="s">
        <v>289</v>
      </c>
      <c r="AC227" s="391" t="s">
        <v>289</v>
      </c>
      <c r="AD227" s="395" t="s">
        <v>289</v>
      </c>
      <c r="AE227" s="395"/>
      <c r="AF227" s="395"/>
      <c r="AG227" s="395"/>
      <c r="AH227" s="395"/>
    </row>
    <row r="228" ht="30.75" customHeight="1">
      <c r="A228" s="373" t="str">
        <f t="shared" si="1"/>
        <v/>
      </c>
      <c r="B228" s="421" t="s">
        <v>289</v>
      </c>
      <c r="C228" s="406"/>
      <c r="D228" s="406"/>
      <c r="E228" s="406"/>
      <c r="F228" s="395" t="s">
        <v>289</v>
      </c>
      <c r="G228" s="406"/>
      <c r="H228" s="406"/>
      <c r="I228" s="378" t="s">
        <v>289</v>
      </c>
      <c r="J228" s="379" t="s">
        <v>289</v>
      </c>
      <c r="K228" s="407"/>
      <c r="L228" s="378" t="s">
        <v>289</v>
      </c>
      <c r="M228" s="378" t="s">
        <v>289</v>
      </c>
      <c r="N228" s="378" t="s">
        <v>289</v>
      </c>
      <c r="O228" s="409"/>
      <c r="P228" s="387" t="s">
        <v>289</v>
      </c>
      <c r="Q228" s="383"/>
      <c r="R228" s="383"/>
      <c r="S228" s="383"/>
      <c r="T228" s="410"/>
      <c r="U228" s="406"/>
      <c r="V228" s="386"/>
      <c r="W228" s="387" t="s">
        <v>289</v>
      </c>
      <c r="X228" s="378" t="s">
        <v>289</v>
      </c>
      <c r="Y228" s="387" t="s">
        <v>289</v>
      </c>
      <c r="Z228" s="391" t="s">
        <v>289</v>
      </c>
      <c r="AA228" s="391" t="s">
        <v>289</v>
      </c>
      <c r="AB228" s="391" t="s">
        <v>289</v>
      </c>
      <c r="AC228" s="391" t="s">
        <v>289</v>
      </c>
      <c r="AD228" s="395" t="s">
        <v>289</v>
      </c>
      <c r="AE228" s="395"/>
      <c r="AF228" s="395"/>
      <c r="AG228" s="395"/>
      <c r="AH228" s="395"/>
    </row>
    <row r="229" ht="30.75" customHeight="1">
      <c r="A229" s="373" t="str">
        <f t="shared" si="1"/>
        <v/>
      </c>
      <c r="B229" s="421" t="s">
        <v>289</v>
      </c>
      <c r="C229" s="406"/>
      <c r="D229" s="406"/>
      <c r="E229" s="406"/>
      <c r="F229" s="395" t="s">
        <v>289</v>
      </c>
      <c r="G229" s="406"/>
      <c r="H229" s="406"/>
      <c r="I229" s="378" t="s">
        <v>289</v>
      </c>
      <c r="J229" s="379" t="s">
        <v>289</v>
      </c>
      <c r="K229" s="407"/>
      <c r="L229" s="378" t="s">
        <v>289</v>
      </c>
      <c r="M229" s="378" t="s">
        <v>289</v>
      </c>
      <c r="N229" s="378" t="s">
        <v>289</v>
      </c>
      <c r="O229" s="409"/>
      <c r="P229" s="387" t="s">
        <v>289</v>
      </c>
      <c r="Q229" s="383"/>
      <c r="R229" s="383"/>
      <c r="S229" s="383"/>
      <c r="T229" s="410"/>
      <c r="U229" s="406"/>
      <c r="V229" s="386"/>
      <c r="W229" s="387" t="s">
        <v>289</v>
      </c>
      <c r="X229" s="378" t="s">
        <v>289</v>
      </c>
      <c r="Y229" s="387" t="s">
        <v>289</v>
      </c>
      <c r="Z229" s="391" t="s">
        <v>289</v>
      </c>
      <c r="AA229" s="391" t="s">
        <v>289</v>
      </c>
      <c r="AB229" s="391" t="s">
        <v>289</v>
      </c>
      <c r="AC229" s="391" t="s">
        <v>289</v>
      </c>
      <c r="AD229" s="395" t="s">
        <v>289</v>
      </c>
      <c r="AE229" s="395"/>
      <c r="AF229" s="395"/>
      <c r="AG229" s="395"/>
      <c r="AH229" s="395"/>
    </row>
    <row r="230" ht="30.75" customHeight="1">
      <c r="A230" s="373" t="str">
        <f t="shared" si="1"/>
        <v/>
      </c>
      <c r="B230" s="421" t="s">
        <v>289</v>
      </c>
      <c r="C230" s="406"/>
      <c r="D230" s="406"/>
      <c r="E230" s="406"/>
      <c r="F230" s="395" t="s">
        <v>289</v>
      </c>
      <c r="G230" s="406"/>
      <c r="H230" s="406"/>
      <c r="I230" s="378" t="s">
        <v>289</v>
      </c>
      <c r="J230" s="379" t="s">
        <v>289</v>
      </c>
      <c r="K230" s="407"/>
      <c r="L230" s="378" t="s">
        <v>289</v>
      </c>
      <c r="M230" s="378" t="s">
        <v>289</v>
      </c>
      <c r="N230" s="378" t="s">
        <v>289</v>
      </c>
      <c r="O230" s="409"/>
      <c r="P230" s="387" t="s">
        <v>289</v>
      </c>
      <c r="Q230" s="383"/>
      <c r="R230" s="383"/>
      <c r="S230" s="383"/>
      <c r="T230" s="410"/>
      <c r="U230" s="406"/>
      <c r="V230" s="386"/>
      <c r="W230" s="387" t="s">
        <v>289</v>
      </c>
      <c r="X230" s="378" t="s">
        <v>289</v>
      </c>
      <c r="Y230" s="387" t="s">
        <v>289</v>
      </c>
      <c r="Z230" s="391" t="s">
        <v>289</v>
      </c>
      <c r="AA230" s="391" t="s">
        <v>289</v>
      </c>
      <c r="AB230" s="391" t="s">
        <v>289</v>
      </c>
      <c r="AC230" s="391" t="s">
        <v>289</v>
      </c>
      <c r="AD230" s="395" t="s">
        <v>289</v>
      </c>
      <c r="AE230" s="395"/>
      <c r="AF230" s="395"/>
      <c r="AG230" s="395"/>
      <c r="AH230" s="395"/>
    </row>
    <row r="231" ht="30.75" customHeight="1">
      <c r="A231" s="373" t="str">
        <f t="shared" si="1"/>
        <v/>
      </c>
      <c r="B231" s="421" t="s">
        <v>289</v>
      </c>
      <c r="C231" s="406"/>
      <c r="D231" s="406"/>
      <c r="E231" s="406"/>
      <c r="F231" s="395" t="s">
        <v>289</v>
      </c>
      <c r="G231" s="406"/>
      <c r="H231" s="406"/>
      <c r="I231" s="378" t="s">
        <v>289</v>
      </c>
      <c r="J231" s="379" t="s">
        <v>289</v>
      </c>
      <c r="K231" s="407"/>
      <c r="L231" s="378" t="s">
        <v>289</v>
      </c>
      <c r="M231" s="378" t="s">
        <v>289</v>
      </c>
      <c r="N231" s="378" t="s">
        <v>289</v>
      </c>
      <c r="O231" s="409"/>
      <c r="P231" s="387" t="s">
        <v>289</v>
      </c>
      <c r="Q231" s="383"/>
      <c r="R231" s="383"/>
      <c r="S231" s="383"/>
      <c r="T231" s="410"/>
      <c r="U231" s="406"/>
      <c r="V231" s="386"/>
      <c r="W231" s="387" t="s">
        <v>289</v>
      </c>
      <c r="X231" s="378" t="s">
        <v>289</v>
      </c>
      <c r="Y231" s="387" t="s">
        <v>289</v>
      </c>
      <c r="Z231" s="391" t="s">
        <v>289</v>
      </c>
      <c r="AA231" s="391" t="s">
        <v>289</v>
      </c>
      <c r="AB231" s="391" t="s">
        <v>289</v>
      </c>
      <c r="AC231" s="391" t="s">
        <v>289</v>
      </c>
      <c r="AD231" s="395" t="s">
        <v>289</v>
      </c>
      <c r="AE231" s="395"/>
      <c r="AF231" s="395"/>
      <c r="AG231" s="395"/>
      <c r="AH231" s="395"/>
    </row>
    <row r="232" ht="30.75" customHeight="1">
      <c r="A232" s="373" t="str">
        <f t="shared" si="1"/>
        <v/>
      </c>
      <c r="B232" s="421" t="s">
        <v>289</v>
      </c>
      <c r="C232" s="406"/>
      <c r="D232" s="406"/>
      <c r="E232" s="406"/>
      <c r="F232" s="395" t="s">
        <v>289</v>
      </c>
      <c r="G232" s="406"/>
      <c r="H232" s="406"/>
      <c r="I232" s="378" t="s">
        <v>289</v>
      </c>
      <c r="J232" s="379" t="s">
        <v>289</v>
      </c>
      <c r="K232" s="407"/>
      <c r="L232" s="378" t="s">
        <v>289</v>
      </c>
      <c r="M232" s="378" t="s">
        <v>289</v>
      </c>
      <c r="N232" s="378" t="s">
        <v>289</v>
      </c>
      <c r="O232" s="409"/>
      <c r="P232" s="387" t="s">
        <v>289</v>
      </c>
      <c r="Q232" s="383"/>
      <c r="R232" s="383"/>
      <c r="S232" s="383"/>
      <c r="T232" s="410"/>
      <c r="U232" s="406"/>
      <c r="V232" s="386"/>
      <c r="W232" s="387" t="s">
        <v>289</v>
      </c>
      <c r="X232" s="378" t="s">
        <v>289</v>
      </c>
      <c r="Y232" s="387" t="s">
        <v>289</v>
      </c>
      <c r="Z232" s="391" t="s">
        <v>289</v>
      </c>
      <c r="AA232" s="391" t="s">
        <v>289</v>
      </c>
      <c r="AB232" s="391" t="s">
        <v>289</v>
      </c>
      <c r="AC232" s="391" t="s">
        <v>289</v>
      </c>
      <c r="AD232" s="395" t="s">
        <v>289</v>
      </c>
      <c r="AE232" s="395"/>
      <c r="AF232" s="395"/>
      <c r="AG232" s="395"/>
      <c r="AH232" s="395"/>
    </row>
    <row r="233" ht="30.75" customHeight="1">
      <c r="A233" s="373" t="str">
        <f t="shared" si="1"/>
        <v/>
      </c>
      <c r="B233" s="421" t="s">
        <v>289</v>
      </c>
      <c r="C233" s="406"/>
      <c r="D233" s="406"/>
      <c r="E233" s="406"/>
      <c r="F233" s="395" t="s">
        <v>289</v>
      </c>
      <c r="G233" s="406"/>
      <c r="H233" s="406"/>
      <c r="I233" s="378" t="s">
        <v>289</v>
      </c>
      <c r="J233" s="379" t="s">
        <v>289</v>
      </c>
      <c r="K233" s="407"/>
      <c r="L233" s="378" t="s">
        <v>289</v>
      </c>
      <c r="M233" s="378" t="s">
        <v>289</v>
      </c>
      <c r="N233" s="378" t="s">
        <v>289</v>
      </c>
      <c r="O233" s="409"/>
      <c r="P233" s="387" t="s">
        <v>289</v>
      </c>
      <c r="Q233" s="383"/>
      <c r="R233" s="383"/>
      <c r="S233" s="383"/>
      <c r="T233" s="410"/>
      <c r="U233" s="406"/>
      <c r="V233" s="386"/>
      <c r="W233" s="387" t="s">
        <v>289</v>
      </c>
      <c r="X233" s="378" t="s">
        <v>289</v>
      </c>
      <c r="Y233" s="387" t="s">
        <v>289</v>
      </c>
      <c r="Z233" s="391" t="s">
        <v>289</v>
      </c>
      <c r="AA233" s="391" t="s">
        <v>289</v>
      </c>
      <c r="AB233" s="391" t="s">
        <v>289</v>
      </c>
      <c r="AC233" s="391" t="s">
        <v>289</v>
      </c>
      <c r="AD233" s="395" t="s">
        <v>289</v>
      </c>
      <c r="AE233" s="395"/>
      <c r="AF233" s="395"/>
      <c r="AG233" s="395"/>
      <c r="AH233" s="395"/>
    </row>
    <row r="234" ht="30.75" customHeight="1">
      <c r="A234" s="373" t="str">
        <f t="shared" si="1"/>
        <v/>
      </c>
      <c r="B234" s="421" t="s">
        <v>289</v>
      </c>
      <c r="C234" s="406"/>
      <c r="D234" s="406"/>
      <c r="E234" s="406"/>
      <c r="F234" s="395" t="s">
        <v>289</v>
      </c>
      <c r="G234" s="406"/>
      <c r="H234" s="406"/>
      <c r="I234" s="378" t="s">
        <v>289</v>
      </c>
      <c r="J234" s="379" t="s">
        <v>289</v>
      </c>
      <c r="K234" s="407"/>
      <c r="L234" s="378" t="s">
        <v>289</v>
      </c>
      <c r="M234" s="378" t="s">
        <v>289</v>
      </c>
      <c r="N234" s="378" t="s">
        <v>289</v>
      </c>
      <c r="O234" s="409"/>
      <c r="P234" s="387" t="s">
        <v>289</v>
      </c>
      <c r="Q234" s="383"/>
      <c r="R234" s="383"/>
      <c r="S234" s="383"/>
      <c r="T234" s="410"/>
      <c r="U234" s="406"/>
      <c r="V234" s="386"/>
      <c r="W234" s="387" t="s">
        <v>289</v>
      </c>
      <c r="X234" s="378" t="s">
        <v>289</v>
      </c>
      <c r="Y234" s="387" t="s">
        <v>289</v>
      </c>
      <c r="Z234" s="391" t="s">
        <v>289</v>
      </c>
      <c r="AA234" s="391" t="s">
        <v>289</v>
      </c>
      <c r="AB234" s="391" t="s">
        <v>289</v>
      </c>
      <c r="AC234" s="391" t="s">
        <v>289</v>
      </c>
      <c r="AD234" s="395" t="s">
        <v>289</v>
      </c>
      <c r="AE234" s="395"/>
      <c r="AF234" s="395"/>
      <c r="AG234" s="395"/>
      <c r="AH234" s="395"/>
    </row>
    <row r="235" ht="30.75" customHeight="1">
      <c r="A235" s="373" t="str">
        <f t="shared" si="1"/>
        <v/>
      </c>
      <c r="B235" s="421" t="s">
        <v>289</v>
      </c>
      <c r="C235" s="406"/>
      <c r="D235" s="406"/>
      <c r="E235" s="406"/>
      <c r="F235" s="395" t="s">
        <v>289</v>
      </c>
      <c r="G235" s="406"/>
      <c r="H235" s="406"/>
      <c r="I235" s="378" t="s">
        <v>289</v>
      </c>
      <c r="J235" s="379" t="s">
        <v>289</v>
      </c>
      <c r="K235" s="407"/>
      <c r="L235" s="378" t="s">
        <v>289</v>
      </c>
      <c r="M235" s="378" t="s">
        <v>289</v>
      </c>
      <c r="N235" s="378" t="s">
        <v>289</v>
      </c>
      <c r="O235" s="409"/>
      <c r="P235" s="387" t="s">
        <v>289</v>
      </c>
      <c r="Q235" s="383"/>
      <c r="R235" s="383"/>
      <c r="S235" s="383"/>
      <c r="T235" s="410"/>
      <c r="U235" s="406"/>
      <c r="V235" s="386"/>
      <c r="W235" s="387" t="s">
        <v>289</v>
      </c>
      <c r="X235" s="378" t="s">
        <v>289</v>
      </c>
      <c r="Y235" s="387" t="s">
        <v>289</v>
      </c>
      <c r="Z235" s="391" t="s">
        <v>289</v>
      </c>
      <c r="AA235" s="391" t="s">
        <v>289</v>
      </c>
      <c r="AB235" s="391" t="s">
        <v>289</v>
      </c>
      <c r="AC235" s="391" t="s">
        <v>289</v>
      </c>
      <c r="AD235" s="395" t="s">
        <v>289</v>
      </c>
      <c r="AE235" s="395"/>
      <c r="AF235" s="395"/>
      <c r="AG235" s="395"/>
      <c r="AH235" s="395"/>
    </row>
    <row r="236" ht="30.75" customHeight="1">
      <c r="A236" s="373" t="str">
        <f t="shared" si="1"/>
        <v/>
      </c>
      <c r="B236" s="421" t="s">
        <v>289</v>
      </c>
      <c r="C236" s="406"/>
      <c r="D236" s="406"/>
      <c r="E236" s="406"/>
      <c r="F236" s="395" t="s">
        <v>289</v>
      </c>
      <c r="G236" s="406"/>
      <c r="H236" s="406"/>
      <c r="I236" s="378" t="s">
        <v>289</v>
      </c>
      <c r="J236" s="379" t="s">
        <v>289</v>
      </c>
      <c r="K236" s="407"/>
      <c r="L236" s="378" t="s">
        <v>289</v>
      </c>
      <c r="M236" s="378" t="s">
        <v>289</v>
      </c>
      <c r="N236" s="378" t="s">
        <v>289</v>
      </c>
      <c r="O236" s="409"/>
      <c r="P236" s="387" t="s">
        <v>289</v>
      </c>
      <c r="Q236" s="383"/>
      <c r="R236" s="383"/>
      <c r="S236" s="383"/>
      <c r="T236" s="410"/>
      <c r="U236" s="406"/>
      <c r="V236" s="386"/>
      <c r="W236" s="387" t="s">
        <v>289</v>
      </c>
      <c r="X236" s="378" t="s">
        <v>289</v>
      </c>
      <c r="Y236" s="387" t="s">
        <v>289</v>
      </c>
      <c r="Z236" s="391" t="s">
        <v>289</v>
      </c>
      <c r="AA236" s="391" t="s">
        <v>289</v>
      </c>
      <c r="AB236" s="391" t="s">
        <v>289</v>
      </c>
      <c r="AC236" s="391" t="s">
        <v>289</v>
      </c>
      <c r="AD236" s="395" t="s">
        <v>289</v>
      </c>
      <c r="AE236" s="395"/>
      <c r="AF236" s="395"/>
      <c r="AG236" s="395"/>
      <c r="AH236" s="395"/>
    </row>
    <row r="237" ht="30.75" customHeight="1">
      <c r="A237" s="373" t="str">
        <f t="shared" si="1"/>
        <v/>
      </c>
      <c r="B237" s="421" t="s">
        <v>289</v>
      </c>
      <c r="C237" s="406"/>
      <c r="D237" s="406"/>
      <c r="E237" s="406"/>
      <c r="F237" s="395" t="s">
        <v>289</v>
      </c>
      <c r="G237" s="406"/>
      <c r="H237" s="406"/>
      <c r="I237" s="378" t="s">
        <v>289</v>
      </c>
      <c r="J237" s="379" t="s">
        <v>289</v>
      </c>
      <c r="K237" s="407"/>
      <c r="L237" s="378" t="s">
        <v>289</v>
      </c>
      <c r="M237" s="378" t="s">
        <v>289</v>
      </c>
      <c r="N237" s="378" t="s">
        <v>289</v>
      </c>
      <c r="O237" s="409"/>
      <c r="P237" s="387" t="s">
        <v>289</v>
      </c>
      <c r="Q237" s="383"/>
      <c r="R237" s="383"/>
      <c r="S237" s="383"/>
      <c r="T237" s="410"/>
      <c r="U237" s="406"/>
      <c r="V237" s="386"/>
      <c r="W237" s="387" t="s">
        <v>289</v>
      </c>
      <c r="X237" s="378" t="s">
        <v>289</v>
      </c>
      <c r="Y237" s="387" t="s">
        <v>289</v>
      </c>
      <c r="Z237" s="391" t="s">
        <v>289</v>
      </c>
      <c r="AA237" s="391" t="s">
        <v>289</v>
      </c>
      <c r="AB237" s="391" t="s">
        <v>289</v>
      </c>
      <c r="AC237" s="391" t="s">
        <v>289</v>
      </c>
      <c r="AD237" s="395" t="s">
        <v>289</v>
      </c>
      <c r="AE237" s="395"/>
      <c r="AF237" s="395"/>
      <c r="AG237" s="395"/>
      <c r="AH237" s="395"/>
    </row>
    <row r="238" ht="30.75" customHeight="1">
      <c r="A238" s="373" t="str">
        <f t="shared" si="1"/>
        <v/>
      </c>
      <c r="B238" s="421" t="s">
        <v>289</v>
      </c>
      <c r="C238" s="406"/>
      <c r="D238" s="406"/>
      <c r="E238" s="406"/>
      <c r="F238" s="395" t="s">
        <v>289</v>
      </c>
      <c r="G238" s="406"/>
      <c r="H238" s="406"/>
      <c r="I238" s="378" t="s">
        <v>289</v>
      </c>
      <c r="J238" s="379" t="s">
        <v>289</v>
      </c>
      <c r="K238" s="407"/>
      <c r="L238" s="378" t="s">
        <v>289</v>
      </c>
      <c r="M238" s="378" t="s">
        <v>289</v>
      </c>
      <c r="N238" s="378" t="s">
        <v>289</v>
      </c>
      <c r="O238" s="409"/>
      <c r="P238" s="387" t="s">
        <v>289</v>
      </c>
      <c r="Q238" s="383"/>
      <c r="R238" s="383"/>
      <c r="S238" s="383"/>
      <c r="T238" s="410"/>
      <c r="U238" s="406"/>
      <c r="V238" s="386"/>
      <c r="W238" s="387" t="s">
        <v>289</v>
      </c>
      <c r="X238" s="378" t="s">
        <v>289</v>
      </c>
      <c r="Y238" s="387" t="s">
        <v>289</v>
      </c>
      <c r="Z238" s="391" t="s">
        <v>289</v>
      </c>
      <c r="AA238" s="391" t="s">
        <v>289</v>
      </c>
      <c r="AB238" s="391" t="s">
        <v>289</v>
      </c>
      <c r="AC238" s="391" t="s">
        <v>289</v>
      </c>
      <c r="AD238" s="395" t="s">
        <v>289</v>
      </c>
      <c r="AE238" s="395"/>
      <c r="AF238" s="395"/>
      <c r="AG238" s="395"/>
      <c r="AH238" s="395"/>
    </row>
    <row r="239" ht="30.75" customHeight="1">
      <c r="A239" s="373" t="str">
        <f t="shared" si="1"/>
        <v/>
      </c>
      <c r="B239" s="421" t="s">
        <v>289</v>
      </c>
      <c r="C239" s="406"/>
      <c r="D239" s="406"/>
      <c r="E239" s="406"/>
      <c r="F239" s="395" t="s">
        <v>289</v>
      </c>
      <c r="G239" s="406"/>
      <c r="H239" s="406"/>
      <c r="I239" s="378" t="s">
        <v>289</v>
      </c>
      <c r="J239" s="379" t="s">
        <v>289</v>
      </c>
      <c r="K239" s="407"/>
      <c r="L239" s="378" t="s">
        <v>289</v>
      </c>
      <c r="M239" s="378" t="s">
        <v>289</v>
      </c>
      <c r="N239" s="378" t="s">
        <v>289</v>
      </c>
      <c r="O239" s="409"/>
      <c r="P239" s="387" t="s">
        <v>289</v>
      </c>
      <c r="Q239" s="383"/>
      <c r="R239" s="383"/>
      <c r="S239" s="383"/>
      <c r="T239" s="410"/>
      <c r="U239" s="406"/>
      <c r="V239" s="386"/>
      <c r="W239" s="387" t="s">
        <v>289</v>
      </c>
      <c r="X239" s="378" t="s">
        <v>289</v>
      </c>
      <c r="Y239" s="387" t="s">
        <v>289</v>
      </c>
      <c r="Z239" s="391" t="s">
        <v>289</v>
      </c>
      <c r="AA239" s="391" t="s">
        <v>289</v>
      </c>
      <c r="AB239" s="391" t="s">
        <v>289</v>
      </c>
      <c r="AC239" s="391" t="s">
        <v>289</v>
      </c>
      <c r="AD239" s="395" t="s">
        <v>289</v>
      </c>
      <c r="AE239" s="395"/>
      <c r="AF239" s="395"/>
      <c r="AG239" s="395"/>
      <c r="AH239" s="395"/>
    </row>
    <row r="240" ht="30.75" customHeight="1">
      <c r="A240" s="373" t="str">
        <f t="shared" si="1"/>
        <v/>
      </c>
      <c r="B240" s="421" t="s">
        <v>289</v>
      </c>
      <c r="C240" s="406"/>
      <c r="D240" s="406"/>
      <c r="E240" s="406"/>
      <c r="F240" s="395" t="s">
        <v>289</v>
      </c>
      <c r="G240" s="406"/>
      <c r="H240" s="406"/>
      <c r="I240" s="378" t="s">
        <v>289</v>
      </c>
      <c r="J240" s="379" t="s">
        <v>289</v>
      </c>
      <c r="K240" s="407"/>
      <c r="L240" s="378" t="s">
        <v>289</v>
      </c>
      <c r="M240" s="378" t="s">
        <v>289</v>
      </c>
      <c r="N240" s="378" t="s">
        <v>289</v>
      </c>
      <c r="O240" s="409"/>
      <c r="P240" s="387" t="s">
        <v>289</v>
      </c>
      <c r="Q240" s="383"/>
      <c r="R240" s="383"/>
      <c r="S240" s="383"/>
      <c r="T240" s="410"/>
      <c r="U240" s="406"/>
      <c r="V240" s="386"/>
      <c r="W240" s="387" t="s">
        <v>289</v>
      </c>
      <c r="X240" s="378" t="s">
        <v>289</v>
      </c>
      <c r="Y240" s="387" t="s">
        <v>289</v>
      </c>
      <c r="Z240" s="391" t="s">
        <v>289</v>
      </c>
      <c r="AA240" s="391" t="s">
        <v>289</v>
      </c>
      <c r="AB240" s="391" t="s">
        <v>289</v>
      </c>
      <c r="AC240" s="391" t="s">
        <v>289</v>
      </c>
      <c r="AD240" s="395" t="s">
        <v>289</v>
      </c>
      <c r="AE240" s="395"/>
      <c r="AF240" s="395"/>
      <c r="AG240" s="395"/>
      <c r="AH240" s="395"/>
    </row>
    <row r="241" ht="30.75" customHeight="1">
      <c r="A241" s="373" t="str">
        <f t="shared" si="1"/>
        <v/>
      </c>
      <c r="B241" s="421" t="s">
        <v>289</v>
      </c>
      <c r="C241" s="406"/>
      <c r="D241" s="406"/>
      <c r="E241" s="406"/>
      <c r="F241" s="395" t="s">
        <v>289</v>
      </c>
      <c r="G241" s="406"/>
      <c r="H241" s="406"/>
      <c r="I241" s="378" t="s">
        <v>289</v>
      </c>
      <c r="J241" s="379" t="s">
        <v>289</v>
      </c>
      <c r="K241" s="407"/>
      <c r="L241" s="378" t="s">
        <v>289</v>
      </c>
      <c r="M241" s="378" t="s">
        <v>289</v>
      </c>
      <c r="N241" s="378" t="s">
        <v>289</v>
      </c>
      <c r="O241" s="409"/>
      <c r="P241" s="387" t="s">
        <v>289</v>
      </c>
      <c r="Q241" s="383"/>
      <c r="R241" s="383"/>
      <c r="S241" s="383"/>
      <c r="T241" s="410"/>
      <c r="U241" s="406"/>
      <c r="V241" s="386"/>
      <c r="W241" s="387" t="s">
        <v>289</v>
      </c>
      <c r="X241" s="378" t="s">
        <v>289</v>
      </c>
      <c r="Y241" s="387" t="s">
        <v>289</v>
      </c>
      <c r="Z241" s="391" t="s">
        <v>289</v>
      </c>
      <c r="AA241" s="391" t="s">
        <v>289</v>
      </c>
      <c r="AB241" s="391" t="s">
        <v>289</v>
      </c>
      <c r="AC241" s="391" t="s">
        <v>289</v>
      </c>
      <c r="AD241" s="395" t="s">
        <v>289</v>
      </c>
      <c r="AE241" s="395"/>
      <c r="AF241" s="395"/>
      <c r="AG241" s="395"/>
      <c r="AH241" s="395"/>
    </row>
    <row r="242" ht="30.75" customHeight="1">
      <c r="A242" s="373" t="str">
        <f t="shared" si="1"/>
        <v/>
      </c>
      <c r="B242" s="421" t="s">
        <v>289</v>
      </c>
      <c r="C242" s="406"/>
      <c r="D242" s="406"/>
      <c r="E242" s="406"/>
      <c r="F242" s="395" t="s">
        <v>289</v>
      </c>
      <c r="G242" s="406"/>
      <c r="H242" s="406"/>
      <c r="I242" s="378" t="s">
        <v>289</v>
      </c>
      <c r="J242" s="379" t="s">
        <v>289</v>
      </c>
      <c r="K242" s="407"/>
      <c r="L242" s="378" t="s">
        <v>289</v>
      </c>
      <c r="M242" s="378" t="s">
        <v>289</v>
      </c>
      <c r="N242" s="378" t="s">
        <v>289</v>
      </c>
      <c r="O242" s="409"/>
      <c r="P242" s="387" t="s">
        <v>289</v>
      </c>
      <c r="Q242" s="383"/>
      <c r="R242" s="383"/>
      <c r="S242" s="383"/>
      <c r="T242" s="410"/>
      <c r="U242" s="406"/>
      <c r="V242" s="386"/>
      <c r="W242" s="387" t="s">
        <v>289</v>
      </c>
      <c r="X242" s="378" t="s">
        <v>289</v>
      </c>
      <c r="Y242" s="387" t="s">
        <v>289</v>
      </c>
      <c r="Z242" s="391" t="s">
        <v>289</v>
      </c>
      <c r="AA242" s="391" t="s">
        <v>289</v>
      </c>
      <c r="AB242" s="391" t="s">
        <v>289</v>
      </c>
      <c r="AC242" s="391" t="s">
        <v>289</v>
      </c>
      <c r="AD242" s="395" t="s">
        <v>289</v>
      </c>
      <c r="AE242" s="395"/>
      <c r="AF242" s="395"/>
      <c r="AG242" s="395"/>
      <c r="AH242" s="395"/>
    </row>
    <row r="243" ht="30.75" customHeight="1">
      <c r="A243" s="373" t="str">
        <f t="shared" si="1"/>
        <v/>
      </c>
      <c r="B243" s="421" t="s">
        <v>289</v>
      </c>
      <c r="C243" s="406"/>
      <c r="D243" s="406"/>
      <c r="E243" s="406"/>
      <c r="F243" s="395" t="s">
        <v>289</v>
      </c>
      <c r="G243" s="406"/>
      <c r="H243" s="406"/>
      <c r="I243" s="378" t="s">
        <v>289</v>
      </c>
      <c r="J243" s="379" t="s">
        <v>289</v>
      </c>
      <c r="K243" s="407"/>
      <c r="L243" s="378" t="s">
        <v>289</v>
      </c>
      <c r="M243" s="378" t="s">
        <v>289</v>
      </c>
      <c r="N243" s="378" t="s">
        <v>289</v>
      </c>
      <c r="O243" s="409"/>
      <c r="P243" s="387" t="s">
        <v>289</v>
      </c>
      <c r="Q243" s="383"/>
      <c r="R243" s="383"/>
      <c r="S243" s="383"/>
      <c r="T243" s="410"/>
      <c r="U243" s="406"/>
      <c r="V243" s="386"/>
      <c r="W243" s="387" t="s">
        <v>289</v>
      </c>
      <c r="X243" s="378" t="s">
        <v>289</v>
      </c>
      <c r="Y243" s="387" t="s">
        <v>289</v>
      </c>
      <c r="Z243" s="391" t="s">
        <v>289</v>
      </c>
      <c r="AA243" s="391" t="s">
        <v>289</v>
      </c>
      <c r="AB243" s="391" t="s">
        <v>289</v>
      </c>
      <c r="AC243" s="391" t="s">
        <v>289</v>
      </c>
      <c r="AD243" s="395" t="s">
        <v>289</v>
      </c>
      <c r="AE243" s="395"/>
      <c r="AF243" s="395"/>
      <c r="AG243" s="395"/>
      <c r="AH243" s="395"/>
    </row>
    <row r="244" ht="30.75" customHeight="1">
      <c r="A244" s="373" t="str">
        <f t="shared" si="1"/>
        <v/>
      </c>
      <c r="B244" s="421" t="s">
        <v>289</v>
      </c>
      <c r="C244" s="406"/>
      <c r="D244" s="406"/>
      <c r="E244" s="406"/>
      <c r="F244" s="395" t="s">
        <v>289</v>
      </c>
      <c r="G244" s="406"/>
      <c r="H244" s="406"/>
      <c r="I244" s="378" t="s">
        <v>289</v>
      </c>
      <c r="J244" s="379" t="s">
        <v>289</v>
      </c>
      <c r="K244" s="407"/>
      <c r="L244" s="378" t="s">
        <v>289</v>
      </c>
      <c r="M244" s="378" t="s">
        <v>289</v>
      </c>
      <c r="N244" s="378" t="s">
        <v>289</v>
      </c>
      <c r="O244" s="409"/>
      <c r="P244" s="387" t="s">
        <v>289</v>
      </c>
      <c r="Q244" s="383"/>
      <c r="R244" s="383"/>
      <c r="S244" s="383"/>
      <c r="T244" s="410"/>
      <c r="U244" s="406"/>
      <c r="V244" s="386"/>
      <c r="W244" s="387" t="s">
        <v>289</v>
      </c>
      <c r="X244" s="378" t="s">
        <v>289</v>
      </c>
      <c r="Y244" s="387" t="s">
        <v>289</v>
      </c>
      <c r="Z244" s="391" t="s">
        <v>289</v>
      </c>
      <c r="AA244" s="391" t="s">
        <v>289</v>
      </c>
      <c r="AB244" s="391" t="s">
        <v>289</v>
      </c>
      <c r="AC244" s="391" t="s">
        <v>289</v>
      </c>
      <c r="AD244" s="395" t="s">
        <v>289</v>
      </c>
      <c r="AE244" s="395"/>
      <c r="AF244" s="395"/>
      <c r="AG244" s="395"/>
      <c r="AH244" s="395"/>
    </row>
    <row r="245" ht="30.75" customHeight="1">
      <c r="A245" s="373" t="str">
        <f t="shared" si="1"/>
        <v/>
      </c>
      <c r="B245" s="421" t="s">
        <v>289</v>
      </c>
      <c r="C245" s="406"/>
      <c r="D245" s="406"/>
      <c r="E245" s="406"/>
      <c r="F245" s="395" t="s">
        <v>289</v>
      </c>
      <c r="G245" s="406"/>
      <c r="H245" s="406"/>
      <c r="I245" s="378" t="s">
        <v>289</v>
      </c>
      <c r="J245" s="379" t="s">
        <v>289</v>
      </c>
      <c r="K245" s="407"/>
      <c r="L245" s="378" t="s">
        <v>289</v>
      </c>
      <c r="M245" s="378" t="s">
        <v>289</v>
      </c>
      <c r="N245" s="378" t="s">
        <v>289</v>
      </c>
      <c r="O245" s="409"/>
      <c r="P245" s="387" t="s">
        <v>289</v>
      </c>
      <c r="Q245" s="383"/>
      <c r="R245" s="383"/>
      <c r="S245" s="383"/>
      <c r="T245" s="410"/>
      <c r="U245" s="406"/>
      <c r="V245" s="386"/>
      <c r="W245" s="387" t="s">
        <v>289</v>
      </c>
      <c r="X245" s="378" t="s">
        <v>289</v>
      </c>
      <c r="Y245" s="387" t="s">
        <v>289</v>
      </c>
      <c r="Z245" s="391" t="s">
        <v>289</v>
      </c>
      <c r="AA245" s="391" t="s">
        <v>289</v>
      </c>
      <c r="AB245" s="391" t="s">
        <v>289</v>
      </c>
      <c r="AC245" s="391" t="s">
        <v>289</v>
      </c>
      <c r="AD245" s="395" t="s">
        <v>289</v>
      </c>
      <c r="AE245" s="395"/>
      <c r="AF245" s="395"/>
      <c r="AG245" s="395"/>
      <c r="AH245" s="395"/>
    </row>
    <row r="246" ht="30.75" customHeight="1">
      <c r="A246" s="373" t="str">
        <f t="shared" si="1"/>
        <v/>
      </c>
      <c r="B246" s="421" t="s">
        <v>289</v>
      </c>
      <c r="C246" s="406"/>
      <c r="D246" s="406"/>
      <c r="E246" s="406"/>
      <c r="F246" s="395" t="s">
        <v>289</v>
      </c>
      <c r="G246" s="406"/>
      <c r="H246" s="406"/>
      <c r="I246" s="378" t="s">
        <v>289</v>
      </c>
      <c r="J246" s="379" t="s">
        <v>289</v>
      </c>
      <c r="K246" s="407"/>
      <c r="L246" s="378" t="s">
        <v>289</v>
      </c>
      <c r="M246" s="378" t="s">
        <v>289</v>
      </c>
      <c r="N246" s="378" t="s">
        <v>289</v>
      </c>
      <c r="O246" s="409"/>
      <c r="P246" s="387" t="s">
        <v>289</v>
      </c>
      <c r="Q246" s="383"/>
      <c r="R246" s="383"/>
      <c r="S246" s="383"/>
      <c r="T246" s="410"/>
      <c r="U246" s="406"/>
      <c r="V246" s="386"/>
      <c r="W246" s="387" t="s">
        <v>289</v>
      </c>
      <c r="X246" s="378" t="s">
        <v>289</v>
      </c>
      <c r="Y246" s="387" t="s">
        <v>289</v>
      </c>
      <c r="Z246" s="391" t="s">
        <v>289</v>
      </c>
      <c r="AA246" s="391" t="s">
        <v>289</v>
      </c>
      <c r="AB246" s="391" t="s">
        <v>289</v>
      </c>
      <c r="AC246" s="391" t="s">
        <v>289</v>
      </c>
      <c r="AD246" s="395" t="s">
        <v>289</v>
      </c>
      <c r="AE246" s="395"/>
      <c r="AF246" s="395"/>
      <c r="AG246" s="395"/>
      <c r="AH246" s="395"/>
    </row>
    <row r="247" ht="30.75" customHeight="1">
      <c r="A247" s="373" t="str">
        <f t="shared" si="1"/>
        <v/>
      </c>
      <c r="B247" s="421" t="s">
        <v>289</v>
      </c>
      <c r="C247" s="406"/>
      <c r="D247" s="406"/>
      <c r="E247" s="406"/>
      <c r="F247" s="395" t="s">
        <v>289</v>
      </c>
      <c r="G247" s="406"/>
      <c r="H247" s="406"/>
      <c r="I247" s="378" t="s">
        <v>289</v>
      </c>
      <c r="J247" s="379" t="s">
        <v>289</v>
      </c>
      <c r="K247" s="407"/>
      <c r="L247" s="378" t="s">
        <v>289</v>
      </c>
      <c r="M247" s="378" t="s">
        <v>289</v>
      </c>
      <c r="N247" s="378" t="s">
        <v>289</v>
      </c>
      <c r="O247" s="409"/>
      <c r="P247" s="387" t="s">
        <v>289</v>
      </c>
      <c r="Q247" s="383"/>
      <c r="R247" s="383"/>
      <c r="S247" s="383"/>
      <c r="T247" s="410"/>
      <c r="U247" s="406"/>
      <c r="V247" s="386"/>
      <c r="W247" s="387" t="s">
        <v>289</v>
      </c>
      <c r="X247" s="378" t="s">
        <v>289</v>
      </c>
      <c r="Y247" s="387" t="s">
        <v>289</v>
      </c>
      <c r="Z247" s="391" t="s">
        <v>289</v>
      </c>
      <c r="AA247" s="391" t="s">
        <v>289</v>
      </c>
      <c r="AB247" s="391" t="s">
        <v>289</v>
      </c>
      <c r="AC247" s="391" t="s">
        <v>289</v>
      </c>
      <c r="AD247" s="395" t="s">
        <v>289</v>
      </c>
      <c r="AE247" s="395"/>
      <c r="AF247" s="395"/>
      <c r="AG247" s="395"/>
      <c r="AH247" s="395"/>
    </row>
    <row r="248" ht="30.75" customHeight="1">
      <c r="A248" s="373" t="str">
        <f t="shared" si="1"/>
        <v/>
      </c>
      <c r="B248" s="421" t="s">
        <v>289</v>
      </c>
      <c r="C248" s="406"/>
      <c r="D248" s="406"/>
      <c r="E248" s="406"/>
      <c r="F248" s="395" t="s">
        <v>289</v>
      </c>
      <c r="G248" s="406"/>
      <c r="H248" s="406"/>
      <c r="I248" s="378" t="s">
        <v>289</v>
      </c>
      <c r="J248" s="379" t="s">
        <v>289</v>
      </c>
      <c r="K248" s="407"/>
      <c r="L248" s="378" t="s">
        <v>289</v>
      </c>
      <c r="M248" s="378" t="s">
        <v>289</v>
      </c>
      <c r="N248" s="378" t="s">
        <v>289</v>
      </c>
      <c r="O248" s="409"/>
      <c r="P248" s="387" t="s">
        <v>289</v>
      </c>
      <c r="Q248" s="383"/>
      <c r="R248" s="383"/>
      <c r="S248" s="383"/>
      <c r="T248" s="410"/>
      <c r="U248" s="406"/>
      <c r="V248" s="386"/>
      <c r="W248" s="387" t="s">
        <v>289</v>
      </c>
      <c r="X248" s="378" t="s">
        <v>289</v>
      </c>
      <c r="Y248" s="387" t="s">
        <v>289</v>
      </c>
      <c r="Z248" s="391" t="s">
        <v>289</v>
      </c>
      <c r="AA248" s="391" t="s">
        <v>289</v>
      </c>
      <c r="AB248" s="391" t="s">
        <v>289</v>
      </c>
      <c r="AC248" s="391" t="s">
        <v>289</v>
      </c>
      <c r="AD248" s="395" t="s">
        <v>289</v>
      </c>
      <c r="AE248" s="395"/>
      <c r="AF248" s="395"/>
      <c r="AG248" s="395"/>
      <c r="AH248" s="395"/>
    </row>
    <row r="249" ht="30.75" customHeight="1">
      <c r="A249" s="373" t="str">
        <f t="shared" si="1"/>
        <v/>
      </c>
      <c r="B249" s="421" t="s">
        <v>289</v>
      </c>
      <c r="C249" s="406"/>
      <c r="D249" s="406"/>
      <c r="E249" s="406"/>
      <c r="F249" s="395" t="s">
        <v>289</v>
      </c>
      <c r="G249" s="406"/>
      <c r="H249" s="406"/>
      <c r="I249" s="378" t="s">
        <v>289</v>
      </c>
      <c r="J249" s="379" t="s">
        <v>289</v>
      </c>
      <c r="K249" s="407"/>
      <c r="L249" s="378" t="s">
        <v>289</v>
      </c>
      <c r="M249" s="378" t="s">
        <v>289</v>
      </c>
      <c r="N249" s="378" t="s">
        <v>289</v>
      </c>
      <c r="O249" s="409"/>
      <c r="P249" s="387" t="s">
        <v>289</v>
      </c>
      <c r="Q249" s="383"/>
      <c r="R249" s="383"/>
      <c r="S249" s="383"/>
      <c r="T249" s="410"/>
      <c r="U249" s="406"/>
      <c r="V249" s="386"/>
      <c r="W249" s="387" t="s">
        <v>289</v>
      </c>
      <c r="X249" s="378" t="s">
        <v>289</v>
      </c>
      <c r="Y249" s="387" t="s">
        <v>289</v>
      </c>
      <c r="Z249" s="391" t="s">
        <v>289</v>
      </c>
      <c r="AA249" s="391" t="s">
        <v>289</v>
      </c>
      <c r="AB249" s="391" t="s">
        <v>289</v>
      </c>
      <c r="AC249" s="391" t="s">
        <v>289</v>
      </c>
      <c r="AD249" s="395" t="s">
        <v>289</v>
      </c>
      <c r="AE249" s="395"/>
      <c r="AF249" s="395"/>
      <c r="AG249" s="395"/>
      <c r="AH249" s="395"/>
    </row>
    <row r="250" ht="30.75" customHeight="1">
      <c r="A250" s="373" t="str">
        <f t="shared" si="1"/>
        <v/>
      </c>
      <c r="B250" s="421" t="s">
        <v>289</v>
      </c>
      <c r="C250" s="406"/>
      <c r="D250" s="406"/>
      <c r="E250" s="406"/>
      <c r="F250" s="395" t="s">
        <v>289</v>
      </c>
      <c r="G250" s="406"/>
      <c r="H250" s="406"/>
      <c r="I250" s="378" t="s">
        <v>289</v>
      </c>
      <c r="J250" s="379" t="s">
        <v>289</v>
      </c>
      <c r="K250" s="407"/>
      <c r="L250" s="378" t="s">
        <v>289</v>
      </c>
      <c r="M250" s="378" t="s">
        <v>289</v>
      </c>
      <c r="N250" s="378" t="s">
        <v>289</v>
      </c>
      <c r="O250" s="409"/>
      <c r="P250" s="387" t="s">
        <v>289</v>
      </c>
      <c r="Q250" s="383"/>
      <c r="R250" s="383"/>
      <c r="S250" s="383"/>
      <c r="T250" s="410"/>
      <c r="U250" s="406"/>
      <c r="V250" s="386"/>
      <c r="W250" s="387" t="s">
        <v>289</v>
      </c>
      <c r="X250" s="378" t="s">
        <v>289</v>
      </c>
      <c r="Y250" s="387" t="s">
        <v>289</v>
      </c>
      <c r="Z250" s="391" t="s">
        <v>289</v>
      </c>
      <c r="AA250" s="391" t="s">
        <v>289</v>
      </c>
      <c r="AB250" s="391" t="s">
        <v>289</v>
      </c>
      <c r="AC250" s="391" t="s">
        <v>289</v>
      </c>
      <c r="AD250" s="395" t="s">
        <v>289</v>
      </c>
      <c r="AE250" s="395"/>
      <c r="AF250" s="395"/>
      <c r="AG250" s="395"/>
      <c r="AH250" s="395"/>
    </row>
    <row r="251" ht="30.75" customHeight="1">
      <c r="A251" s="373" t="str">
        <f t="shared" si="1"/>
        <v/>
      </c>
      <c r="B251" s="421" t="s">
        <v>289</v>
      </c>
      <c r="C251" s="406"/>
      <c r="D251" s="406"/>
      <c r="E251" s="406"/>
      <c r="F251" s="395" t="s">
        <v>289</v>
      </c>
      <c r="G251" s="406"/>
      <c r="H251" s="406"/>
      <c r="I251" s="378" t="s">
        <v>289</v>
      </c>
      <c r="J251" s="379" t="s">
        <v>289</v>
      </c>
      <c r="K251" s="407"/>
      <c r="L251" s="378" t="s">
        <v>289</v>
      </c>
      <c r="M251" s="378" t="s">
        <v>289</v>
      </c>
      <c r="N251" s="378" t="s">
        <v>289</v>
      </c>
      <c r="O251" s="409"/>
      <c r="P251" s="387" t="s">
        <v>289</v>
      </c>
      <c r="Q251" s="383"/>
      <c r="R251" s="383"/>
      <c r="S251" s="383"/>
      <c r="T251" s="410"/>
      <c r="U251" s="406"/>
      <c r="V251" s="386"/>
      <c r="W251" s="387" t="s">
        <v>289</v>
      </c>
      <c r="X251" s="378" t="s">
        <v>289</v>
      </c>
      <c r="Y251" s="387" t="s">
        <v>289</v>
      </c>
      <c r="Z251" s="391" t="s">
        <v>289</v>
      </c>
      <c r="AA251" s="391" t="s">
        <v>289</v>
      </c>
      <c r="AB251" s="391" t="s">
        <v>289</v>
      </c>
      <c r="AC251" s="391" t="s">
        <v>289</v>
      </c>
      <c r="AD251" s="395" t="s">
        <v>289</v>
      </c>
      <c r="AE251" s="395"/>
      <c r="AF251" s="395"/>
      <c r="AG251" s="395"/>
      <c r="AH251" s="395"/>
    </row>
    <row r="252" ht="30.75" customHeight="1">
      <c r="A252" s="373" t="str">
        <f t="shared" si="1"/>
        <v/>
      </c>
      <c r="B252" s="421" t="s">
        <v>289</v>
      </c>
      <c r="C252" s="406"/>
      <c r="D252" s="406"/>
      <c r="E252" s="406"/>
      <c r="F252" s="395" t="s">
        <v>289</v>
      </c>
      <c r="G252" s="406"/>
      <c r="H252" s="406"/>
      <c r="I252" s="378" t="s">
        <v>289</v>
      </c>
      <c r="J252" s="379" t="s">
        <v>289</v>
      </c>
      <c r="K252" s="407"/>
      <c r="L252" s="378" t="s">
        <v>289</v>
      </c>
      <c r="M252" s="378" t="s">
        <v>289</v>
      </c>
      <c r="N252" s="378" t="s">
        <v>289</v>
      </c>
      <c r="O252" s="409"/>
      <c r="P252" s="387" t="s">
        <v>289</v>
      </c>
      <c r="Q252" s="383"/>
      <c r="R252" s="383"/>
      <c r="S252" s="383"/>
      <c r="T252" s="410"/>
      <c r="U252" s="406"/>
      <c r="V252" s="386"/>
      <c r="W252" s="387" t="s">
        <v>289</v>
      </c>
      <c r="X252" s="378" t="s">
        <v>289</v>
      </c>
      <c r="Y252" s="387" t="s">
        <v>289</v>
      </c>
      <c r="Z252" s="391" t="s">
        <v>289</v>
      </c>
      <c r="AA252" s="391" t="s">
        <v>289</v>
      </c>
      <c r="AB252" s="391" t="s">
        <v>289</v>
      </c>
      <c r="AC252" s="391" t="s">
        <v>289</v>
      </c>
      <c r="AD252" s="395" t="s">
        <v>289</v>
      </c>
      <c r="AE252" s="395"/>
      <c r="AF252" s="395"/>
      <c r="AG252" s="395"/>
      <c r="AH252" s="395"/>
    </row>
    <row r="253" ht="30.75" customHeight="1">
      <c r="A253" s="373" t="str">
        <f t="shared" si="1"/>
        <v/>
      </c>
      <c r="B253" s="421" t="s">
        <v>289</v>
      </c>
      <c r="C253" s="406"/>
      <c r="D253" s="406"/>
      <c r="E253" s="406"/>
      <c r="F253" s="395" t="s">
        <v>289</v>
      </c>
      <c r="G253" s="406"/>
      <c r="H253" s="406"/>
      <c r="I253" s="378" t="s">
        <v>289</v>
      </c>
      <c r="J253" s="379" t="s">
        <v>289</v>
      </c>
      <c r="K253" s="407"/>
      <c r="L253" s="378" t="s">
        <v>289</v>
      </c>
      <c r="M253" s="378" t="s">
        <v>289</v>
      </c>
      <c r="N253" s="378" t="s">
        <v>289</v>
      </c>
      <c r="O253" s="409"/>
      <c r="P253" s="387" t="s">
        <v>289</v>
      </c>
      <c r="Q253" s="383"/>
      <c r="R253" s="383"/>
      <c r="S253" s="383"/>
      <c r="T253" s="410"/>
      <c r="U253" s="406"/>
      <c r="V253" s="386"/>
      <c r="W253" s="387" t="s">
        <v>289</v>
      </c>
      <c r="X253" s="378" t="s">
        <v>289</v>
      </c>
      <c r="Y253" s="387" t="s">
        <v>289</v>
      </c>
      <c r="Z253" s="391" t="s">
        <v>289</v>
      </c>
      <c r="AA253" s="391" t="s">
        <v>289</v>
      </c>
      <c r="AB253" s="391" t="s">
        <v>289</v>
      </c>
      <c r="AC253" s="391" t="s">
        <v>289</v>
      </c>
      <c r="AD253" s="395" t="s">
        <v>289</v>
      </c>
      <c r="AE253" s="395"/>
      <c r="AF253" s="395"/>
      <c r="AG253" s="395"/>
      <c r="AH253" s="395"/>
    </row>
    <row r="254" ht="30.75" customHeight="1">
      <c r="A254" s="373" t="str">
        <f t="shared" si="1"/>
        <v/>
      </c>
      <c r="B254" s="421" t="s">
        <v>289</v>
      </c>
      <c r="C254" s="406"/>
      <c r="D254" s="406"/>
      <c r="E254" s="406"/>
      <c r="F254" s="395" t="s">
        <v>289</v>
      </c>
      <c r="G254" s="406"/>
      <c r="H254" s="406"/>
      <c r="I254" s="378" t="s">
        <v>289</v>
      </c>
      <c r="J254" s="379" t="s">
        <v>289</v>
      </c>
      <c r="K254" s="407"/>
      <c r="L254" s="378" t="s">
        <v>289</v>
      </c>
      <c r="M254" s="378" t="s">
        <v>289</v>
      </c>
      <c r="N254" s="378" t="s">
        <v>289</v>
      </c>
      <c r="O254" s="409"/>
      <c r="P254" s="387" t="s">
        <v>289</v>
      </c>
      <c r="Q254" s="383"/>
      <c r="R254" s="383"/>
      <c r="S254" s="383"/>
      <c r="T254" s="410"/>
      <c r="U254" s="406"/>
      <c r="V254" s="386"/>
      <c r="W254" s="387" t="s">
        <v>289</v>
      </c>
      <c r="X254" s="378" t="s">
        <v>289</v>
      </c>
      <c r="Y254" s="387" t="s">
        <v>289</v>
      </c>
      <c r="Z254" s="391" t="s">
        <v>289</v>
      </c>
      <c r="AA254" s="391" t="s">
        <v>289</v>
      </c>
      <c r="AB254" s="391" t="s">
        <v>289</v>
      </c>
      <c r="AC254" s="391" t="s">
        <v>289</v>
      </c>
      <c r="AD254" s="395" t="s">
        <v>289</v>
      </c>
      <c r="AE254" s="395"/>
      <c r="AF254" s="395"/>
      <c r="AG254" s="395"/>
      <c r="AH254" s="395"/>
    </row>
    <row r="255" ht="30.75" customHeight="1">
      <c r="A255" s="373" t="str">
        <f t="shared" si="1"/>
        <v/>
      </c>
      <c r="B255" s="421" t="s">
        <v>289</v>
      </c>
      <c r="C255" s="406"/>
      <c r="D255" s="406"/>
      <c r="E255" s="406"/>
      <c r="F255" s="395" t="s">
        <v>289</v>
      </c>
      <c r="G255" s="406"/>
      <c r="H255" s="406"/>
      <c r="I255" s="378" t="s">
        <v>289</v>
      </c>
      <c r="J255" s="379" t="s">
        <v>289</v>
      </c>
      <c r="K255" s="407"/>
      <c r="L255" s="378" t="s">
        <v>289</v>
      </c>
      <c r="M255" s="378" t="s">
        <v>289</v>
      </c>
      <c r="N255" s="378" t="s">
        <v>289</v>
      </c>
      <c r="O255" s="409"/>
      <c r="P255" s="387" t="s">
        <v>289</v>
      </c>
      <c r="Q255" s="383"/>
      <c r="R255" s="383"/>
      <c r="S255" s="383"/>
      <c r="T255" s="410"/>
      <c r="U255" s="406"/>
      <c r="V255" s="386"/>
      <c r="W255" s="387" t="s">
        <v>289</v>
      </c>
      <c r="X255" s="378" t="s">
        <v>289</v>
      </c>
      <c r="Y255" s="387" t="s">
        <v>289</v>
      </c>
      <c r="Z255" s="391" t="s">
        <v>289</v>
      </c>
      <c r="AA255" s="391" t="s">
        <v>289</v>
      </c>
      <c r="AB255" s="391" t="s">
        <v>289</v>
      </c>
      <c r="AC255" s="391" t="s">
        <v>289</v>
      </c>
      <c r="AD255" s="395" t="s">
        <v>289</v>
      </c>
      <c r="AE255" s="395"/>
      <c r="AF255" s="395"/>
      <c r="AG255" s="395"/>
      <c r="AH255" s="395"/>
    </row>
    <row r="256" ht="30.75" customHeight="1">
      <c r="A256" s="373" t="str">
        <f t="shared" si="1"/>
        <v/>
      </c>
      <c r="B256" s="421" t="s">
        <v>289</v>
      </c>
      <c r="C256" s="406"/>
      <c r="D256" s="406"/>
      <c r="E256" s="406"/>
      <c r="F256" s="395" t="s">
        <v>289</v>
      </c>
      <c r="G256" s="406"/>
      <c r="H256" s="406"/>
      <c r="I256" s="378" t="s">
        <v>289</v>
      </c>
      <c r="J256" s="379" t="s">
        <v>289</v>
      </c>
      <c r="K256" s="407"/>
      <c r="L256" s="378" t="s">
        <v>289</v>
      </c>
      <c r="M256" s="378" t="s">
        <v>289</v>
      </c>
      <c r="N256" s="378" t="s">
        <v>289</v>
      </c>
      <c r="O256" s="409"/>
      <c r="P256" s="387" t="s">
        <v>289</v>
      </c>
      <c r="Q256" s="383"/>
      <c r="R256" s="383"/>
      <c r="S256" s="383"/>
      <c r="T256" s="410"/>
      <c r="U256" s="406"/>
      <c r="V256" s="386"/>
      <c r="W256" s="387" t="s">
        <v>289</v>
      </c>
      <c r="X256" s="378" t="s">
        <v>289</v>
      </c>
      <c r="Y256" s="387" t="s">
        <v>289</v>
      </c>
      <c r="Z256" s="391" t="s">
        <v>289</v>
      </c>
      <c r="AA256" s="391" t="s">
        <v>289</v>
      </c>
      <c r="AB256" s="391" t="s">
        <v>289</v>
      </c>
      <c r="AC256" s="391" t="s">
        <v>289</v>
      </c>
      <c r="AD256" s="395" t="s">
        <v>289</v>
      </c>
      <c r="AE256" s="395"/>
      <c r="AF256" s="395"/>
      <c r="AG256" s="395"/>
      <c r="AH256" s="395"/>
    </row>
    <row r="257" ht="30.75" customHeight="1">
      <c r="A257" s="373" t="str">
        <f t="shared" si="1"/>
        <v/>
      </c>
      <c r="B257" s="421" t="s">
        <v>289</v>
      </c>
      <c r="C257" s="406"/>
      <c r="D257" s="406"/>
      <c r="E257" s="406"/>
      <c r="F257" s="395" t="s">
        <v>289</v>
      </c>
      <c r="G257" s="406"/>
      <c r="H257" s="406"/>
      <c r="I257" s="378" t="s">
        <v>289</v>
      </c>
      <c r="J257" s="379" t="s">
        <v>289</v>
      </c>
      <c r="K257" s="407"/>
      <c r="L257" s="378" t="s">
        <v>289</v>
      </c>
      <c r="M257" s="378" t="s">
        <v>289</v>
      </c>
      <c r="N257" s="378" t="s">
        <v>289</v>
      </c>
      <c r="O257" s="409"/>
      <c r="P257" s="387" t="s">
        <v>289</v>
      </c>
      <c r="Q257" s="383"/>
      <c r="R257" s="383"/>
      <c r="S257" s="383"/>
      <c r="T257" s="410"/>
      <c r="U257" s="406"/>
      <c r="V257" s="386"/>
      <c r="W257" s="387" t="s">
        <v>289</v>
      </c>
      <c r="X257" s="378" t="s">
        <v>289</v>
      </c>
      <c r="Y257" s="387" t="s">
        <v>289</v>
      </c>
      <c r="Z257" s="391" t="s">
        <v>289</v>
      </c>
      <c r="AA257" s="391" t="s">
        <v>289</v>
      </c>
      <c r="AB257" s="391" t="s">
        <v>289</v>
      </c>
      <c r="AC257" s="391" t="s">
        <v>289</v>
      </c>
      <c r="AD257" s="395" t="s">
        <v>289</v>
      </c>
      <c r="AE257" s="395"/>
      <c r="AF257" s="395"/>
      <c r="AG257" s="395"/>
      <c r="AH257" s="395"/>
    </row>
    <row r="258" ht="30.75" customHeight="1">
      <c r="A258" s="373" t="str">
        <f t="shared" si="1"/>
        <v/>
      </c>
      <c r="B258" s="421" t="s">
        <v>289</v>
      </c>
      <c r="C258" s="406"/>
      <c r="D258" s="406"/>
      <c r="E258" s="406"/>
      <c r="F258" s="395" t="s">
        <v>289</v>
      </c>
      <c r="G258" s="406"/>
      <c r="H258" s="406"/>
      <c r="I258" s="378" t="s">
        <v>289</v>
      </c>
      <c r="J258" s="379" t="s">
        <v>289</v>
      </c>
      <c r="K258" s="407"/>
      <c r="L258" s="378" t="s">
        <v>289</v>
      </c>
      <c r="M258" s="378" t="s">
        <v>289</v>
      </c>
      <c r="N258" s="378" t="s">
        <v>289</v>
      </c>
      <c r="O258" s="409"/>
      <c r="P258" s="387" t="s">
        <v>289</v>
      </c>
      <c r="Q258" s="383"/>
      <c r="R258" s="383"/>
      <c r="S258" s="383"/>
      <c r="T258" s="410"/>
      <c r="U258" s="406"/>
      <c r="V258" s="386"/>
      <c r="W258" s="387" t="s">
        <v>289</v>
      </c>
      <c r="X258" s="378" t="s">
        <v>289</v>
      </c>
      <c r="Y258" s="387" t="s">
        <v>289</v>
      </c>
      <c r="Z258" s="391" t="s">
        <v>289</v>
      </c>
      <c r="AA258" s="391" t="s">
        <v>289</v>
      </c>
      <c r="AB258" s="391" t="s">
        <v>289</v>
      </c>
      <c r="AC258" s="391" t="s">
        <v>289</v>
      </c>
      <c r="AD258" s="395" t="s">
        <v>289</v>
      </c>
      <c r="AE258" s="395"/>
      <c r="AF258" s="395"/>
      <c r="AG258" s="395"/>
      <c r="AH258" s="395"/>
    </row>
    <row r="259" ht="30.75" customHeight="1">
      <c r="A259" s="373" t="str">
        <f t="shared" si="1"/>
        <v/>
      </c>
      <c r="B259" s="421" t="s">
        <v>289</v>
      </c>
      <c r="C259" s="406"/>
      <c r="D259" s="406"/>
      <c r="E259" s="406"/>
      <c r="F259" s="395" t="s">
        <v>289</v>
      </c>
      <c r="G259" s="406"/>
      <c r="H259" s="406"/>
      <c r="I259" s="378" t="s">
        <v>289</v>
      </c>
      <c r="J259" s="379" t="s">
        <v>289</v>
      </c>
      <c r="K259" s="407"/>
      <c r="L259" s="378" t="s">
        <v>289</v>
      </c>
      <c r="M259" s="378" t="s">
        <v>289</v>
      </c>
      <c r="N259" s="378" t="s">
        <v>289</v>
      </c>
      <c r="O259" s="409"/>
      <c r="P259" s="387" t="s">
        <v>289</v>
      </c>
      <c r="Q259" s="383"/>
      <c r="R259" s="383"/>
      <c r="S259" s="383"/>
      <c r="T259" s="410"/>
      <c r="U259" s="406"/>
      <c r="V259" s="386"/>
      <c r="W259" s="387" t="s">
        <v>289</v>
      </c>
      <c r="X259" s="378" t="s">
        <v>289</v>
      </c>
      <c r="Y259" s="387" t="s">
        <v>289</v>
      </c>
      <c r="Z259" s="391" t="s">
        <v>289</v>
      </c>
      <c r="AA259" s="391" t="s">
        <v>289</v>
      </c>
      <c r="AB259" s="391" t="s">
        <v>289</v>
      </c>
      <c r="AC259" s="391" t="s">
        <v>289</v>
      </c>
      <c r="AD259" s="395" t="s">
        <v>289</v>
      </c>
      <c r="AE259" s="395"/>
      <c r="AF259" s="395"/>
      <c r="AG259" s="395"/>
      <c r="AH259" s="395"/>
    </row>
    <row r="260" ht="30.75" customHeight="1">
      <c r="A260" s="373" t="str">
        <f t="shared" si="1"/>
        <v/>
      </c>
      <c r="B260" s="421" t="s">
        <v>289</v>
      </c>
      <c r="C260" s="406"/>
      <c r="D260" s="406"/>
      <c r="E260" s="406"/>
      <c r="F260" s="395" t="s">
        <v>289</v>
      </c>
      <c r="G260" s="406"/>
      <c r="H260" s="406"/>
      <c r="I260" s="378" t="s">
        <v>289</v>
      </c>
      <c r="J260" s="379" t="s">
        <v>289</v>
      </c>
      <c r="K260" s="407"/>
      <c r="L260" s="378" t="s">
        <v>289</v>
      </c>
      <c r="M260" s="378" t="s">
        <v>289</v>
      </c>
      <c r="N260" s="378" t="s">
        <v>289</v>
      </c>
      <c r="O260" s="409"/>
      <c r="P260" s="387" t="s">
        <v>289</v>
      </c>
      <c r="Q260" s="383"/>
      <c r="R260" s="383"/>
      <c r="S260" s="383"/>
      <c r="T260" s="410"/>
      <c r="U260" s="406"/>
      <c r="V260" s="386"/>
      <c r="W260" s="387" t="s">
        <v>289</v>
      </c>
      <c r="X260" s="378" t="s">
        <v>289</v>
      </c>
      <c r="Y260" s="387" t="s">
        <v>289</v>
      </c>
      <c r="Z260" s="391" t="s">
        <v>289</v>
      </c>
      <c r="AA260" s="391" t="s">
        <v>289</v>
      </c>
      <c r="AB260" s="391" t="s">
        <v>289</v>
      </c>
      <c r="AC260" s="391" t="s">
        <v>289</v>
      </c>
      <c r="AD260" s="395" t="s">
        <v>289</v>
      </c>
      <c r="AE260" s="395"/>
      <c r="AF260" s="395"/>
      <c r="AG260" s="395"/>
      <c r="AH260" s="395"/>
    </row>
    <row r="261" ht="30.75" customHeight="1">
      <c r="A261" s="373" t="str">
        <f t="shared" si="1"/>
        <v/>
      </c>
      <c r="B261" s="421" t="s">
        <v>289</v>
      </c>
      <c r="C261" s="406"/>
      <c r="D261" s="406"/>
      <c r="E261" s="406"/>
      <c r="F261" s="395" t="s">
        <v>289</v>
      </c>
      <c r="G261" s="406"/>
      <c r="H261" s="406"/>
      <c r="I261" s="378" t="s">
        <v>289</v>
      </c>
      <c r="J261" s="379" t="s">
        <v>289</v>
      </c>
      <c r="K261" s="407"/>
      <c r="L261" s="378" t="s">
        <v>289</v>
      </c>
      <c r="M261" s="378" t="s">
        <v>289</v>
      </c>
      <c r="N261" s="378" t="s">
        <v>289</v>
      </c>
      <c r="O261" s="409"/>
      <c r="P261" s="387" t="s">
        <v>289</v>
      </c>
      <c r="Q261" s="383"/>
      <c r="R261" s="383"/>
      <c r="S261" s="383"/>
      <c r="T261" s="410"/>
      <c r="U261" s="406"/>
      <c r="V261" s="386"/>
      <c r="W261" s="387" t="s">
        <v>289</v>
      </c>
      <c r="X261" s="378" t="s">
        <v>289</v>
      </c>
      <c r="Y261" s="387" t="s">
        <v>289</v>
      </c>
      <c r="Z261" s="391" t="s">
        <v>289</v>
      </c>
      <c r="AA261" s="391" t="s">
        <v>289</v>
      </c>
      <c r="AB261" s="391" t="s">
        <v>289</v>
      </c>
      <c r="AC261" s="391" t="s">
        <v>289</v>
      </c>
      <c r="AD261" s="395" t="s">
        <v>289</v>
      </c>
      <c r="AE261" s="395"/>
      <c r="AF261" s="395"/>
      <c r="AG261" s="395"/>
      <c r="AH261" s="395"/>
    </row>
    <row r="262" ht="30.75" customHeight="1">
      <c r="A262" s="373" t="str">
        <f t="shared" si="1"/>
        <v/>
      </c>
      <c r="B262" s="421" t="s">
        <v>289</v>
      </c>
      <c r="C262" s="406"/>
      <c r="D262" s="406"/>
      <c r="E262" s="406"/>
      <c r="F262" s="395" t="s">
        <v>289</v>
      </c>
      <c r="G262" s="406"/>
      <c r="H262" s="406"/>
      <c r="I262" s="378" t="s">
        <v>289</v>
      </c>
      <c r="J262" s="379" t="s">
        <v>289</v>
      </c>
      <c r="K262" s="407"/>
      <c r="L262" s="378" t="s">
        <v>289</v>
      </c>
      <c r="M262" s="378" t="s">
        <v>289</v>
      </c>
      <c r="N262" s="378" t="s">
        <v>289</v>
      </c>
      <c r="O262" s="409"/>
      <c r="P262" s="387" t="s">
        <v>289</v>
      </c>
      <c r="Q262" s="383"/>
      <c r="R262" s="383"/>
      <c r="S262" s="383"/>
      <c r="T262" s="410"/>
      <c r="U262" s="406"/>
      <c r="V262" s="386"/>
      <c r="W262" s="387" t="s">
        <v>289</v>
      </c>
      <c r="X262" s="378" t="s">
        <v>289</v>
      </c>
      <c r="Y262" s="387" t="s">
        <v>289</v>
      </c>
      <c r="Z262" s="391" t="s">
        <v>289</v>
      </c>
      <c r="AA262" s="391" t="s">
        <v>289</v>
      </c>
      <c r="AB262" s="391" t="s">
        <v>289</v>
      </c>
      <c r="AC262" s="391" t="s">
        <v>289</v>
      </c>
      <c r="AD262" s="395" t="s">
        <v>289</v>
      </c>
      <c r="AE262" s="395"/>
      <c r="AF262" s="395"/>
      <c r="AG262" s="395"/>
      <c r="AH262" s="395"/>
    </row>
    <row r="263" ht="30.75" customHeight="1">
      <c r="A263" s="373" t="str">
        <f t="shared" si="1"/>
        <v/>
      </c>
      <c r="B263" s="421" t="s">
        <v>289</v>
      </c>
      <c r="C263" s="406"/>
      <c r="D263" s="406"/>
      <c r="E263" s="406"/>
      <c r="F263" s="395" t="s">
        <v>289</v>
      </c>
      <c r="G263" s="406"/>
      <c r="H263" s="406"/>
      <c r="I263" s="378" t="s">
        <v>289</v>
      </c>
      <c r="J263" s="379" t="s">
        <v>289</v>
      </c>
      <c r="K263" s="407"/>
      <c r="L263" s="378" t="s">
        <v>289</v>
      </c>
      <c r="M263" s="378" t="s">
        <v>289</v>
      </c>
      <c r="N263" s="378" t="s">
        <v>289</v>
      </c>
      <c r="O263" s="409"/>
      <c r="P263" s="387" t="s">
        <v>289</v>
      </c>
      <c r="Q263" s="383"/>
      <c r="R263" s="383"/>
      <c r="S263" s="383"/>
      <c r="T263" s="410"/>
      <c r="U263" s="406"/>
      <c r="V263" s="386"/>
      <c r="W263" s="387" t="s">
        <v>289</v>
      </c>
      <c r="X263" s="378" t="s">
        <v>289</v>
      </c>
      <c r="Y263" s="387" t="s">
        <v>289</v>
      </c>
      <c r="Z263" s="391" t="s">
        <v>289</v>
      </c>
      <c r="AA263" s="391" t="s">
        <v>289</v>
      </c>
      <c r="AB263" s="391" t="s">
        <v>289</v>
      </c>
      <c r="AC263" s="391" t="s">
        <v>289</v>
      </c>
      <c r="AD263" s="395" t="s">
        <v>289</v>
      </c>
      <c r="AE263" s="395"/>
      <c r="AF263" s="395"/>
      <c r="AG263" s="395"/>
      <c r="AH263" s="395"/>
    </row>
    <row r="264" ht="30.75" customHeight="1">
      <c r="A264" s="373" t="str">
        <f t="shared" si="1"/>
        <v/>
      </c>
      <c r="B264" s="421" t="s">
        <v>289</v>
      </c>
      <c r="C264" s="406"/>
      <c r="D264" s="406"/>
      <c r="E264" s="406"/>
      <c r="F264" s="395" t="s">
        <v>289</v>
      </c>
      <c r="G264" s="406"/>
      <c r="H264" s="406"/>
      <c r="I264" s="378" t="s">
        <v>289</v>
      </c>
      <c r="J264" s="379" t="s">
        <v>289</v>
      </c>
      <c r="K264" s="407"/>
      <c r="L264" s="378" t="s">
        <v>289</v>
      </c>
      <c r="M264" s="378" t="s">
        <v>289</v>
      </c>
      <c r="N264" s="378" t="s">
        <v>289</v>
      </c>
      <c r="O264" s="409"/>
      <c r="P264" s="387" t="s">
        <v>289</v>
      </c>
      <c r="Q264" s="383"/>
      <c r="R264" s="383"/>
      <c r="S264" s="383"/>
      <c r="T264" s="410"/>
      <c r="U264" s="406"/>
      <c r="V264" s="386"/>
      <c r="W264" s="387" t="s">
        <v>289</v>
      </c>
      <c r="X264" s="378" t="s">
        <v>289</v>
      </c>
      <c r="Y264" s="387" t="s">
        <v>289</v>
      </c>
      <c r="Z264" s="391" t="s">
        <v>289</v>
      </c>
      <c r="AA264" s="391" t="s">
        <v>289</v>
      </c>
      <c r="AB264" s="391" t="s">
        <v>289</v>
      </c>
      <c r="AC264" s="391" t="s">
        <v>289</v>
      </c>
      <c r="AD264" s="395" t="s">
        <v>289</v>
      </c>
      <c r="AE264" s="395"/>
      <c r="AF264" s="395"/>
      <c r="AG264" s="395"/>
      <c r="AH264" s="395"/>
    </row>
    <row r="265" ht="30.75" customHeight="1">
      <c r="A265" s="373" t="str">
        <f t="shared" si="1"/>
        <v/>
      </c>
      <c r="B265" s="421" t="s">
        <v>289</v>
      </c>
      <c r="C265" s="406"/>
      <c r="D265" s="406"/>
      <c r="E265" s="406"/>
      <c r="F265" s="395" t="s">
        <v>289</v>
      </c>
      <c r="G265" s="406"/>
      <c r="H265" s="406"/>
      <c r="I265" s="378" t="s">
        <v>289</v>
      </c>
      <c r="J265" s="379" t="s">
        <v>289</v>
      </c>
      <c r="K265" s="407"/>
      <c r="L265" s="378" t="s">
        <v>289</v>
      </c>
      <c r="M265" s="378" t="s">
        <v>289</v>
      </c>
      <c r="N265" s="378" t="s">
        <v>289</v>
      </c>
      <c r="O265" s="409"/>
      <c r="P265" s="387" t="s">
        <v>289</v>
      </c>
      <c r="Q265" s="383"/>
      <c r="R265" s="383"/>
      <c r="S265" s="383"/>
      <c r="T265" s="410"/>
      <c r="U265" s="406"/>
      <c r="V265" s="386"/>
      <c r="W265" s="387" t="s">
        <v>289</v>
      </c>
      <c r="X265" s="378" t="s">
        <v>289</v>
      </c>
      <c r="Y265" s="387" t="s">
        <v>289</v>
      </c>
      <c r="Z265" s="391" t="s">
        <v>289</v>
      </c>
      <c r="AA265" s="391" t="s">
        <v>289</v>
      </c>
      <c r="AB265" s="391" t="s">
        <v>289</v>
      </c>
      <c r="AC265" s="391" t="s">
        <v>289</v>
      </c>
      <c r="AD265" s="395" t="s">
        <v>289</v>
      </c>
      <c r="AE265" s="395"/>
      <c r="AF265" s="395"/>
      <c r="AG265" s="395"/>
      <c r="AH265" s="395"/>
    </row>
    <row r="266" ht="30.75" customHeight="1">
      <c r="A266" s="373" t="str">
        <f t="shared" si="1"/>
        <v/>
      </c>
      <c r="B266" s="421" t="s">
        <v>289</v>
      </c>
      <c r="C266" s="406"/>
      <c r="D266" s="406"/>
      <c r="E266" s="406"/>
      <c r="F266" s="395" t="s">
        <v>289</v>
      </c>
      <c r="G266" s="406"/>
      <c r="H266" s="406"/>
      <c r="I266" s="378" t="s">
        <v>289</v>
      </c>
      <c r="J266" s="379" t="s">
        <v>289</v>
      </c>
      <c r="K266" s="407"/>
      <c r="L266" s="378" t="s">
        <v>289</v>
      </c>
      <c r="M266" s="378" t="s">
        <v>289</v>
      </c>
      <c r="N266" s="378" t="s">
        <v>289</v>
      </c>
      <c r="O266" s="409"/>
      <c r="P266" s="387" t="s">
        <v>289</v>
      </c>
      <c r="Q266" s="383"/>
      <c r="R266" s="383"/>
      <c r="S266" s="383"/>
      <c r="T266" s="410"/>
      <c r="U266" s="406"/>
      <c r="V266" s="386"/>
      <c r="W266" s="387" t="s">
        <v>289</v>
      </c>
      <c r="X266" s="378" t="s">
        <v>289</v>
      </c>
      <c r="Y266" s="387" t="s">
        <v>289</v>
      </c>
      <c r="Z266" s="391" t="s">
        <v>289</v>
      </c>
      <c r="AA266" s="391" t="s">
        <v>289</v>
      </c>
      <c r="AB266" s="391" t="s">
        <v>289</v>
      </c>
      <c r="AC266" s="391" t="s">
        <v>289</v>
      </c>
      <c r="AD266" s="395" t="s">
        <v>289</v>
      </c>
      <c r="AE266" s="395"/>
      <c r="AF266" s="395"/>
      <c r="AG266" s="395"/>
      <c r="AH266" s="395"/>
    </row>
    <row r="267" ht="30.75" customHeight="1">
      <c r="A267" s="373" t="str">
        <f t="shared" si="1"/>
        <v/>
      </c>
      <c r="B267" s="421" t="s">
        <v>289</v>
      </c>
      <c r="C267" s="406"/>
      <c r="D267" s="406"/>
      <c r="E267" s="406"/>
      <c r="F267" s="395" t="s">
        <v>289</v>
      </c>
      <c r="G267" s="406"/>
      <c r="H267" s="406"/>
      <c r="I267" s="378" t="s">
        <v>289</v>
      </c>
      <c r="J267" s="379" t="s">
        <v>289</v>
      </c>
      <c r="K267" s="407"/>
      <c r="L267" s="378" t="s">
        <v>289</v>
      </c>
      <c r="M267" s="378" t="s">
        <v>289</v>
      </c>
      <c r="N267" s="378" t="s">
        <v>289</v>
      </c>
      <c r="O267" s="409"/>
      <c r="P267" s="387" t="s">
        <v>289</v>
      </c>
      <c r="Q267" s="383"/>
      <c r="R267" s="383"/>
      <c r="S267" s="383"/>
      <c r="T267" s="410"/>
      <c r="U267" s="406"/>
      <c r="V267" s="386"/>
      <c r="W267" s="387" t="s">
        <v>289</v>
      </c>
      <c r="X267" s="378" t="s">
        <v>289</v>
      </c>
      <c r="Y267" s="387" t="s">
        <v>289</v>
      </c>
      <c r="Z267" s="391" t="s">
        <v>289</v>
      </c>
      <c r="AA267" s="391" t="s">
        <v>289</v>
      </c>
      <c r="AB267" s="391" t="s">
        <v>289</v>
      </c>
      <c r="AC267" s="391" t="s">
        <v>289</v>
      </c>
      <c r="AD267" s="395" t="s">
        <v>289</v>
      </c>
      <c r="AE267" s="395"/>
      <c r="AF267" s="395"/>
      <c r="AG267" s="395"/>
      <c r="AH267" s="395"/>
    </row>
    <row r="268" ht="30.75" customHeight="1">
      <c r="A268" s="373" t="str">
        <f t="shared" si="1"/>
        <v/>
      </c>
      <c r="B268" s="421" t="s">
        <v>289</v>
      </c>
      <c r="C268" s="406"/>
      <c r="D268" s="406"/>
      <c r="E268" s="406"/>
      <c r="F268" s="395" t="s">
        <v>289</v>
      </c>
      <c r="G268" s="406"/>
      <c r="H268" s="406"/>
      <c r="I268" s="378" t="s">
        <v>289</v>
      </c>
      <c r="J268" s="379" t="s">
        <v>289</v>
      </c>
      <c r="K268" s="407"/>
      <c r="L268" s="378" t="s">
        <v>289</v>
      </c>
      <c r="M268" s="378" t="s">
        <v>289</v>
      </c>
      <c r="N268" s="378" t="s">
        <v>289</v>
      </c>
      <c r="O268" s="409"/>
      <c r="P268" s="387" t="s">
        <v>289</v>
      </c>
      <c r="Q268" s="383"/>
      <c r="R268" s="383"/>
      <c r="S268" s="383"/>
      <c r="T268" s="410"/>
      <c r="U268" s="406"/>
      <c r="V268" s="386"/>
      <c r="W268" s="387" t="s">
        <v>289</v>
      </c>
      <c r="X268" s="378" t="s">
        <v>289</v>
      </c>
      <c r="Y268" s="387" t="s">
        <v>289</v>
      </c>
      <c r="Z268" s="391" t="s">
        <v>289</v>
      </c>
      <c r="AA268" s="391" t="s">
        <v>289</v>
      </c>
      <c r="AB268" s="391" t="s">
        <v>289</v>
      </c>
      <c r="AC268" s="391" t="s">
        <v>289</v>
      </c>
      <c r="AD268" s="395" t="s">
        <v>289</v>
      </c>
      <c r="AE268" s="395"/>
      <c r="AF268" s="395"/>
      <c r="AG268" s="395"/>
      <c r="AH268" s="395"/>
    </row>
    <row r="269" ht="30.75" customHeight="1">
      <c r="A269" s="373" t="str">
        <f t="shared" si="1"/>
        <v/>
      </c>
      <c r="B269" s="421" t="s">
        <v>289</v>
      </c>
      <c r="C269" s="406"/>
      <c r="D269" s="406"/>
      <c r="E269" s="406"/>
      <c r="F269" s="395" t="s">
        <v>289</v>
      </c>
      <c r="G269" s="406"/>
      <c r="H269" s="406"/>
      <c r="I269" s="378" t="s">
        <v>289</v>
      </c>
      <c r="J269" s="379" t="s">
        <v>289</v>
      </c>
      <c r="K269" s="407"/>
      <c r="L269" s="378" t="s">
        <v>289</v>
      </c>
      <c r="M269" s="378" t="s">
        <v>289</v>
      </c>
      <c r="N269" s="378" t="s">
        <v>289</v>
      </c>
      <c r="O269" s="409"/>
      <c r="P269" s="387" t="s">
        <v>289</v>
      </c>
      <c r="Q269" s="383"/>
      <c r="R269" s="383"/>
      <c r="S269" s="383"/>
      <c r="T269" s="410"/>
      <c r="U269" s="406"/>
      <c r="V269" s="386"/>
      <c r="W269" s="387" t="s">
        <v>289</v>
      </c>
      <c r="X269" s="378" t="s">
        <v>289</v>
      </c>
      <c r="Y269" s="387" t="s">
        <v>289</v>
      </c>
      <c r="Z269" s="391" t="s">
        <v>289</v>
      </c>
      <c r="AA269" s="391" t="s">
        <v>289</v>
      </c>
      <c r="AB269" s="391" t="s">
        <v>289</v>
      </c>
      <c r="AC269" s="391" t="s">
        <v>289</v>
      </c>
      <c r="AD269" s="395" t="s">
        <v>289</v>
      </c>
      <c r="AE269" s="395"/>
      <c r="AF269" s="395"/>
      <c r="AG269" s="395"/>
      <c r="AH269" s="395"/>
    </row>
    <row r="270" ht="30.75" customHeight="1">
      <c r="A270" s="373" t="str">
        <f t="shared" si="1"/>
        <v/>
      </c>
      <c r="B270" s="421" t="s">
        <v>289</v>
      </c>
      <c r="C270" s="406"/>
      <c r="D270" s="406"/>
      <c r="E270" s="406"/>
      <c r="F270" s="395" t="s">
        <v>289</v>
      </c>
      <c r="G270" s="406"/>
      <c r="H270" s="406"/>
      <c r="I270" s="378" t="s">
        <v>289</v>
      </c>
      <c r="J270" s="379" t="s">
        <v>289</v>
      </c>
      <c r="K270" s="407"/>
      <c r="L270" s="378" t="s">
        <v>289</v>
      </c>
      <c r="M270" s="378" t="s">
        <v>289</v>
      </c>
      <c r="N270" s="378" t="s">
        <v>289</v>
      </c>
      <c r="O270" s="409"/>
      <c r="P270" s="387" t="s">
        <v>289</v>
      </c>
      <c r="Q270" s="383"/>
      <c r="R270" s="383"/>
      <c r="S270" s="383"/>
      <c r="T270" s="410"/>
      <c r="U270" s="406"/>
      <c r="V270" s="386"/>
      <c r="W270" s="387" t="s">
        <v>289</v>
      </c>
      <c r="X270" s="378" t="s">
        <v>289</v>
      </c>
      <c r="Y270" s="387" t="s">
        <v>289</v>
      </c>
      <c r="Z270" s="391" t="s">
        <v>289</v>
      </c>
      <c r="AA270" s="391" t="s">
        <v>289</v>
      </c>
      <c r="AB270" s="391" t="s">
        <v>289</v>
      </c>
      <c r="AC270" s="391" t="s">
        <v>289</v>
      </c>
      <c r="AD270" s="395" t="s">
        <v>289</v>
      </c>
      <c r="AE270" s="395"/>
      <c r="AF270" s="395"/>
      <c r="AG270" s="395"/>
      <c r="AH270" s="395"/>
    </row>
    <row r="271" ht="30.75" customHeight="1">
      <c r="A271" s="373" t="str">
        <f t="shared" si="1"/>
        <v/>
      </c>
      <c r="B271" s="421" t="s">
        <v>289</v>
      </c>
      <c r="C271" s="406"/>
      <c r="D271" s="406"/>
      <c r="E271" s="406"/>
      <c r="F271" s="395" t="s">
        <v>289</v>
      </c>
      <c r="G271" s="406"/>
      <c r="H271" s="406"/>
      <c r="I271" s="378" t="s">
        <v>289</v>
      </c>
      <c r="J271" s="379" t="s">
        <v>289</v>
      </c>
      <c r="K271" s="407"/>
      <c r="L271" s="378" t="s">
        <v>289</v>
      </c>
      <c r="M271" s="378" t="s">
        <v>289</v>
      </c>
      <c r="N271" s="378" t="s">
        <v>289</v>
      </c>
      <c r="O271" s="409"/>
      <c r="P271" s="387" t="s">
        <v>289</v>
      </c>
      <c r="Q271" s="383"/>
      <c r="R271" s="383"/>
      <c r="S271" s="383"/>
      <c r="T271" s="410"/>
      <c r="U271" s="406"/>
      <c r="V271" s="386"/>
      <c r="W271" s="387" t="s">
        <v>289</v>
      </c>
      <c r="X271" s="378" t="s">
        <v>289</v>
      </c>
      <c r="Y271" s="387" t="s">
        <v>289</v>
      </c>
      <c r="Z271" s="391" t="s">
        <v>289</v>
      </c>
      <c r="AA271" s="391" t="s">
        <v>289</v>
      </c>
      <c r="AB271" s="391" t="s">
        <v>289</v>
      </c>
      <c r="AC271" s="391" t="s">
        <v>289</v>
      </c>
      <c r="AD271" s="395" t="s">
        <v>289</v>
      </c>
      <c r="AE271" s="395"/>
      <c r="AF271" s="395"/>
      <c r="AG271" s="395"/>
      <c r="AH271" s="395"/>
    </row>
    <row r="272" ht="30.75" customHeight="1">
      <c r="A272" s="373" t="str">
        <f t="shared" si="1"/>
        <v/>
      </c>
      <c r="B272" s="421" t="s">
        <v>289</v>
      </c>
      <c r="C272" s="406"/>
      <c r="D272" s="406"/>
      <c r="E272" s="406"/>
      <c r="F272" s="395" t="s">
        <v>289</v>
      </c>
      <c r="G272" s="406"/>
      <c r="H272" s="406"/>
      <c r="I272" s="378" t="s">
        <v>289</v>
      </c>
      <c r="J272" s="379" t="s">
        <v>289</v>
      </c>
      <c r="K272" s="407"/>
      <c r="L272" s="378" t="s">
        <v>289</v>
      </c>
      <c r="M272" s="378" t="s">
        <v>289</v>
      </c>
      <c r="N272" s="378" t="s">
        <v>289</v>
      </c>
      <c r="O272" s="409"/>
      <c r="P272" s="387" t="s">
        <v>289</v>
      </c>
      <c r="Q272" s="383"/>
      <c r="R272" s="383"/>
      <c r="S272" s="383"/>
      <c r="T272" s="410"/>
      <c r="U272" s="406"/>
      <c r="V272" s="386"/>
      <c r="W272" s="387" t="s">
        <v>289</v>
      </c>
      <c r="X272" s="378" t="s">
        <v>289</v>
      </c>
      <c r="Y272" s="387" t="s">
        <v>289</v>
      </c>
      <c r="Z272" s="391" t="s">
        <v>289</v>
      </c>
      <c r="AA272" s="391" t="s">
        <v>289</v>
      </c>
      <c r="AB272" s="391" t="s">
        <v>289</v>
      </c>
      <c r="AC272" s="391" t="s">
        <v>289</v>
      </c>
      <c r="AD272" s="395" t="s">
        <v>289</v>
      </c>
      <c r="AE272" s="395"/>
      <c r="AF272" s="395"/>
      <c r="AG272" s="395"/>
      <c r="AH272" s="395"/>
    </row>
    <row r="273" ht="30.75" customHeight="1">
      <c r="A273" s="373" t="str">
        <f t="shared" si="1"/>
        <v/>
      </c>
      <c r="B273" s="421" t="s">
        <v>289</v>
      </c>
      <c r="C273" s="406"/>
      <c r="D273" s="406"/>
      <c r="E273" s="406"/>
      <c r="F273" s="395" t="s">
        <v>289</v>
      </c>
      <c r="G273" s="406"/>
      <c r="H273" s="406"/>
      <c r="I273" s="378" t="s">
        <v>289</v>
      </c>
      <c r="J273" s="379" t="s">
        <v>289</v>
      </c>
      <c r="K273" s="407"/>
      <c r="L273" s="378" t="s">
        <v>289</v>
      </c>
      <c r="M273" s="378" t="s">
        <v>289</v>
      </c>
      <c r="N273" s="378" t="s">
        <v>289</v>
      </c>
      <c r="O273" s="409"/>
      <c r="P273" s="387" t="s">
        <v>289</v>
      </c>
      <c r="Q273" s="383"/>
      <c r="R273" s="383"/>
      <c r="S273" s="383"/>
      <c r="T273" s="410"/>
      <c r="U273" s="406"/>
      <c r="V273" s="386"/>
      <c r="W273" s="387" t="s">
        <v>289</v>
      </c>
      <c r="X273" s="378" t="s">
        <v>289</v>
      </c>
      <c r="Y273" s="387" t="s">
        <v>289</v>
      </c>
      <c r="Z273" s="391" t="s">
        <v>289</v>
      </c>
      <c r="AA273" s="391" t="s">
        <v>289</v>
      </c>
      <c r="AB273" s="391" t="s">
        <v>289</v>
      </c>
      <c r="AC273" s="391" t="s">
        <v>289</v>
      </c>
      <c r="AD273" s="395" t="s">
        <v>289</v>
      </c>
      <c r="AE273" s="395"/>
      <c r="AF273" s="395"/>
      <c r="AG273" s="395"/>
      <c r="AH273" s="395"/>
    </row>
    <row r="274" ht="30.75" customHeight="1">
      <c r="A274" s="373" t="str">
        <f t="shared" si="1"/>
        <v/>
      </c>
      <c r="B274" s="421" t="s">
        <v>289</v>
      </c>
      <c r="C274" s="406"/>
      <c r="D274" s="406"/>
      <c r="E274" s="406"/>
      <c r="F274" s="395" t="s">
        <v>289</v>
      </c>
      <c r="G274" s="406"/>
      <c r="H274" s="406"/>
      <c r="I274" s="378" t="s">
        <v>289</v>
      </c>
      <c r="J274" s="379" t="s">
        <v>289</v>
      </c>
      <c r="K274" s="407"/>
      <c r="L274" s="378" t="s">
        <v>289</v>
      </c>
      <c r="M274" s="378" t="s">
        <v>289</v>
      </c>
      <c r="N274" s="378" t="s">
        <v>289</v>
      </c>
      <c r="O274" s="409"/>
      <c r="P274" s="387" t="s">
        <v>289</v>
      </c>
      <c r="Q274" s="383"/>
      <c r="R274" s="383"/>
      <c r="S274" s="383"/>
      <c r="T274" s="410"/>
      <c r="U274" s="406"/>
      <c r="V274" s="386"/>
      <c r="W274" s="387" t="s">
        <v>289</v>
      </c>
      <c r="X274" s="378" t="s">
        <v>289</v>
      </c>
      <c r="Y274" s="387" t="s">
        <v>289</v>
      </c>
      <c r="Z274" s="391" t="s">
        <v>289</v>
      </c>
      <c r="AA274" s="391" t="s">
        <v>289</v>
      </c>
      <c r="AB274" s="391" t="s">
        <v>289</v>
      </c>
      <c r="AC274" s="391" t="s">
        <v>289</v>
      </c>
      <c r="AD274" s="395" t="s">
        <v>289</v>
      </c>
      <c r="AE274" s="395"/>
      <c r="AF274" s="395"/>
      <c r="AG274" s="395"/>
      <c r="AH274" s="395"/>
    </row>
    <row r="275" ht="30.75" customHeight="1">
      <c r="A275" s="373" t="str">
        <f t="shared" si="1"/>
        <v/>
      </c>
      <c r="B275" s="421" t="s">
        <v>289</v>
      </c>
      <c r="C275" s="406"/>
      <c r="D275" s="406"/>
      <c r="E275" s="406"/>
      <c r="F275" s="395" t="s">
        <v>289</v>
      </c>
      <c r="G275" s="406"/>
      <c r="H275" s="406"/>
      <c r="I275" s="378" t="s">
        <v>289</v>
      </c>
      <c r="J275" s="379" t="s">
        <v>289</v>
      </c>
      <c r="K275" s="407"/>
      <c r="L275" s="378" t="s">
        <v>289</v>
      </c>
      <c r="M275" s="378" t="s">
        <v>289</v>
      </c>
      <c r="N275" s="378" t="s">
        <v>289</v>
      </c>
      <c r="O275" s="409"/>
      <c r="P275" s="387" t="s">
        <v>289</v>
      </c>
      <c r="Q275" s="383"/>
      <c r="R275" s="383"/>
      <c r="S275" s="383"/>
      <c r="T275" s="410"/>
      <c r="U275" s="406"/>
      <c r="V275" s="386"/>
      <c r="W275" s="387" t="s">
        <v>289</v>
      </c>
      <c r="X275" s="378" t="s">
        <v>289</v>
      </c>
      <c r="Y275" s="387" t="s">
        <v>289</v>
      </c>
      <c r="Z275" s="391" t="s">
        <v>289</v>
      </c>
      <c r="AA275" s="391" t="s">
        <v>289</v>
      </c>
      <c r="AB275" s="391" t="s">
        <v>289</v>
      </c>
      <c r="AC275" s="391" t="s">
        <v>289</v>
      </c>
      <c r="AD275" s="395" t="s">
        <v>289</v>
      </c>
      <c r="AE275" s="395"/>
      <c r="AF275" s="395"/>
      <c r="AG275" s="395"/>
      <c r="AH275" s="395"/>
    </row>
    <row r="276" ht="30.75" customHeight="1">
      <c r="A276" s="373" t="str">
        <f t="shared" si="1"/>
        <v/>
      </c>
      <c r="B276" s="421" t="s">
        <v>289</v>
      </c>
      <c r="C276" s="406"/>
      <c r="D276" s="406"/>
      <c r="E276" s="406"/>
      <c r="F276" s="395" t="s">
        <v>289</v>
      </c>
      <c r="G276" s="406"/>
      <c r="H276" s="406"/>
      <c r="I276" s="378" t="s">
        <v>289</v>
      </c>
      <c r="J276" s="379" t="s">
        <v>289</v>
      </c>
      <c r="K276" s="407"/>
      <c r="L276" s="378" t="s">
        <v>289</v>
      </c>
      <c r="M276" s="378" t="s">
        <v>289</v>
      </c>
      <c r="N276" s="378" t="s">
        <v>289</v>
      </c>
      <c r="O276" s="409"/>
      <c r="P276" s="387" t="s">
        <v>289</v>
      </c>
      <c r="Q276" s="383"/>
      <c r="R276" s="383"/>
      <c r="S276" s="383"/>
      <c r="T276" s="410"/>
      <c r="U276" s="406"/>
      <c r="V276" s="386"/>
      <c r="W276" s="387" t="s">
        <v>289</v>
      </c>
      <c r="X276" s="378" t="s">
        <v>289</v>
      </c>
      <c r="Y276" s="387" t="s">
        <v>289</v>
      </c>
      <c r="Z276" s="391" t="s">
        <v>289</v>
      </c>
      <c r="AA276" s="391" t="s">
        <v>289</v>
      </c>
      <c r="AB276" s="391" t="s">
        <v>289</v>
      </c>
      <c r="AC276" s="391" t="s">
        <v>289</v>
      </c>
      <c r="AD276" s="395" t="s">
        <v>289</v>
      </c>
      <c r="AE276" s="395"/>
      <c r="AF276" s="395"/>
      <c r="AG276" s="395"/>
      <c r="AH276" s="395"/>
    </row>
    <row r="277" ht="30.75" customHeight="1">
      <c r="A277" s="373" t="str">
        <f t="shared" si="1"/>
        <v/>
      </c>
      <c r="B277" s="421" t="s">
        <v>289</v>
      </c>
      <c r="C277" s="406"/>
      <c r="D277" s="406"/>
      <c r="E277" s="406"/>
      <c r="F277" s="395" t="s">
        <v>289</v>
      </c>
      <c r="G277" s="406"/>
      <c r="H277" s="406"/>
      <c r="I277" s="378" t="s">
        <v>289</v>
      </c>
      <c r="J277" s="379" t="s">
        <v>289</v>
      </c>
      <c r="K277" s="407"/>
      <c r="L277" s="378" t="s">
        <v>289</v>
      </c>
      <c r="M277" s="378" t="s">
        <v>289</v>
      </c>
      <c r="N277" s="378" t="s">
        <v>289</v>
      </c>
      <c r="O277" s="409"/>
      <c r="P277" s="387" t="s">
        <v>289</v>
      </c>
      <c r="Q277" s="383"/>
      <c r="R277" s="383"/>
      <c r="S277" s="383"/>
      <c r="T277" s="410"/>
      <c r="U277" s="406"/>
      <c r="V277" s="386"/>
      <c r="W277" s="387" t="s">
        <v>289</v>
      </c>
      <c r="X277" s="378" t="s">
        <v>289</v>
      </c>
      <c r="Y277" s="387" t="s">
        <v>289</v>
      </c>
      <c r="Z277" s="391" t="s">
        <v>289</v>
      </c>
      <c r="AA277" s="391" t="s">
        <v>289</v>
      </c>
      <c r="AB277" s="391" t="s">
        <v>289</v>
      </c>
      <c r="AC277" s="391" t="s">
        <v>289</v>
      </c>
      <c r="AD277" s="395" t="s">
        <v>289</v>
      </c>
      <c r="AE277" s="395"/>
      <c r="AF277" s="395"/>
      <c r="AG277" s="395"/>
      <c r="AH277" s="395"/>
    </row>
    <row r="278" ht="30.75" customHeight="1">
      <c r="A278" s="373" t="str">
        <f t="shared" si="1"/>
        <v/>
      </c>
      <c r="B278" s="421" t="s">
        <v>289</v>
      </c>
      <c r="C278" s="406"/>
      <c r="D278" s="406"/>
      <c r="E278" s="406"/>
      <c r="F278" s="395" t="s">
        <v>289</v>
      </c>
      <c r="G278" s="406"/>
      <c r="H278" s="406"/>
      <c r="I278" s="378" t="s">
        <v>289</v>
      </c>
      <c r="J278" s="379" t="s">
        <v>289</v>
      </c>
      <c r="K278" s="407"/>
      <c r="L278" s="378" t="s">
        <v>289</v>
      </c>
      <c r="M278" s="378" t="s">
        <v>289</v>
      </c>
      <c r="N278" s="378" t="s">
        <v>289</v>
      </c>
      <c r="O278" s="409"/>
      <c r="P278" s="387" t="s">
        <v>289</v>
      </c>
      <c r="Q278" s="383"/>
      <c r="R278" s="383"/>
      <c r="S278" s="383"/>
      <c r="T278" s="410"/>
      <c r="U278" s="406"/>
      <c r="V278" s="386"/>
      <c r="W278" s="387" t="s">
        <v>289</v>
      </c>
      <c r="X278" s="378" t="s">
        <v>289</v>
      </c>
      <c r="Y278" s="387" t="s">
        <v>289</v>
      </c>
      <c r="Z278" s="391" t="s">
        <v>289</v>
      </c>
      <c r="AA278" s="391" t="s">
        <v>289</v>
      </c>
      <c r="AB278" s="391" t="s">
        <v>289</v>
      </c>
      <c r="AC278" s="391" t="s">
        <v>289</v>
      </c>
      <c r="AD278" s="395" t="s">
        <v>289</v>
      </c>
      <c r="AE278" s="395"/>
      <c r="AF278" s="395"/>
      <c r="AG278" s="395"/>
      <c r="AH278" s="395"/>
    </row>
    <row r="279" ht="30.75" customHeight="1">
      <c r="A279" s="373" t="str">
        <f t="shared" si="1"/>
        <v/>
      </c>
      <c r="B279" s="421" t="s">
        <v>289</v>
      </c>
      <c r="C279" s="406"/>
      <c r="D279" s="406"/>
      <c r="E279" s="406"/>
      <c r="F279" s="395" t="s">
        <v>289</v>
      </c>
      <c r="G279" s="406"/>
      <c r="H279" s="406"/>
      <c r="I279" s="378" t="s">
        <v>289</v>
      </c>
      <c r="J279" s="379" t="s">
        <v>289</v>
      </c>
      <c r="K279" s="407"/>
      <c r="L279" s="378" t="s">
        <v>289</v>
      </c>
      <c r="M279" s="378" t="s">
        <v>289</v>
      </c>
      <c r="N279" s="378" t="s">
        <v>289</v>
      </c>
      <c r="O279" s="409"/>
      <c r="P279" s="387" t="s">
        <v>289</v>
      </c>
      <c r="Q279" s="383"/>
      <c r="R279" s="383"/>
      <c r="S279" s="383"/>
      <c r="T279" s="410"/>
      <c r="U279" s="406"/>
      <c r="V279" s="386"/>
      <c r="W279" s="387" t="s">
        <v>289</v>
      </c>
      <c r="X279" s="378" t="s">
        <v>289</v>
      </c>
      <c r="Y279" s="387" t="s">
        <v>289</v>
      </c>
      <c r="Z279" s="391" t="s">
        <v>289</v>
      </c>
      <c r="AA279" s="391" t="s">
        <v>289</v>
      </c>
      <c r="AB279" s="391" t="s">
        <v>289</v>
      </c>
      <c r="AC279" s="391" t="s">
        <v>289</v>
      </c>
      <c r="AD279" s="395" t="s">
        <v>289</v>
      </c>
      <c r="AE279" s="395"/>
      <c r="AF279" s="395"/>
      <c r="AG279" s="395"/>
      <c r="AH279" s="395"/>
    </row>
    <row r="280" ht="30.75" customHeight="1">
      <c r="A280" s="373" t="str">
        <f t="shared" si="1"/>
        <v/>
      </c>
      <c r="B280" s="421" t="s">
        <v>289</v>
      </c>
      <c r="C280" s="406"/>
      <c r="D280" s="406"/>
      <c r="E280" s="406"/>
      <c r="F280" s="395" t="s">
        <v>289</v>
      </c>
      <c r="G280" s="406"/>
      <c r="H280" s="406"/>
      <c r="I280" s="378" t="s">
        <v>289</v>
      </c>
      <c r="J280" s="379" t="s">
        <v>289</v>
      </c>
      <c r="K280" s="407"/>
      <c r="L280" s="378" t="s">
        <v>289</v>
      </c>
      <c r="M280" s="378" t="s">
        <v>289</v>
      </c>
      <c r="N280" s="378" t="s">
        <v>289</v>
      </c>
      <c r="O280" s="409"/>
      <c r="P280" s="387" t="s">
        <v>289</v>
      </c>
      <c r="Q280" s="383"/>
      <c r="R280" s="383"/>
      <c r="S280" s="383"/>
      <c r="T280" s="410"/>
      <c r="U280" s="406"/>
      <c r="V280" s="386"/>
      <c r="W280" s="387" t="s">
        <v>289</v>
      </c>
      <c r="X280" s="378" t="s">
        <v>289</v>
      </c>
      <c r="Y280" s="387" t="s">
        <v>289</v>
      </c>
      <c r="Z280" s="391" t="s">
        <v>289</v>
      </c>
      <c r="AA280" s="391" t="s">
        <v>289</v>
      </c>
      <c r="AB280" s="391" t="s">
        <v>289</v>
      </c>
      <c r="AC280" s="391" t="s">
        <v>289</v>
      </c>
      <c r="AD280" s="395" t="s">
        <v>289</v>
      </c>
      <c r="AE280" s="395"/>
      <c r="AF280" s="395"/>
      <c r="AG280" s="395"/>
      <c r="AH280" s="395"/>
    </row>
    <row r="281" ht="30.75" customHeight="1">
      <c r="A281" s="373" t="str">
        <f t="shared" si="1"/>
        <v/>
      </c>
      <c r="B281" s="421" t="s">
        <v>289</v>
      </c>
      <c r="C281" s="406"/>
      <c r="D281" s="406"/>
      <c r="E281" s="406"/>
      <c r="F281" s="395" t="s">
        <v>289</v>
      </c>
      <c r="G281" s="406"/>
      <c r="H281" s="406"/>
      <c r="I281" s="378" t="s">
        <v>289</v>
      </c>
      <c r="J281" s="379" t="s">
        <v>289</v>
      </c>
      <c r="K281" s="407"/>
      <c r="L281" s="378" t="s">
        <v>289</v>
      </c>
      <c r="M281" s="378" t="s">
        <v>289</v>
      </c>
      <c r="N281" s="378" t="s">
        <v>289</v>
      </c>
      <c r="O281" s="409"/>
      <c r="P281" s="387" t="s">
        <v>289</v>
      </c>
      <c r="Q281" s="383"/>
      <c r="R281" s="383"/>
      <c r="S281" s="383"/>
      <c r="T281" s="410"/>
      <c r="U281" s="406"/>
      <c r="V281" s="386"/>
      <c r="W281" s="387" t="s">
        <v>289</v>
      </c>
      <c r="X281" s="378" t="s">
        <v>289</v>
      </c>
      <c r="Y281" s="387" t="s">
        <v>289</v>
      </c>
      <c r="Z281" s="391" t="s">
        <v>289</v>
      </c>
      <c r="AA281" s="391" t="s">
        <v>289</v>
      </c>
      <c r="AB281" s="391" t="s">
        <v>289</v>
      </c>
      <c r="AC281" s="391" t="s">
        <v>289</v>
      </c>
      <c r="AD281" s="395" t="s">
        <v>289</v>
      </c>
      <c r="AE281" s="395"/>
      <c r="AF281" s="395"/>
      <c r="AG281" s="395"/>
      <c r="AH281" s="395"/>
    </row>
    <row r="282" ht="30.75" customHeight="1">
      <c r="A282" s="373" t="str">
        <f t="shared" si="1"/>
        <v/>
      </c>
      <c r="B282" s="421" t="s">
        <v>289</v>
      </c>
      <c r="C282" s="406"/>
      <c r="D282" s="406"/>
      <c r="E282" s="406"/>
      <c r="F282" s="395" t="s">
        <v>289</v>
      </c>
      <c r="G282" s="406"/>
      <c r="H282" s="406"/>
      <c r="I282" s="378" t="s">
        <v>289</v>
      </c>
      <c r="J282" s="379" t="s">
        <v>289</v>
      </c>
      <c r="K282" s="407"/>
      <c r="L282" s="378" t="s">
        <v>289</v>
      </c>
      <c r="M282" s="378" t="s">
        <v>289</v>
      </c>
      <c r="N282" s="378" t="s">
        <v>289</v>
      </c>
      <c r="O282" s="409"/>
      <c r="P282" s="387" t="s">
        <v>289</v>
      </c>
      <c r="Q282" s="383"/>
      <c r="R282" s="383"/>
      <c r="S282" s="383"/>
      <c r="T282" s="410"/>
      <c r="U282" s="406"/>
      <c r="V282" s="386"/>
      <c r="W282" s="387" t="s">
        <v>289</v>
      </c>
      <c r="X282" s="378" t="s">
        <v>289</v>
      </c>
      <c r="Y282" s="387" t="s">
        <v>289</v>
      </c>
      <c r="Z282" s="391" t="s">
        <v>289</v>
      </c>
      <c r="AA282" s="391" t="s">
        <v>289</v>
      </c>
      <c r="AB282" s="391" t="s">
        <v>289</v>
      </c>
      <c r="AC282" s="391" t="s">
        <v>289</v>
      </c>
      <c r="AD282" s="395" t="s">
        <v>289</v>
      </c>
      <c r="AE282" s="395"/>
      <c r="AF282" s="395"/>
      <c r="AG282" s="395"/>
      <c r="AH282" s="395"/>
    </row>
    <row r="283" ht="30.75" customHeight="1">
      <c r="A283" s="373" t="str">
        <f t="shared" si="1"/>
        <v/>
      </c>
      <c r="B283" s="421" t="s">
        <v>289</v>
      </c>
      <c r="C283" s="406"/>
      <c r="D283" s="406"/>
      <c r="E283" s="406"/>
      <c r="F283" s="395" t="s">
        <v>289</v>
      </c>
      <c r="G283" s="406"/>
      <c r="H283" s="406"/>
      <c r="I283" s="378" t="s">
        <v>289</v>
      </c>
      <c r="J283" s="379" t="s">
        <v>289</v>
      </c>
      <c r="K283" s="407"/>
      <c r="L283" s="378" t="s">
        <v>289</v>
      </c>
      <c r="M283" s="378" t="s">
        <v>289</v>
      </c>
      <c r="N283" s="378" t="s">
        <v>289</v>
      </c>
      <c r="O283" s="409"/>
      <c r="P283" s="387" t="s">
        <v>289</v>
      </c>
      <c r="Q283" s="383"/>
      <c r="R283" s="383"/>
      <c r="S283" s="383"/>
      <c r="T283" s="410"/>
      <c r="U283" s="406"/>
      <c r="V283" s="386"/>
      <c r="W283" s="387" t="s">
        <v>289</v>
      </c>
      <c r="X283" s="378" t="s">
        <v>289</v>
      </c>
      <c r="Y283" s="387" t="s">
        <v>289</v>
      </c>
      <c r="Z283" s="391" t="s">
        <v>289</v>
      </c>
      <c r="AA283" s="391" t="s">
        <v>289</v>
      </c>
      <c r="AB283" s="391" t="s">
        <v>289</v>
      </c>
      <c r="AC283" s="391" t="s">
        <v>289</v>
      </c>
      <c r="AD283" s="395" t="s">
        <v>289</v>
      </c>
      <c r="AE283" s="395"/>
      <c r="AF283" s="395"/>
      <c r="AG283" s="395"/>
      <c r="AH283" s="395"/>
    </row>
    <row r="284" ht="30.75" customHeight="1">
      <c r="A284" s="373" t="str">
        <f t="shared" si="1"/>
        <v/>
      </c>
      <c r="B284" s="421" t="s">
        <v>289</v>
      </c>
      <c r="C284" s="406"/>
      <c r="D284" s="406"/>
      <c r="E284" s="406"/>
      <c r="F284" s="395" t="s">
        <v>289</v>
      </c>
      <c r="G284" s="406"/>
      <c r="H284" s="406"/>
      <c r="I284" s="378" t="s">
        <v>289</v>
      </c>
      <c r="J284" s="379" t="s">
        <v>289</v>
      </c>
      <c r="K284" s="407"/>
      <c r="L284" s="378" t="s">
        <v>289</v>
      </c>
      <c r="M284" s="378" t="s">
        <v>289</v>
      </c>
      <c r="N284" s="378" t="s">
        <v>289</v>
      </c>
      <c r="O284" s="409"/>
      <c r="P284" s="387" t="s">
        <v>289</v>
      </c>
      <c r="Q284" s="383"/>
      <c r="R284" s="383"/>
      <c r="S284" s="383"/>
      <c r="T284" s="410"/>
      <c r="U284" s="406"/>
      <c r="V284" s="386"/>
      <c r="W284" s="387" t="s">
        <v>289</v>
      </c>
      <c r="X284" s="378" t="s">
        <v>289</v>
      </c>
      <c r="Y284" s="387" t="s">
        <v>289</v>
      </c>
      <c r="Z284" s="391" t="s">
        <v>289</v>
      </c>
      <c r="AA284" s="391" t="s">
        <v>289</v>
      </c>
      <c r="AB284" s="391" t="s">
        <v>289</v>
      </c>
      <c r="AC284" s="391" t="s">
        <v>289</v>
      </c>
      <c r="AD284" s="395" t="s">
        <v>289</v>
      </c>
      <c r="AE284" s="395"/>
      <c r="AF284" s="395"/>
      <c r="AG284" s="395"/>
      <c r="AH284" s="395"/>
    </row>
    <row r="285" ht="30.75" customHeight="1">
      <c r="A285" s="373" t="str">
        <f t="shared" si="1"/>
        <v/>
      </c>
      <c r="B285" s="421" t="s">
        <v>289</v>
      </c>
      <c r="C285" s="406"/>
      <c r="D285" s="406"/>
      <c r="E285" s="406"/>
      <c r="F285" s="395" t="s">
        <v>289</v>
      </c>
      <c r="G285" s="406"/>
      <c r="H285" s="406"/>
      <c r="I285" s="378" t="s">
        <v>289</v>
      </c>
      <c r="J285" s="379" t="s">
        <v>289</v>
      </c>
      <c r="K285" s="407"/>
      <c r="L285" s="378" t="s">
        <v>289</v>
      </c>
      <c r="M285" s="378" t="s">
        <v>289</v>
      </c>
      <c r="N285" s="378" t="s">
        <v>289</v>
      </c>
      <c r="O285" s="409"/>
      <c r="P285" s="387" t="s">
        <v>289</v>
      </c>
      <c r="Q285" s="383"/>
      <c r="R285" s="383"/>
      <c r="S285" s="383"/>
      <c r="T285" s="410"/>
      <c r="U285" s="406"/>
      <c r="V285" s="386"/>
      <c r="W285" s="387" t="s">
        <v>289</v>
      </c>
      <c r="X285" s="378" t="s">
        <v>289</v>
      </c>
      <c r="Y285" s="387" t="s">
        <v>289</v>
      </c>
      <c r="Z285" s="391" t="s">
        <v>289</v>
      </c>
      <c r="AA285" s="391" t="s">
        <v>289</v>
      </c>
      <c r="AB285" s="391" t="s">
        <v>289</v>
      </c>
      <c r="AC285" s="391" t="s">
        <v>289</v>
      </c>
      <c r="AD285" s="395" t="s">
        <v>289</v>
      </c>
      <c r="AE285" s="395"/>
      <c r="AF285" s="395"/>
      <c r="AG285" s="395"/>
      <c r="AH285" s="395"/>
    </row>
    <row r="286" ht="30.75" customHeight="1">
      <c r="A286" s="373" t="str">
        <f t="shared" si="1"/>
        <v/>
      </c>
      <c r="B286" s="421" t="s">
        <v>289</v>
      </c>
      <c r="C286" s="406"/>
      <c r="D286" s="406"/>
      <c r="E286" s="406"/>
      <c r="F286" s="395" t="s">
        <v>289</v>
      </c>
      <c r="G286" s="406"/>
      <c r="H286" s="406"/>
      <c r="I286" s="378" t="s">
        <v>289</v>
      </c>
      <c r="J286" s="379" t="s">
        <v>289</v>
      </c>
      <c r="K286" s="407"/>
      <c r="L286" s="378" t="s">
        <v>289</v>
      </c>
      <c r="M286" s="378" t="s">
        <v>289</v>
      </c>
      <c r="N286" s="378" t="s">
        <v>289</v>
      </c>
      <c r="O286" s="409"/>
      <c r="P286" s="387" t="s">
        <v>289</v>
      </c>
      <c r="Q286" s="383"/>
      <c r="R286" s="383"/>
      <c r="S286" s="383"/>
      <c r="T286" s="410"/>
      <c r="U286" s="406"/>
      <c r="V286" s="386"/>
      <c r="W286" s="387" t="s">
        <v>289</v>
      </c>
      <c r="X286" s="378" t="s">
        <v>289</v>
      </c>
      <c r="Y286" s="387" t="s">
        <v>289</v>
      </c>
      <c r="Z286" s="391" t="s">
        <v>289</v>
      </c>
      <c r="AA286" s="391" t="s">
        <v>289</v>
      </c>
      <c r="AB286" s="391" t="s">
        <v>289</v>
      </c>
      <c r="AC286" s="391" t="s">
        <v>289</v>
      </c>
      <c r="AD286" s="395" t="s">
        <v>289</v>
      </c>
      <c r="AE286" s="395"/>
      <c r="AF286" s="395"/>
      <c r="AG286" s="395"/>
      <c r="AH286" s="395"/>
    </row>
    <row r="287" ht="30.75" customHeight="1">
      <c r="A287" s="373" t="str">
        <f t="shared" si="1"/>
        <v/>
      </c>
      <c r="B287" s="421" t="s">
        <v>289</v>
      </c>
      <c r="C287" s="406"/>
      <c r="D287" s="406"/>
      <c r="E287" s="406"/>
      <c r="F287" s="395" t="s">
        <v>289</v>
      </c>
      <c r="G287" s="406"/>
      <c r="H287" s="406"/>
      <c r="I287" s="378" t="s">
        <v>289</v>
      </c>
      <c r="J287" s="379" t="s">
        <v>289</v>
      </c>
      <c r="K287" s="407"/>
      <c r="L287" s="378" t="s">
        <v>289</v>
      </c>
      <c r="M287" s="378" t="s">
        <v>289</v>
      </c>
      <c r="N287" s="378" t="s">
        <v>289</v>
      </c>
      <c r="O287" s="409"/>
      <c r="P287" s="387" t="s">
        <v>289</v>
      </c>
      <c r="Q287" s="383"/>
      <c r="R287" s="383"/>
      <c r="S287" s="383"/>
      <c r="T287" s="410"/>
      <c r="U287" s="406"/>
      <c r="V287" s="386"/>
      <c r="W287" s="387" t="s">
        <v>289</v>
      </c>
      <c r="X287" s="378" t="s">
        <v>289</v>
      </c>
      <c r="Y287" s="387" t="s">
        <v>289</v>
      </c>
      <c r="Z287" s="391" t="s">
        <v>289</v>
      </c>
      <c r="AA287" s="391" t="s">
        <v>289</v>
      </c>
      <c r="AB287" s="391" t="s">
        <v>289</v>
      </c>
      <c r="AC287" s="391" t="s">
        <v>289</v>
      </c>
      <c r="AD287" s="395" t="s">
        <v>289</v>
      </c>
      <c r="AE287" s="395"/>
      <c r="AF287" s="395"/>
      <c r="AG287" s="395"/>
      <c r="AH287" s="395"/>
    </row>
    <row r="288" ht="30.75" customHeight="1">
      <c r="A288" s="373" t="str">
        <f t="shared" si="1"/>
        <v/>
      </c>
      <c r="B288" s="421" t="s">
        <v>289</v>
      </c>
      <c r="C288" s="406"/>
      <c r="D288" s="406"/>
      <c r="E288" s="406"/>
      <c r="F288" s="395" t="s">
        <v>289</v>
      </c>
      <c r="G288" s="406"/>
      <c r="H288" s="406"/>
      <c r="I288" s="378" t="s">
        <v>289</v>
      </c>
      <c r="J288" s="379" t="s">
        <v>289</v>
      </c>
      <c r="K288" s="407"/>
      <c r="L288" s="378" t="s">
        <v>289</v>
      </c>
      <c r="M288" s="378" t="s">
        <v>289</v>
      </c>
      <c r="N288" s="378" t="s">
        <v>289</v>
      </c>
      <c r="O288" s="409"/>
      <c r="P288" s="387" t="s">
        <v>289</v>
      </c>
      <c r="Q288" s="383"/>
      <c r="R288" s="383"/>
      <c r="S288" s="383"/>
      <c r="T288" s="410"/>
      <c r="U288" s="406"/>
      <c r="V288" s="386"/>
      <c r="W288" s="387" t="s">
        <v>289</v>
      </c>
      <c r="X288" s="378" t="s">
        <v>289</v>
      </c>
      <c r="Y288" s="387" t="s">
        <v>289</v>
      </c>
      <c r="Z288" s="391" t="s">
        <v>289</v>
      </c>
      <c r="AA288" s="391" t="s">
        <v>289</v>
      </c>
      <c r="AB288" s="391" t="s">
        <v>289</v>
      </c>
      <c r="AC288" s="391" t="s">
        <v>289</v>
      </c>
      <c r="AD288" s="395" t="s">
        <v>289</v>
      </c>
      <c r="AE288" s="395"/>
      <c r="AF288" s="395"/>
      <c r="AG288" s="395"/>
      <c r="AH288" s="395"/>
    </row>
    <row r="289" ht="30.75" customHeight="1">
      <c r="A289" s="373" t="str">
        <f t="shared" si="1"/>
        <v/>
      </c>
      <c r="B289" s="421" t="s">
        <v>289</v>
      </c>
      <c r="C289" s="406"/>
      <c r="D289" s="406"/>
      <c r="E289" s="406"/>
      <c r="F289" s="395" t="s">
        <v>289</v>
      </c>
      <c r="G289" s="406"/>
      <c r="H289" s="406"/>
      <c r="I289" s="378" t="s">
        <v>289</v>
      </c>
      <c r="J289" s="379" t="s">
        <v>289</v>
      </c>
      <c r="K289" s="407"/>
      <c r="L289" s="378" t="s">
        <v>289</v>
      </c>
      <c r="M289" s="378" t="s">
        <v>289</v>
      </c>
      <c r="N289" s="378" t="s">
        <v>289</v>
      </c>
      <c r="O289" s="409"/>
      <c r="P289" s="387" t="s">
        <v>289</v>
      </c>
      <c r="Q289" s="383"/>
      <c r="R289" s="383"/>
      <c r="S289" s="383"/>
      <c r="T289" s="410"/>
      <c r="U289" s="406"/>
      <c r="V289" s="386"/>
      <c r="W289" s="387" t="s">
        <v>289</v>
      </c>
      <c r="X289" s="378" t="s">
        <v>289</v>
      </c>
      <c r="Y289" s="387" t="s">
        <v>289</v>
      </c>
      <c r="Z289" s="391" t="s">
        <v>289</v>
      </c>
      <c r="AA289" s="391" t="s">
        <v>289</v>
      </c>
      <c r="AB289" s="391" t="s">
        <v>289</v>
      </c>
      <c r="AC289" s="391" t="s">
        <v>289</v>
      </c>
      <c r="AD289" s="395" t="s">
        <v>289</v>
      </c>
      <c r="AE289" s="395"/>
      <c r="AF289" s="395"/>
      <c r="AG289" s="395"/>
      <c r="AH289" s="395"/>
    </row>
    <row r="290" ht="30.75" customHeight="1">
      <c r="A290" s="373" t="str">
        <f t="shared" si="1"/>
        <v/>
      </c>
      <c r="B290" s="421" t="s">
        <v>289</v>
      </c>
      <c r="C290" s="406"/>
      <c r="D290" s="406"/>
      <c r="E290" s="406"/>
      <c r="F290" s="395" t="s">
        <v>289</v>
      </c>
      <c r="G290" s="406"/>
      <c r="H290" s="406"/>
      <c r="I290" s="378" t="s">
        <v>289</v>
      </c>
      <c r="J290" s="379" t="s">
        <v>289</v>
      </c>
      <c r="K290" s="407"/>
      <c r="L290" s="378" t="s">
        <v>289</v>
      </c>
      <c r="M290" s="378" t="s">
        <v>289</v>
      </c>
      <c r="N290" s="378" t="s">
        <v>289</v>
      </c>
      <c r="O290" s="409"/>
      <c r="P290" s="387" t="s">
        <v>289</v>
      </c>
      <c r="Q290" s="383"/>
      <c r="R290" s="383"/>
      <c r="S290" s="383"/>
      <c r="T290" s="410"/>
      <c r="U290" s="406"/>
      <c r="V290" s="386"/>
      <c r="W290" s="387" t="s">
        <v>289</v>
      </c>
      <c r="X290" s="378" t="s">
        <v>289</v>
      </c>
      <c r="Y290" s="387" t="s">
        <v>289</v>
      </c>
      <c r="Z290" s="391" t="s">
        <v>289</v>
      </c>
      <c r="AA290" s="391" t="s">
        <v>289</v>
      </c>
      <c r="AB290" s="391" t="s">
        <v>289</v>
      </c>
      <c r="AC290" s="391" t="s">
        <v>289</v>
      </c>
      <c r="AD290" s="395" t="s">
        <v>289</v>
      </c>
      <c r="AE290" s="395"/>
      <c r="AF290" s="395"/>
      <c r="AG290" s="395"/>
      <c r="AH290" s="395"/>
    </row>
    <row r="291" ht="30.75" customHeight="1">
      <c r="A291" s="373" t="str">
        <f t="shared" si="1"/>
        <v/>
      </c>
      <c r="B291" s="421" t="s">
        <v>289</v>
      </c>
      <c r="C291" s="406"/>
      <c r="D291" s="406"/>
      <c r="E291" s="406"/>
      <c r="F291" s="395" t="s">
        <v>289</v>
      </c>
      <c r="G291" s="406"/>
      <c r="H291" s="406"/>
      <c r="I291" s="378" t="s">
        <v>289</v>
      </c>
      <c r="J291" s="379" t="s">
        <v>289</v>
      </c>
      <c r="K291" s="407"/>
      <c r="L291" s="378" t="s">
        <v>289</v>
      </c>
      <c r="M291" s="378" t="s">
        <v>289</v>
      </c>
      <c r="N291" s="378" t="s">
        <v>289</v>
      </c>
      <c r="O291" s="409"/>
      <c r="P291" s="387" t="s">
        <v>289</v>
      </c>
      <c r="Q291" s="383"/>
      <c r="R291" s="383"/>
      <c r="S291" s="383"/>
      <c r="T291" s="410"/>
      <c r="U291" s="406"/>
      <c r="V291" s="386"/>
      <c r="W291" s="387" t="s">
        <v>289</v>
      </c>
      <c r="X291" s="378" t="s">
        <v>289</v>
      </c>
      <c r="Y291" s="387" t="s">
        <v>289</v>
      </c>
      <c r="Z291" s="391" t="s">
        <v>289</v>
      </c>
      <c r="AA291" s="391" t="s">
        <v>289</v>
      </c>
      <c r="AB291" s="391" t="s">
        <v>289</v>
      </c>
      <c r="AC291" s="391" t="s">
        <v>289</v>
      </c>
      <c r="AD291" s="395" t="s">
        <v>289</v>
      </c>
      <c r="AE291" s="395"/>
      <c r="AF291" s="395"/>
      <c r="AG291" s="395"/>
      <c r="AH291" s="395"/>
    </row>
    <row r="292" ht="30.75" customHeight="1">
      <c r="A292" s="373" t="str">
        <f t="shared" si="1"/>
        <v/>
      </c>
      <c r="B292" s="421" t="s">
        <v>289</v>
      </c>
      <c r="C292" s="406"/>
      <c r="D292" s="406"/>
      <c r="E292" s="406"/>
      <c r="F292" s="395" t="s">
        <v>289</v>
      </c>
      <c r="G292" s="406"/>
      <c r="H292" s="406"/>
      <c r="I292" s="378" t="s">
        <v>289</v>
      </c>
      <c r="J292" s="379" t="s">
        <v>289</v>
      </c>
      <c r="K292" s="407"/>
      <c r="L292" s="378" t="s">
        <v>289</v>
      </c>
      <c r="M292" s="378" t="s">
        <v>289</v>
      </c>
      <c r="N292" s="378" t="s">
        <v>289</v>
      </c>
      <c r="O292" s="409"/>
      <c r="P292" s="387" t="s">
        <v>289</v>
      </c>
      <c r="Q292" s="383"/>
      <c r="R292" s="383"/>
      <c r="S292" s="383"/>
      <c r="T292" s="410"/>
      <c r="U292" s="406"/>
      <c r="V292" s="386"/>
      <c r="W292" s="387" t="s">
        <v>289</v>
      </c>
      <c r="X292" s="378" t="s">
        <v>289</v>
      </c>
      <c r="Y292" s="387" t="s">
        <v>289</v>
      </c>
      <c r="Z292" s="391" t="s">
        <v>289</v>
      </c>
      <c r="AA292" s="391" t="s">
        <v>289</v>
      </c>
      <c r="AB292" s="391" t="s">
        <v>289</v>
      </c>
      <c r="AC292" s="391" t="s">
        <v>289</v>
      </c>
      <c r="AD292" s="395" t="s">
        <v>289</v>
      </c>
      <c r="AE292" s="395"/>
      <c r="AF292" s="395"/>
      <c r="AG292" s="395"/>
      <c r="AH292" s="395"/>
    </row>
    <row r="293" ht="30.75" customHeight="1">
      <c r="A293" s="373" t="str">
        <f t="shared" si="1"/>
        <v/>
      </c>
      <c r="B293" s="421" t="s">
        <v>289</v>
      </c>
      <c r="C293" s="406"/>
      <c r="D293" s="406"/>
      <c r="E293" s="406"/>
      <c r="F293" s="395" t="s">
        <v>289</v>
      </c>
      <c r="G293" s="406"/>
      <c r="H293" s="406"/>
      <c r="I293" s="378" t="s">
        <v>289</v>
      </c>
      <c r="J293" s="379" t="s">
        <v>289</v>
      </c>
      <c r="K293" s="407"/>
      <c r="L293" s="378" t="s">
        <v>289</v>
      </c>
      <c r="M293" s="378" t="s">
        <v>289</v>
      </c>
      <c r="N293" s="378" t="s">
        <v>289</v>
      </c>
      <c r="O293" s="409"/>
      <c r="P293" s="387" t="s">
        <v>289</v>
      </c>
      <c r="Q293" s="383"/>
      <c r="R293" s="383"/>
      <c r="S293" s="383"/>
      <c r="T293" s="410"/>
      <c r="U293" s="406"/>
      <c r="V293" s="386"/>
      <c r="W293" s="387" t="s">
        <v>289</v>
      </c>
      <c r="X293" s="378" t="s">
        <v>289</v>
      </c>
      <c r="Y293" s="387" t="s">
        <v>289</v>
      </c>
      <c r="Z293" s="391" t="s">
        <v>289</v>
      </c>
      <c r="AA293" s="391" t="s">
        <v>289</v>
      </c>
      <c r="AB293" s="391" t="s">
        <v>289</v>
      </c>
      <c r="AC293" s="391" t="s">
        <v>289</v>
      </c>
      <c r="AD293" s="395" t="s">
        <v>289</v>
      </c>
      <c r="AE293" s="395"/>
      <c r="AF293" s="395"/>
      <c r="AG293" s="395"/>
      <c r="AH293" s="395"/>
    </row>
    <row r="294" ht="30.75" customHeight="1">
      <c r="A294" s="373" t="str">
        <f t="shared" si="1"/>
        <v/>
      </c>
      <c r="B294" s="421" t="s">
        <v>289</v>
      </c>
      <c r="C294" s="406"/>
      <c r="D294" s="406"/>
      <c r="E294" s="406"/>
      <c r="F294" s="395" t="s">
        <v>289</v>
      </c>
      <c r="G294" s="406"/>
      <c r="H294" s="406"/>
      <c r="I294" s="378" t="s">
        <v>289</v>
      </c>
      <c r="J294" s="379" t="s">
        <v>289</v>
      </c>
      <c r="K294" s="407"/>
      <c r="L294" s="378" t="s">
        <v>289</v>
      </c>
      <c r="M294" s="378" t="s">
        <v>289</v>
      </c>
      <c r="N294" s="378" t="s">
        <v>289</v>
      </c>
      <c r="O294" s="409"/>
      <c r="P294" s="387" t="s">
        <v>289</v>
      </c>
      <c r="Q294" s="383"/>
      <c r="R294" s="383"/>
      <c r="S294" s="383"/>
      <c r="T294" s="410"/>
      <c r="U294" s="406"/>
      <c r="V294" s="386"/>
      <c r="W294" s="387" t="s">
        <v>289</v>
      </c>
      <c r="X294" s="378" t="s">
        <v>289</v>
      </c>
      <c r="Y294" s="387" t="s">
        <v>289</v>
      </c>
      <c r="Z294" s="391" t="s">
        <v>289</v>
      </c>
      <c r="AA294" s="391" t="s">
        <v>289</v>
      </c>
      <c r="AB294" s="391" t="s">
        <v>289</v>
      </c>
      <c r="AC294" s="391" t="s">
        <v>289</v>
      </c>
      <c r="AD294" s="395" t="s">
        <v>289</v>
      </c>
      <c r="AE294" s="395"/>
      <c r="AF294" s="395"/>
      <c r="AG294" s="395"/>
      <c r="AH294" s="395"/>
    </row>
    <row r="295" ht="30.75" customHeight="1">
      <c r="A295" s="373" t="str">
        <f t="shared" si="1"/>
        <v/>
      </c>
      <c r="B295" s="421" t="s">
        <v>289</v>
      </c>
      <c r="C295" s="406"/>
      <c r="D295" s="406"/>
      <c r="E295" s="406"/>
      <c r="F295" s="395" t="s">
        <v>289</v>
      </c>
      <c r="G295" s="406"/>
      <c r="H295" s="406"/>
      <c r="I295" s="378" t="s">
        <v>289</v>
      </c>
      <c r="J295" s="379" t="s">
        <v>289</v>
      </c>
      <c r="K295" s="407"/>
      <c r="L295" s="378" t="s">
        <v>289</v>
      </c>
      <c r="M295" s="378" t="s">
        <v>289</v>
      </c>
      <c r="N295" s="378" t="s">
        <v>289</v>
      </c>
      <c r="O295" s="409"/>
      <c r="P295" s="387" t="s">
        <v>289</v>
      </c>
      <c r="Q295" s="383"/>
      <c r="R295" s="383"/>
      <c r="S295" s="383"/>
      <c r="T295" s="410"/>
      <c r="U295" s="406"/>
      <c r="V295" s="386"/>
      <c r="W295" s="387" t="s">
        <v>289</v>
      </c>
      <c r="X295" s="378" t="s">
        <v>289</v>
      </c>
      <c r="Y295" s="387" t="s">
        <v>289</v>
      </c>
      <c r="Z295" s="391" t="s">
        <v>289</v>
      </c>
      <c r="AA295" s="391" t="s">
        <v>289</v>
      </c>
      <c r="AB295" s="391" t="s">
        <v>289</v>
      </c>
      <c r="AC295" s="391" t="s">
        <v>289</v>
      </c>
      <c r="AD295" s="395" t="s">
        <v>289</v>
      </c>
      <c r="AE295" s="395"/>
      <c r="AF295" s="395"/>
      <c r="AG295" s="395"/>
      <c r="AH295" s="395"/>
    </row>
    <row r="296" ht="30.75" customHeight="1">
      <c r="A296" s="373" t="str">
        <f t="shared" si="1"/>
        <v/>
      </c>
      <c r="B296" s="421" t="s">
        <v>289</v>
      </c>
      <c r="C296" s="406"/>
      <c r="D296" s="406"/>
      <c r="E296" s="406"/>
      <c r="F296" s="395" t="s">
        <v>289</v>
      </c>
      <c r="G296" s="406"/>
      <c r="H296" s="406"/>
      <c r="I296" s="378" t="s">
        <v>289</v>
      </c>
      <c r="J296" s="379" t="s">
        <v>289</v>
      </c>
      <c r="K296" s="407"/>
      <c r="L296" s="378" t="s">
        <v>289</v>
      </c>
      <c r="M296" s="378" t="s">
        <v>289</v>
      </c>
      <c r="N296" s="378" t="s">
        <v>289</v>
      </c>
      <c r="O296" s="409"/>
      <c r="P296" s="387" t="s">
        <v>289</v>
      </c>
      <c r="Q296" s="383"/>
      <c r="R296" s="383"/>
      <c r="S296" s="383"/>
      <c r="T296" s="410"/>
      <c r="U296" s="406"/>
      <c r="V296" s="386"/>
      <c r="W296" s="387" t="s">
        <v>289</v>
      </c>
      <c r="X296" s="378" t="s">
        <v>289</v>
      </c>
      <c r="Y296" s="387" t="s">
        <v>289</v>
      </c>
      <c r="Z296" s="391" t="s">
        <v>289</v>
      </c>
      <c r="AA296" s="391" t="s">
        <v>289</v>
      </c>
      <c r="AB296" s="391" t="s">
        <v>289</v>
      </c>
      <c r="AC296" s="391" t="s">
        <v>289</v>
      </c>
      <c r="AD296" s="395" t="s">
        <v>289</v>
      </c>
      <c r="AE296" s="395"/>
      <c r="AF296" s="395"/>
      <c r="AG296" s="395"/>
      <c r="AH296" s="395"/>
    </row>
    <row r="297" ht="30.75" customHeight="1">
      <c r="A297" s="373" t="str">
        <f t="shared" si="1"/>
        <v/>
      </c>
      <c r="B297" s="421" t="s">
        <v>289</v>
      </c>
      <c r="C297" s="406"/>
      <c r="D297" s="406"/>
      <c r="E297" s="406"/>
      <c r="F297" s="395" t="s">
        <v>289</v>
      </c>
      <c r="G297" s="406"/>
      <c r="H297" s="406"/>
      <c r="I297" s="378" t="s">
        <v>289</v>
      </c>
      <c r="J297" s="379" t="s">
        <v>289</v>
      </c>
      <c r="K297" s="407"/>
      <c r="L297" s="378" t="s">
        <v>289</v>
      </c>
      <c r="M297" s="378" t="s">
        <v>289</v>
      </c>
      <c r="N297" s="378" t="s">
        <v>289</v>
      </c>
      <c r="O297" s="409"/>
      <c r="P297" s="387" t="s">
        <v>289</v>
      </c>
      <c r="Q297" s="383"/>
      <c r="R297" s="383"/>
      <c r="S297" s="383"/>
      <c r="T297" s="410"/>
      <c r="U297" s="406"/>
      <c r="V297" s="386"/>
      <c r="W297" s="387" t="s">
        <v>289</v>
      </c>
      <c r="X297" s="378" t="s">
        <v>289</v>
      </c>
      <c r="Y297" s="387" t="s">
        <v>289</v>
      </c>
      <c r="Z297" s="391" t="s">
        <v>289</v>
      </c>
      <c r="AA297" s="391" t="s">
        <v>289</v>
      </c>
      <c r="AB297" s="391" t="s">
        <v>289</v>
      </c>
      <c r="AC297" s="391" t="s">
        <v>289</v>
      </c>
      <c r="AD297" s="395" t="s">
        <v>289</v>
      </c>
      <c r="AE297" s="395"/>
      <c r="AF297" s="395"/>
      <c r="AG297" s="395"/>
      <c r="AH297" s="395"/>
    </row>
    <row r="298" ht="30.75" customHeight="1">
      <c r="A298" s="373" t="str">
        <f t="shared" si="1"/>
        <v/>
      </c>
      <c r="B298" s="421" t="s">
        <v>289</v>
      </c>
      <c r="C298" s="406"/>
      <c r="D298" s="406"/>
      <c r="E298" s="406"/>
      <c r="F298" s="395" t="s">
        <v>289</v>
      </c>
      <c r="G298" s="406"/>
      <c r="H298" s="406"/>
      <c r="I298" s="378" t="s">
        <v>289</v>
      </c>
      <c r="J298" s="379" t="s">
        <v>289</v>
      </c>
      <c r="K298" s="407"/>
      <c r="L298" s="378" t="s">
        <v>289</v>
      </c>
      <c r="M298" s="378" t="s">
        <v>289</v>
      </c>
      <c r="N298" s="378" t="s">
        <v>289</v>
      </c>
      <c r="O298" s="409"/>
      <c r="P298" s="387" t="s">
        <v>289</v>
      </c>
      <c r="Q298" s="383"/>
      <c r="R298" s="383"/>
      <c r="S298" s="383"/>
      <c r="T298" s="410"/>
      <c r="U298" s="406"/>
      <c r="V298" s="386"/>
      <c r="W298" s="387" t="s">
        <v>289</v>
      </c>
      <c r="X298" s="378" t="s">
        <v>289</v>
      </c>
      <c r="Y298" s="387" t="s">
        <v>289</v>
      </c>
      <c r="Z298" s="391" t="s">
        <v>289</v>
      </c>
      <c r="AA298" s="391" t="s">
        <v>289</v>
      </c>
      <c r="AB298" s="391" t="s">
        <v>289</v>
      </c>
      <c r="AC298" s="391" t="s">
        <v>289</v>
      </c>
      <c r="AD298" s="395" t="s">
        <v>289</v>
      </c>
      <c r="AE298" s="395"/>
      <c r="AF298" s="395"/>
      <c r="AG298" s="395"/>
      <c r="AH298" s="395"/>
    </row>
    <row r="299" ht="30.75" customHeight="1">
      <c r="A299" s="373" t="str">
        <f t="shared" si="1"/>
        <v/>
      </c>
      <c r="B299" s="421" t="s">
        <v>289</v>
      </c>
      <c r="C299" s="406"/>
      <c r="D299" s="406"/>
      <c r="E299" s="406"/>
      <c r="F299" s="395" t="s">
        <v>289</v>
      </c>
      <c r="G299" s="406"/>
      <c r="H299" s="406"/>
      <c r="I299" s="378" t="s">
        <v>289</v>
      </c>
      <c r="J299" s="379" t="s">
        <v>289</v>
      </c>
      <c r="K299" s="407"/>
      <c r="L299" s="378" t="s">
        <v>289</v>
      </c>
      <c r="M299" s="378" t="s">
        <v>289</v>
      </c>
      <c r="N299" s="378" t="s">
        <v>289</v>
      </c>
      <c r="O299" s="409"/>
      <c r="P299" s="387" t="s">
        <v>289</v>
      </c>
      <c r="Q299" s="383"/>
      <c r="R299" s="383"/>
      <c r="S299" s="383"/>
      <c r="T299" s="410"/>
      <c r="U299" s="406"/>
      <c r="V299" s="386"/>
      <c r="W299" s="387" t="s">
        <v>289</v>
      </c>
      <c r="X299" s="378" t="s">
        <v>289</v>
      </c>
      <c r="Y299" s="387" t="s">
        <v>289</v>
      </c>
      <c r="Z299" s="391" t="s">
        <v>289</v>
      </c>
      <c r="AA299" s="391" t="s">
        <v>289</v>
      </c>
      <c r="AB299" s="391" t="s">
        <v>289</v>
      </c>
      <c r="AC299" s="391" t="s">
        <v>289</v>
      </c>
      <c r="AD299" s="395" t="s">
        <v>289</v>
      </c>
      <c r="AE299" s="395"/>
      <c r="AF299" s="395"/>
      <c r="AG299" s="395"/>
      <c r="AH299" s="395"/>
    </row>
    <row r="300" ht="30.75" customHeight="1">
      <c r="A300" s="373" t="str">
        <f t="shared" si="1"/>
        <v/>
      </c>
      <c r="B300" s="421" t="s">
        <v>289</v>
      </c>
      <c r="C300" s="406"/>
      <c r="D300" s="406"/>
      <c r="E300" s="406"/>
      <c r="F300" s="395" t="s">
        <v>289</v>
      </c>
      <c r="G300" s="406"/>
      <c r="H300" s="406"/>
      <c r="I300" s="378" t="s">
        <v>289</v>
      </c>
      <c r="J300" s="379" t="s">
        <v>289</v>
      </c>
      <c r="K300" s="407"/>
      <c r="L300" s="378" t="s">
        <v>289</v>
      </c>
      <c r="M300" s="378" t="s">
        <v>289</v>
      </c>
      <c r="N300" s="378" t="s">
        <v>289</v>
      </c>
      <c r="O300" s="409"/>
      <c r="P300" s="387" t="s">
        <v>289</v>
      </c>
      <c r="Q300" s="383"/>
      <c r="R300" s="383"/>
      <c r="S300" s="383"/>
      <c r="T300" s="410"/>
      <c r="U300" s="406"/>
      <c r="V300" s="386"/>
      <c r="W300" s="387" t="s">
        <v>289</v>
      </c>
      <c r="X300" s="378" t="s">
        <v>289</v>
      </c>
      <c r="Y300" s="387" t="s">
        <v>289</v>
      </c>
      <c r="Z300" s="391" t="s">
        <v>289</v>
      </c>
      <c r="AA300" s="391" t="s">
        <v>289</v>
      </c>
      <c r="AB300" s="391" t="s">
        <v>289</v>
      </c>
      <c r="AC300" s="391" t="s">
        <v>289</v>
      </c>
      <c r="AD300" s="395" t="s">
        <v>289</v>
      </c>
      <c r="AE300" s="395"/>
      <c r="AF300" s="395"/>
      <c r="AG300" s="395"/>
      <c r="AH300" s="395"/>
    </row>
    <row r="301" ht="30.75" customHeight="1">
      <c r="A301" s="373" t="str">
        <f t="shared" si="1"/>
        <v/>
      </c>
      <c r="B301" s="421" t="s">
        <v>289</v>
      </c>
      <c r="C301" s="406"/>
      <c r="D301" s="406"/>
      <c r="E301" s="406"/>
      <c r="F301" s="395" t="s">
        <v>289</v>
      </c>
      <c r="G301" s="406"/>
      <c r="H301" s="406"/>
      <c r="I301" s="378" t="s">
        <v>289</v>
      </c>
      <c r="J301" s="379" t="s">
        <v>289</v>
      </c>
      <c r="K301" s="407"/>
      <c r="L301" s="378" t="s">
        <v>289</v>
      </c>
      <c r="M301" s="378" t="s">
        <v>289</v>
      </c>
      <c r="N301" s="378" t="s">
        <v>289</v>
      </c>
      <c r="O301" s="409"/>
      <c r="P301" s="387" t="s">
        <v>289</v>
      </c>
      <c r="Q301" s="383"/>
      <c r="R301" s="383"/>
      <c r="S301" s="383"/>
      <c r="T301" s="410"/>
      <c r="U301" s="406"/>
      <c r="V301" s="386"/>
      <c r="W301" s="387" t="s">
        <v>289</v>
      </c>
      <c r="X301" s="378" t="s">
        <v>289</v>
      </c>
      <c r="Y301" s="387" t="s">
        <v>289</v>
      </c>
      <c r="Z301" s="391" t="s">
        <v>289</v>
      </c>
      <c r="AA301" s="391" t="s">
        <v>289</v>
      </c>
      <c r="AB301" s="391" t="s">
        <v>289</v>
      </c>
      <c r="AC301" s="391" t="s">
        <v>289</v>
      </c>
      <c r="AD301" s="395" t="s">
        <v>289</v>
      </c>
      <c r="AE301" s="395"/>
      <c r="AF301" s="395"/>
      <c r="AG301" s="395"/>
      <c r="AH301" s="395"/>
    </row>
    <row r="302" ht="30.75" customHeight="1">
      <c r="A302" s="373" t="str">
        <f t="shared" si="1"/>
        <v/>
      </c>
      <c r="B302" s="421" t="s">
        <v>289</v>
      </c>
      <c r="C302" s="406"/>
      <c r="D302" s="406"/>
      <c r="E302" s="406"/>
      <c r="F302" s="395" t="s">
        <v>289</v>
      </c>
      <c r="G302" s="406"/>
      <c r="H302" s="406"/>
      <c r="I302" s="378" t="s">
        <v>289</v>
      </c>
      <c r="J302" s="379" t="s">
        <v>289</v>
      </c>
      <c r="K302" s="407"/>
      <c r="L302" s="378" t="s">
        <v>289</v>
      </c>
      <c r="M302" s="378" t="s">
        <v>289</v>
      </c>
      <c r="N302" s="378" t="s">
        <v>289</v>
      </c>
      <c r="O302" s="409"/>
      <c r="P302" s="387" t="s">
        <v>289</v>
      </c>
      <c r="Q302" s="383"/>
      <c r="R302" s="383"/>
      <c r="S302" s="383"/>
      <c r="T302" s="410"/>
      <c r="U302" s="406"/>
      <c r="V302" s="386"/>
      <c r="W302" s="387" t="s">
        <v>289</v>
      </c>
      <c r="X302" s="378" t="s">
        <v>289</v>
      </c>
      <c r="Y302" s="387" t="s">
        <v>289</v>
      </c>
      <c r="Z302" s="391" t="s">
        <v>289</v>
      </c>
      <c r="AA302" s="391" t="s">
        <v>289</v>
      </c>
      <c r="AB302" s="391" t="s">
        <v>289</v>
      </c>
      <c r="AC302" s="391" t="s">
        <v>289</v>
      </c>
      <c r="AD302" s="395" t="s">
        <v>289</v>
      </c>
      <c r="AE302" s="395"/>
      <c r="AF302" s="395"/>
      <c r="AG302" s="395"/>
      <c r="AH302" s="395"/>
    </row>
    <row r="303" ht="30.75" customHeight="1">
      <c r="A303" s="373" t="str">
        <f t="shared" si="1"/>
        <v/>
      </c>
      <c r="B303" s="421" t="s">
        <v>289</v>
      </c>
      <c r="C303" s="406"/>
      <c r="D303" s="406"/>
      <c r="E303" s="406"/>
      <c r="F303" s="395" t="s">
        <v>289</v>
      </c>
      <c r="G303" s="406"/>
      <c r="H303" s="406"/>
      <c r="I303" s="378" t="s">
        <v>289</v>
      </c>
      <c r="J303" s="379" t="s">
        <v>289</v>
      </c>
      <c r="K303" s="407"/>
      <c r="L303" s="378" t="s">
        <v>289</v>
      </c>
      <c r="M303" s="378" t="s">
        <v>289</v>
      </c>
      <c r="N303" s="378" t="s">
        <v>289</v>
      </c>
      <c r="O303" s="409"/>
      <c r="P303" s="387" t="s">
        <v>289</v>
      </c>
      <c r="Q303" s="383"/>
      <c r="R303" s="383"/>
      <c r="S303" s="383"/>
      <c r="T303" s="410"/>
      <c r="U303" s="406"/>
      <c r="V303" s="386"/>
      <c r="W303" s="387" t="s">
        <v>289</v>
      </c>
      <c r="X303" s="378" t="s">
        <v>289</v>
      </c>
      <c r="Y303" s="387" t="s">
        <v>289</v>
      </c>
      <c r="Z303" s="391" t="s">
        <v>289</v>
      </c>
      <c r="AA303" s="391" t="s">
        <v>289</v>
      </c>
      <c r="AB303" s="391" t="s">
        <v>289</v>
      </c>
      <c r="AC303" s="391" t="s">
        <v>289</v>
      </c>
      <c r="AD303" s="395" t="s">
        <v>289</v>
      </c>
      <c r="AE303" s="395"/>
      <c r="AF303" s="395"/>
      <c r="AG303" s="395"/>
      <c r="AH303" s="395"/>
    </row>
    <row r="304" ht="30.75" customHeight="1">
      <c r="A304" s="373" t="str">
        <f t="shared" si="1"/>
        <v/>
      </c>
      <c r="B304" s="421" t="s">
        <v>289</v>
      </c>
      <c r="C304" s="406"/>
      <c r="D304" s="406"/>
      <c r="E304" s="406"/>
      <c r="F304" s="395" t="s">
        <v>289</v>
      </c>
      <c r="G304" s="406"/>
      <c r="H304" s="406"/>
      <c r="I304" s="378" t="s">
        <v>289</v>
      </c>
      <c r="J304" s="379" t="s">
        <v>289</v>
      </c>
      <c r="K304" s="407"/>
      <c r="L304" s="378" t="s">
        <v>289</v>
      </c>
      <c r="M304" s="378" t="s">
        <v>289</v>
      </c>
      <c r="N304" s="378" t="s">
        <v>289</v>
      </c>
      <c r="O304" s="409"/>
      <c r="P304" s="387" t="s">
        <v>289</v>
      </c>
      <c r="Q304" s="383"/>
      <c r="R304" s="383"/>
      <c r="S304" s="383"/>
      <c r="T304" s="410"/>
      <c r="U304" s="406"/>
      <c r="V304" s="386"/>
      <c r="W304" s="387" t="s">
        <v>289</v>
      </c>
      <c r="X304" s="378" t="s">
        <v>289</v>
      </c>
      <c r="Y304" s="387" t="s">
        <v>289</v>
      </c>
      <c r="Z304" s="391" t="s">
        <v>289</v>
      </c>
      <c r="AA304" s="391" t="s">
        <v>289</v>
      </c>
      <c r="AB304" s="391" t="s">
        <v>289</v>
      </c>
      <c r="AC304" s="391" t="s">
        <v>289</v>
      </c>
      <c r="AD304" s="395" t="s">
        <v>289</v>
      </c>
      <c r="AE304" s="395"/>
      <c r="AF304" s="395"/>
      <c r="AG304" s="395"/>
      <c r="AH304" s="395"/>
    </row>
    <row r="305" ht="30.75" customHeight="1">
      <c r="A305" s="373" t="str">
        <f t="shared" si="1"/>
        <v/>
      </c>
      <c r="B305" s="421" t="s">
        <v>289</v>
      </c>
      <c r="C305" s="406"/>
      <c r="D305" s="406"/>
      <c r="E305" s="406"/>
      <c r="F305" s="395" t="s">
        <v>289</v>
      </c>
      <c r="G305" s="406"/>
      <c r="H305" s="406"/>
      <c r="I305" s="378" t="s">
        <v>289</v>
      </c>
      <c r="J305" s="379" t="s">
        <v>289</v>
      </c>
      <c r="K305" s="407"/>
      <c r="L305" s="378" t="s">
        <v>289</v>
      </c>
      <c r="M305" s="378" t="s">
        <v>289</v>
      </c>
      <c r="N305" s="378" t="s">
        <v>289</v>
      </c>
      <c r="O305" s="409"/>
      <c r="P305" s="387" t="s">
        <v>289</v>
      </c>
      <c r="Q305" s="383"/>
      <c r="R305" s="383"/>
      <c r="S305" s="383"/>
      <c r="T305" s="410"/>
      <c r="U305" s="406"/>
      <c r="V305" s="386"/>
      <c r="W305" s="387" t="s">
        <v>289</v>
      </c>
      <c r="X305" s="378" t="s">
        <v>289</v>
      </c>
      <c r="Y305" s="387" t="s">
        <v>289</v>
      </c>
      <c r="Z305" s="391" t="s">
        <v>289</v>
      </c>
      <c r="AA305" s="391" t="s">
        <v>289</v>
      </c>
      <c r="AB305" s="391" t="s">
        <v>289</v>
      </c>
      <c r="AC305" s="391" t="s">
        <v>289</v>
      </c>
      <c r="AD305" s="395" t="s">
        <v>289</v>
      </c>
      <c r="AE305" s="395"/>
      <c r="AF305" s="395"/>
      <c r="AG305" s="395"/>
      <c r="AH305" s="395"/>
    </row>
    <row r="306" ht="30.75" customHeight="1">
      <c r="A306" s="373" t="str">
        <f t="shared" si="1"/>
        <v/>
      </c>
      <c r="B306" s="421" t="s">
        <v>289</v>
      </c>
      <c r="C306" s="406"/>
      <c r="D306" s="406"/>
      <c r="E306" s="406"/>
      <c r="F306" s="395" t="s">
        <v>289</v>
      </c>
      <c r="G306" s="406"/>
      <c r="H306" s="406"/>
      <c r="I306" s="378" t="s">
        <v>289</v>
      </c>
      <c r="J306" s="379" t="s">
        <v>289</v>
      </c>
      <c r="K306" s="407"/>
      <c r="L306" s="378" t="s">
        <v>289</v>
      </c>
      <c r="M306" s="378" t="s">
        <v>289</v>
      </c>
      <c r="N306" s="378" t="s">
        <v>289</v>
      </c>
      <c r="O306" s="409"/>
      <c r="P306" s="387" t="s">
        <v>289</v>
      </c>
      <c r="Q306" s="383"/>
      <c r="R306" s="383"/>
      <c r="S306" s="383"/>
      <c r="T306" s="410"/>
      <c r="U306" s="406"/>
      <c r="V306" s="386"/>
      <c r="W306" s="387" t="s">
        <v>289</v>
      </c>
      <c r="X306" s="378" t="s">
        <v>289</v>
      </c>
      <c r="Y306" s="387" t="s">
        <v>289</v>
      </c>
      <c r="Z306" s="391" t="s">
        <v>289</v>
      </c>
      <c r="AA306" s="391" t="s">
        <v>289</v>
      </c>
      <c r="AB306" s="391" t="s">
        <v>289</v>
      </c>
      <c r="AC306" s="391" t="s">
        <v>289</v>
      </c>
      <c r="AD306" s="395" t="s">
        <v>289</v>
      </c>
      <c r="AE306" s="395"/>
      <c r="AF306" s="395"/>
      <c r="AG306" s="395"/>
      <c r="AH306" s="395"/>
    </row>
    <row r="307" ht="30.75" customHeight="1">
      <c r="A307" s="373" t="str">
        <f t="shared" si="1"/>
        <v/>
      </c>
      <c r="B307" s="421" t="s">
        <v>289</v>
      </c>
      <c r="C307" s="406"/>
      <c r="D307" s="406"/>
      <c r="E307" s="406"/>
      <c r="F307" s="395" t="s">
        <v>289</v>
      </c>
      <c r="G307" s="406"/>
      <c r="H307" s="406"/>
      <c r="I307" s="378" t="s">
        <v>289</v>
      </c>
      <c r="J307" s="379" t="s">
        <v>289</v>
      </c>
      <c r="K307" s="407"/>
      <c r="L307" s="378" t="s">
        <v>289</v>
      </c>
      <c r="M307" s="378" t="s">
        <v>289</v>
      </c>
      <c r="N307" s="378" t="s">
        <v>289</v>
      </c>
      <c r="O307" s="409"/>
      <c r="P307" s="387" t="s">
        <v>289</v>
      </c>
      <c r="Q307" s="383"/>
      <c r="R307" s="383"/>
      <c r="S307" s="383"/>
      <c r="T307" s="410"/>
      <c r="U307" s="406"/>
      <c r="V307" s="386"/>
      <c r="W307" s="387" t="s">
        <v>289</v>
      </c>
      <c r="X307" s="378" t="s">
        <v>289</v>
      </c>
      <c r="Y307" s="387" t="s">
        <v>289</v>
      </c>
      <c r="Z307" s="391" t="s">
        <v>289</v>
      </c>
      <c r="AA307" s="391" t="s">
        <v>289</v>
      </c>
      <c r="AB307" s="391" t="s">
        <v>289</v>
      </c>
      <c r="AC307" s="391" t="s">
        <v>289</v>
      </c>
      <c r="AD307" s="395" t="s">
        <v>289</v>
      </c>
      <c r="AE307" s="395"/>
      <c r="AF307" s="395"/>
      <c r="AG307" s="395"/>
      <c r="AH307" s="395"/>
    </row>
    <row r="308" ht="30.75" customHeight="1">
      <c r="A308" s="373" t="str">
        <f t="shared" si="1"/>
        <v/>
      </c>
      <c r="B308" s="421" t="s">
        <v>289</v>
      </c>
      <c r="C308" s="406"/>
      <c r="D308" s="406"/>
      <c r="E308" s="406"/>
      <c r="F308" s="395" t="s">
        <v>289</v>
      </c>
      <c r="G308" s="406"/>
      <c r="H308" s="406"/>
      <c r="I308" s="378" t="s">
        <v>289</v>
      </c>
      <c r="J308" s="379" t="s">
        <v>289</v>
      </c>
      <c r="K308" s="407"/>
      <c r="L308" s="378" t="s">
        <v>289</v>
      </c>
      <c r="M308" s="378" t="s">
        <v>289</v>
      </c>
      <c r="N308" s="378" t="s">
        <v>289</v>
      </c>
      <c r="O308" s="409"/>
      <c r="P308" s="387" t="s">
        <v>289</v>
      </c>
      <c r="Q308" s="383"/>
      <c r="R308" s="383"/>
      <c r="S308" s="383"/>
      <c r="T308" s="410"/>
      <c r="U308" s="406"/>
      <c r="V308" s="386"/>
      <c r="W308" s="387" t="s">
        <v>289</v>
      </c>
      <c r="X308" s="378" t="s">
        <v>289</v>
      </c>
      <c r="Y308" s="387" t="s">
        <v>289</v>
      </c>
      <c r="Z308" s="391" t="s">
        <v>289</v>
      </c>
      <c r="AA308" s="391" t="s">
        <v>289</v>
      </c>
      <c r="AB308" s="391" t="s">
        <v>289</v>
      </c>
      <c r="AC308" s="391" t="s">
        <v>289</v>
      </c>
      <c r="AD308" s="395" t="s">
        <v>289</v>
      </c>
      <c r="AE308" s="395"/>
      <c r="AF308" s="395"/>
      <c r="AG308" s="395"/>
      <c r="AH308" s="395"/>
    </row>
    <row r="309" ht="30.75" customHeight="1">
      <c r="A309" s="373" t="str">
        <f t="shared" si="1"/>
        <v/>
      </c>
      <c r="B309" s="421" t="s">
        <v>289</v>
      </c>
      <c r="C309" s="406"/>
      <c r="D309" s="406"/>
      <c r="E309" s="406"/>
      <c r="F309" s="395" t="s">
        <v>289</v>
      </c>
      <c r="G309" s="406"/>
      <c r="H309" s="406"/>
      <c r="I309" s="378" t="s">
        <v>289</v>
      </c>
      <c r="J309" s="379" t="s">
        <v>289</v>
      </c>
      <c r="K309" s="407"/>
      <c r="L309" s="378" t="s">
        <v>289</v>
      </c>
      <c r="M309" s="378" t="s">
        <v>289</v>
      </c>
      <c r="N309" s="378" t="s">
        <v>289</v>
      </c>
      <c r="O309" s="409"/>
      <c r="P309" s="387" t="s">
        <v>289</v>
      </c>
      <c r="Q309" s="383"/>
      <c r="R309" s="383"/>
      <c r="S309" s="383"/>
      <c r="T309" s="410"/>
      <c r="U309" s="406"/>
      <c r="V309" s="386"/>
      <c r="W309" s="387" t="s">
        <v>289</v>
      </c>
      <c r="X309" s="378" t="s">
        <v>289</v>
      </c>
      <c r="Y309" s="387" t="s">
        <v>289</v>
      </c>
      <c r="Z309" s="391" t="s">
        <v>289</v>
      </c>
      <c r="AA309" s="391" t="s">
        <v>289</v>
      </c>
      <c r="AB309" s="391" t="s">
        <v>289</v>
      </c>
      <c r="AC309" s="391" t="s">
        <v>289</v>
      </c>
      <c r="AD309" s="395" t="s">
        <v>289</v>
      </c>
      <c r="AE309" s="395"/>
      <c r="AF309" s="395"/>
      <c r="AG309" s="395"/>
      <c r="AH309" s="395"/>
    </row>
    <row r="310" ht="30.75" customHeight="1">
      <c r="A310" s="373" t="str">
        <f t="shared" si="1"/>
        <v/>
      </c>
      <c r="B310" s="421" t="s">
        <v>289</v>
      </c>
      <c r="C310" s="406"/>
      <c r="D310" s="406"/>
      <c r="E310" s="406"/>
      <c r="F310" s="395" t="s">
        <v>289</v>
      </c>
      <c r="G310" s="406"/>
      <c r="H310" s="406"/>
      <c r="I310" s="378" t="s">
        <v>289</v>
      </c>
      <c r="J310" s="379" t="s">
        <v>289</v>
      </c>
      <c r="K310" s="407"/>
      <c r="L310" s="378" t="s">
        <v>289</v>
      </c>
      <c r="M310" s="378" t="s">
        <v>289</v>
      </c>
      <c r="N310" s="378" t="s">
        <v>289</v>
      </c>
      <c r="O310" s="409"/>
      <c r="P310" s="387" t="s">
        <v>289</v>
      </c>
      <c r="Q310" s="383"/>
      <c r="R310" s="383"/>
      <c r="S310" s="383"/>
      <c r="T310" s="410"/>
      <c r="U310" s="406"/>
      <c r="V310" s="386"/>
      <c r="W310" s="387" t="s">
        <v>289</v>
      </c>
      <c r="X310" s="378" t="s">
        <v>289</v>
      </c>
      <c r="Y310" s="387" t="s">
        <v>289</v>
      </c>
      <c r="Z310" s="391" t="s">
        <v>289</v>
      </c>
      <c r="AA310" s="391" t="s">
        <v>289</v>
      </c>
      <c r="AB310" s="391" t="s">
        <v>289</v>
      </c>
      <c r="AC310" s="391" t="s">
        <v>289</v>
      </c>
      <c r="AD310" s="395" t="s">
        <v>289</v>
      </c>
      <c r="AE310" s="395"/>
      <c r="AF310" s="395"/>
      <c r="AG310" s="395"/>
      <c r="AH310" s="395"/>
    </row>
    <row r="311" ht="30.75" customHeight="1">
      <c r="A311" s="373" t="str">
        <f t="shared" si="1"/>
        <v/>
      </c>
      <c r="B311" s="421" t="s">
        <v>289</v>
      </c>
      <c r="C311" s="406"/>
      <c r="D311" s="406"/>
      <c r="E311" s="406"/>
      <c r="F311" s="395" t="s">
        <v>289</v>
      </c>
      <c r="G311" s="406"/>
      <c r="H311" s="406"/>
      <c r="I311" s="378" t="s">
        <v>289</v>
      </c>
      <c r="J311" s="379" t="s">
        <v>289</v>
      </c>
      <c r="K311" s="407"/>
      <c r="L311" s="378" t="s">
        <v>289</v>
      </c>
      <c r="M311" s="378" t="s">
        <v>289</v>
      </c>
      <c r="N311" s="378" t="s">
        <v>289</v>
      </c>
      <c r="O311" s="409"/>
      <c r="P311" s="387" t="s">
        <v>289</v>
      </c>
      <c r="Q311" s="383"/>
      <c r="R311" s="383"/>
      <c r="S311" s="383"/>
      <c r="T311" s="410"/>
      <c r="U311" s="406"/>
      <c r="V311" s="386"/>
      <c r="W311" s="387" t="s">
        <v>289</v>
      </c>
      <c r="X311" s="378" t="s">
        <v>289</v>
      </c>
      <c r="Y311" s="387" t="s">
        <v>289</v>
      </c>
      <c r="Z311" s="391" t="s">
        <v>289</v>
      </c>
      <c r="AA311" s="391" t="s">
        <v>289</v>
      </c>
      <c r="AB311" s="391" t="s">
        <v>289</v>
      </c>
      <c r="AC311" s="391" t="s">
        <v>289</v>
      </c>
      <c r="AD311" s="395" t="s">
        <v>289</v>
      </c>
      <c r="AE311" s="395"/>
      <c r="AF311" s="395"/>
      <c r="AG311" s="395"/>
      <c r="AH311" s="395"/>
    </row>
    <row r="312" ht="30.75" customHeight="1">
      <c r="A312" s="373" t="str">
        <f t="shared" si="1"/>
        <v/>
      </c>
      <c r="B312" s="421" t="s">
        <v>289</v>
      </c>
      <c r="C312" s="406"/>
      <c r="D312" s="406"/>
      <c r="E312" s="406"/>
      <c r="F312" s="395" t="s">
        <v>289</v>
      </c>
      <c r="G312" s="406"/>
      <c r="H312" s="406"/>
      <c r="I312" s="378" t="s">
        <v>289</v>
      </c>
      <c r="J312" s="379" t="s">
        <v>289</v>
      </c>
      <c r="K312" s="407"/>
      <c r="L312" s="378" t="s">
        <v>289</v>
      </c>
      <c r="M312" s="378" t="s">
        <v>289</v>
      </c>
      <c r="N312" s="378" t="s">
        <v>289</v>
      </c>
      <c r="O312" s="409"/>
      <c r="P312" s="387" t="s">
        <v>289</v>
      </c>
      <c r="Q312" s="383"/>
      <c r="R312" s="383"/>
      <c r="S312" s="383"/>
      <c r="T312" s="410"/>
      <c r="U312" s="406"/>
      <c r="V312" s="386"/>
      <c r="W312" s="387" t="s">
        <v>289</v>
      </c>
      <c r="X312" s="378" t="s">
        <v>289</v>
      </c>
      <c r="Y312" s="387" t="s">
        <v>289</v>
      </c>
      <c r="Z312" s="391" t="s">
        <v>289</v>
      </c>
      <c r="AA312" s="391" t="s">
        <v>289</v>
      </c>
      <c r="AB312" s="391" t="s">
        <v>289</v>
      </c>
      <c r="AC312" s="391" t="s">
        <v>289</v>
      </c>
      <c r="AD312" s="395" t="s">
        <v>289</v>
      </c>
      <c r="AE312" s="395"/>
      <c r="AF312" s="395"/>
      <c r="AG312" s="395"/>
      <c r="AH312" s="395"/>
    </row>
    <row r="313" ht="30.75" customHeight="1">
      <c r="A313" s="373" t="str">
        <f t="shared" si="1"/>
        <v/>
      </c>
      <c r="B313" s="421" t="s">
        <v>289</v>
      </c>
      <c r="C313" s="406"/>
      <c r="D313" s="406"/>
      <c r="E313" s="406"/>
      <c r="F313" s="395" t="s">
        <v>289</v>
      </c>
      <c r="G313" s="406"/>
      <c r="H313" s="406"/>
      <c r="I313" s="378" t="s">
        <v>289</v>
      </c>
      <c r="J313" s="379" t="s">
        <v>289</v>
      </c>
      <c r="K313" s="407"/>
      <c r="L313" s="378" t="s">
        <v>289</v>
      </c>
      <c r="M313" s="378" t="s">
        <v>289</v>
      </c>
      <c r="N313" s="378" t="s">
        <v>289</v>
      </c>
      <c r="O313" s="409"/>
      <c r="P313" s="387" t="s">
        <v>289</v>
      </c>
      <c r="Q313" s="383"/>
      <c r="R313" s="383"/>
      <c r="S313" s="383"/>
      <c r="T313" s="410"/>
      <c r="U313" s="406"/>
      <c r="V313" s="386"/>
      <c r="W313" s="387" t="s">
        <v>289</v>
      </c>
      <c r="X313" s="378" t="s">
        <v>289</v>
      </c>
      <c r="Y313" s="387" t="s">
        <v>289</v>
      </c>
      <c r="Z313" s="391" t="s">
        <v>289</v>
      </c>
      <c r="AA313" s="391" t="s">
        <v>289</v>
      </c>
      <c r="AB313" s="391" t="s">
        <v>289</v>
      </c>
      <c r="AC313" s="391" t="s">
        <v>289</v>
      </c>
      <c r="AD313" s="395" t="s">
        <v>289</v>
      </c>
      <c r="AE313" s="395"/>
      <c r="AF313" s="395"/>
      <c r="AG313" s="395"/>
      <c r="AH313" s="395"/>
    </row>
    <row r="314" ht="30.75" customHeight="1">
      <c r="A314" s="373" t="str">
        <f t="shared" si="1"/>
        <v/>
      </c>
      <c r="B314" s="421" t="s">
        <v>289</v>
      </c>
      <c r="C314" s="406"/>
      <c r="D314" s="406"/>
      <c r="E314" s="406"/>
      <c r="F314" s="395" t="s">
        <v>289</v>
      </c>
      <c r="G314" s="406"/>
      <c r="H314" s="406"/>
      <c r="I314" s="378" t="s">
        <v>289</v>
      </c>
      <c r="J314" s="379" t="s">
        <v>289</v>
      </c>
      <c r="K314" s="407"/>
      <c r="L314" s="378" t="s">
        <v>289</v>
      </c>
      <c r="M314" s="378" t="s">
        <v>289</v>
      </c>
      <c r="N314" s="378" t="s">
        <v>289</v>
      </c>
      <c r="O314" s="409"/>
      <c r="P314" s="387" t="s">
        <v>289</v>
      </c>
      <c r="Q314" s="383"/>
      <c r="R314" s="383"/>
      <c r="S314" s="383"/>
      <c r="T314" s="410"/>
      <c r="U314" s="406"/>
      <c r="V314" s="386"/>
      <c r="W314" s="387" t="s">
        <v>289</v>
      </c>
      <c r="X314" s="378" t="s">
        <v>289</v>
      </c>
      <c r="Y314" s="387" t="s">
        <v>289</v>
      </c>
      <c r="Z314" s="391" t="s">
        <v>289</v>
      </c>
      <c r="AA314" s="391" t="s">
        <v>289</v>
      </c>
      <c r="AB314" s="391" t="s">
        <v>289</v>
      </c>
      <c r="AC314" s="391" t="s">
        <v>289</v>
      </c>
      <c r="AD314" s="395" t="s">
        <v>289</v>
      </c>
      <c r="AE314" s="395"/>
      <c r="AF314" s="395"/>
      <c r="AG314" s="395"/>
      <c r="AH314" s="395"/>
    </row>
    <row r="315" ht="30.75" customHeight="1">
      <c r="A315" s="373" t="str">
        <f t="shared" si="1"/>
        <v/>
      </c>
      <c r="B315" s="421" t="s">
        <v>289</v>
      </c>
      <c r="C315" s="406"/>
      <c r="D315" s="406"/>
      <c r="E315" s="406"/>
      <c r="F315" s="395" t="s">
        <v>289</v>
      </c>
      <c r="G315" s="406"/>
      <c r="H315" s="406"/>
      <c r="I315" s="378" t="s">
        <v>289</v>
      </c>
      <c r="J315" s="379" t="s">
        <v>289</v>
      </c>
      <c r="K315" s="407"/>
      <c r="L315" s="378" t="s">
        <v>289</v>
      </c>
      <c r="M315" s="378" t="s">
        <v>289</v>
      </c>
      <c r="N315" s="378" t="s">
        <v>289</v>
      </c>
      <c r="O315" s="409"/>
      <c r="P315" s="387" t="s">
        <v>289</v>
      </c>
      <c r="Q315" s="383"/>
      <c r="R315" s="383"/>
      <c r="S315" s="383"/>
      <c r="T315" s="410"/>
      <c r="U315" s="406"/>
      <c r="V315" s="386"/>
      <c r="W315" s="387" t="s">
        <v>289</v>
      </c>
      <c r="X315" s="378" t="s">
        <v>289</v>
      </c>
      <c r="Y315" s="387" t="s">
        <v>289</v>
      </c>
      <c r="Z315" s="391" t="s">
        <v>289</v>
      </c>
      <c r="AA315" s="391" t="s">
        <v>289</v>
      </c>
      <c r="AB315" s="391" t="s">
        <v>289</v>
      </c>
      <c r="AC315" s="391" t="s">
        <v>289</v>
      </c>
      <c r="AD315" s="395" t="s">
        <v>289</v>
      </c>
      <c r="AE315" s="395"/>
      <c r="AF315" s="395"/>
      <c r="AG315" s="395"/>
      <c r="AH315" s="395"/>
    </row>
    <row r="316" ht="30.75" customHeight="1">
      <c r="A316" s="373" t="str">
        <f t="shared" si="1"/>
        <v/>
      </c>
      <c r="B316" s="421" t="s">
        <v>289</v>
      </c>
      <c r="C316" s="406"/>
      <c r="D316" s="406"/>
      <c r="E316" s="406"/>
      <c r="F316" s="395" t="s">
        <v>289</v>
      </c>
      <c r="G316" s="406"/>
      <c r="H316" s="406"/>
      <c r="I316" s="378" t="s">
        <v>289</v>
      </c>
      <c r="J316" s="379" t="s">
        <v>289</v>
      </c>
      <c r="K316" s="407"/>
      <c r="L316" s="378" t="s">
        <v>289</v>
      </c>
      <c r="M316" s="378" t="s">
        <v>289</v>
      </c>
      <c r="N316" s="378" t="s">
        <v>289</v>
      </c>
      <c r="O316" s="409"/>
      <c r="P316" s="387" t="s">
        <v>289</v>
      </c>
      <c r="Q316" s="383"/>
      <c r="R316" s="383"/>
      <c r="S316" s="383"/>
      <c r="T316" s="410"/>
      <c r="U316" s="406"/>
      <c r="V316" s="386"/>
      <c r="W316" s="387" t="s">
        <v>289</v>
      </c>
      <c r="X316" s="378" t="s">
        <v>289</v>
      </c>
      <c r="Y316" s="387" t="s">
        <v>289</v>
      </c>
      <c r="Z316" s="391" t="s">
        <v>289</v>
      </c>
      <c r="AA316" s="391" t="s">
        <v>289</v>
      </c>
      <c r="AB316" s="391" t="s">
        <v>289</v>
      </c>
      <c r="AC316" s="391" t="s">
        <v>289</v>
      </c>
      <c r="AD316" s="395" t="s">
        <v>289</v>
      </c>
      <c r="AE316" s="395"/>
      <c r="AF316" s="395"/>
      <c r="AG316" s="395"/>
      <c r="AH316" s="395"/>
    </row>
    <row r="317" ht="30.75" customHeight="1">
      <c r="A317" s="373" t="str">
        <f t="shared" si="1"/>
        <v/>
      </c>
      <c r="B317" s="421" t="s">
        <v>289</v>
      </c>
      <c r="C317" s="406"/>
      <c r="D317" s="406"/>
      <c r="E317" s="406"/>
      <c r="F317" s="395" t="s">
        <v>289</v>
      </c>
      <c r="G317" s="406"/>
      <c r="H317" s="406"/>
      <c r="I317" s="378" t="s">
        <v>289</v>
      </c>
      <c r="J317" s="379" t="s">
        <v>289</v>
      </c>
      <c r="K317" s="407"/>
      <c r="L317" s="378" t="s">
        <v>289</v>
      </c>
      <c r="M317" s="378" t="s">
        <v>289</v>
      </c>
      <c r="N317" s="378" t="s">
        <v>289</v>
      </c>
      <c r="O317" s="409"/>
      <c r="P317" s="387" t="s">
        <v>289</v>
      </c>
      <c r="Q317" s="383"/>
      <c r="R317" s="383"/>
      <c r="S317" s="383"/>
      <c r="T317" s="410"/>
      <c r="U317" s="406"/>
      <c r="V317" s="386"/>
      <c r="W317" s="387" t="s">
        <v>289</v>
      </c>
      <c r="X317" s="378" t="s">
        <v>289</v>
      </c>
      <c r="Y317" s="387" t="s">
        <v>289</v>
      </c>
      <c r="Z317" s="391" t="s">
        <v>289</v>
      </c>
      <c r="AA317" s="391" t="s">
        <v>289</v>
      </c>
      <c r="AB317" s="391" t="s">
        <v>289</v>
      </c>
      <c r="AC317" s="391" t="s">
        <v>289</v>
      </c>
      <c r="AD317" s="395" t="s">
        <v>289</v>
      </c>
      <c r="AE317" s="395"/>
      <c r="AF317" s="395"/>
      <c r="AG317" s="395"/>
      <c r="AH317" s="395"/>
    </row>
    <row r="318" ht="30.75" customHeight="1">
      <c r="A318" s="373" t="str">
        <f t="shared" si="1"/>
        <v/>
      </c>
      <c r="B318" s="421" t="s">
        <v>289</v>
      </c>
      <c r="C318" s="406"/>
      <c r="D318" s="406"/>
      <c r="E318" s="406"/>
      <c r="F318" s="395" t="s">
        <v>289</v>
      </c>
      <c r="G318" s="406"/>
      <c r="H318" s="406"/>
      <c r="I318" s="378" t="s">
        <v>289</v>
      </c>
      <c r="J318" s="379" t="s">
        <v>289</v>
      </c>
      <c r="K318" s="407"/>
      <c r="L318" s="378" t="s">
        <v>289</v>
      </c>
      <c r="M318" s="378" t="s">
        <v>289</v>
      </c>
      <c r="N318" s="378" t="s">
        <v>289</v>
      </c>
      <c r="O318" s="409"/>
      <c r="P318" s="387" t="s">
        <v>289</v>
      </c>
      <c r="Q318" s="383"/>
      <c r="R318" s="383"/>
      <c r="S318" s="383"/>
      <c r="T318" s="410"/>
      <c r="U318" s="406"/>
      <c r="V318" s="386"/>
      <c r="W318" s="387" t="s">
        <v>289</v>
      </c>
      <c r="X318" s="378" t="s">
        <v>289</v>
      </c>
      <c r="Y318" s="387" t="s">
        <v>289</v>
      </c>
      <c r="Z318" s="391" t="s">
        <v>289</v>
      </c>
      <c r="AA318" s="391" t="s">
        <v>289</v>
      </c>
      <c r="AB318" s="391" t="s">
        <v>289</v>
      </c>
      <c r="AC318" s="391" t="s">
        <v>289</v>
      </c>
      <c r="AD318" s="395" t="s">
        <v>289</v>
      </c>
      <c r="AE318" s="395"/>
      <c r="AF318" s="395"/>
      <c r="AG318" s="395"/>
      <c r="AH318" s="395"/>
    </row>
    <row r="319" ht="30.75" customHeight="1">
      <c r="A319" s="373" t="str">
        <f t="shared" si="1"/>
        <v/>
      </c>
      <c r="B319" s="421" t="s">
        <v>289</v>
      </c>
      <c r="C319" s="406"/>
      <c r="D319" s="406"/>
      <c r="E319" s="406"/>
      <c r="F319" s="395" t="s">
        <v>289</v>
      </c>
      <c r="G319" s="406"/>
      <c r="H319" s="406"/>
      <c r="I319" s="378" t="s">
        <v>289</v>
      </c>
      <c r="J319" s="379" t="s">
        <v>289</v>
      </c>
      <c r="K319" s="407"/>
      <c r="L319" s="378" t="s">
        <v>289</v>
      </c>
      <c r="M319" s="378" t="s">
        <v>289</v>
      </c>
      <c r="N319" s="378" t="s">
        <v>289</v>
      </c>
      <c r="O319" s="409"/>
      <c r="P319" s="387" t="s">
        <v>289</v>
      </c>
      <c r="Q319" s="383"/>
      <c r="R319" s="383"/>
      <c r="S319" s="383"/>
      <c r="T319" s="410"/>
      <c r="U319" s="406"/>
      <c r="V319" s="386"/>
      <c r="W319" s="387" t="s">
        <v>289</v>
      </c>
      <c r="X319" s="378" t="s">
        <v>289</v>
      </c>
      <c r="Y319" s="387" t="s">
        <v>289</v>
      </c>
      <c r="Z319" s="391" t="s">
        <v>289</v>
      </c>
      <c r="AA319" s="391" t="s">
        <v>289</v>
      </c>
      <c r="AB319" s="391" t="s">
        <v>289</v>
      </c>
      <c r="AC319" s="391" t="s">
        <v>289</v>
      </c>
      <c r="AD319" s="395" t="s">
        <v>289</v>
      </c>
      <c r="AE319" s="395"/>
      <c r="AF319" s="395"/>
      <c r="AG319" s="395"/>
      <c r="AH319" s="395"/>
    </row>
    <row r="320" ht="30.75" customHeight="1">
      <c r="A320" s="373" t="str">
        <f t="shared" si="1"/>
        <v/>
      </c>
      <c r="B320" s="421" t="s">
        <v>289</v>
      </c>
      <c r="C320" s="406"/>
      <c r="D320" s="406"/>
      <c r="E320" s="406"/>
      <c r="F320" s="395" t="s">
        <v>289</v>
      </c>
      <c r="G320" s="406"/>
      <c r="H320" s="406"/>
      <c r="I320" s="378" t="s">
        <v>289</v>
      </c>
      <c r="J320" s="379" t="s">
        <v>289</v>
      </c>
      <c r="K320" s="407"/>
      <c r="L320" s="378" t="s">
        <v>289</v>
      </c>
      <c r="M320" s="378" t="s">
        <v>289</v>
      </c>
      <c r="N320" s="378" t="s">
        <v>289</v>
      </c>
      <c r="O320" s="409"/>
      <c r="P320" s="387" t="s">
        <v>289</v>
      </c>
      <c r="Q320" s="383"/>
      <c r="R320" s="383"/>
      <c r="S320" s="383"/>
      <c r="T320" s="410"/>
      <c r="U320" s="406"/>
      <c r="V320" s="386"/>
      <c r="W320" s="387" t="s">
        <v>289</v>
      </c>
      <c r="X320" s="378" t="s">
        <v>289</v>
      </c>
      <c r="Y320" s="387" t="s">
        <v>289</v>
      </c>
      <c r="Z320" s="391" t="s">
        <v>289</v>
      </c>
      <c r="AA320" s="391" t="s">
        <v>289</v>
      </c>
      <c r="AB320" s="391" t="s">
        <v>289</v>
      </c>
      <c r="AC320" s="391" t="s">
        <v>289</v>
      </c>
      <c r="AD320" s="395" t="s">
        <v>289</v>
      </c>
      <c r="AE320" s="395"/>
      <c r="AF320" s="395"/>
      <c r="AG320" s="395"/>
      <c r="AH320" s="395"/>
    </row>
    <row r="321" ht="30.75" customHeight="1">
      <c r="A321" s="373" t="str">
        <f t="shared" si="1"/>
        <v/>
      </c>
      <c r="B321" s="421" t="s">
        <v>289</v>
      </c>
      <c r="C321" s="406"/>
      <c r="D321" s="406"/>
      <c r="E321" s="406"/>
      <c r="F321" s="395" t="s">
        <v>289</v>
      </c>
      <c r="G321" s="406"/>
      <c r="H321" s="406"/>
      <c r="I321" s="378" t="s">
        <v>289</v>
      </c>
      <c r="J321" s="379" t="s">
        <v>289</v>
      </c>
      <c r="K321" s="407"/>
      <c r="L321" s="378" t="s">
        <v>289</v>
      </c>
      <c r="M321" s="378" t="s">
        <v>289</v>
      </c>
      <c r="N321" s="378" t="s">
        <v>289</v>
      </c>
      <c r="O321" s="409"/>
      <c r="P321" s="387" t="s">
        <v>289</v>
      </c>
      <c r="Q321" s="383"/>
      <c r="R321" s="383"/>
      <c r="S321" s="383"/>
      <c r="T321" s="410"/>
      <c r="U321" s="406"/>
      <c r="V321" s="386"/>
      <c r="W321" s="387" t="s">
        <v>289</v>
      </c>
      <c r="X321" s="378" t="s">
        <v>289</v>
      </c>
      <c r="Y321" s="387" t="s">
        <v>289</v>
      </c>
      <c r="Z321" s="391" t="s">
        <v>289</v>
      </c>
      <c r="AA321" s="391" t="s">
        <v>289</v>
      </c>
      <c r="AB321" s="391" t="s">
        <v>289</v>
      </c>
      <c r="AC321" s="391" t="s">
        <v>289</v>
      </c>
      <c r="AD321" s="395" t="s">
        <v>289</v>
      </c>
      <c r="AE321" s="395"/>
      <c r="AF321" s="395"/>
      <c r="AG321" s="395"/>
      <c r="AH321" s="395"/>
    </row>
    <row r="322" ht="30.75" customHeight="1">
      <c r="A322" s="373" t="str">
        <f t="shared" si="1"/>
        <v/>
      </c>
      <c r="B322" s="421" t="s">
        <v>289</v>
      </c>
      <c r="C322" s="406"/>
      <c r="D322" s="406"/>
      <c r="E322" s="406"/>
      <c r="F322" s="395" t="s">
        <v>289</v>
      </c>
      <c r="G322" s="406"/>
      <c r="H322" s="406"/>
      <c r="I322" s="378" t="s">
        <v>289</v>
      </c>
      <c r="J322" s="379" t="s">
        <v>289</v>
      </c>
      <c r="K322" s="407"/>
      <c r="L322" s="378" t="s">
        <v>289</v>
      </c>
      <c r="M322" s="378" t="s">
        <v>289</v>
      </c>
      <c r="N322" s="378" t="s">
        <v>289</v>
      </c>
      <c r="O322" s="409"/>
      <c r="P322" s="387" t="s">
        <v>289</v>
      </c>
      <c r="Q322" s="383"/>
      <c r="R322" s="383"/>
      <c r="S322" s="383"/>
      <c r="T322" s="410"/>
      <c r="U322" s="406"/>
      <c r="V322" s="386"/>
      <c r="W322" s="387" t="s">
        <v>289</v>
      </c>
      <c r="X322" s="378" t="s">
        <v>289</v>
      </c>
      <c r="Y322" s="387" t="s">
        <v>289</v>
      </c>
      <c r="Z322" s="391" t="s">
        <v>289</v>
      </c>
      <c r="AA322" s="391" t="s">
        <v>289</v>
      </c>
      <c r="AB322" s="391" t="s">
        <v>289</v>
      </c>
      <c r="AC322" s="391" t="s">
        <v>289</v>
      </c>
      <c r="AD322" s="395" t="s">
        <v>289</v>
      </c>
      <c r="AE322" s="395"/>
      <c r="AF322" s="395"/>
      <c r="AG322" s="395"/>
      <c r="AH322" s="395"/>
    </row>
    <row r="323" ht="30.75" customHeight="1">
      <c r="A323" s="373" t="str">
        <f t="shared" si="1"/>
        <v/>
      </c>
      <c r="B323" s="421" t="s">
        <v>289</v>
      </c>
      <c r="C323" s="406"/>
      <c r="D323" s="406"/>
      <c r="E323" s="406"/>
      <c r="F323" s="395" t="s">
        <v>289</v>
      </c>
      <c r="G323" s="406"/>
      <c r="H323" s="406"/>
      <c r="I323" s="378" t="s">
        <v>289</v>
      </c>
      <c r="J323" s="379" t="s">
        <v>289</v>
      </c>
      <c r="K323" s="407"/>
      <c r="L323" s="378" t="s">
        <v>289</v>
      </c>
      <c r="M323" s="378" t="s">
        <v>289</v>
      </c>
      <c r="N323" s="378" t="s">
        <v>289</v>
      </c>
      <c r="O323" s="409"/>
      <c r="P323" s="387" t="s">
        <v>289</v>
      </c>
      <c r="Q323" s="383"/>
      <c r="R323" s="383"/>
      <c r="S323" s="383"/>
      <c r="T323" s="410"/>
      <c r="U323" s="406"/>
      <c r="V323" s="386"/>
      <c r="W323" s="387" t="s">
        <v>289</v>
      </c>
      <c r="X323" s="378" t="s">
        <v>289</v>
      </c>
      <c r="Y323" s="387" t="s">
        <v>289</v>
      </c>
      <c r="Z323" s="391" t="s">
        <v>289</v>
      </c>
      <c r="AA323" s="391" t="s">
        <v>289</v>
      </c>
      <c r="AB323" s="391" t="s">
        <v>289</v>
      </c>
      <c r="AC323" s="391" t="s">
        <v>289</v>
      </c>
      <c r="AD323" s="395" t="s">
        <v>289</v>
      </c>
      <c r="AE323" s="395"/>
      <c r="AF323" s="395"/>
      <c r="AG323" s="395"/>
      <c r="AH323" s="395"/>
    </row>
    <row r="324" ht="30.75" customHeight="1">
      <c r="A324" s="373" t="str">
        <f t="shared" si="1"/>
        <v/>
      </c>
      <c r="B324" s="421" t="s">
        <v>289</v>
      </c>
      <c r="C324" s="406"/>
      <c r="D324" s="406"/>
      <c r="E324" s="406"/>
      <c r="F324" s="395" t="s">
        <v>289</v>
      </c>
      <c r="G324" s="406"/>
      <c r="H324" s="406"/>
      <c r="I324" s="378" t="s">
        <v>289</v>
      </c>
      <c r="J324" s="379" t="s">
        <v>289</v>
      </c>
      <c r="K324" s="407"/>
      <c r="L324" s="378" t="s">
        <v>289</v>
      </c>
      <c r="M324" s="378" t="s">
        <v>289</v>
      </c>
      <c r="N324" s="378" t="s">
        <v>289</v>
      </c>
      <c r="O324" s="409"/>
      <c r="P324" s="387" t="s">
        <v>289</v>
      </c>
      <c r="Q324" s="383"/>
      <c r="R324" s="383"/>
      <c r="S324" s="383"/>
      <c r="T324" s="410"/>
      <c r="U324" s="406"/>
      <c r="V324" s="386"/>
      <c r="W324" s="387" t="s">
        <v>289</v>
      </c>
      <c r="X324" s="378" t="s">
        <v>289</v>
      </c>
      <c r="Y324" s="387" t="s">
        <v>289</v>
      </c>
      <c r="Z324" s="391" t="s">
        <v>289</v>
      </c>
      <c r="AA324" s="391" t="s">
        <v>289</v>
      </c>
      <c r="AB324" s="391" t="s">
        <v>289</v>
      </c>
      <c r="AC324" s="391" t="s">
        <v>289</v>
      </c>
      <c r="AD324" s="395" t="s">
        <v>289</v>
      </c>
      <c r="AE324" s="395"/>
      <c r="AF324" s="395"/>
      <c r="AG324" s="395"/>
      <c r="AH324" s="395"/>
    </row>
    <row r="325" ht="30.75" customHeight="1">
      <c r="A325" s="373" t="str">
        <f t="shared" si="1"/>
        <v/>
      </c>
      <c r="B325" s="421" t="s">
        <v>289</v>
      </c>
      <c r="C325" s="406"/>
      <c r="D325" s="406"/>
      <c r="E325" s="406"/>
      <c r="F325" s="395" t="s">
        <v>289</v>
      </c>
      <c r="G325" s="406"/>
      <c r="H325" s="406"/>
      <c r="I325" s="378" t="s">
        <v>289</v>
      </c>
      <c r="J325" s="379" t="s">
        <v>289</v>
      </c>
      <c r="K325" s="407"/>
      <c r="L325" s="378" t="s">
        <v>289</v>
      </c>
      <c r="M325" s="378" t="s">
        <v>289</v>
      </c>
      <c r="N325" s="378" t="s">
        <v>289</v>
      </c>
      <c r="O325" s="409"/>
      <c r="P325" s="387" t="s">
        <v>289</v>
      </c>
      <c r="Q325" s="383"/>
      <c r="R325" s="383"/>
      <c r="S325" s="383"/>
      <c r="T325" s="410"/>
      <c r="U325" s="406"/>
      <c r="V325" s="386"/>
      <c r="W325" s="387" t="s">
        <v>289</v>
      </c>
      <c r="X325" s="378" t="s">
        <v>289</v>
      </c>
      <c r="Y325" s="387" t="s">
        <v>289</v>
      </c>
      <c r="Z325" s="391" t="s">
        <v>289</v>
      </c>
      <c r="AA325" s="391" t="s">
        <v>289</v>
      </c>
      <c r="AB325" s="391" t="s">
        <v>289</v>
      </c>
      <c r="AC325" s="391" t="s">
        <v>289</v>
      </c>
      <c r="AD325" s="395" t="s">
        <v>289</v>
      </c>
      <c r="AE325" s="395"/>
      <c r="AF325" s="395"/>
      <c r="AG325" s="395"/>
      <c r="AH325" s="395"/>
    </row>
    <row r="326" ht="30.75" customHeight="1">
      <c r="A326" s="373" t="str">
        <f t="shared" si="1"/>
        <v/>
      </c>
      <c r="B326" s="421" t="s">
        <v>289</v>
      </c>
      <c r="C326" s="406"/>
      <c r="D326" s="406"/>
      <c r="E326" s="406"/>
      <c r="F326" s="395" t="s">
        <v>289</v>
      </c>
      <c r="G326" s="406"/>
      <c r="H326" s="406"/>
      <c r="I326" s="378" t="s">
        <v>289</v>
      </c>
      <c r="J326" s="379" t="s">
        <v>289</v>
      </c>
      <c r="K326" s="407"/>
      <c r="L326" s="378" t="s">
        <v>289</v>
      </c>
      <c r="M326" s="378" t="s">
        <v>289</v>
      </c>
      <c r="N326" s="378" t="s">
        <v>289</v>
      </c>
      <c r="O326" s="409"/>
      <c r="P326" s="387" t="s">
        <v>289</v>
      </c>
      <c r="Q326" s="383"/>
      <c r="R326" s="383"/>
      <c r="S326" s="383"/>
      <c r="T326" s="410"/>
      <c r="U326" s="406"/>
      <c r="V326" s="386"/>
      <c r="W326" s="387" t="s">
        <v>289</v>
      </c>
      <c r="X326" s="378" t="s">
        <v>289</v>
      </c>
      <c r="Y326" s="387" t="s">
        <v>289</v>
      </c>
      <c r="Z326" s="391" t="s">
        <v>289</v>
      </c>
      <c r="AA326" s="391" t="s">
        <v>289</v>
      </c>
      <c r="AB326" s="391" t="s">
        <v>289</v>
      </c>
      <c r="AC326" s="391" t="s">
        <v>289</v>
      </c>
      <c r="AD326" s="395" t="s">
        <v>289</v>
      </c>
      <c r="AE326" s="395"/>
      <c r="AF326" s="395"/>
      <c r="AG326" s="395"/>
      <c r="AH326" s="395"/>
    </row>
    <row r="327" ht="30.75" customHeight="1">
      <c r="A327" s="373" t="str">
        <f t="shared" si="1"/>
        <v/>
      </c>
      <c r="B327" s="421" t="s">
        <v>289</v>
      </c>
      <c r="C327" s="406"/>
      <c r="D327" s="406"/>
      <c r="E327" s="406"/>
      <c r="F327" s="395" t="s">
        <v>289</v>
      </c>
      <c r="G327" s="406"/>
      <c r="H327" s="406"/>
      <c r="I327" s="378" t="s">
        <v>289</v>
      </c>
      <c r="J327" s="379" t="s">
        <v>289</v>
      </c>
      <c r="K327" s="407"/>
      <c r="L327" s="378" t="s">
        <v>289</v>
      </c>
      <c r="M327" s="378" t="s">
        <v>289</v>
      </c>
      <c r="N327" s="378" t="s">
        <v>289</v>
      </c>
      <c r="O327" s="409"/>
      <c r="P327" s="387" t="s">
        <v>289</v>
      </c>
      <c r="Q327" s="383"/>
      <c r="R327" s="383"/>
      <c r="S327" s="383"/>
      <c r="T327" s="410"/>
      <c r="U327" s="406"/>
      <c r="V327" s="386"/>
      <c r="W327" s="387" t="s">
        <v>289</v>
      </c>
      <c r="X327" s="378" t="s">
        <v>289</v>
      </c>
      <c r="Y327" s="387" t="s">
        <v>289</v>
      </c>
      <c r="Z327" s="391" t="s">
        <v>289</v>
      </c>
      <c r="AA327" s="391" t="s">
        <v>289</v>
      </c>
      <c r="AB327" s="391" t="s">
        <v>289</v>
      </c>
      <c r="AC327" s="391" t="s">
        <v>289</v>
      </c>
      <c r="AD327" s="395" t="s">
        <v>289</v>
      </c>
      <c r="AE327" s="395"/>
      <c r="AF327" s="395"/>
      <c r="AG327" s="395"/>
      <c r="AH327" s="395"/>
    </row>
    <row r="328" ht="30.75" customHeight="1">
      <c r="A328" s="373" t="str">
        <f t="shared" si="1"/>
        <v/>
      </c>
      <c r="B328" s="421" t="s">
        <v>289</v>
      </c>
      <c r="C328" s="406"/>
      <c r="D328" s="406"/>
      <c r="E328" s="406"/>
      <c r="F328" s="395" t="s">
        <v>289</v>
      </c>
      <c r="G328" s="406"/>
      <c r="H328" s="406"/>
      <c r="I328" s="378" t="s">
        <v>289</v>
      </c>
      <c r="J328" s="379" t="s">
        <v>289</v>
      </c>
      <c r="K328" s="407"/>
      <c r="L328" s="378" t="s">
        <v>289</v>
      </c>
      <c r="M328" s="378" t="s">
        <v>289</v>
      </c>
      <c r="N328" s="378" t="s">
        <v>289</v>
      </c>
      <c r="O328" s="409"/>
      <c r="P328" s="387" t="s">
        <v>289</v>
      </c>
      <c r="Q328" s="383"/>
      <c r="R328" s="383"/>
      <c r="S328" s="383"/>
      <c r="T328" s="410"/>
      <c r="U328" s="406"/>
      <c r="V328" s="386"/>
      <c r="W328" s="387" t="s">
        <v>289</v>
      </c>
      <c r="X328" s="378" t="s">
        <v>289</v>
      </c>
      <c r="Y328" s="387" t="s">
        <v>289</v>
      </c>
      <c r="Z328" s="391" t="s">
        <v>289</v>
      </c>
      <c r="AA328" s="391" t="s">
        <v>289</v>
      </c>
      <c r="AB328" s="391" t="s">
        <v>289</v>
      </c>
      <c r="AC328" s="391" t="s">
        <v>289</v>
      </c>
      <c r="AD328" s="395" t="s">
        <v>289</v>
      </c>
      <c r="AE328" s="395"/>
      <c r="AF328" s="395"/>
      <c r="AG328" s="395"/>
      <c r="AH328" s="395"/>
    </row>
    <row r="329" ht="30.75" customHeight="1">
      <c r="A329" s="373" t="str">
        <f t="shared" si="1"/>
        <v/>
      </c>
      <c r="B329" s="421" t="s">
        <v>289</v>
      </c>
      <c r="C329" s="406"/>
      <c r="D329" s="406"/>
      <c r="E329" s="406"/>
      <c r="F329" s="395" t="s">
        <v>289</v>
      </c>
      <c r="G329" s="406"/>
      <c r="H329" s="406"/>
      <c r="I329" s="378" t="s">
        <v>289</v>
      </c>
      <c r="J329" s="379" t="s">
        <v>289</v>
      </c>
      <c r="K329" s="407"/>
      <c r="L329" s="378" t="s">
        <v>289</v>
      </c>
      <c r="M329" s="378" t="s">
        <v>289</v>
      </c>
      <c r="N329" s="378" t="s">
        <v>289</v>
      </c>
      <c r="O329" s="409"/>
      <c r="P329" s="387" t="s">
        <v>289</v>
      </c>
      <c r="Q329" s="383"/>
      <c r="R329" s="383"/>
      <c r="S329" s="383"/>
      <c r="T329" s="410"/>
      <c r="U329" s="406"/>
      <c r="V329" s="386"/>
      <c r="W329" s="387" t="s">
        <v>289</v>
      </c>
      <c r="X329" s="378" t="s">
        <v>289</v>
      </c>
      <c r="Y329" s="387" t="s">
        <v>289</v>
      </c>
      <c r="Z329" s="391" t="s">
        <v>289</v>
      </c>
      <c r="AA329" s="391" t="s">
        <v>289</v>
      </c>
      <c r="AB329" s="391" t="s">
        <v>289</v>
      </c>
      <c r="AC329" s="391" t="s">
        <v>289</v>
      </c>
      <c r="AD329" s="395" t="s">
        <v>289</v>
      </c>
      <c r="AE329" s="395"/>
      <c r="AF329" s="395"/>
      <c r="AG329" s="395"/>
      <c r="AH329" s="395"/>
    </row>
    <row r="330" ht="30.75" customHeight="1">
      <c r="A330" s="373" t="str">
        <f t="shared" si="1"/>
        <v/>
      </c>
      <c r="B330" s="421" t="s">
        <v>289</v>
      </c>
      <c r="C330" s="406"/>
      <c r="D330" s="406"/>
      <c r="E330" s="406"/>
      <c r="F330" s="395" t="s">
        <v>289</v>
      </c>
      <c r="G330" s="406"/>
      <c r="H330" s="406"/>
      <c r="I330" s="378" t="s">
        <v>289</v>
      </c>
      <c r="J330" s="379" t="s">
        <v>289</v>
      </c>
      <c r="K330" s="407"/>
      <c r="L330" s="378" t="s">
        <v>289</v>
      </c>
      <c r="M330" s="378" t="s">
        <v>289</v>
      </c>
      <c r="N330" s="378" t="s">
        <v>289</v>
      </c>
      <c r="O330" s="409"/>
      <c r="P330" s="387" t="s">
        <v>289</v>
      </c>
      <c r="Q330" s="383"/>
      <c r="R330" s="383"/>
      <c r="S330" s="383"/>
      <c r="T330" s="410"/>
      <c r="U330" s="406"/>
      <c r="V330" s="386"/>
      <c r="W330" s="387" t="s">
        <v>289</v>
      </c>
      <c r="X330" s="378" t="s">
        <v>289</v>
      </c>
      <c r="Y330" s="387" t="s">
        <v>289</v>
      </c>
      <c r="Z330" s="391" t="s">
        <v>289</v>
      </c>
      <c r="AA330" s="391" t="s">
        <v>289</v>
      </c>
      <c r="AB330" s="391" t="s">
        <v>289</v>
      </c>
      <c r="AC330" s="391" t="s">
        <v>289</v>
      </c>
      <c r="AD330" s="395" t="s">
        <v>289</v>
      </c>
      <c r="AE330" s="395"/>
      <c r="AF330" s="395"/>
      <c r="AG330" s="395"/>
      <c r="AH330" s="395"/>
    </row>
    <row r="331" ht="30.75" customHeight="1">
      <c r="A331" s="373" t="str">
        <f t="shared" si="1"/>
        <v/>
      </c>
      <c r="B331" s="421" t="s">
        <v>289</v>
      </c>
      <c r="C331" s="406"/>
      <c r="D331" s="406"/>
      <c r="E331" s="406"/>
      <c r="F331" s="395" t="s">
        <v>289</v>
      </c>
      <c r="G331" s="406"/>
      <c r="H331" s="406"/>
      <c r="I331" s="378" t="s">
        <v>289</v>
      </c>
      <c r="J331" s="379" t="s">
        <v>289</v>
      </c>
      <c r="K331" s="407"/>
      <c r="L331" s="378" t="s">
        <v>289</v>
      </c>
      <c r="M331" s="378" t="s">
        <v>289</v>
      </c>
      <c r="N331" s="378" t="s">
        <v>289</v>
      </c>
      <c r="O331" s="409"/>
      <c r="P331" s="387" t="s">
        <v>289</v>
      </c>
      <c r="Q331" s="383"/>
      <c r="R331" s="383"/>
      <c r="S331" s="383"/>
      <c r="T331" s="410"/>
      <c r="U331" s="406"/>
      <c r="V331" s="386"/>
      <c r="W331" s="387" t="s">
        <v>289</v>
      </c>
      <c r="X331" s="378" t="s">
        <v>289</v>
      </c>
      <c r="Y331" s="387" t="s">
        <v>289</v>
      </c>
      <c r="Z331" s="391" t="s">
        <v>289</v>
      </c>
      <c r="AA331" s="391" t="s">
        <v>289</v>
      </c>
      <c r="AB331" s="391" t="s">
        <v>289</v>
      </c>
      <c r="AC331" s="391" t="s">
        <v>289</v>
      </c>
      <c r="AD331" s="395" t="s">
        <v>289</v>
      </c>
      <c r="AE331" s="395"/>
      <c r="AF331" s="395"/>
      <c r="AG331" s="395"/>
      <c r="AH331" s="395"/>
    </row>
    <row r="332" ht="30.75" customHeight="1">
      <c r="A332" s="373" t="str">
        <f t="shared" si="1"/>
        <v/>
      </c>
      <c r="B332" s="421" t="s">
        <v>289</v>
      </c>
      <c r="C332" s="406"/>
      <c r="D332" s="406"/>
      <c r="E332" s="406"/>
      <c r="F332" s="395" t="s">
        <v>289</v>
      </c>
      <c r="G332" s="406"/>
      <c r="H332" s="406"/>
      <c r="I332" s="378" t="s">
        <v>289</v>
      </c>
      <c r="J332" s="379" t="s">
        <v>289</v>
      </c>
      <c r="K332" s="407"/>
      <c r="L332" s="378" t="s">
        <v>289</v>
      </c>
      <c r="M332" s="378" t="s">
        <v>289</v>
      </c>
      <c r="N332" s="378" t="s">
        <v>289</v>
      </c>
      <c r="O332" s="409"/>
      <c r="P332" s="387" t="s">
        <v>289</v>
      </c>
      <c r="Q332" s="383"/>
      <c r="R332" s="383"/>
      <c r="S332" s="383"/>
      <c r="T332" s="410"/>
      <c r="U332" s="406"/>
      <c r="V332" s="386"/>
      <c r="W332" s="387" t="s">
        <v>289</v>
      </c>
      <c r="X332" s="378" t="s">
        <v>289</v>
      </c>
      <c r="Y332" s="387" t="s">
        <v>289</v>
      </c>
      <c r="Z332" s="391" t="s">
        <v>289</v>
      </c>
      <c r="AA332" s="391" t="s">
        <v>289</v>
      </c>
      <c r="AB332" s="391" t="s">
        <v>289</v>
      </c>
      <c r="AC332" s="391" t="s">
        <v>289</v>
      </c>
      <c r="AD332" s="395" t="s">
        <v>289</v>
      </c>
      <c r="AE332" s="395"/>
      <c r="AF332" s="395"/>
      <c r="AG332" s="395"/>
      <c r="AH332" s="395"/>
    </row>
    <row r="333" ht="30.75" customHeight="1">
      <c r="A333" s="373" t="str">
        <f t="shared" si="1"/>
        <v/>
      </c>
      <c r="B333" s="421" t="s">
        <v>289</v>
      </c>
      <c r="C333" s="406"/>
      <c r="D333" s="406"/>
      <c r="E333" s="406"/>
      <c r="F333" s="395" t="s">
        <v>289</v>
      </c>
      <c r="G333" s="406"/>
      <c r="H333" s="406"/>
      <c r="I333" s="378" t="s">
        <v>289</v>
      </c>
      <c r="J333" s="379" t="s">
        <v>289</v>
      </c>
      <c r="K333" s="407"/>
      <c r="L333" s="378" t="s">
        <v>289</v>
      </c>
      <c r="M333" s="378" t="s">
        <v>289</v>
      </c>
      <c r="N333" s="378" t="s">
        <v>289</v>
      </c>
      <c r="O333" s="409"/>
      <c r="P333" s="387" t="s">
        <v>289</v>
      </c>
      <c r="Q333" s="383"/>
      <c r="R333" s="383"/>
      <c r="S333" s="383"/>
      <c r="T333" s="410"/>
      <c r="U333" s="406"/>
      <c r="V333" s="386"/>
      <c r="W333" s="387" t="s">
        <v>289</v>
      </c>
      <c r="X333" s="378" t="s">
        <v>289</v>
      </c>
      <c r="Y333" s="387" t="s">
        <v>289</v>
      </c>
      <c r="Z333" s="391" t="s">
        <v>289</v>
      </c>
      <c r="AA333" s="391" t="s">
        <v>289</v>
      </c>
      <c r="AB333" s="391" t="s">
        <v>289</v>
      </c>
      <c r="AC333" s="391" t="s">
        <v>289</v>
      </c>
      <c r="AD333" s="395" t="s">
        <v>289</v>
      </c>
      <c r="AE333" s="395"/>
      <c r="AF333" s="395"/>
      <c r="AG333" s="395"/>
      <c r="AH333" s="395"/>
    </row>
    <row r="334" ht="30.75" customHeight="1">
      <c r="A334" s="373" t="str">
        <f t="shared" si="1"/>
        <v/>
      </c>
      <c r="B334" s="421" t="s">
        <v>289</v>
      </c>
      <c r="C334" s="406"/>
      <c r="D334" s="406"/>
      <c r="E334" s="406"/>
      <c r="F334" s="395" t="s">
        <v>289</v>
      </c>
      <c r="G334" s="406"/>
      <c r="H334" s="406"/>
      <c r="I334" s="378" t="s">
        <v>289</v>
      </c>
      <c r="J334" s="379" t="s">
        <v>289</v>
      </c>
      <c r="K334" s="407"/>
      <c r="L334" s="378" t="s">
        <v>289</v>
      </c>
      <c r="M334" s="378" t="s">
        <v>289</v>
      </c>
      <c r="N334" s="378" t="s">
        <v>289</v>
      </c>
      <c r="O334" s="409"/>
      <c r="P334" s="387" t="s">
        <v>289</v>
      </c>
      <c r="Q334" s="383"/>
      <c r="R334" s="383"/>
      <c r="S334" s="383"/>
      <c r="T334" s="410"/>
      <c r="U334" s="406"/>
      <c r="V334" s="386"/>
      <c r="W334" s="387" t="s">
        <v>289</v>
      </c>
      <c r="X334" s="378" t="s">
        <v>289</v>
      </c>
      <c r="Y334" s="387" t="s">
        <v>289</v>
      </c>
      <c r="Z334" s="391" t="s">
        <v>289</v>
      </c>
      <c r="AA334" s="391" t="s">
        <v>289</v>
      </c>
      <c r="AB334" s="391" t="s">
        <v>289</v>
      </c>
      <c r="AC334" s="391" t="s">
        <v>289</v>
      </c>
      <c r="AD334" s="395" t="s">
        <v>289</v>
      </c>
      <c r="AE334" s="395"/>
      <c r="AF334" s="395"/>
      <c r="AG334" s="395"/>
      <c r="AH334" s="395"/>
    </row>
    <row r="335" ht="30.75" customHeight="1">
      <c r="A335" s="373" t="str">
        <f t="shared" si="1"/>
        <v/>
      </c>
      <c r="B335" s="421" t="s">
        <v>289</v>
      </c>
      <c r="C335" s="406"/>
      <c r="D335" s="406"/>
      <c r="E335" s="406"/>
      <c r="F335" s="395" t="s">
        <v>289</v>
      </c>
      <c r="G335" s="406"/>
      <c r="H335" s="406"/>
      <c r="I335" s="378" t="s">
        <v>289</v>
      </c>
      <c r="J335" s="379" t="s">
        <v>289</v>
      </c>
      <c r="K335" s="407"/>
      <c r="L335" s="378" t="s">
        <v>289</v>
      </c>
      <c r="M335" s="378" t="s">
        <v>289</v>
      </c>
      <c r="N335" s="378" t="s">
        <v>289</v>
      </c>
      <c r="O335" s="409"/>
      <c r="P335" s="387" t="s">
        <v>289</v>
      </c>
      <c r="Q335" s="383"/>
      <c r="R335" s="383"/>
      <c r="S335" s="383"/>
      <c r="T335" s="410"/>
      <c r="U335" s="406"/>
      <c r="V335" s="386"/>
      <c r="W335" s="387" t="s">
        <v>289</v>
      </c>
      <c r="X335" s="378" t="s">
        <v>289</v>
      </c>
      <c r="Y335" s="387" t="s">
        <v>289</v>
      </c>
      <c r="Z335" s="391" t="s">
        <v>289</v>
      </c>
      <c r="AA335" s="391" t="s">
        <v>289</v>
      </c>
      <c r="AB335" s="391" t="s">
        <v>289</v>
      </c>
      <c r="AC335" s="391" t="s">
        <v>289</v>
      </c>
      <c r="AD335" s="395" t="s">
        <v>289</v>
      </c>
      <c r="AE335" s="395"/>
      <c r="AF335" s="395"/>
      <c r="AG335" s="395"/>
      <c r="AH335" s="395"/>
    </row>
    <row r="336" ht="30.75" customHeight="1">
      <c r="A336" s="373" t="str">
        <f t="shared" si="1"/>
        <v/>
      </c>
      <c r="B336" s="421" t="s">
        <v>289</v>
      </c>
      <c r="C336" s="406"/>
      <c r="D336" s="406"/>
      <c r="E336" s="406"/>
      <c r="F336" s="395" t="s">
        <v>289</v>
      </c>
      <c r="G336" s="406"/>
      <c r="H336" s="406"/>
      <c r="I336" s="378" t="s">
        <v>289</v>
      </c>
      <c r="J336" s="379" t="s">
        <v>289</v>
      </c>
      <c r="K336" s="407"/>
      <c r="L336" s="378" t="s">
        <v>289</v>
      </c>
      <c r="M336" s="378" t="s">
        <v>289</v>
      </c>
      <c r="N336" s="378" t="s">
        <v>289</v>
      </c>
      <c r="O336" s="409"/>
      <c r="P336" s="387" t="s">
        <v>289</v>
      </c>
      <c r="Q336" s="383"/>
      <c r="R336" s="383"/>
      <c r="S336" s="383"/>
      <c r="T336" s="410"/>
      <c r="U336" s="406"/>
      <c r="V336" s="386"/>
      <c r="W336" s="387" t="s">
        <v>289</v>
      </c>
      <c r="X336" s="378" t="s">
        <v>289</v>
      </c>
      <c r="Y336" s="387" t="s">
        <v>289</v>
      </c>
      <c r="Z336" s="391" t="s">
        <v>289</v>
      </c>
      <c r="AA336" s="391" t="s">
        <v>289</v>
      </c>
      <c r="AB336" s="391" t="s">
        <v>289</v>
      </c>
      <c r="AC336" s="391" t="s">
        <v>289</v>
      </c>
      <c r="AD336" s="395" t="s">
        <v>289</v>
      </c>
      <c r="AE336" s="395"/>
      <c r="AF336" s="395"/>
      <c r="AG336" s="395"/>
      <c r="AH336" s="395"/>
    </row>
    <row r="337" ht="30.75" customHeight="1">
      <c r="A337" s="373" t="str">
        <f t="shared" si="1"/>
        <v/>
      </c>
      <c r="B337" s="421" t="s">
        <v>289</v>
      </c>
      <c r="C337" s="406"/>
      <c r="D337" s="406"/>
      <c r="E337" s="406"/>
      <c r="F337" s="395" t="s">
        <v>289</v>
      </c>
      <c r="G337" s="406"/>
      <c r="H337" s="406"/>
      <c r="I337" s="378" t="s">
        <v>289</v>
      </c>
      <c r="J337" s="379" t="s">
        <v>289</v>
      </c>
      <c r="K337" s="407"/>
      <c r="L337" s="378" t="s">
        <v>289</v>
      </c>
      <c r="M337" s="378" t="s">
        <v>289</v>
      </c>
      <c r="N337" s="378" t="s">
        <v>289</v>
      </c>
      <c r="O337" s="409"/>
      <c r="P337" s="387" t="s">
        <v>289</v>
      </c>
      <c r="Q337" s="383"/>
      <c r="R337" s="383"/>
      <c r="S337" s="383"/>
      <c r="T337" s="410"/>
      <c r="U337" s="406"/>
      <c r="V337" s="386"/>
      <c r="W337" s="387" t="s">
        <v>289</v>
      </c>
      <c r="X337" s="378" t="s">
        <v>289</v>
      </c>
      <c r="Y337" s="387" t="s">
        <v>289</v>
      </c>
      <c r="Z337" s="391" t="s">
        <v>289</v>
      </c>
      <c r="AA337" s="391" t="s">
        <v>289</v>
      </c>
      <c r="AB337" s="391" t="s">
        <v>289</v>
      </c>
      <c r="AC337" s="391" t="s">
        <v>289</v>
      </c>
      <c r="AD337" s="395" t="s">
        <v>289</v>
      </c>
      <c r="AE337" s="395"/>
      <c r="AF337" s="395"/>
      <c r="AG337" s="395"/>
      <c r="AH337" s="395"/>
    </row>
    <row r="338" ht="30.75" customHeight="1">
      <c r="A338" s="373" t="str">
        <f t="shared" si="1"/>
        <v/>
      </c>
      <c r="B338" s="421" t="s">
        <v>289</v>
      </c>
      <c r="C338" s="406"/>
      <c r="D338" s="406"/>
      <c r="E338" s="406"/>
      <c r="F338" s="395" t="s">
        <v>289</v>
      </c>
      <c r="G338" s="406"/>
      <c r="H338" s="406"/>
      <c r="I338" s="378" t="s">
        <v>289</v>
      </c>
      <c r="J338" s="379" t="s">
        <v>289</v>
      </c>
      <c r="K338" s="407"/>
      <c r="L338" s="378" t="s">
        <v>289</v>
      </c>
      <c r="M338" s="378" t="s">
        <v>289</v>
      </c>
      <c r="N338" s="378" t="s">
        <v>289</v>
      </c>
      <c r="O338" s="409"/>
      <c r="P338" s="387" t="s">
        <v>289</v>
      </c>
      <c r="Q338" s="383"/>
      <c r="R338" s="383"/>
      <c r="S338" s="383"/>
      <c r="T338" s="410"/>
      <c r="U338" s="406"/>
      <c r="V338" s="386"/>
      <c r="W338" s="387" t="s">
        <v>289</v>
      </c>
      <c r="X338" s="378" t="s">
        <v>289</v>
      </c>
      <c r="Y338" s="387" t="s">
        <v>289</v>
      </c>
      <c r="Z338" s="391" t="s">
        <v>289</v>
      </c>
      <c r="AA338" s="391" t="s">
        <v>289</v>
      </c>
      <c r="AB338" s="391" t="s">
        <v>289</v>
      </c>
      <c r="AC338" s="391" t="s">
        <v>289</v>
      </c>
      <c r="AD338" s="395" t="s">
        <v>289</v>
      </c>
      <c r="AE338" s="395"/>
      <c r="AF338" s="395"/>
      <c r="AG338" s="395"/>
      <c r="AH338" s="395"/>
    </row>
    <row r="339" ht="30.75" customHeight="1">
      <c r="A339" s="373" t="str">
        <f t="shared" si="1"/>
        <v/>
      </c>
      <c r="B339" s="421" t="s">
        <v>289</v>
      </c>
      <c r="C339" s="406"/>
      <c r="D339" s="406"/>
      <c r="E339" s="406"/>
      <c r="F339" s="395" t="s">
        <v>289</v>
      </c>
      <c r="G339" s="406"/>
      <c r="H339" s="406"/>
      <c r="I339" s="378" t="s">
        <v>289</v>
      </c>
      <c r="J339" s="379" t="s">
        <v>289</v>
      </c>
      <c r="K339" s="407"/>
      <c r="L339" s="378" t="s">
        <v>289</v>
      </c>
      <c r="M339" s="378" t="s">
        <v>289</v>
      </c>
      <c r="N339" s="378" t="s">
        <v>289</v>
      </c>
      <c r="O339" s="409"/>
      <c r="P339" s="387" t="s">
        <v>289</v>
      </c>
      <c r="Q339" s="383"/>
      <c r="R339" s="383"/>
      <c r="S339" s="383"/>
      <c r="T339" s="410"/>
      <c r="U339" s="406"/>
      <c r="V339" s="386"/>
      <c r="W339" s="387" t="s">
        <v>289</v>
      </c>
      <c r="X339" s="378" t="s">
        <v>289</v>
      </c>
      <c r="Y339" s="387" t="s">
        <v>289</v>
      </c>
      <c r="Z339" s="391" t="s">
        <v>289</v>
      </c>
      <c r="AA339" s="391" t="s">
        <v>289</v>
      </c>
      <c r="AB339" s="391" t="s">
        <v>289</v>
      </c>
      <c r="AC339" s="391" t="s">
        <v>289</v>
      </c>
      <c r="AD339" s="395" t="s">
        <v>289</v>
      </c>
      <c r="AE339" s="395"/>
      <c r="AF339" s="395"/>
      <c r="AG339" s="395"/>
      <c r="AH339" s="395"/>
    </row>
    <row r="340" ht="30.75" customHeight="1">
      <c r="A340" s="373" t="str">
        <f t="shared" si="1"/>
        <v/>
      </c>
      <c r="B340" s="421" t="s">
        <v>289</v>
      </c>
      <c r="C340" s="406"/>
      <c r="D340" s="406"/>
      <c r="E340" s="406"/>
      <c r="F340" s="395" t="s">
        <v>289</v>
      </c>
      <c r="G340" s="406"/>
      <c r="H340" s="406"/>
      <c r="I340" s="378" t="s">
        <v>289</v>
      </c>
      <c r="J340" s="379" t="s">
        <v>289</v>
      </c>
      <c r="K340" s="407"/>
      <c r="L340" s="378" t="s">
        <v>289</v>
      </c>
      <c r="M340" s="378" t="s">
        <v>289</v>
      </c>
      <c r="N340" s="378" t="s">
        <v>289</v>
      </c>
      <c r="O340" s="409"/>
      <c r="P340" s="387" t="s">
        <v>289</v>
      </c>
      <c r="Q340" s="383"/>
      <c r="R340" s="383"/>
      <c r="S340" s="383"/>
      <c r="T340" s="410"/>
      <c r="U340" s="406"/>
      <c r="V340" s="386"/>
      <c r="W340" s="387" t="s">
        <v>289</v>
      </c>
      <c r="X340" s="378" t="s">
        <v>289</v>
      </c>
      <c r="Y340" s="387" t="s">
        <v>289</v>
      </c>
      <c r="Z340" s="391" t="s">
        <v>289</v>
      </c>
      <c r="AA340" s="391" t="s">
        <v>289</v>
      </c>
      <c r="AB340" s="391" t="s">
        <v>289</v>
      </c>
      <c r="AC340" s="391" t="s">
        <v>289</v>
      </c>
      <c r="AD340" s="395" t="s">
        <v>289</v>
      </c>
      <c r="AE340" s="395"/>
      <c r="AF340" s="395"/>
      <c r="AG340" s="395"/>
      <c r="AH340" s="395"/>
    </row>
    <row r="341" ht="30.75" customHeight="1">
      <c r="A341" s="373" t="str">
        <f t="shared" si="1"/>
        <v/>
      </c>
      <c r="B341" s="421" t="s">
        <v>289</v>
      </c>
      <c r="C341" s="406"/>
      <c r="D341" s="406"/>
      <c r="E341" s="406"/>
      <c r="F341" s="395" t="s">
        <v>289</v>
      </c>
      <c r="G341" s="406"/>
      <c r="H341" s="406"/>
      <c r="I341" s="378" t="s">
        <v>289</v>
      </c>
      <c r="J341" s="379" t="s">
        <v>289</v>
      </c>
      <c r="K341" s="407"/>
      <c r="L341" s="378" t="s">
        <v>289</v>
      </c>
      <c r="M341" s="378" t="s">
        <v>289</v>
      </c>
      <c r="N341" s="378" t="s">
        <v>289</v>
      </c>
      <c r="O341" s="409"/>
      <c r="P341" s="387" t="s">
        <v>289</v>
      </c>
      <c r="Q341" s="383"/>
      <c r="R341" s="383"/>
      <c r="S341" s="383"/>
      <c r="T341" s="410"/>
      <c r="U341" s="406"/>
      <c r="V341" s="386"/>
      <c r="W341" s="387" t="s">
        <v>289</v>
      </c>
      <c r="X341" s="378" t="s">
        <v>289</v>
      </c>
      <c r="Y341" s="387" t="s">
        <v>289</v>
      </c>
      <c r="Z341" s="391" t="s">
        <v>289</v>
      </c>
      <c r="AA341" s="391" t="s">
        <v>289</v>
      </c>
      <c r="AB341" s="391" t="s">
        <v>289</v>
      </c>
      <c r="AC341" s="391" t="s">
        <v>289</v>
      </c>
      <c r="AD341" s="395" t="s">
        <v>289</v>
      </c>
      <c r="AE341" s="395"/>
      <c r="AF341" s="395"/>
      <c r="AG341" s="395"/>
      <c r="AH341" s="395"/>
    </row>
    <row r="342" ht="30.75" customHeight="1">
      <c r="A342" s="373" t="str">
        <f t="shared" si="1"/>
        <v/>
      </c>
      <c r="B342" s="421" t="s">
        <v>289</v>
      </c>
      <c r="C342" s="406"/>
      <c r="D342" s="406"/>
      <c r="E342" s="406"/>
      <c r="F342" s="395" t="s">
        <v>289</v>
      </c>
      <c r="G342" s="406"/>
      <c r="H342" s="406"/>
      <c r="I342" s="378" t="s">
        <v>289</v>
      </c>
      <c r="J342" s="379" t="s">
        <v>289</v>
      </c>
      <c r="K342" s="407"/>
      <c r="L342" s="378" t="s">
        <v>289</v>
      </c>
      <c r="M342" s="378" t="s">
        <v>289</v>
      </c>
      <c r="N342" s="378" t="s">
        <v>289</v>
      </c>
      <c r="O342" s="409"/>
      <c r="P342" s="387" t="s">
        <v>289</v>
      </c>
      <c r="Q342" s="383"/>
      <c r="R342" s="383"/>
      <c r="S342" s="383"/>
      <c r="T342" s="410"/>
      <c r="U342" s="406"/>
      <c r="V342" s="386"/>
      <c r="W342" s="387" t="s">
        <v>289</v>
      </c>
      <c r="X342" s="378" t="s">
        <v>289</v>
      </c>
      <c r="Y342" s="387" t="s">
        <v>289</v>
      </c>
      <c r="Z342" s="391" t="s">
        <v>289</v>
      </c>
      <c r="AA342" s="391" t="s">
        <v>289</v>
      </c>
      <c r="AB342" s="391" t="s">
        <v>289</v>
      </c>
      <c r="AC342" s="391" t="s">
        <v>289</v>
      </c>
      <c r="AD342" s="395" t="s">
        <v>289</v>
      </c>
      <c r="AE342" s="395"/>
      <c r="AF342" s="395"/>
      <c r="AG342" s="395"/>
      <c r="AH342" s="395"/>
    </row>
    <row r="343" ht="30.75" customHeight="1">
      <c r="A343" s="373" t="str">
        <f t="shared" si="1"/>
        <v/>
      </c>
      <c r="B343" s="421" t="s">
        <v>289</v>
      </c>
      <c r="C343" s="406"/>
      <c r="D343" s="406"/>
      <c r="E343" s="406"/>
      <c r="F343" s="395" t="s">
        <v>289</v>
      </c>
      <c r="G343" s="406"/>
      <c r="H343" s="406"/>
      <c r="I343" s="378" t="s">
        <v>289</v>
      </c>
      <c r="J343" s="379" t="s">
        <v>289</v>
      </c>
      <c r="K343" s="407"/>
      <c r="L343" s="378" t="s">
        <v>289</v>
      </c>
      <c r="M343" s="378" t="s">
        <v>289</v>
      </c>
      <c r="N343" s="378" t="s">
        <v>289</v>
      </c>
      <c r="O343" s="409"/>
      <c r="P343" s="387" t="s">
        <v>289</v>
      </c>
      <c r="Q343" s="383"/>
      <c r="R343" s="383"/>
      <c r="S343" s="383"/>
      <c r="T343" s="410"/>
      <c r="U343" s="406"/>
      <c r="V343" s="386"/>
      <c r="W343" s="387" t="s">
        <v>289</v>
      </c>
      <c r="X343" s="378" t="s">
        <v>289</v>
      </c>
      <c r="Y343" s="387" t="s">
        <v>289</v>
      </c>
      <c r="Z343" s="391" t="s">
        <v>289</v>
      </c>
      <c r="AA343" s="391" t="s">
        <v>289</v>
      </c>
      <c r="AB343" s="391" t="s">
        <v>289</v>
      </c>
      <c r="AC343" s="391" t="s">
        <v>289</v>
      </c>
      <c r="AD343" s="395" t="s">
        <v>289</v>
      </c>
      <c r="AE343" s="395"/>
      <c r="AF343" s="395"/>
      <c r="AG343" s="395"/>
      <c r="AH343" s="395"/>
    </row>
    <row r="344" ht="30.75" customHeight="1">
      <c r="A344" s="373" t="str">
        <f t="shared" si="1"/>
        <v/>
      </c>
      <c r="B344" s="421" t="s">
        <v>289</v>
      </c>
      <c r="C344" s="406"/>
      <c r="D344" s="406"/>
      <c r="E344" s="406"/>
      <c r="F344" s="395" t="s">
        <v>289</v>
      </c>
      <c r="G344" s="406"/>
      <c r="H344" s="406"/>
      <c r="I344" s="378" t="s">
        <v>289</v>
      </c>
      <c r="J344" s="379" t="s">
        <v>289</v>
      </c>
      <c r="K344" s="407"/>
      <c r="L344" s="378" t="s">
        <v>289</v>
      </c>
      <c r="M344" s="378" t="s">
        <v>289</v>
      </c>
      <c r="N344" s="378" t="s">
        <v>289</v>
      </c>
      <c r="O344" s="409"/>
      <c r="P344" s="387" t="s">
        <v>289</v>
      </c>
      <c r="Q344" s="383"/>
      <c r="R344" s="383"/>
      <c r="S344" s="383"/>
      <c r="T344" s="410"/>
      <c r="U344" s="406"/>
      <c r="V344" s="386"/>
      <c r="W344" s="387" t="s">
        <v>289</v>
      </c>
      <c r="X344" s="378" t="s">
        <v>289</v>
      </c>
      <c r="Y344" s="387" t="s">
        <v>289</v>
      </c>
      <c r="Z344" s="391" t="s">
        <v>289</v>
      </c>
      <c r="AA344" s="391" t="s">
        <v>289</v>
      </c>
      <c r="AB344" s="391" t="s">
        <v>289</v>
      </c>
      <c r="AC344" s="391" t="s">
        <v>289</v>
      </c>
      <c r="AD344" s="395" t="s">
        <v>289</v>
      </c>
      <c r="AE344" s="395"/>
      <c r="AF344" s="395"/>
      <c r="AG344" s="395"/>
      <c r="AH344" s="395"/>
    </row>
    <row r="345" ht="30.75" customHeight="1">
      <c r="A345" s="373" t="str">
        <f t="shared" si="1"/>
        <v/>
      </c>
      <c r="B345" s="421" t="s">
        <v>289</v>
      </c>
      <c r="C345" s="406"/>
      <c r="D345" s="406"/>
      <c r="E345" s="406"/>
      <c r="F345" s="395" t="s">
        <v>289</v>
      </c>
      <c r="G345" s="406"/>
      <c r="H345" s="406"/>
      <c r="I345" s="378" t="s">
        <v>289</v>
      </c>
      <c r="J345" s="379" t="s">
        <v>289</v>
      </c>
      <c r="K345" s="407"/>
      <c r="L345" s="378" t="s">
        <v>289</v>
      </c>
      <c r="M345" s="378" t="s">
        <v>289</v>
      </c>
      <c r="N345" s="378" t="s">
        <v>289</v>
      </c>
      <c r="O345" s="409"/>
      <c r="P345" s="387" t="s">
        <v>289</v>
      </c>
      <c r="Q345" s="383"/>
      <c r="R345" s="383"/>
      <c r="S345" s="383"/>
      <c r="T345" s="410"/>
      <c r="U345" s="406"/>
      <c r="V345" s="386"/>
      <c r="W345" s="387" t="s">
        <v>289</v>
      </c>
      <c r="X345" s="378" t="s">
        <v>289</v>
      </c>
      <c r="Y345" s="387" t="s">
        <v>289</v>
      </c>
      <c r="Z345" s="391" t="s">
        <v>289</v>
      </c>
      <c r="AA345" s="391" t="s">
        <v>289</v>
      </c>
      <c r="AB345" s="391" t="s">
        <v>289</v>
      </c>
      <c r="AC345" s="391" t="s">
        <v>289</v>
      </c>
      <c r="AD345" s="395" t="s">
        <v>289</v>
      </c>
      <c r="AE345" s="395"/>
      <c r="AF345" s="395"/>
      <c r="AG345" s="395"/>
      <c r="AH345" s="395"/>
    </row>
    <row r="346" ht="30.75" customHeight="1">
      <c r="A346" s="373" t="str">
        <f t="shared" si="1"/>
        <v/>
      </c>
      <c r="B346" s="421" t="s">
        <v>289</v>
      </c>
      <c r="C346" s="406"/>
      <c r="D346" s="406"/>
      <c r="E346" s="406"/>
      <c r="F346" s="395" t="s">
        <v>289</v>
      </c>
      <c r="G346" s="406"/>
      <c r="H346" s="406"/>
      <c r="I346" s="378" t="s">
        <v>289</v>
      </c>
      <c r="J346" s="379" t="s">
        <v>289</v>
      </c>
      <c r="K346" s="407"/>
      <c r="L346" s="378" t="s">
        <v>289</v>
      </c>
      <c r="M346" s="378" t="s">
        <v>289</v>
      </c>
      <c r="N346" s="378" t="s">
        <v>289</v>
      </c>
      <c r="O346" s="409"/>
      <c r="P346" s="387" t="s">
        <v>289</v>
      </c>
      <c r="Q346" s="383"/>
      <c r="R346" s="383"/>
      <c r="S346" s="383"/>
      <c r="T346" s="410"/>
      <c r="U346" s="406"/>
      <c r="V346" s="386"/>
      <c r="W346" s="387" t="s">
        <v>289</v>
      </c>
      <c r="X346" s="378" t="s">
        <v>289</v>
      </c>
      <c r="Y346" s="387" t="s">
        <v>289</v>
      </c>
      <c r="Z346" s="391" t="s">
        <v>289</v>
      </c>
      <c r="AA346" s="391" t="s">
        <v>289</v>
      </c>
      <c r="AB346" s="391" t="s">
        <v>289</v>
      </c>
      <c r="AC346" s="391" t="s">
        <v>289</v>
      </c>
      <c r="AD346" s="395" t="s">
        <v>289</v>
      </c>
      <c r="AE346" s="395"/>
      <c r="AF346" s="395"/>
      <c r="AG346" s="395"/>
      <c r="AH346" s="395"/>
    </row>
    <row r="347" ht="30.75" customHeight="1">
      <c r="A347" s="373" t="str">
        <f t="shared" si="1"/>
        <v/>
      </c>
      <c r="B347" s="421" t="s">
        <v>289</v>
      </c>
      <c r="C347" s="406"/>
      <c r="D347" s="406"/>
      <c r="E347" s="406"/>
      <c r="F347" s="395" t="s">
        <v>289</v>
      </c>
      <c r="G347" s="406"/>
      <c r="H347" s="406"/>
      <c r="I347" s="378" t="s">
        <v>289</v>
      </c>
      <c r="J347" s="379" t="s">
        <v>289</v>
      </c>
      <c r="K347" s="407"/>
      <c r="L347" s="378" t="s">
        <v>289</v>
      </c>
      <c r="M347" s="378" t="s">
        <v>289</v>
      </c>
      <c r="N347" s="378" t="s">
        <v>289</v>
      </c>
      <c r="O347" s="409"/>
      <c r="P347" s="387" t="s">
        <v>289</v>
      </c>
      <c r="Q347" s="383"/>
      <c r="R347" s="383"/>
      <c r="S347" s="383"/>
      <c r="T347" s="410"/>
      <c r="U347" s="406"/>
      <c r="V347" s="386"/>
      <c r="W347" s="387" t="s">
        <v>289</v>
      </c>
      <c r="X347" s="378" t="s">
        <v>289</v>
      </c>
      <c r="Y347" s="387" t="s">
        <v>289</v>
      </c>
      <c r="Z347" s="391" t="s">
        <v>289</v>
      </c>
      <c r="AA347" s="391" t="s">
        <v>289</v>
      </c>
      <c r="AB347" s="391" t="s">
        <v>289</v>
      </c>
      <c r="AC347" s="391" t="s">
        <v>289</v>
      </c>
      <c r="AD347" s="395" t="s">
        <v>289</v>
      </c>
      <c r="AE347" s="395"/>
      <c r="AF347" s="395"/>
      <c r="AG347" s="395"/>
      <c r="AH347" s="395"/>
    </row>
    <row r="348" ht="30.75" customHeight="1">
      <c r="A348" s="373" t="str">
        <f t="shared" si="1"/>
        <v/>
      </c>
      <c r="B348" s="421" t="s">
        <v>289</v>
      </c>
      <c r="C348" s="406"/>
      <c r="D348" s="406"/>
      <c r="E348" s="406"/>
      <c r="F348" s="395" t="s">
        <v>289</v>
      </c>
      <c r="G348" s="406"/>
      <c r="H348" s="406"/>
      <c r="I348" s="378" t="s">
        <v>289</v>
      </c>
      <c r="J348" s="379" t="s">
        <v>289</v>
      </c>
      <c r="K348" s="407"/>
      <c r="L348" s="378" t="s">
        <v>289</v>
      </c>
      <c r="M348" s="378" t="s">
        <v>289</v>
      </c>
      <c r="N348" s="378" t="s">
        <v>289</v>
      </c>
      <c r="O348" s="409"/>
      <c r="P348" s="387" t="s">
        <v>289</v>
      </c>
      <c r="Q348" s="383"/>
      <c r="R348" s="383"/>
      <c r="S348" s="383"/>
      <c r="T348" s="410"/>
      <c r="U348" s="406"/>
      <c r="V348" s="386"/>
      <c r="W348" s="387" t="s">
        <v>289</v>
      </c>
      <c r="X348" s="378" t="s">
        <v>289</v>
      </c>
      <c r="Y348" s="387" t="s">
        <v>289</v>
      </c>
      <c r="Z348" s="391" t="s">
        <v>289</v>
      </c>
      <c r="AA348" s="391" t="s">
        <v>289</v>
      </c>
      <c r="AB348" s="391" t="s">
        <v>289</v>
      </c>
      <c r="AC348" s="391" t="s">
        <v>289</v>
      </c>
      <c r="AD348" s="395" t="s">
        <v>289</v>
      </c>
      <c r="AE348" s="395"/>
      <c r="AF348" s="395"/>
      <c r="AG348" s="395"/>
      <c r="AH348" s="395"/>
    </row>
    <row r="349" ht="30.75" customHeight="1">
      <c r="A349" s="373" t="str">
        <f t="shared" si="1"/>
        <v/>
      </c>
      <c r="B349" s="421" t="s">
        <v>289</v>
      </c>
      <c r="C349" s="406"/>
      <c r="D349" s="406"/>
      <c r="E349" s="406"/>
      <c r="F349" s="395" t="s">
        <v>289</v>
      </c>
      <c r="G349" s="406"/>
      <c r="H349" s="406"/>
      <c r="I349" s="378" t="s">
        <v>289</v>
      </c>
      <c r="J349" s="379" t="s">
        <v>289</v>
      </c>
      <c r="K349" s="407"/>
      <c r="L349" s="378" t="s">
        <v>289</v>
      </c>
      <c r="M349" s="378" t="s">
        <v>289</v>
      </c>
      <c r="N349" s="378" t="s">
        <v>289</v>
      </c>
      <c r="O349" s="409"/>
      <c r="P349" s="387" t="s">
        <v>289</v>
      </c>
      <c r="Q349" s="383"/>
      <c r="R349" s="383"/>
      <c r="S349" s="383"/>
      <c r="T349" s="410"/>
      <c r="U349" s="406"/>
      <c r="V349" s="386"/>
      <c r="W349" s="387" t="s">
        <v>289</v>
      </c>
      <c r="X349" s="378" t="s">
        <v>289</v>
      </c>
      <c r="Y349" s="387" t="s">
        <v>289</v>
      </c>
      <c r="Z349" s="391" t="s">
        <v>289</v>
      </c>
      <c r="AA349" s="391" t="s">
        <v>289</v>
      </c>
      <c r="AB349" s="391" t="s">
        <v>289</v>
      </c>
      <c r="AC349" s="391" t="s">
        <v>289</v>
      </c>
      <c r="AD349" s="395" t="s">
        <v>289</v>
      </c>
      <c r="AE349" s="395"/>
      <c r="AF349" s="395"/>
      <c r="AG349" s="395"/>
      <c r="AH349" s="395"/>
    </row>
    <row r="350" ht="30.75" customHeight="1">
      <c r="A350" s="373" t="str">
        <f t="shared" si="1"/>
        <v/>
      </c>
      <c r="B350" s="421" t="s">
        <v>289</v>
      </c>
      <c r="C350" s="406"/>
      <c r="D350" s="406"/>
      <c r="E350" s="406"/>
      <c r="F350" s="395" t="s">
        <v>289</v>
      </c>
      <c r="G350" s="406"/>
      <c r="H350" s="406"/>
      <c r="I350" s="378" t="s">
        <v>289</v>
      </c>
      <c r="J350" s="379" t="s">
        <v>289</v>
      </c>
      <c r="K350" s="407"/>
      <c r="L350" s="378" t="s">
        <v>289</v>
      </c>
      <c r="M350" s="378" t="s">
        <v>289</v>
      </c>
      <c r="N350" s="378" t="s">
        <v>289</v>
      </c>
      <c r="O350" s="409"/>
      <c r="P350" s="387" t="s">
        <v>289</v>
      </c>
      <c r="Q350" s="383"/>
      <c r="R350" s="383"/>
      <c r="S350" s="383"/>
      <c r="T350" s="410"/>
      <c r="U350" s="406"/>
      <c r="V350" s="386"/>
      <c r="W350" s="387" t="s">
        <v>289</v>
      </c>
      <c r="X350" s="378" t="s">
        <v>289</v>
      </c>
      <c r="Y350" s="387" t="s">
        <v>289</v>
      </c>
      <c r="Z350" s="391" t="s">
        <v>289</v>
      </c>
      <c r="AA350" s="391" t="s">
        <v>289</v>
      </c>
      <c r="AB350" s="391" t="s">
        <v>289</v>
      </c>
      <c r="AC350" s="391" t="s">
        <v>289</v>
      </c>
      <c r="AD350" s="395" t="s">
        <v>289</v>
      </c>
      <c r="AE350" s="395"/>
      <c r="AF350" s="395"/>
      <c r="AG350" s="395"/>
      <c r="AH350" s="395"/>
    </row>
    <row r="351" ht="30.75" customHeight="1">
      <c r="A351" s="373" t="str">
        <f t="shared" si="1"/>
        <v/>
      </c>
      <c r="B351" s="421" t="s">
        <v>289</v>
      </c>
      <c r="C351" s="406"/>
      <c r="D351" s="406"/>
      <c r="E351" s="406"/>
      <c r="F351" s="395" t="s">
        <v>289</v>
      </c>
      <c r="G351" s="406"/>
      <c r="H351" s="406"/>
      <c r="I351" s="378" t="s">
        <v>289</v>
      </c>
      <c r="J351" s="379" t="s">
        <v>289</v>
      </c>
      <c r="K351" s="407"/>
      <c r="L351" s="378" t="s">
        <v>289</v>
      </c>
      <c r="M351" s="378" t="s">
        <v>289</v>
      </c>
      <c r="N351" s="378" t="s">
        <v>289</v>
      </c>
      <c r="O351" s="409"/>
      <c r="P351" s="387" t="s">
        <v>289</v>
      </c>
      <c r="Q351" s="383"/>
      <c r="R351" s="383"/>
      <c r="S351" s="383"/>
      <c r="T351" s="410"/>
      <c r="U351" s="406"/>
      <c r="V351" s="386"/>
      <c r="W351" s="387" t="s">
        <v>289</v>
      </c>
      <c r="X351" s="378" t="s">
        <v>289</v>
      </c>
      <c r="Y351" s="387" t="s">
        <v>289</v>
      </c>
      <c r="Z351" s="391" t="s">
        <v>289</v>
      </c>
      <c r="AA351" s="391" t="s">
        <v>289</v>
      </c>
      <c r="AB351" s="391" t="s">
        <v>289</v>
      </c>
      <c r="AC351" s="391" t="s">
        <v>289</v>
      </c>
      <c r="AD351" s="395" t="s">
        <v>289</v>
      </c>
      <c r="AE351" s="395"/>
      <c r="AF351" s="395"/>
      <c r="AG351" s="395"/>
      <c r="AH351" s="395"/>
    </row>
    <row r="352" ht="30.75" customHeight="1">
      <c r="A352" s="373" t="str">
        <f t="shared" si="1"/>
        <v/>
      </c>
      <c r="B352" s="421" t="s">
        <v>289</v>
      </c>
      <c r="C352" s="406"/>
      <c r="D352" s="406"/>
      <c r="E352" s="406"/>
      <c r="F352" s="395" t="s">
        <v>289</v>
      </c>
      <c r="G352" s="406"/>
      <c r="H352" s="406"/>
      <c r="I352" s="378" t="s">
        <v>289</v>
      </c>
      <c r="J352" s="379" t="s">
        <v>289</v>
      </c>
      <c r="K352" s="407"/>
      <c r="L352" s="378" t="s">
        <v>289</v>
      </c>
      <c r="M352" s="378" t="s">
        <v>289</v>
      </c>
      <c r="N352" s="378" t="s">
        <v>289</v>
      </c>
      <c r="O352" s="409"/>
      <c r="P352" s="387" t="s">
        <v>289</v>
      </c>
      <c r="Q352" s="383"/>
      <c r="R352" s="383"/>
      <c r="S352" s="383"/>
      <c r="T352" s="410"/>
      <c r="U352" s="406"/>
      <c r="V352" s="386"/>
      <c r="W352" s="387" t="s">
        <v>289</v>
      </c>
      <c r="X352" s="378" t="s">
        <v>289</v>
      </c>
      <c r="Y352" s="387" t="s">
        <v>289</v>
      </c>
      <c r="Z352" s="391" t="s">
        <v>289</v>
      </c>
      <c r="AA352" s="391" t="s">
        <v>289</v>
      </c>
      <c r="AB352" s="391" t="s">
        <v>289</v>
      </c>
      <c r="AC352" s="391" t="s">
        <v>289</v>
      </c>
      <c r="AD352" s="395" t="s">
        <v>289</v>
      </c>
      <c r="AE352" s="395"/>
      <c r="AF352" s="395"/>
      <c r="AG352" s="395"/>
      <c r="AH352" s="395"/>
    </row>
    <row r="353" ht="30.75" customHeight="1">
      <c r="A353" s="373" t="str">
        <f t="shared" si="1"/>
        <v/>
      </c>
      <c r="B353" s="421" t="s">
        <v>289</v>
      </c>
      <c r="C353" s="406"/>
      <c r="D353" s="406"/>
      <c r="E353" s="406"/>
      <c r="F353" s="395" t="s">
        <v>289</v>
      </c>
      <c r="G353" s="406"/>
      <c r="H353" s="406"/>
      <c r="I353" s="378" t="s">
        <v>289</v>
      </c>
      <c r="J353" s="379" t="s">
        <v>289</v>
      </c>
      <c r="K353" s="407"/>
      <c r="L353" s="378" t="s">
        <v>289</v>
      </c>
      <c r="M353" s="378" t="s">
        <v>289</v>
      </c>
      <c r="N353" s="378" t="s">
        <v>289</v>
      </c>
      <c r="O353" s="409"/>
      <c r="P353" s="387" t="s">
        <v>289</v>
      </c>
      <c r="Q353" s="383"/>
      <c r="R353" s="383"/>
      <c r="S353" s="383"/>
      <c r="T353" s="410"/>
      <c r="U353" s="406"/>
      <c r="V353" s="386"/>
      <c r="W353" s="387" t="s">
        <v>289</v>
      </c>
      <c r="X353" s="378" t="s">
        <v>289</v>
      </c>
      <c r="Y353" s="387" t="s">
        <v>289</v>
      </c>
      <c r="Z353" s="391" t="s">
        <v>289</v>
      </c>
      <c r="AA353" s="391" t="s">
        <v>289</v>
      </c>
      <c r="AB353" s="391" t="s">
        <v>289</v>
      </c>
      <c r="AC353" s="391" t="s">
        <v>289</v>
      </c>
      <c r="AD353" s="395" t="s">
        <v>289</v>
      </c>
      <c r="AE353" s="395"/>
      <c r="AF353" s="395"/>
      <c r="AG353" s="395"/>
      <c r="AH353" s="395"/>
    </row>
    <row r="354" ht="30.75" customHeight="1">
      <c r="A354" s="373" t="str">
        <f t="shared" si="1"/>
        <v/>
      </c>
      <c r="B354" s="421" t="s">
        <v>289</v>
      </c>
      <c r="C354" s="406"/>
      <c r="D354" s="406"/>
      <c r="E354" s="406"/>
      <c r="F354" s="395" t="s">
        <v>289</v>
      </c>
      <c r="G354" s="406"/>
      <c r="H354" s="406"/>
      <c r="I354" s="378" t="s">
        <v>289</v>
      </c>
      <c r="J354" s="379" t="s">
        <v>289</v>
      </c>
      <c r="K354" s="407"/>
      <c r="L354" s="378" t="s">
        <v>289</v>
      </c>
      <c r="M354" s="378" t="s">
        <v>289</v>
      </c>
      <c r="N354" s="378" t="s">
        <v>289</v>
      </c>
      <c r="O354" s="409"/>
      <c r="P354" s="387" t="s">
        <v>289</v>
      </c>
      <c r="Q354" s="383"/>
      <c r="R354" s="383"/>
      <c r="S354" s="383"/>
      <c r="T354" s="410"/>
      <c r="U354" s="406"/>
      <c r="V354" s="386"/>
      <c r="W354" s="387" t="s">
        <v>289</v>
      </c>
      <c r="X354" s="378" t="s">
        <v>289</v>
      </c>
      <c r="Y354" s="387" t="s">
        <v>289</v>
      </c>
      <c r="Z354" s="391" t="s">
        <v>289</v>
      </c>
      <c r="AA354" s="391" t="s">
        <v>289</v>
      </c>
      <c r="AB354" s="391" t="s">
        <v>289</v>
      </c>
      <c r="AC354" s="391" t="s">
        <v>289</v>
      </c>
      <c r="AD354" s="395" t="s">
        <v>289</v>
      </c>
      <c r="AE354" s="395"/>
      <c r="AF354" s="395"/>
      <c r="AG354" s="395"/>
      <c r="AH354" s="395"/>
    </row>
    <row r="355" ht="30.75" customHeight="1">
      <c r="A355" s="373" t="str">
        <f t="shared" si="1"/>
        <v/>
      </c>
      <c r="B355" s="421" t="s">
        <v>289</v>
      </c>
      <c r="C355" s="406"/>
      <c r="D355" s="406"/>
      <c r="E355" s="406"/>
      <c r="F355" s="395" t="s">
        <v>289</v>
      </c>
      <c r="G355" s="406"/>
      <c r="H355" s="406"/>
      <c r="I355" s="378" t="s">
        <v>289</v>
      </c>
      <c r="J355" s="379" t="s">
        <v>289</v>
      </c>
      <c r="K355" s="407"/>
      <c r="L355" s="378" t="s">
        <v>289</v>
      </c>
      <c r="M355" s="378" t="s">
        <v>289</v>
      </c>
      <c r="N355" s="378" t="s">
        <v>289</v>
      </c>
      <c r="O355" s="409"/>
      <c r="P355" s="387" t="s">
        <v>289</v>
      </c>
      <c r="Q355" s="383"/>
      <c r="R355" s="383"/>
      <c r="S355" s="383"/>
      <c r="T355" s="410"/>
      <c r="U355" s="406"/>
      <c r="V355" s="386"/>
      <c r="W355" s="387" t="s">
        <v>289</v>
      </c>
      <c r="X355" s="378" t="s">
        <v>289</v>
      </c>
      <c r="Y355" s="387" t="s">
        <v>289</v>
      </c>
      <c r="Z355" s="391" t="s">
        <v>289</v>
      </c>
      <c r="AA355" s="391" t="s">
        <v>289</v>
      </c>
      <c r="AB355" s="391" t="s">
        <v>289</v>
      </c>
      <c r="AC355" s="391" t="s">
        <v>289</v>
      </c>
      <c r="AD355" s="395" t="s">
        <v>289</v>
      </c>
      <c r="AE355" s="395"/>
      <c r="AF355" s="395"/>
      <c r="AG355" s="395"/>
      <c r="AH355" s="395"/>
    </row>
    <row r="356" ht="30.75" customHeight="1">
      <c r="A356" s="373" t="str">
        <f t="shared" si="1"/>
        <v/>
      </c>
      <c r="B356" s="421" t="s">
        <v>289</v>
      </c>
      <c r="C356" s="406"/>
      <c r="D356" s="406"/>
      <c r="E356" s="406"/>
      <c r="F356" s="395" t="s">
        <v>289</v>
      </c>
      <c r="G356" s="406"/>
      <c r="H356" s="406"/>
      <c r="I356" s="378" t="s">
        <v>289</v>
      </c>
      <c r="J356" s="379" t="s">
        <v>289</v>
      </c>
      <c r="K356" s="407"/>
      <c r="L356" s="378" t="s">
        <v>289</v>
      </c>
      <c r="M356" s="378" t="s">
        <v>289</v>
      </c>
      <c r="N356" s="378" t="s">
        <v>289</v>
      </c>
      <c r="O356" s="409"/>
      <c r="P356" s="387" t="s">
        <v>289</v>
      </c>
      <c r="Q356" s="383"/>
      <c r="R356" s="383"/>
      <c r="S356" s="383"/>
      <c r="T356" s="410"/>
      <c r="U356" s="406"/>
      <c r="V356" s="386"/>
      <c r="W356" s="387" t="s">
        <v>289</v>
      </c>
      <c r="X356" s="378" t="s">
        <v>289</v>
      </c>
      <c r="Y356" s="387" t="s">
        <v>289</v>
      </c>
      <c r="Z356" s="391" t="s">
        <v>289</v>
      </c>
      <c r="AA356" s="391" t="s">
        <v>289</v>
      </c>
      <c r="AB356" s="391" t="s">
        <v>289</v>
      </c>
      <c r="AC356" s="391" t="s">
        <v>289</v>
      </c>
      <c r="AD356" s="395" t="s">
        <v>289</v>
      </c>
      <c r="AE356" s="395"/>
      <c r="AF356" s="395"/>
      <c r="AG356" s="395"/>
      <c r="AH356" s="395"/>
    </row>
    <row r="357" ht="30.75" customHeight="1">
      <c r="A357" s="373" t="str">
        <f t="shared" si="1"/>
        <v/>
      </c>
      <c r="B357" s="421" t="s">
        <v>289</v>
      </c>
      <c r="C357" s="406"/>
      <c r="D357" s="406"/>
      <c r="E357" s="406"/>
      <c r="F357" s="395" t="s">
        <v>289</v>
      </c>
      <c r="G357" s="406"/>
      <c r="H357" s="406"/>
      <c r="I357" s="378" t="s">
        <v>289</v>
      </c>
      <c r="J357" s="379" t="s">
        <v>289</v>
      </c>
      <c r="K357" s="407"/>
      <c r="L357" s="378" t="s">
        <v>289</v>
      </c>
      <c r="M357" s="378" t="s">
        <v>289</v>
      </c>
      <c r="N357" s="378" t="s">
        <v>289</v>
      </c>
      <c r="O357" s="409"/>
      <c r="P357" s="387" t="s">
        <v>289</v>
      </c>
      <c r="Q357" s="383"/>
      <c r="R357" s="383"/>
      <c r="S357" s="383"/>
      <c r="T357" s="410"/>
      <c r="U357" s="406"/>
      <c r="V357" s="386"/>
      <c r="W357" s="387" t="s">
        <v>289</v>
      </c>
      <c r="X357" s="378" t="s">
        <v>289</v>
      </c>
      <c r="Y357" s="387" t="s">
        <v>289</v>
      </c>
      <c r="Z357" s="391" t="s">
        <v>289</v>
      </c>
      <c r="AA357" s="391" t="s">
        <v>289</v>
      </c>
      <c r="AB357" s="391" t="s">
        <v>289</v>
      </c>
      <c r="AC357" s="391" t="s">
        <v>289</v>
      </c>
      <c r="AD357" s="395" t="s">
        <v>289</v>
      </c>
      <c r="AE357" s="395"/>
      <c r="AF357" s="395"/>
      <c r="AG357" s="395"/>
      <c r="AH357" s="395"/>
    </row>
    <row r="358" ht="30.75" customHeight="1">
      <c r="A358" s="373" t="str">
        <f t="shared" si="1"/>
        <v/>
      </c>
      <c r="B358" s="421" t="s">
        <v>289</v>
      </c>
      <c r="C358" s="406"/>
      <c r="D358" s="406"/>
      <c r="E358" s="406"/>
      <c r="F358" s="395" t="s">
        <v>289</v>
      </c>
      <c r="G358" s="406"/>
      <c r="H358" s="406"/>
      <c r="I358" s="378" t="s">
        <v>289</v>
      </c>
      <c r="J358" s="379" t="s">
        <v>289</v>
      </c>
      <c r="K358" s="407"/>
      <c r="L358" s="378" t="s">
        <v>289</v>
      </c>
      <c r="M358" s="378" t="s">
        <v>289</v>
      </c>
      <c r="N358" s="378" t="s">
        <v>289</v>
      </c>
      <c r="O358" s="409"/>
      <c r="P358" s="387" t="s">
        <v>289</v>
      </c>
      <c r="Q358" s="383"/>
      <c r="R358" s="383"/>
      <c r="S358" s="383"/>
      <c r="T358" s="410"/>
      <c r="U358" s="406"/>
      <c r="V358" s="386"/>
      <c r="W358" s="387" t="s">
        <v>289</v>
      </c>
      <c r="X358" s="378" t="s">
        <v>289</v>
      </c>
      <c r="Y358" s="387" t="s">
        <v>289</v>
      </c>
      <c r="Z358" s="391" t="s">
        <v>289</v>
      </c>
      <c r="AA358" s="391" t="s">
        <v>289</v>
      </c>
      <c r="AB358" s="391" t="s">
        <v>289</v>
      </c>
      <c r="AC358" s="391" t="s">
        <v>289</v>
      </c>
      <c r="AD358" s="395" t="s">
        <v>289</v>
      </c>
      <c r="AE358" s="395"/>
      <c r="AF358" s="395"/>
      <c r="AG358" s="395"/>
      <c r="AH358" s="395"/>
    </row>
    <row r="359" ht="30.75" customHeight="1">
      <c r="A359" s="373" t="str">
        <f t="shared" si="1"/>
        <v/>
      </c>
      <c r="B359" s="421" t="s">
        <v>289</v>
      </c>
      <c r="C359" s="406"/>
      <c r="D359" s="406"/>
      <c r="E359" s="406"/>
      <c r="F359" s="395" t="s">
        <v>289</v>
      </c>
      <c r="G359" s="406"/>
      <c r="H359" s="406"/>
      <c r="I359" s="378" t="s">
        <v>289</v>
      </c>
      <c r="J359" s="379" t="s">
        <v>289</v>
      </c>
      <c r="K359" s="407"/>
      <c r="L359" s="378" t="s">
        <v>289</v>
      </c>
      <c r="M359" s="378" t="s">
        <v>289</v>
      </c>
      <c r="N359" s="378" t="s">
        <v>289</v>
      </c>
      <c r="O359" s="409"/>
      <c r="P359" s="387" t="s">
        <v>289</v>
      </c>
      <c r="Q359" s="383"/>
      <c r="R359" s="383"/>
      <c r="S359" s="383"/>
      <c r="T359" s="410"/>
      <c r="U359" s="406"/>
      <c r="V359" s="386"/>
      <c r="W359" s="387" t="s">
        <v>289</v>
      </c>
      <c r="X359" s="378" t="s">
        <v>289</v>
      </c>
      <c r="Y359" s="387" t="s">
        <v>289</v>
      </c>
      <c r="Z359" s="391" t="s">
        <v>289</v>
      </c>
      <c r="AA359" s="391" t="s">
        <v>289</v>
      </c>
      <c r="AB359" s="391" t="s">
        <v>289</v>
      </c>
      <c r="AC359" s="391" t="s">
        <v>289</v>
      </c>
      <c r="AD359" s="395" t="s">
        <v>289</v>
      </c>
      <c r="AE359" s="395"/>
      <c r="AF359" s="395"/>
      <c r="AG359" s="395"/>
      <c r="AH359" s="395"/>
    </row>
    <row r="360" ht="30.75" customHeight="1">
      <c r="A360" s="373" t="str">
        <f t="shared" si="1"/>
        <v/>
      </c>
      <c r="B360" s="421" t="s">
        <v>289</v>
      </c>
      <c r="C360" s="406"/>
      <c r="D360" s="406"/>
      <c r="E360" s="406"/>
      <c r="F360" s="395" t="s">
        <v>289</v>
      </c>
      <c r="G360" s="406"/>
      <c r="H360" s="406"/>
      <c r="I360" s="378" t="s">
        <v>289</v>
      </c>
      <c r="J360" s="379" t="s">
        <v>289</v>
      </c>
      <c r="K360" s="407"/>
      <c r="L360" s="378" t="s">
        <v>289</v>
      </c>
      <c r="M360" s="378" t="s">
        <v>289</v>
      </c>
      <c r="N360" s="378" t="s">
        <v>289</v>
      </c>
      <c r="O360" s="409"/>
      <c r="P360" s="387" t="s">
        <v>289</v>
      </c>
      <c r="Q360" s="383"/>
      <c r="R360" s="383"/>
      <c r="S360" s="383"/>
      <c r="T360" s="410"/>
      <c r="U360" s="406"/>
      <c r="V360" s="386"/>
      <c r="W360" s="387" t="s">
        <v>289</v>
      </c>
      <c r="X360" s="378" t="s">
        <v>289</v>
      </c>
      <c r="Y360" s="387" t="s">
        <v>289</v>
      </c>
      <c r="Z360" s="391" t="s">
        <v>289</v>
      </c>
      <c r="AA360" s="391" t="s">
        <v>289</v>
      </c>
      <c r="AB360" s="391" t="s">
        <v>289</v>
      </c>
      <c r="AC360" s="391" t="s">
        <v>289</v>
      </c>
      <c r="AD360" s="395" t="s">
        <v>289</v>
      </c>
      <c r="AE360" s="395"/>
      <c r="AF360" s="395"/>
      <c r="AG360" s="395"/>
      <c r="AH360" s="395"/>
    </row>
    <row r="361" ht="30.75" customHeight="1">
      <c r="A361" s="373" t="str">
        <f t="shared" si="1"/>
        <v/>
      </c>
      <c r="B361" s="421" t="s">
        <v>289</v>
      </c>
      <c r="C361" s="406"/>
      <c r="D361" s="406"/>
      <c r="E361" s="406"/>
      <c r="F361" s="395" t="s">
        <v>289</v>
      </c>
      <c r="G361" s="406"/>
      <c r="H361" s="406"/>
      <c r="I361" s="378" t="s">
        <v>289</v>
      </c>
      <c r="J361" s="379" t="s">
        <v>289</v>
      </c>
      <c r="K361" s="407"/>
      <c r="L361" s="378" t="s">
        <v>289</v>
      </c>
      <c r="M361" s="378" t="s">
        <v>289</v>
      </c>
      <c r="N361" s="378" t="s">
        <v>289</v>
      </c>
      <c r="O361" s="409"/>
      <c r="P361" s="387" t="s">
        <v>289</v>
      </c>
      <c r="Q361" s="383"/>
      <c r="R361" s="383"/>
      <c r="S361" s="383"/>
      <c r="T361" s="410"/>
      <c r="U361" s="406"/>
      <c r="V361" s="386"/>
      <c r="W361" s="387" t="s">
        <v>289</v>
      </c>
      <c r="X361" s="378" t="s">
        <v>289</v>
      </c>
      <c r="Y361" s="387" t="s">
        <v>289</v>
      </c>
      <c r="Z361" s="391" t="s">
        <v>289</v>
      </c>
      <c r="AA361" s="391" t="s">
        <v>289</v>
      </c>
      <c r="AB361" s="391" t="s">
        <v>289</v>
      </c>
      <c r="AC361" s="391" t="s">
        <v>289</v>
      </c>
      <c r="AD361" s="395" t="s">
        <v>289</v>
      </c>
      <c r="AE361" s="395"/>
      <c r="AF361" s="395"/>
      <c r="AG361" s="395"/>
      <c r="AH361" s="395"/>
    </row>
    <row r="362" ht="30.75" customHeight="1">
      <c r="A362" s="373" t="str">
        <f t="shared" si="1"/>
        <v/>
      </c>
      <c r="B362" s="421" t="s">
        <v>289</v>
      </c>
      <c r="C362" s="406"/>
      <c r="D362" s="406"/>
      <c r="E362" s="406"/>
      <c r="F362" s="395" t="s">
        <v>289</v>
      </c>
      <c r="G362" s="406"/>
      <c r="H362" s="406"/>
      <c r="I362" s="378" t="s">
        <v>289</v>
      </c>
      <c r="J362" s="379" t="s">
        <v>289</v>
      </c>
      <c r="K362" s="407"/>
      <c r="L362" s="378" t="s">
        <v>289</v>
      </c>
      <c r="M362" s="378" t="s">
        <v>289</v>
      </c>
      <c r="N362" s="378" t="s">
        <v>289</v>
      </c>
      <c r="O362" s="409"/>
      <c r="P362" s="387" t="s">
        <v>289</v>
      </c>
      <c r="Q362" s="383"/>
      <c r="R362" s="383"/>
      <c r="S362" s="383"/>
      <c r="T362" s="410"/>
      <c r="U362" s="406"/>
      <c r="V362" s="386"/>
      <c r="W362" s="387" t="s">
        <v>289</v>
      </c>
      <c r="X362" s="378" t="s">
        <v>289</v>
      </c>
      <c r="Y362" s="387" t="s">
        <v>289</v>
      </c>
      <c r="Z362" s="391" t="s">
        <v>289</v>
      </c>
      <c r="AA362" s="391" t="s">
        <v>289</v>
      </c>
      <c r="AB362" s="391" t="s">
        <v>289</v>
      </c>
      <c r="AC362" s="391" t="s">
        <v>289</v>
      </c>
      <c r="AD362" s="395" t="s">
        <v>289</v>
      </c>
      <c r="AE362" s="395"/>
      <c r="AF362" s="395"/>
      <c r="AG362" s="395"/>
      <c r="AH362" s="395"/>
    </row>
    <row r="363" ht="30.75" customHeight="1">
      <c r="A363" s="373" t="str">
        <f t="shared" si="1"/>
        <v/>
      </c>
      <c r="B363" s="421" t="s">
        <v>289</v>
      </c>
      <c r="C363" s="406"/>
      <c r="D363" s="406"/>
      <c r="E363" s="406"/>
      <c r="F363" s="395" t="s">
        <v>289</v>
      </c>
      <c r="G363" s="406"/>
      <c r="H363" s="406"/>
      <c r="I363" s="378" t="s">
        <v>289</v>
      </c>
      <c r="J363" s="379" t="s">
        <v>289</v>
      </c>
      <c r="K363" s="407"/>
      <c r="L363" s="378" t="s">
        <v>289</v>
      </c>
      <c r="M363" s="378" t="s">
        <v>289</v>
      </c>
      <c r="N363" s="378" t="s">
        <v>289</v>
      </c>
      <c r="O363" s="409"/>
      <c r="P363" s="387" t="s">
        <v>289</v>
      </c>
      <c r="Q363" s="383"/>
      <c r="R363" s="383"/>
      <c r="S363" s="383"/>
      <c r="T363" s="410"/>
      <c r="U363" s="406"/>
      <c r="V363" s="386"/>
      <c r="W363" s="387" t="s">
        <v>289</v>
      </c>
      <c r="X363" s="378" t="s">
        <v>289</v>
      </c>
      <c r="Y363" s="387" t="s">
        <v>289</v>
      </c>
      <c r="Z363" s="391" t="s">
        <v>289</v>
      </c>
      <c r="AA363" s="391" t="s">
        <v>289</v>
      </c>
      <c r="AB363" s="391" t="s">
        <v>289</v>
      </c>
      <c r="AC363" s="391" t="s">
        <v>289</v>
      </c>
      <c r="AD363" s="395" t="s">
        <v>289</v>
      </c>
      <c r="AE363" s="395"/>
      <c r="AF363" s="395"/>
      <c r="AG363" s="395"/>
      <c r="AH363" s="395"/>
    </row>
    <row r="364" ht="30.75" customHeight="1">
      <c r="A364" s="373" t="str">
        <f t="shared" si="1"/>
        <v/>
      </c>
      <c r="B364" s="421" t="s">
        <v>289</v>
      </c>
      <c r="C364" s="406"/>
      <c r="D364" s="406"/>
      <c r="E364" s="406"/>
      <c r="F364" s="395" t="s">
        <v>289</v>
      </c>
      <c r="G364" s="406"/>
      <c r="H364" s="406"/>
      <c r="I364" s="378" t="s">
        <v>289</v>
      </c>
      <c r="J364" s="379" t="s">
        <v>289</v>
      </c>
      <c r="K364" s="407"/>
      <c r="L364" s="378" t="s">
        <v>289</v>
      </c>
      <c r="M364" s="378" t="s">
        <v>289</v>
      </c>
      <c r="N364" s="378" t="s">
        <v>289</v>
      </c>
      <c r="O364" s="409"/>
      <c r="P364" s="387" t="s">
        <v>289</v>
      </c>
      <c r="Q364" s="383"/>
      <c r="R364" s="383"/>
      <c r="S364" s="383"/>
      <c r="T364" s="410"/>
      <c r="U364" s="406"/>
      <c r="V364" s="386"/>
      <c r="W364" s="387" t="s">
        <v>289</v>
      </c>
      <c r="X364" s="378" t="s">
        <v>289</v>
      </c>
      <c r="Y364" s="387" t="s">
        <v>289</v>
      </c>
      <c r="Z364" s="391" t="s">
        <v>289</v>
      </c>
      <c r="AA364" s="391" t="s">
        <v>289</v>
      </c>
      <c r="AB364" s="391" t="s">
        <v>289</v>
      </c>
      <c r="AC364" s="391" t="s">
        <v>289</v>
      </c>
      <c r="AD364" s="395" t="s">
        <v>289</v>
      </c>
      <c r="AE364" s="395"/>
      <c r="AF364" s="395"/>
      <c r="AG364" s="395"/>
      <c r="AH364" s="395"/>
    </row>
    <row r="365" ht="30.75" customHeight="1">
      <c r="A365" s="373" t="str">
        <f t="shared" si="1"/>
        <v/>
      </c>
      <c r="B365" s="421" t="s">
        <v>289</v>
      </c>
      <c r="C365" s="406"/>
      <c r="D365" s="406"/>
      <c r="E365" s="406"/>
      <c r="F365" s="395" t="s">
        <v>289</v>
      </c>
      <c r="G365" s="406"/>
      <c r="H365" s="406"/>
      <c r="I365" s="378" t="s">
        <v>289</v>
      </c>
      <c r="J365" s="379" t="s">
        <v>289</v>
      </c>
      <c r="K365" s="407"/>
      <c r="L365" s="378" t="s">
        <v>289</v>
      </c>
      <c r="M365" s="378" t="s">
        <v>289</v>
      </c>
      <c r="N365" s="378" t="s">
        <v>289</v>
      </c>
      <c r="O365" s="409"/>
      <c r="P365" s="387" t="s">
        <v>289</v>
      </c>
      <c r="Q365" s="383"/>
      <c r="R365" s="383"/>
      <c r="S365" s="383"/>
      <c r="T365" s="410"/>
      <c r="U365" s="406"/>
      <c r="V365" s="386"/>
      <c r="W365" s="387" t="s">
        <v>289</v>
      </c>
      <c r="X365" s="378" t="s">
        <v>289</v>
      </c>
      <c r="Y365" s="387" t="s">
        <v>289</v>
      </c>
      <c r="Z365" s="391" t="s">
        <v>289</v>
      </c>
      <c r="AA365" s="391" t="s">
        <v>289</v>
      </c>
      <c r="AB365" s="391" t="s">
        <v>289</v>
      </c>
      <c r="AC365" s="391" t="s">
        <v>289</v>
      </c>
      <c r="AD365" s="395" t="s">
        <v>289</v>
      </c>
      <c r="AE365" s="395"/>
      <c r="AF365" s="395"/>
      <c r="AG365" s="395"/>
      <c r="AH365" s="395"/>
    </row>
    <row r="366" ht="30.75" customHeight="1">
      <c r="A366" s="373" t="str">
        <f t="shared" si="1"/>
        <v/>
      </c>
      <c r="B366" s="421" t="s">
        <v>289</v>
      </c>
      <c r="C366" s="406"/>
      <c r="D366" s="406"/>
      <c r="E366" s="406"/>
      <c r="F366" s="395" t="s">
        <v>289</v>
      </c>
      <c r="G366" s="406"/>
      <c r="H366" s="406"/>
      <c r="I366" s="378" t="s">
        <v>289</v>
      </c>
      <c r="J366" s="379" t="s">
        <v>289</v>
      </c>
      <c r="K366" s="407"/>
      <c r="L366" s="378" t="s">
        <v>289</v>
      </c>
      <c r="M366" s="378" t="s">
        <v>289</v>
      </c>
      <c r="N366" s="378" t="s">
        <v>289</v>
      </c>
      <c r="O366" s="409"/>
      <c r="P366" s="387" t="s">
        <v>289</v>
      </c>
      <c r="Q366" s="383"/>
      <c r="R366" s="383"/>
      <c r="S366" s="383"/>
      <c r="T366" s="410"/>
      <c r="U366" s="406"/>
      <c r="V366" s="386"/>
      <c r="W366" s="387" t="s">
        <v>289</v>
      </c>
      <c r="X366" s="378" t="s">
        <v>289</v>
      </c>
      <c r="Y366" s="387" t="s">
        <v>289</v>
      </c>
      <c r="Z366" s="391" t="s">
        <v>289</v>
      </c>
      <c r="AA366" s="391" t="s">
        <v>289</v>
      </c>
      <c r="AB366" s="391" t="s">
        <v>289</v>
      </c>
      <c r="AC366" s="391" t="s">
        <v>289</v>
      </c>
      <c r="AD366" s="395" t="s">
        <v>289</v>
      </c>
      <c r="AE366" s="395"/>
      <c r="AF366" s="395"/>
      <c r="AG366" s="395"/>
      <c r="AH366" s="395"/>
    </row>
    <row r="367" ht="30.75" customHeight="1">
      <c r="A367" s="373" t="str">
        <f t="shared" si="1"/>
        <v/>
      </c>
      <c r="B367" s="421" t="s">
        <v>289</v>
      </c>
      <c r="C367" s="406"/>
      <c r="D367" s="406"/>
      <c r="E367" s="406"/>
      <c r="F367" s="395" t="s">
        <v>289</v>
      </c>
      <c r="G367" s="406"/>
      <c r="H367" s="406"/>
      <c r="I367" s="378" t="s">
        <v>289</v>
      </c>
      <c r="J367" s="379" t="s">
        <v>289</v>
      </c>
      <c r="K367" s="407"/>
      <c r="L367" s="378" t="s">
        <v>289</v>
      </c>
      <c r="M367" s="378" t="s">
        <v>289</v>
      </c>
      <c r="N367" s="378" t="s">
        <v>289</v>
      </c>
      <c r="O367" s="409"/>
      <c r="P367" s="387" t="s">
        <v>289</v>
      </c>
      <c r="Q367" s="383"/>
      <c r="R367" s="383"/>
      <c r="S367" s="383"/>
      <c r="T367" s="410"/>
      <c r="U367" s="406"/>
      <c r="V367" s="386"/>
      <c r="W367" s="387" t="s">
        <v>289</v>
      </c>
      <c r="X367" s="378" t="s">
        <v>289</v>
      </c>
      <c r="Y367" s="387" t="s">
        <v>289</v>
      </c>
      <c r="Z367" s="391" t="s">
        <v>289</v>
      </c>
      <c r="AA367" s="391" t="s">
        <v>289</v>
      </c>
      <c r="AB367" s="391" t="s">
        <v>289</v>
      </c>
      <c r="AC367" s="391" t="s">
        <v>289</v>
      </c>
      <c r="AD367" s="395" t="s">
        <v>289</v>
      </c>
      <c r="AE367" s="395"/>
      <c r="AF367" s="395"/>
      <c r="AG367" s="395"/>
      <c r="AH367" s="395"/>
    </row>
    <row r="368" ht="30.75" customHeight="1">
      <c r="A368" s="373" t="str">
        <f t="shared" si="1"/>
        <v/>
      </c>
      <c r="B368" s="421" t="s">
        <v>289</v>
      </c>
      <c r="C368" s="406"/>
      <c r="D368" s="406"/>
      <c r="E368" s="406"/>
      <c r="F368" s="395" t="s">
        <v>289</v>
      </c>
      <c r="G368" s="406"/>
      <c r="H368" s="406"/>
      <c r="I368" s="378" t="s">
        <v>289</v>
      </c>
      <c r="J368" s="379" t="s">
        <v>289</v>
      </c>
      <c r="K368" s="407"/>
      <c r="L368" s="378" t="s">
        <v>289</v>
      </c>
      <c r="M368" s="378" t="s">
        <v>289</v>
      </c>
      <c r="N368" s="378" t="s">
        <v>289</v>
      </c>
      <c r="O368" s="409"/>
      <c r="P368" s="387" t="s">
        <v>289</v>
      </c>
      <c r="Q368" s="383"/>
      <c r="R368" s="383"/>
      <c r="S368" s="383"/>
      <c r="T368" s="410"/>
      <c r="U368" s="406"/>
      <c r="V368" s="386"/>
      <c r="W368" s="387" t="s">
        <v>289</v>
      </c>
      <c r="X368" s="378" t="s">
        <v>289</v>
      </c>
      <c r="Y368" s="387" t="s">
        <v>289</v>
      </c>
      <c r="Z368" s="391" t="s">
        <v>289</v>
      </c>
      <c r="AA368" s="391" t="s">
        <v>289</v>
      </c>
      <c r="AB368" s="391" t="s">
        <v>289</v>
      </c>
      <c r="AC368" s="391" t="s">
        <v>289</v>
      </c>
      <c r="AD368" s="395" t="s">
        <v>289</v>
      </c>
      <c r="AE368" s="395"/>
      <c r="AF368" s="395"/>
      <c r="AG368" s="395"/>
      <c r="AH368" s="395"/>
    </row>
    <row r="369" ht="30.75" customHeight="1">
      <c r="A369" s="373" t="str">
        <f t="shared" si="1"/>
        <v/>
      </c>
      <c r="B369" s="421" t="s">
        <v>289</v>
      </c>
      <c r="C369" s="406"/>
      <c r="D369" s="406"/>
      <c r="E369" s="406"/>
      <c r="F369" s="395" t="s">
        <v>289</v>
      </c>
      <c r="G369" s="406"/>
      <c r="H369" s="406"/>
      <c r="I369" s="378" t="s">
        <v>289</v>
      </c>
      <c r="J369" s="379" t="s">
        <v>289</v>
      </c>
      <c r="K369" s="407"/>
      <c r="L369" s="378" t="s">
        <v>289</v>
      </c>
      <c r="M369" s="378" t="s">
        <v>289</v>
      </c>
      <c r="N369" s="378" t="s">
        <v>289</v>
      </c>
      <c r="O369" s="409"/>
      <c r="P369" s="387" t="s">
        <v>289</v>
      </c>
      <c r="Q369" s="383"/>
      <c r="R369" s="383"/>
      <c r="S369" s="383"/>
      <c r="T369" s="410"/>
      <c r="U369" s="406"/>
      <c r="V369" s="386"/>
      <c r="W369" s="387" t="s">
        <v>289</v>
      </c>
      <c r="X369" s="378" t="s">
        <v>289</v>
      </c>
      <c r="Y369" s="387" t="s">
        <v>289</v>
      </c>
      <c r="Z369" s="391" t="s">
        <v>289</v>
      </c>
      <c r="AA369" s="391" t="s">
        <v>289</v>
      </c>
      <c r="AB369" s="391" t="s">
        <v>289</v>
      </c>
      <c r="AC369" s="391" t="s">
        <v>289</v>
      </c>
      <c r="AD369" s="395" t="s">
        <v>289</v>
      </c>
      <c r="AE369" s="395"/>
      <c r="AF369" s="395"/>
      <c r="AG369" s="395"/>
      <c r="AH369" s="395"/>
    </row>
    <row r="370" ht="30.75" customHeight="1">
      <c r="A370" s="373" t="str">
        <f t="shared" si="1"/>
        <v/>
      </c>
      <c r="B370" s="421" t="s">
        <v>289</v>
      </c>
      <c r="C370" s="406"/>
      <c r="D370" s="406"/>
      <c r="E370" s="406"/>
      <c r="F370" s="395" t="s">
        <v>289</v>
      </c>
      <c r="G370" s="406"/>
      <c r="H370" s="406"/>
      <c r="I370" s="378" t="s">
        <v>289</v>
      </c>
      <c r="J370" s="379" t="s">
        <v>289</v>
      </c>
      <c r="K370" s="407"/>
      <c r="L370" s="378" t="s">
        <v>289</v>
      </c>
      <c r="M370" s="378" t="s">
        <v>289</v>
      </c>
      <c r="N370" s="378" t="s">
        <v>289</v>
      </c>
      <c r="O370" s="409"/>
      <c r="P370" s="387" t="s">
        <v>289</v>
      </c>
      <c r="Q370" s="383"/>
      <c r="R370" s="383"/>
      <c r="S370" s="383"/>
      <c r="T370" s="410"/>
      <c r="U370" s="406"/>
      <c r="V370" s="386"/>
      <c r="W370" s="387" t="s">
        <v>289</v>
      </c>
      <c r="X370" s="378" t="s">
        <v>289</v>
      </c>
      <c r="Y370" s="387" t="s">
        <v>289</v>
      </c>
      <c r="Z370" s="391" t="s">
        <v>289</v>
      </c>
      <c r="AA370" s="391" t="s">
        <v>289</v>
      </c>
      <c r="AB370" s="391" t="s">
        <v>289</v>
      </c>
      <c r="AC370" s="391" t="s">
        <v>289</v>
      </c>
      <c r="AD370" s="395" t="s">
        <v>289</v>
      </c>
      <c r="AE370" s="395"/>
      <c r="AF370" s="395"/>
      <c r="AG370" s="395"/>
      <c r="AH370" s="395"/>
    </row>
    <row r="371" ht="30.75" customHeight="1">
      <c r="A371" s="373" t="str">
        <f t="shared" si="1"/>
        <v/>
      </c>
      <c r="B371" s="421" t="s">
        <v>289</v>
      </c>
      <c r="C371" s="406"/>
      <c r="D371" s="406"/>
      <c r="E371" s="406"/>
      <c r="F371" s="395" t="s">
        <v>289</v>
      </c>
      <c r="G371" s="406"/>
      <c r="H371" s="406"/>
      <c r="I371" s="378" t="s">
        <v>289</v>
      </c>
      <c r="J371" s="379" t="s">
        <v>289</v>
      </c>
      <c r="K371" s="407"/>
      <c r="L371" s="378" t="s">
        <v>289</v>
      </c>
      <c r="M371" s="378" t="s">
        <v>289</v>
      </c>
      <c r="N371" s="378" t="s">
        <v>289</v>
      </c>
      <c r="O371" s="409"/>
      <c r="P371" s="387" t="s">
        <v>289</v>
      </c>
      <c r="Q371" s="383"/>
      <c r="R371" s="383"/>
      <c r="S371" s="383"/>
      <c r="T371" s="410"/>
      <c r="U371" s="406"/>
      <c r="V371" s="386"/>
      <c r="W371" s="387" t="s">
        <v>289</v>
      </c>
      <c r="X371" s="378" t="s">
        <v>289</v>
      </c>
      <c r="Y371" s="387" t="s">
        <v>289</v>
      </c>
      <c r="Z371" s="391" t="s">
        <v>289</v>
      </c>
      <c r="AA371" s="391" t="s">
        <v>289</v>
      </c>
      <c r="AB371" s="391" t="s">
        <v>289</v>
      </c>
      <c r="AC371" s="391" t="s">
        <v>289</v>
      </c>
      <c r="AD371" s="395" t="s">
        <v>289</v>
      </c>
      <c r="AE371" s="395"/>
      <c r="AF371" s="395"/>
      <c r="AG371" s="395"/>
      <c r="AH371" s="395"/>
    </row>
    <row r="372" ht="30.75" customHeight="1">
      <c r="A372" s="373" t="str">
        <f t="shared" si="1"/>
        <v/>
      </c>
      <c r="B372" s="421" t="s">
        <v>289</v>
      </c>
      <c r="C372" s="406"/>
      <c r="D372" s="406"/>
      <c r="E372" s="406"/>
      <c r="F372" s="395" t="s">
        <v>289</v>
      </c>
      <c r="G372" s="406"/>
      <c r="H372" s="406"/>
      <c r="I372" s="378" t="s">
        <v>289</v>
      </c>
      <c r="J372" s="379" t="s">
        <v>289</v>
      </c>
      <c r="K372" s="407"/>
      <c r="L372" s="378" t="s">
        <v>289</v>
      </c>
      <c r="M372" s="378" t="s">
        <v>289</v>
      </c>
      <c r="N372" s="378" t="s">
        <v>289</v>
      </c>
      <c r="O372" s="409"/>
      <c r="P372" s="387" t="s">
        <v>289</v>
      </c>
      <c r="Q372" s="383"/>
      <c r="R372" s="383"/>
      <c r="S372" s="383"/>
      <c r="T372" s="410"/>
      <c r="U372" s="406"/>
      <c r="V372" s="386"/>
      <c r="W372" s="387" t="s">
        <v>289</v>
      </c>
      <c r="X372" s="378" t="s">
        <v>289</v>
      </c>
      <c r="Y372" s="387" t="s">
        <v>289</v>
      </c>
      <c r="Z372" s="391" t="s">
        <v>289</v>
      </c>
      <c r="AA372" s="391" t="s">
        <v>289</v>
      </c>
      <c r="AB372" s="391" t="s">
        <v>289</v>
      </c>
      <c r="AC372" s="391" t="s">
        <v>289</v>
      </c>
      <c r="AD372" s="395" t="s">
        <v>289</v>
      </c>
      <c r="AE372" s="395"/>
      <c r="AF372" s="395"/>
      <c r="AG372" s="395"/>
      <c r="AH372" s="395"/>
    </row>
    <row r="373" ht="30.75" customHeight="1">
      <c r="A373" s="373" t="str">
        <f t="shared" si="1"/>
        <v/>
      </c>
      <c r="B373" s="421" t="s">
        <v>289</v>
      </c>
      <c r="C373" s="406"/>
      <c r="D373" s="406"/>
      <c r="E373" s="406"/>
      <c r="F373" s="395" t="s">
        <v>289</v>
      </c>
      <c r="G373" s="406"/>
      <c r="H373" s="406"/>
      <c r="I373" s="378" t="s">
        <v>289</v>
      </c>
      <c r="J373" s="379" t="s">
        <v>289</v>
      </c>
      <c r="K373" s="407"/>
      <c r="L373" s="378" t="s">
        <v>289</v>
      </c>
      <c r="M373" s="378" t="s">
        <v>289</v>
      </c>
      <c r="N373" s="378" t="s">
        <v>289</v>
      </c>
      <c r="O373" s="409"/>
      <c r="P373" s="387" t="s">
        <v>289</v>
      </c>
      <c r="Q373" s="383"/>
      <c r="R373" s="383"/>
      <c r="S373" s="383"/>
      <c r="T373" s="410"/>
      <c r="U373" s="406"/>
      <c r="V373" s="386"/>
      <c r="W373" s="387" t="s">
        <v>289</v>
      </c>
      <c r="X373" s="378" t="s">
        <v>289</v>
      </c>
      <c r="Y373" s="387" t="s">
        <v>289</v>
      </c>
      <c r="Z373" s="391" t="s">
        <v>289</v>
      </c>
      <c r="AA373" s="391" t="s">
        <v>289</v>
      </c>
      <c r="AB373" s="391" t="s">
        <v>289</v>
      </c>
      <c r="AC373" s="391" t="s">
        <v>289</v>
      </c>
      <c r="AD373" s="395" t="s">
        <v>289</v>
      </c>
      <c r="AE373" s="395"/>
      <c r="AF373" s="395"/>
      <c r="AG373" s="395"/>
      <c r="AH373" s="395"/>
    </row>
    <row r="374" ht="30.75" customHeight="1">
      <c r="A374" s="373" t="str">
        <f t="shared" si="1"/>
        <v/>
      </c>
      <c r="B374" s="421" t="s">
        <v>289</v>
      </c>
      <c r="C374" s="406"/>
      <c r="D374" s="406"/>
      <c r="E374" s="406"/>
      <c r="F374" s="395" t="s">
        <v>289</v>
      </c>
      <c r="G374" s="406"/>
      <c r="H374" s="406"/>
      <c r="I374" s="378" t="s">
        <v>289</v>
      </c>
      <c r="J374" s="379" t="s">
        <v>289</v>
      </c>
      <c r="K374" s="407"/>
      <c r="L374" s="378" t="s">
        <v>289</v>
      </c>
      <c r="M374" s="378" t="s">
        <v>289</v>
      </c>
      <c r="N374" s="378" t="s">
        <v>289</v>
      </c>
      <c r="O374" s="409"/>
      <c r="P374" s="387" t="s">
        <v>289</v>
      </c>
      <c r="Q374" s="383"/>
      <c r="R374" s="383"/>
      <c r="S374" s="383"/>
      <c r="T374" s="410"/>
      <c r="U374" s="406"/>
      <c r="V374" s="386"/>
      <c r="W374" s="387" t="s">
        <v>289</v>
      </c>
      <c r="X374" s="378" t="s">
        <v>289</v>
      </c>
      <c r="Y374" s="387" t="s">
        <v>289</v>
      </c>
      <c r="Z374" s="391" t="s">
        <v>289</v>
      </c>
      <c r="AA374" s="391" t="s">
        <v>289</v>
      </c>
      <c r="AB374" s="391" t="s">
        <v>289</v>
      </c>
      <c r="AC374" s="391" t="s">
        <v>289</v>
      </c>
      <c r="AD374" s="395" t="s">
        <v>289</v>
      </c>
      <c r="AE374" s="395"/>
      <c r="AF374" s="395"/>
      <c r="AG374" s="395"/>
      <c r="AH374" s="395"/>
    </row>
    <row r="375" ht="30.75" customHeight="1">
      <c r="A375" s="373" t="str">
        <f t="shared" si="1"/>
        <v/>
      </c>
      <c r="B375" s="421" t="s">
        <v>289</v>
      </c>
      <c r="C375" s="406"/>
      <c r="D375" s="406"/>
      <c r="E375" s="406"/>
      <c r="F375" s="395" t="s">
        <v>289</v>
      </c>
      <c r="G375" s="406"/>
      <c r="H375" s="406"/>
      <c r="I375" s="378" t="s">
        <v>289</v>
      </c>
      <c r="J375" s="379" t="s">
        <v>289</v>
      </c>
      <c r="K375" s="407"/>
      <c r="L375" s="378" t="s">
        <v>289</v>
      </c>
      <c r="M375" s="378" t="s">
        <v>289</v>
      </c>
      <c r="N375" s="378" t="s">
        <v>289</v>
      </c>
      <c r="O375" s="409"/>
      <c r="P375" s="387" t="s">
        <v>289</v>
      </c>
      <c r="Q375" s="383"/>
      <c r="R375" s="383"/>
      <c r="S375" s="383"/>
      <c r="T375" s="410"/>
      <c r="U375" s="406"/>
      <c r="V375" s="386"/>
      <c r="W375" s="387" t="s">
        <v>289</v>
      </c>
      <c r="X375" s="378" t="s">
        <v>289</v>
      </c>
      <c r="Y375" s="387" t="s">
        <v>289</v>
      </c>
      <c r="Z375" s="391" t="s">
        <v>289</v>
      </c>
      <c r="AA375" s="391" t="s">
        <v>289</v>
      </c>
      <c r="AB375" s="391" t="s">
        <v>289</v>
      </c>
      <c r="AC375" s="391" t="s">
        <v>289</v>
      </c>
      <c r="AD375" s="395" t="s">
        <v>289</v>
      </c>
      <c r="AE375" s="395"/>
      <c r="AF375" s="395"/>
      <c r="AG375" s="395"/>
      <c r="AH375" s="395"/>
    </row>
    <row r="376" ht="30.75" customHeight="1">
      <c r="A376" s="373" t="str">
        <f t="shared" si="1"/>
        <v/>
      </c>
      <c r="B376" s="421" t="s">
        <v>289</v>
      </c>
      <c r="C376" s="406"/>
      <c r="D376" s="406"/>
      <c r="E376" s="406"/>
      <c r="F376" s="395" t="s">
        <v>289</v>
      </c>
      <c r="G376" s="406"/>
      <c r="H376" s="406"/>
      <c r="I376" s="378" t="s">
        <v>289</v>
      </c>
      <c r="J376" s="379" t="s">
        <v>289</v>
      </c>
      <c r="K376" s="407"/>
      <c r="L376" s="378" t="s">
        <v>289</v>
      </c>
      <c r="M376" s="378" t="s">
        <v>289</v>
      </c>
      <c r="N376" s="378" t="s">
        <v>289</v>
      </c>
      <c r="O376" s="409"/>
      <c r="P376" s="387" t="s">
        <v>289</v>
      </c>
      <c r="Q376" s="383"/>
      <c r="R376" s="383"/>
      <c r="S376" s="383"/>
      <c r="T376" s="410"/>
      <c r="U376" s="406"/>
      <c r="V376" s="386"/>
      <c r="W376" s="387" t="s">
        <v>289</v>
      </c>
      <c r="X376" s="378" t="s">
        <v>289</v>
      </c>
      <c r="Y376" s="387" t="s">
        <v>289</v>
      </c>
      <c r="Z376" s="391" t="s">
        <v>289</v>
      </c>
      <c r="AA376" s="391" t="s">
        <v>289</v>
      </c>
      <c r="AB376" s="391" t="s">
        <v>289</v>
      </c>
      <c r="AC376" s="391" t="s">
        <v>289</v>
      </c>
      <c r="AD376" s="395" t="s">
        <v>289</v>
      </c>
      <c r="AE376" s="395"/>
      <c r="AF376" s="395"/>
      <c r="AG376" s="395"/>
      <c r="AH376" s="395"/>
    </row>
    <row r="377" ht="30.75" customHeight="1">
      <c r="A377" s="373" t="str">
        <f t="shared" si="1"/>
        <v/>
      </c>
      <c r="B377" s="421" t="s">
        <v>289</v>
      </c>
      <c r="C377" s="406"/>
      <c r="D377" s="406"/>
      <c r="E377" s="406"/>
      <c r="F377" s="395" t="s">
        <v>289</v>
      </c>
      <c r="G377" s="406"/>
      <c r="H377" s="406"/>
      <c r="I377" s="378" t="s">
        <v>289</v>
      </c>
      <c r="J377" s="379" t="s">
        <v>289</v>
      </c>
      <c r="K377" s="407"/>
      <c r="L377" s="378" t="s">
        <v>289</v>
      </c>
      <c r="M377" s="378" t="s">
        <v>289</v>
      </c>
      <c r="N377" s="378" t="s">
        <v>289</v>
      </c>
      <c r="O377" s="409"/>
      <c r="P377" s="387" t="s">
        <v>289</v>
      </c>
      <c r="Q377" s="383"/>
      <c r="R377" s="383"/>
      <c r="S377" s="383"/>
      <c r="T377" s="410"/>
      <c r="U377" s="406"/>
      <c r="V377" s="386"/>
      <c r="W377" s="387" t="s">
        <v>289</v>
      </c>
      <c r="X377" s="378" t="s">
        <v>289</v>
      </c>
      <c r="Y377" s="387" t="s">
        <v>289</v>
      </c>
      <c r="Z377" s="391" t="s">
        <v>289</v>
      </c>
      <c r="AA377" s="391" t="s">
        <v>289</v>
      </c>
      <c r="AB377" s="391" t="s">
        <v>289</v>
      </c>
      <c r="AC377" s="391" t="s">
        <v>289</v>
      </c>
      <c r="AD377" s="395" t="s">
        <v>289</v>
      </c>
      <c r="AE377" s="395"/>
      <c r="AF377" s="395"/>
      <c r="AG377" s="395"/>
      <c r="AH377" s="395"/>
    </row>
    <row r="378" ht="30.75" customHeight="1">
      <c r="A378" s="373" t="str">
        <f t="shared" si="1"/>
        <v/>
      </c>
      <c r="B378" s="421" t="s">
        <v>289</v>
      </c>
      <c r="C378" s="406"/>
      <c r="D378" s="406"/>
      <c r="E378" s="406"/>
      <c r="F378" s="395" t="s">
        <v>289</v>
      </c>
      <c r="G378" s="406"/>
      <c r="H378" s="406"/>
      <c r="I378" s="378" t="s">
        <v>289</v>
      </c>
      <c r="J378" s="379" t="s">
        <v>289</v>
      </c>
      <c r="K378" s="407"/>
      <c r="L378" s="378" t="s">
        <v>289</v>
      </c>
      <c r="M378" s="378" t="s">
        <v>289</v>
      </c>
      <c r="N378" s="378" t="s">
        <v>289</v>
      </c>
      <c r="O378" s="409"/>
      <c r="P378" s="387" t="s">
        <v>289</v>
      </c>
      <c r="Q378" s="383"/>
      <c r="R378" s="383"/>
      <c r="S378" s="383"/>
      <c r="T378" s="410"/>
      <c r="U378" s="406"/>
      <c r="V378" s="386"/>
      <c r="W378" s="387" t="s">
        <v>289</v>
      </c>
      <c r="X378" s="378" t="s">
        <v>289</v>
      </c>
      <c r="Y378" s="387" t="s">
        <v>289</v>
      </c>
      <c r="Z378" s="391" t="s">
        <v>289</v>
      </c>
      <c r="AA378" s="391" t="s">
        <v>289</v>
      </c>
      <c r="AB378" s="391" t="s">
        <v>289</v>
      </c>
      <c r="AC378" s="391" t="s">
        <v>289</v>
      </c>
      <c r="AD378" s="395" t="s">
        <v>289</v>
      </c>
      <c r="AE378" s="395"/>
      <c r="AF378" s="395"/>
      <c r="AG378" s="395"/>
      <c r="AH378" s="395"/>
    </row>
    <row r="379" ht="30.75" customHeight="1">
      <c r="A379" s="373" t="str">
        <f t="shared" si="1"/>
        <v/>
      </c>
      <c r="B379" s="421" t="s">
        <v>289</v>
      </c>
      <c r="C379" s="406"/>
      <c r="D379" s="406"/>
      <c r="E379" s="406"/>
      <c r="F379" s="395" t="s">
        <v>289</v>
      </c>
      <c r="G379" s="406"/>
      <c r="H379" s="406"/>
      <c r="I379" s="378" t="s">
        <v>289</v>
      </c>
      <c r="J379" s="379" t="s">
        <v>289</v>
      </c>
      <c r="K379" s="407"/>
      <c r="L379" s="378" t="s">
        <v>289</v>
      </c>
      <c r="M379" s="378" t="s">
        <v>289</v>
      </c>
      <c r="N379" s="378" t="s">
        <v>289</v>
      </c>
      <c r="O379" s="409"/>
      <c r="P379" s="387" t="s">
        <v>289</v>
      </c>
      <c r="Q379" s="383"/>
      <c r="R379" s="383"/>
      <c r="S379" s="383"/>
      <c r="T379" s="410"/>
      <c r="U379" s="406"/>
      <c r="V379" s="386"/>
      <c r="W379" s="387" t="s">
        <v>289</v>
      </c>
      <c r="X379" s="378" t="s">
        <v>289</v>
      </c>
      <c r="Y379" s="387" t="s">
        <v>289</v>
      </c>
      <c r="Z379" s="391" t="s">
        <v>289</v>
      </c>
      <c r="AA379" s="391" t="s">
        <v>289</v>
      </c>
      <c r="AB379" s="391" t="s">
        <v>289</v>
      </c>
      <c r="AC379" s="391" t="s">
        <v>289</v>
      </c>
      <c r="AD379" s="395" t="s">
        <v>289</v>
      </c>
      <c r="AE379" s="395"/>
      <c r="AF379" s="395"/>
      <c r="AG379" s="395"/>
      <c r="AH379" s="395"/>
    </row>
    <row r="380" ht="30.75" customHeight="1">
      <c r="A380" s="373" t="str">
        <f t="shared" si="1"/>
        <v/>
      </c>
      <c r="B380" s="421" t="s">
        <v>289</v>
      </c>
      <c r="C380" s="406"/>
      <c r="D380" s="406"/>
      <c r="E380" s="406"/>
      <c r="F380" s="395" t="s">
        <v>289</v>
      </c>
      <c r="G380" s="406"/>
      <c r="H380" s="406"/>
      <c r="I380" s="378" t="s">
        <v>289</v>
      </c>
      <c r="J380" s="379" t="s">
        <v>289</v>
      </c>
      <c r="K380" s="407"/>
      <c r="L380" s="378" t="s">
        <v>289</v>
      </c>
      <c r="M380" s="378" t="s">
        <v>289</v>
      </c>
      <c r="N380" s="378" t="s">
        <v>289</v>
      </c>
      <c r="O380" s="409"/>
      <c r="P380" s="387" t="s">
        <v>289</v>
      </c>
      <c r="Q380" s="383"/>
      <c r="R380" s="383"/>
      <c r="S380" s="383"/>
      <c r="T380" s="410"/>
      <c r="U380" s="406"/>
      <c r="V380" s="386"/>
      <c r="W380" s="387" t="s">
        <v>289</v>
      </c>
      <c r="X380" s="378" t="s">
        <v>289</v>
      </c>
      <c r="Y380" s="387" t="s">
        <v>289</v>
      </c>
      <c r="Z380" s="391" t="s">
        <v>289</v>
      </c>
      <c r="AA380" s="391" t="s">
        <v>289</v>
      </c>
      <c r="AB380" s="391" t="s">
        <v>289</v>
      </c>
      <c r="AC380" s="391" t="s">
        <v>289</v>
      </c>
      <c r="AD380" s="395" t="s">
        <v>289</v>
      </c>
      <c r="AE380" s="395"/>
      <c r="AF380" s="395"/>
      <c r="AG380" s="395"/>
      <c r="AH380" s="395"/>
    </row>
    <row r="381" ht="30.75" customHeight="1">
      <c r="A381" s="373" t="str">
        <f t="shared" si="1"/>
        <v/>
      </c>
      <c r="B381" s="421" t="s">
        <v>289</v>
      </c>
      <c r="C381" s="406"/>
      <c r="D381" s="406"/>
      <c r="E381" s="406"/>
      <c r="F381" s="395" t="s">
        <v>289</v>
      </c>
      <c r="G381" s="406"/>
      <c r="H381" s="406"/>
      <c r="I381" s="378" t="s">
        <v>289</v>
      </c>
      <c r="J381" s="379" t="s">
        <v>289</v>
      </c>
      <c r="K381" s="407"/>
      <c r="L381" s="378" t="s">
        <v>289</v>
      </c>
      <c r="M381" s="378" t="s">
        <v>289</v>
      </c>
      <c r="N381" s="378" t="s">
        <v>289</v>
      </c>
      <c r="O381" s="409"/>
      <c r="P381" s="387" t="s">
        <v>289</v>
      </c>
      <c r="Q381" s="383"/>
      <c r="R381" s="383"/>
      <c r="S381" s="383"/>
      <c r="T381" s="410"/>
      <c r="U381" s="406"/>
      <c r="V381" s="386"/>
      <c r="W381" s="387" t="s">
        <v>289</v>
      </c>
      <c r="X381" s="378" t="s">
        <v>289</v>
      </c>
      <c r="Y381" s="387" t="s">
        <v>289</v>
      </c>
      <c r="Z381" s="391" t="s">
        <v>289</v>
      </c>
      <c r="AA381" s="391" t="s">
        <v>289</v>
      </c>
      <c r="AB381" s="391" t="s">
        <v>289</v>
      </c>
      <c r="AC381" s="391" t="s">
        <v>289</v>
      </c>
      <c r="AD381" s="395" t="s">
        <v>289</v>
      </c>
      <c r="AE381" s="395"/>
      <c r="AF381" s="395"/>
      <c r="AG381" s="395"/>
      <c r="AH381" s="395"/>
    </row>
    <row r="382" ht="30.75" customHeight="1">
      <c r="A382" s="373" t="str">
        <f t="shared" si="1"/>
        <v/>
      </c>
      <c r="B382" s="421" t="s">
        <v>289</v>
      </c>
      <c r="C382" s="406"/>
      <c r="D382" s="406"/>
      <c r="E382" s="406"/>
      <c r="F382" s="395" t="s">
        <v>289</v>
      </c>
      <c r="G382" s="406"/>
      <c r="H382" s="406"/>
      <c r="I382" s="378" t="s">
        <v>289</v>
      </c>
      <c r="J382" s="379" t="s">
        <v>289</v>
      </c>
      <c r="K382" s="407"/>
      <c r="L382" s="378" t="s">
        <v>289</v>
      </c>
      <c r="M382" s="378" t="s">
        <v>289</v>
      </c>
      <c r="N382" s="378" t="s">
        <v>289</v>
      </c>
      <c r="O382" s="409"/>
      <c r="P382" s="387" t="s">
        <v>289</v>
      </c>
      <c r="Q382" s="383"/>
      <c r="R382" s="383"/>
      <c r="S382" s="383"/>
      <c r="T382" s="410"/>
      <c r="U382" s="406"/>
      <c r="V382" s="386"/>
      <c r="W382" s="387" t="s">
        <v>289</v>
      </c>
      <c r="X382" s="378" t="s">
        <v>289</v>
      </c>
      <c r="Y382" s="387" t="s">
        <v>289</v>
      </c>
      <c r="Z382" s="391" t="s">
        <v>289</v>
      </c>
      <c r="AA382" s="391" t="s">
        <v>289</v>
      </c>
      <c r="AB382" s="391" t="s">
        <v>289</v>
      </c>
      <c r="AC382" s="391" t="s">
        <v>289</v>
      </c>
      <c r="AD382" s="395" t="s">
        <v>289</v>
      </c>
      <c r="AE382" s="395"/>
      <c r="AF382" s="395"/>
      <c r="AG382" s="395"/>
      <c r="AH382" s="395"/>
    </row>
    <row r="383" ht="30.75" customHeight="1">
      <c r="A383" s="373" t="str">
        <f t="shared" si="1"/>
        <v/>
      </c>
      <c r="B383" s="421" t="s">
        <v>289</v>
      </c>
      <c r="C383" s="406"/>
      <c r="D383" s="406"/>
      <c r="E383" s="406"/>
      <c r="F383" s="395" t="s">
        <v>289</v>
      </c>
      <c r="G383" s="406"/>
      <c r="H383" s="406"/>
      <c r="I383" s="378" t="s">
        <v>289</v>
      </c>
      <c r="J383" s="379" t="s">
        <v>289</v>
      </c>
      <c r="K383" s="407"/>
      <c r="L383" s="378" t="s">
        <v>289</v>
      </c>
      <c r="M383" s="378" t="s">
        <v>289</v>
      </c>
      <c r="N383" s="378" t="s">
        <v>289</v>
      </c>
      <c r="O383" s="409"/>
      <c r="P383" s="387" t="s">
        <v>289</v>
      </c>
      <c r="Q383" s="383"/>
      <c r="R383" s="383"/>
      <c r="S383" s="383"/>
      <c r="T383" s="410"/>
      <c r="U383" s="406"/>
      <c r="V383" s="386"/>
      <c r="W383" s="387" t="s">
        <v>289</v>
      </c>
      <c r="X383" s="378" t="s">
        <v>289</v>
      </c>
      <c r="Y383" s="387" t="s">
        <v>289</v>
      </c>
      <c r="Z383" s="391" t="s">
        <v>289</v>
      </c>
      <c r="AA383" s="391" t="s">
        <v>289</v>
      </c>
      <c r="AB383" s="391" t="s">
        <v>289</v>
      </c>
      <c r="AC383" s="391" t="s">
        <v>289</v>
      </c>
      <c r="AD383" s="395" t="s">
        <v>289</v>
      </c>
      <c r="AE383" s="395"/>
      <c r="AF383" s="395"/>
      <c r="AG383" s="395"/>
      <c r="AH383" s="395"/>
    </row>
    <row r="384" ht="30.75" customHeight="1">
      <c r="A384" s="373" t="str">
        <f t="shared" si="1"/>
        <v/>
      </c>
      <c r="B384" s="421" t="s">
        <v>289</v>
      </c>
      <c r="C384" s="406"/>
      <c r="D384" s="406"/>
      <c r="E384" s="406"/>
      <c r="F384" s="395" t="s">
        <v>289</v>
      </c>
      <c r="G384" s="406"/>
      <c r="H384" s="406"/>
      <c r="I384" s="378" t="s">
        <v>289</v>
      </c>
      <c r="J384" s="379" t="s">
        <v>289</v>
      </c>
      <c r="K384" s="407"/>
      <c r="L384" s="378" t="s">
        <v>289</v>
      </c>
      <c r="M384" s="378" t="s">
        <v>289</v>
      </c>
      <c r="N384" s="378" t="s">
        <v>289</v>
      </c>
      <c r="O384" s="409"/>
      <c r="P384" s="387" t="s">
        <v>289</v>
      </c>
      <c r="Q384" s="383"/>
      <c r="R384" s="383"/>
      <c r="S384" s="383"/>
      <c r="T384" s="410"/>
      <c r="U384" s="406"/>
      <c r="V384" s="386"/>
      <c r="W384" s="387" t="s">
        <v>289</v>
      </c>
      <c r="X384" s="378" t="s">
        <v>289</v>
      </c>
      <c r="Y384" s="387" t="s">
        <v>289</v>
      </c>
      <c r="Z384" s="391" t="s">
        <v>289</v>
      </c>
      <c r="AA384" s="391" t="s">
        <v>289</v>
      </c>
      <c r="AB384" s="391" t="s">
        <v>289</v>
      </c>
      <c r="AC384" s="391" t="s">
        <v>289</v>
      </c>
      <c r="AD384" s="395" t="s">
        <v>289</v>
      </c>
      <c r="AE384" s="395"/>
      <c r="AF384" s="395"/>
      <c r="AG384" s="395"/>
      <c r="AH384" s="395"/>
    </row>
    <row r="385" ht="30.75" customHeight="1">
      <c r="A385" s="373" t="str">
        <f t="shared" si="1"/>
        <v/>
      </c>
      <c r="B385" s="421" t="s">
        <v>289</v>
      </c>
      <c r="C385" s="406"/>
      <c r="D385" s="406"/>
      <c r="E385" s="406"/>
      <c r="F385" s="395" t="s">
        <v>289</v>
      </c>
      <c r="G385" s="406"/>
      <c r="H385" s="406"/>
      <c r="I385" s="378" t="s">
        <v>289</v>
      </c>
      <c r="J385" s="379" t="s">
        <v>289</v>
      </c>
      <c r="K385" s="407"/>
      <c r="L385" s="378" t="s">
        <v>289</v>
      </c>
      <c r="M385" s="378" t="s">
        <v>289</v>
      </c>
      <c r="N385" s="378" t="s">
        <v>289</v>
      </c>
      <c r="O385" s="409"/>
      <c r="P385" s="387" t="s">
        <v>289</v>
      </c>
      <c r="Q385" s="383"/>
      <c r="R385" s="383"/>
      <c r="S385" s="383"/>
      <c r="T385" s="410"/>
      <c r="U385" s="406"/>
      <c r="V385" s="386"/>
      <c r="W385" s="387" t="s">
        <v>289</v>
      </c>
      <c r="X385" s="378" t="s">
        <v>289</v>
      </c>
      <c r="Y385" s="387" t="s">
        <v>289</v>
      </c>
      <c r="Z385" s="391" t="s">
        <v>289</v>
      </c>
      <c r="AA385" s="391" t="s">
        <v>289</v>
      </c>
      <c r="AB385" s="391" t="s">
        <v>289</v>
      </c>
      <c r="AC385" s="391" t="s">
        <v>289</v>
      </c>
      <c r="AD385" s="395" t="s">
        <v>289</v>
      </c>
      <c r="AE385" s="395"/>
      <c r="AF385" s="395"/>
      <c r="AG385" s="395"/>
      <c r="AH385" s="395"/>
    </row>
    <row r="386" ht="30.75" customHeight="1">
      <c r="A386" s="373" t="str">
        <f t="shared" si="1"/>
        <v/>
      </c>
      <c r="B386" s="421" t="s">
        <v>289</v>
      </c>
      <c r="C386" s="406"/>
      <c r="D386" s="406"/>
      <c r="E386" s="406"/>
      <c r="F386" s="395" t="s">
        <v>289</v>
      </c>
      <c r="G386" s="406"/>
      <c r="H386" s="406"/>
      <c r="I386" s="378" t="s">
        <v>289</v>
      </c>
      <c r="J386" s="379" t="s">
        <v>289</v>
      </c>
      <c r="K386" s="407"/>
      <c r="L386" s="378" t="s">
        <v>289</v>
      </c>
      <c r="M386" s="378" t="s">
        <v>289</v>
      </c>
      <c r="N386" s="378" t="s">
        <v>289</v>
      </c>
      <c r="O386" s="409"/>
      <c r="P386" s="387" t="s">
        <v>289</v>
      </c>
      <c r="Q386" s="383"/>
      <c r="R386" s="383"/>
      <c r="S386" s="383"/>
      <c r="T386" s="410"/>
      <c r="U386" s="406"/>
      <c r="V386" s="386"/>
      <c r="W386" s="387" t="s">
        <v>289</v>
      </c>
      <c r="X386" s="378" t="s">
        <v>289</v>
      </c>
      <c r="Y386" s="387" t="s">
        <v>289</v>
      </c>
      <c r="Z386" s="391" t="s">
        <v>289</v>
      </c>
      <c r="AA386" s="391" t="s">
        <v>289</v>
      </c>
      <c r="AB386" s="391" t="s">
        <v>289</v>
      </c>
      <c r="AC386" s="391" t="s">
        <v>289</v>
      </c>
      <c r="AD386" s="395" t="s">
        <v>289</v>
      </c>
      <c r="AE386" s="395"/>
      <c r="AF386" s="395"/>
      <c r="AG386" s="395"/>
      <c r="AH386" s="395"/>
    </row>
    <row r="387" ht="30.75" customHeight="1">
      <c r="A387" s="373" t="str">
        <f t="shared" si="1"/>
        <v/>
      </c>
      <c r="B387" s="421" t="s">
        <v>289</v>
      </c>
      <c r="C387" s="406"/>
      <c r="D387" s="406"/>
      <c r="E387" s="406"/>
      <c r="F387" s="395" t="s">
        <v>289</v>
      </c>
      <c r="G387" s="406"/>
      <c r="H387" s="406"/>
      <c r="I387" s="378" t="s">
        <v>289</v>
      </c>
      <c r="J387" s="379" t="s">
        <v>289</v>
      </c>
      <c r="K387" s="407"/>
      <c r="L387" s="378" t="s">
        <v>289</v>
      </c>
      <c r="M387" s="378" t="s">
        <v>289</v>
      </c>
      <c r="N387" s="378" t="s">
        <v>289</v>
      </c>
      <c r="O387" s="409"/>
      <c r="P387" s="387" t="s">
        <v>289</v>
      </c>
      <c r="Q387" s="383"/>
      <c r="R387" s="383"/>
      <c r="S387" s="383"/>
      <c r="T387" s="410"/>
      <c r="U387" s="406"/>
      <c r="V387" s="386"/>
      <c r="W387" s="387" t="s">
        <v>289</v>
      </c>
      <c r="X387" s="378" t="s">
        <v>289</v>
      </c>
      <c r="Y387" s="387" t="s">
        <v>289</v>
      </c>
      <c r="Z387" s="391" t="s">
        <v>289</v>
      </c>
      <c r="AA387" s="391" t="s">
        <v>289</v>
      </c>
      <c r="AB387" s="391" t="s">
        <v>289</v>
      </c>
      <c r="AC387" s="391" t="s">
        <v>289</v>
      </c>
      <c r="AD387" s="395" t="s">
        <v>289</v>
      </c>
      <c r="AE387" s="395"/>
      <c r="AF387" s="395"/>
      <c r="AG387" s="395"/>
      <c r="AH387" s="395"/>
    </row>
    <row r="388" ht="30.75" customHeight="1">
      <c r="A388" s="373" t="str">
        <f t="shared" si="1"/>
        <v/>
      </c>
      <c r="B388" s="421" t="s">
        <v>289</v>
      </c>
      <c r="C388" s="406"/>
      <c r="D388" s="406"/>
      <c r="E388" s="406"/>
      <c r="F388" s="395" t="s">
        <v>289</v>
      </c>
      <c r="G388" s="406"/>
      <c r="H388" s="406"/>
      <c r="I388" s="378" t="s">
        <v>289</v>
      </c>
      <c r="J388" s="379" t="s">
        <v>289</v>
      </c>
      <c r="K388" s="407"/>
      <c r="L388" s="378" t="s">
        <v>289</v>
      </c>
      <c r="M388" s="378" t="s">
        <v>289</v>
      </c>
      <c r="N388" s="378" t="s">
        <v>289</v>
      </c>
      <c r="O388" s="409"/>
      <c r="P388" s="387" t="s">
        <v>289</v>
      </c>
      <c r="Q388" s="383"/>
      <c r="R388" s="383"/>
      <c r="S388" s="383"/>
      <c r="T388" s="410"/>
      <c r="U388" s="406"/>
      <c r="V388" s="386"/>
      <c r="W388" s="387" t="s">
        <v>289</v>
      </c>
      <c r="X388" s="378" t="s">
        <v>289</v>
      </c>
      <c r="Y388" s="387" t="s">
        <v>289</v>
      </c>
      <c r="Z388" s="391" t="s">
        <v>289</v>
      </c>
      <c r="AA388" s="391" t="s">
        <v>289</v>
      </c>
      <c r="AB388" s="391" t="s">
        <v>289</v>
      </c>
      <c r="AC388" s="391" t="s">
        <v>289</v>
      </c>
      <c r="AD388" s="395" t="s">
        <v>289</v>
      </c>
      <c r="AE388" s="395"/>
      <c r="AF388" s="395"/>
      <c r="AG388" s="395"/>
      <c r="AH388" s="395"/>
    </row>
    <row r="389" ht="30.75" customHeight="1">
      <c r="A389" s="373" t="str">
        <f t="shared" si="1"/>
        <v/>
      </c>
      <c r="B389" s="421" t="s">
        <v>289</v>
      </c>
      <c r="C389" s="406"/>
      <c r="D389" s="406"/>
      <c r="E389" s="406"/>
      <c r="F389" s="395" t="s">
        <v>289</v>
      </c>
      <c r="G389" s="406"/>
      <c r="H389" s="406"/>
      <c r="I389" s="378" t="s">
        <v>289</v>
      </c>
      <c r="J389" s="379" t="s">
        <v>289</v>
      </c>
      <c r="K389" s="407"/>
      <c r="L389" s="378" t="s">
        <v>289</v>
      </c>
      <c r="M389" s="378" t="s">
        <v>289</v>
      </c>
      <c r="N389" s="378" t="s">
        <v>289</v>
      </c>
      <c r="O389" s="409"/>
      <c r="P389" s="387" t="s">
        <v>289</v>
      </c>
      <c r="Q389" s="383"/>
      <c r="R389" s="383"/>
      <c r="S389" s="383"/>
      <c r="T389" s="410"/>
      <c r="U389" s="406"/>
      <c r="V389" s="386"/>
      <c r="W389" s="387" t="s">
        <v>289</v>
      </c>
      <c r="X389" s="378" t="s">
        <v>289</v>
      </c>
      <c r="Y389" s="387" t="s">
        <v>289</v>
      </c>
      <c r="Z389" s="391" t="s">
        <v>289</v>
      </c>
      <c r="AA389" s="391" t="s">
        <v>289</v>
      </c>
      <c r="AB389" s="391" t="s">
        <v>289</v>
      </c>
      <c r="AC389" s="391" t="s">
        <v>289</v>
      </c>
      <c r="AD389" s="395" t="s">
        <v>289</v>
      </c>
      <c r="AE389" s="395"/>
      <c r="AF389" s="395"/>
      <c r="AG389" s="395"/>
      <c r="AH389" s="395"/>
    </row>
    <row r="390" ht="30.75" customHeight="1">
      <c r="A390" s="373" t="str">
        <f t="shared" si="1"/>
        <v/>
      </c>
      <c r="B390" s="421" t="s">
        <v>289</v>
      </c>
      <c r="C390" s="406"/>
      <c r="D390" s="406"/>
      <c r="E390" s="406"/>
      <c r="F390" s="395" t="s">
        <v>289</v>
      </c>
      <c r="G390" s="406"/>
      <c r="H390" s="406"/>
      <c r="I390" s="378" t="s">
        <v>289</v>
      </c>
      <c r="J390" s="379" t="s">
        <v>289</v>
      </c>
      <c r="K390" s="407"/>
      <c r="L390" s="378" t="s">
        <v>289</v>
      </c>
      <c r="M390" s="378" t="s">
        <v>289</v>
      </c>
      <c r="N390" s="378" t="s">
        <v>289</v>
      </c>
      <c r="O390" s="409"/>
      <c r="P390" s="387" t="s">
        <v>289</v>
      </c>
      <c r="Q390" s="383"/>
      <c r="R390" s="383"/>
      <c r="S390" s="383"/>
      <c r="T390" s="410"/>
      <c r="U390" s="406"/>
      <c r="V390" s="386"/>
      <c r="W390" s="387" t="s">
        <v>289</v>
      </c>
      <c r="X390" s="378" t="s">
        <v>289</v>
      </c>
      <c r="Y390" s="387" t="s">
        <v>289</v>
      </c>
      <c r="Z390" s="391" t="s">
        <v>289</v>
      </c>
      <c r="AA390" s="391" t="s">
        <v>289</v>
      </c>
      <c r="AB390" s="391" t="s">
        <v>289</v>
      </c>
      <c r="AC390" s="391" t="s">
        <v>289</v>
      </c>
      <c r="AD390" s="395" t="s">
        <v>289</v>
      </c>
      <c r="AE390" s="395"/>
      <c r="AF390" s="395"/>
      <c r="AG390" s="395"/>
      <c r="AH390" s="395"/>
    </row>
    <row r="391" ht="30.75" customHeight="1">
      <c r="A391" s="373" t="str">
        <f t="shared" si="1"/>
        <v/>
      </c>
      <c r="B391" s="421" t="s">
        <v>289</v>
      </c>
      <c r="C391" s="406"/>
      <c r="D391" s="406"/>
      <c r="E391" s="406"/>
      <c r="F391" s="395" t="s">
        <v>289</v>
      </c>
      <c r="G391" s="406"/>
      <c r="H391" s="406"/>
      <c r="I391" s="378" t="s">
        <v>289</v>
      </c>
      <c r="J391" s="379" t="s">
        <v>289</v>
      </c>
      <c r="K391" s="407"/>
      <c r="L391" s="378" t="s">
        <v>289</v>
      </c>
      <c r="M391" s="378" t="s">
        <v>289</v>
      </c>
      <c r="N391" s="378" t="s">
        <v>289</v>
      </c>
      <c r="O391" s="409"/>
      <c r="P391" s="387" t="s">
        <v>289</v>
      </c>
      <c r="Q391" s="383"/>
      <c r="R391" s="383"/>
      <c r="S391" s="383"/>
      <c r="T391" s="410"/>
      <c r="U391" s="406"/>
      <c r="V391" s="386"/>
      <c r="W391" s="387" t="s">
        <v>289</v>
      </c>
      <c r="X391" s="378" t="s">
        <v>289</v>
      </c>
      <c r="Y391" s="387" t="s">
        <v>289</v>
      </c>
      <c r="Z391" s="391" t="s">
        <v>289</v>
      </c>
      <c r="AA391" s="391" t="s">
        <v>289</v>
      </c>
      <c r="AB391" s="391" t="s">
        <v>289</v>
      </c>
      <c r="AC391" s="391" t="s">
        <v>289</v>
      </c>
      <c r="AD391" s="395" t="s">
        <v>289</v>
      </c>
      <c r="AE391" s="395"/>
      <c r="AF391" s="395"/>
      <c r="AG391" s="395"/>
      <c r="AH391" s="395"/>
    </row>
    <row r="392" ht="30.75" customHeight="1">
      <c r="A392" s="373" t="str">
        <f t="shared" si="1"/>
        <v/>
      </c>
      <c r="B392" s="421" t="s">
        <v>289</v>
      </c>
      <c r="C392" s="406"/>
      <c r="D392" s="406"/>
      <c r="E392" s="406"/>
      <c r="F392" s="395" t="s">
        <v>289</v>
      </c>
      <c r="G392" s="406"/>
      <c r="H392" s="406"/>
      <c r="I392" s="378" t="s">
        <v>289</v>
      </c>
      <c r="J392" s="379" t="s">
        <v>289</v>
      </c>
      <c r="K392" s="407"/>
      <c r="L392" s="378" t="s">
        <v>289</v>
      </c>
      <c r="M392" s="378" t="s">
        <v>289</v>
      </c>
      <c r="N392" s="378" t="s">
        <v>289</v>
      </c>
      <c r="O392" s="409"/>
      <c r="P392" s="387" t="s">
        <v>289</v>
      </c>
      <c r="Q392" s="383"/>
      <c r="R392" s="383"/>
      <c r="S392" s="383"/>
      <c r="T392" s="410"/>
      <c r="U392" s="406"/>
      <c r="V392" s="386"/>
      <c r="W392" s="387" t="s">
        <v>289</v>
      </c>
      <c r="X392" s="378" t="s">
        <v>289</v>
      </c>
      <c r="Y392" s="387" t="s">
        <v>289</v>
      </c>
      <c r="Z392" s="391" t="s">
        <v>289</v>
      </c>
      <c r="AA392" s="391" t="s">
        <v>289</v>
      </c>
      <c r="AB392" s="391" t="s">
        <v>289</v>
      </c>
      <c r="AC392" s="391" t="s">
        <v>289</v>
      </c>
      <c r="AD392" s="395" t="s">
        <v>289</v>
      </c>
      <c r="AE392" s="395"/>
      <c r="AF392" s="395"/>
      <c r="AG392" s="395"/>
      <c r="AH392" s="395"/>
    </row>
    <row r="393" ht="30.75" customHeight="1">
      <c r="A393" s="373" t="str">
        <f t="shared" si="1"/>
        <v/>
      </c>
      <c r="B393" s="421" t="s">
        <v>289</v>
      </c>
      <c r="C393" s="406"/>
      <c r="D393" s="406"/>
      <c r="E393" s="406"/>
      <c r="F393" s="395" t="s">
        <v>289</v>
      </c>
      <c r="G393" s="406"/>
      <c r="H393" s="406"/>
      <c r="I393" s="378" t="s">
        <v>289</v>
      </c>
      <c r="J393" s="379" t="s">
        <v>289</v>
      </c>
      <c r="K393" s="407"/>
      <c r="L393" s="378" t="s">
        <v>289</v>
      </c>
      <c r="M393" s="378" t="s">
        <v>289</v>
      </c>
      <c r="N393" s="378" t="s">
        <v>289</v>
      </c>
      <c r="O393" s="409"/>
      <c r="P393" s="387" t="s">
        <v>289</v>
      </c>
      <c r="Q393" s="383"/>
      <c r="R393" s="383"/>
      <c r="S393" s="383"/>
      <c r="T393" s="410"/>
      <c r="U393" s="406"/>
      <c r="V393" s="386"/>
      <c r="W393" s="387" t="s">
        <v>289</v>
      </c>
      <c r="X393" s="378" t="s">
        <v>289</v>
      </c>
      <c r="Y393" s="387" t="s">
        <v>289</v>
      </c>
      <c r="Z393" s="391" t="s">
        <v>289</v>
      </c>
      <c r="AA393" s="391" t="s">
        <v>289</v>
      </c>
      <c r="AB393" s="391" t="s">
        <v>289</v>
      </c>
      <c r="AC393" s="391" t="s">
        <v>289</v>
      </c>
      <c r="AD393" s="395" t="s">
        <v>289</v>
      </c>
      <c r="AE393" s="395"/>
      <c r="AF393" s="395"/>
      <c r="AG393" s="395"/>
      <c r="AH393" s="395"/>
    </row>
    <row r="394" ht="30.75" customHeight="1">
      <c r="A394" s="373" t="str">
        <f t="shared" si="1"/>
        <v/>
      </c>
      <c r="B394" s="421" t="s">
        <v>289</v>
      </c>
      <c r="C394" s="406"/>
      <c r="D394" s="406"/>
      <c r="E394" s="406"/>
      <c r="F394" s="395" t="s">
        <v>289</v>
      </c>
      <c r="G394" s="406"/>
      <c r="H394" s="406"/>
      <c r="I394" s="378" t="s">
        <v>289</v>
      </c>
      <c r="J394" s="379" t="s">
        <v>289</v>
      </c>
      <c r="K394" s="407"/>
      <c r="L394" s="378" t="s">
        <v>289</v>
      </c>
      <c r="M394" s="378" t="s">
        <v>289</v>
      </c>
      <c r="N394" s="378" t="s">
        <v>289</v>
      </c>
      <c r="O394" s="409"/>
      <c r="P394" s="387" t="s">
        <v>289</v>
      </c>
      <c r="Q394" s="383"/>
      <c r="R394" s="383"/>
      <c r="S394" s="383"/>
      <c r="T394" s="410"/>
      <c r="U394" s="406"/>
      <c r="V394" s="386"/>
      <c r="W394" s="387" t="s">
        <v>289</v>
      </c>
      <c r="X394" s="378" t="s">
        <v>289</v>
      </c>
      <c r="Y394" s="387" t="s">
        <v>289</v>
      </c>
      <c r="Z394" s="391" t="s">
        <v>289</v>
      </c>
      <c r="AA394" s="391" t="s">
        <v>289</v>
      </c>
      <c r="AB394" s="391" t="s">
        <v>289</v>
      </c>
      <c r="AC394" s="391" t="s">
        <v>289</v>
      </c>
      <c r="AD394" s="395" t="s">
        <v>289</v>
      </c>
      <c r="AE394" s="395"/>
      <c r="AF394" s="395"/>
      <c r="AG394" s="395"/>
      <c r="AH394" s="395"/>
    </row>
    <row r="395" ht="30.75" customHeight="1">
      <c r="A395" s="373" t="str">
        <f t="shared" si="1"/>
        <v/>
      </c>
      <c r="B395" s="421" t="s">
        <v>289</v>
      </c>
      <c r="C395" s="406"/>
      <c r="D395" s="406"/>
      <c r="E395" s="406"/>
      <c r="F395" s="395" t="s">
        <v>289</v>
      </c>
      <c r="G395" s="406"/>
      <c r="H395" s="406"/>
      <c r="I395" s="378" t="s">
        <v>289</v>
      </c>
      <c r="J395" s="379" t="s">
        <v>289</v>
      </c>
      <c r="K395" s="407"/>
      <c r="L395" s="378" t="s">
        <v>289</v>
      </c>
      <c r="M395" s="378" t="s">
        <v>289</v>
      </c>
      <c r="N395" s="378" t="s">
        <v>289</v>
      </c>
      <c r="O395" s="409"/>
      <c r="P395" s="387" t="s">
        <v>289</v>
      </c>
      <c r="Q395" s="383"/>
      <c r="R395" s="383"/>
      <c r="S395" s="383"/>
      <c r="T395" s="410"/>
      <c r="U395" s="406"/>
      <c r="V395" s="386"/>
      <c r="W395" s="387" t="s">
        <v>289</v>
      </c>
      <c r="X395" s="378" t="s">
        <v>289</v>
      </c>
      <c r="Y395" s="387" t="s">
        <v>289</v>
      </c>
      <c r="Z395" s="391" t="s">
        <v>289</v>
      </c>
      <c r="AA395" s="391" t="s">
        <v>289</v>
      </c>
      <c r="AB395" s="391" t="s">
        <v>289</v>
      </c>
      <c r="AC395" s="391" t="s">
        <v>289</v>
      </c>
      <c r="AD395" s="395" t="s">
        <v>289</v>
      </c>
      <c r="AE395" s="395"/>
      <c r="AF395" s="395"/>
      <c r="AG395" s="395"/>
      <c r="AH395" s="395"/>
    </row>
    <row r="396" ht="30.75" customHeight="1">
      <c r="A396" s="373" t="str">
        <f t="shared" si="1"/>
        <v/>
      </c>
      <c r="B396" s="421" t="s">
        <v>289</v>
      </c>
      <c r="C396" s="406"/>
      <c r="D396" s="406"/>
      <c r="E396" s="406"/>
      <c r="F396" s="395" t="s">
        <v>289</v>
      </c>
      <c r="G396" s="406"/>
      <c r="H396" s="406"/>
      <c r="I396" s="378" t="s">
        <v>289</v>
      </c>
      <c r="J396" s="379" t="s">
        <v>289</v>
      </c>
      <c r="K396" s="407"/>
      <c r="L396" s="378" t="s">
        <v>289</v>
      </c>
      <c r="M396" s="378" t="s">
        <v>289</v>
      </c>
      <c r="N396" s="378" t="s">
        <v>289</v>
      </c>
      <c r="O396" s="409"/>
      <c r="P396" s="387" t="s">
        <v>289</v>
      </c>
      <c r="Q396" s="383"/>
      <c r="R396" s="383"/>
      <c r="S396" s="383"/>
      <c r="T396" s="410"/>
      <c r="U396" s="406"/>
      <c r="V396" s="386"/>
      <c r="W396" s="387" t="s">
        <v>289</v>
      </c>
      <c r="X396" s="378" t="s">
        <v>289</v>
      </c>
      <c r="Y396" s="387" t="s">
        <v>289</v>
      </c>
      <c r="Z396" s="391" t="s">
        <v>289</v>
      </c>
      <c r="AA396" s="391" t="s">
        <v>289</v>
      </c>
      <c r="AB396" s="391" t="s">
        <v>289</v>
      </c>
      <c r="AC396" s="391" t="s">
        <v>289</v>
      </c>
      <c r="AD396" s="395" t="s">
        <v>289</v>
      </c>
      <c r="AE396" s="395"/>
      <c r="AF396" s="395"/>
      <c r="AG396" s="395"/>
      <c r="AH396" s="395"/>
    </row>
    <row r="397" ht="30.75" customHeight="1">
      <c r="A397" s="373" t="str">
        <f t="shared" si="1"/>
        <v/>
      </c>
      <c r="B397" s="421" t="s">
        <v>289</v>
      </c>
      <c r="C397" s="406"/>
      <c r="D397" s="406"/>
      <c r="E397" s="406"/>
      <c r="F397" s="395" t="s">
        <v>289</v>
      </c>
      <c r="G397" s="406"/>
      <c r="H397" s="406"/>
      <c r="I397" s="378" t="s">
        <v>289</v>
      </c>
      <c r="J397" s="379" t="s">
        <v>289</v>
      </c>
      <c r="K397" s="407"/>
      <c r="L397" s="378" t="s">
        <v>289</v>
      </c>
      <c r="M397" s="378" t="s">
        <v>289</v>
      </c>
      <c r="N397" s="378" t="s">
        <v>289</v>
      </c>
      <c r="O397" s="409"/>
      <c r="P397" s="387" t="s">
        <v>289</v>
      </c>
      <c r="Q397" s="383"/>
      <c r="R397" s="383"/>
      <c r="S397" s="383"/>
      <c r="T397" s="410"/>
      <c r="U397" s="406"/>
      <c r="V397" s="386"/>
      <c r="W397" s="387" t="s">
        <v>289</v>
      </c>
      <c r="X397" s="378" t="s">
        <v>289</v>
      </c>
      <c r="Y397" s="387" t="s">
        <v>289</v>
      </c>
      <c r="Z397" s="391" t="s">
        <v>289</v>
      </c>
      <c r="AA397" s="391" t="s">
        <v>289</v>
      </c>
      <c r="AB397" s="391" t="s">
        <v>289</v>
      </c>
      <c r="AC397" s="391" t="s">
        <v>289</v>
      </c>
      <c r="AD397" s="395" t="s">
        <v>289</v>
      </c>
      <c r="AE397" s="395"/>
      <c r="AF397" s="395"/>
      <c r="AG397" s="395"/>
      <c r="AH397" s="395"/>
    </row>
    <row r="398" ht="30.75" customHeight="1">
      <c r="A398" s="373" t="str">
        <f t="shared" si="1"/>
        <v/>
      </c>
      <c r="B398" s="421" t="s">
        <v>289</v>
      </c>
      <c r="C398" s="406"/>
      <c r="D398" s="406"/>
      <c r="E398" s="406"/>
      <c r="F398" s="395" t="s">
        <v>289</v>
      </c>
      <c r="G398" s="406"/>
      <c r="H398" s="406"/>
      <c r="I398" s="378" t="s">
        <v>289</v>
      </c>
      <c r="J398" s="379" t="s">
        <v>289</v>
      </c>
      <c r="K398" s="407"/>
      <c r="L398" s="378" t="s">
        <v>289</v>
      </c>
      <c r="M398" s="378" t="s">
        <v>289</v>
      </c>
      <c r="N398" s="378" t="s">
        <v>289</v>
      </c>
      <c r="O398" s="409"/>
      <c r="P398" s="387" t="s">
        <v>289</v>
      </c>
      <c r="Q398" s="383"/>
      <c r="R398" s="383"/>
      <c r="S398" s="383"/>
      <c r="T398" s="410"/>
      <c r="U398" s="406"/>
      <c r="V398" s="386"/>
      <c r="W398" s="387" t="s">
        <v>289</v>
      </c>
      <c r="X398" s="378" t="s">
        <v>289</v>
      </c>
      <c r="Y398" s="387" t="s">
        <v>289</v>
      </c>
      <c r="Z398" s="391" t="s">
        <v>289</v>
      </c>
      <c r="AA398" s="391" t="s">
        <v>289</v>
      </c>
      <c r="AB398" s="391" t="s">
        <v>289</v>
      </c>
      <c r="AC398" s="391" t="s">
        <v>289</v>
      </c>
      <c r="AD398" s="395" t="s">
        <v>289</v>
      </c>
      <c r="AE398" s="395"/>
      <c r="AF398" s="395"/>
      <c r="AG398" s="395"/>
      <c r="AH398" s="395"/>
    </row>
    <row r="399" ht="30.75" customHeight="1">
      <c r="A399" s="373" t="str">
        <f t="shared" si="1"/>
        <v/>
      </c>
      <c r="B399" s="421" t="s">
        <v>289</v>
      </c>
      <c r="C399" s="406"/>
      <c r="D399" s="406"/>
      <c r="E399" s="406"/>
      <c r="F399" s="395" t="s">
        <v>289</v>
      </c>
      <c r="G399" s="406"/>
      <c r="H399" s="406"/>
      <c r="I399" s="378" t="s">
        <v>289</v>
      </c>
      <c r="J399" s="379" t="s">
        <v>289</v>
      </c>
      <c r="K399" s="407"/>
      <c r="L399" s="378" t="s">
        <v>289</v>
      </c>
      <c r="M399" s="378" t="s">
        <v>289</v>
      </c>
      <c r="N399" s="378" t="s">
        <v>289</v>
      </c>
      <c r="O399" s="409"/>
      <c r="P399" s="387" t="s">
        <v>289</v>
      </c>
      <c r="Q399" s="383"/>
      <c r="R399" s="383"/>
      <c r="S399" s="383"/>
      <c r="T399" s="410"/>
      <c r="U399" s="406"/>
      <c r="V399" s="386"/>
      <c r="W399" s="387" t="s">
        <v>289</v>
      </c>
      <c r="X399" s="378" t="s">
        <v>289</v>
      </c>
      <c r="Y399" s="387" t="s">
        <v>289</v>
      </c>
      <c r="Z399" s="391" t="s">
        <v>289</v>
      </c>
      <c r="AA399" s="391" t="s">
        <v>289</v>
      </c>
      <c r="AB399" s="391" t="s">
        <v>289</v>
      </c>
      <c r="AC399" s="391" t="s">
        <v>289</v>
      </c>
      <c r="AD399" s="395" t="s">
        <v>289</v>
      </c>
      <c r="AE399" s="395"/>
      <c r="AF399" s="395"/>
      <c r="AG399" s="395"/>
      <c r="AH399" s="395"/>
    </row>
    <row r="400" ht="30.75" customHeight="1">
      <c r="A400" s="373" t="str">
        <f t="shared" si="1"/>
        <v/>
      </c>
      <c r="B400" s="421" t="s">
        <v>289</v>
      </c>
      <c r="C400" s="406"/>
      <c r="D400" s="406"/>
      <c r="E400" s="406"/>
      <c r="F400" s="395" t="s">
        <v>289</v>
      </c>
      <c r="G400" s="406"/>
      <c r="H400" s="406"/>
      <c r="I400" s="378" t="s">
        <v>289</v>
      </c>
      <c r="J400" s="379" t="s">
        <v>289</v>
      </c>
      <c r="K400" s="407"/>
      <c r="L400" s="378" t="s">
        <v>289</v>
      </c>
      <c r="M400" s="378" t="s">
        <v>289</v>
      </c>
      <c r="N400" s="378" t="s">
        <v>289</v>
      </c>
      <c r="O400" s="409"/>
      <c r="P400" s="387" t="s">
        <v>289</v>
      </c>
      <c r="Q400" s="383"/>
      <c r="R400" s="383"/>
      <c r="S400" s="383"/>
      <c r="T400" s="410"/>
      <c r="U400" s="406"/>
      <c r="V400" s="386"/>
      <c r="W400" s="387" t="s">
        <v>289</v>
      </c>
      <c r="X400" s="378" t="s">
        <v>289</v>
      </c>
      <c r="Y400" s="387" t="s">
        <v>289</v>
      </c>
      <c r="Z400" s="391" t="s">
        <v>289</v>
      </c>
      <c r="AA400" s="391" t="s">
        <v>289</v>
      </c>
      <c r="AB400" s="391" t="s">
        <v>289</v>
      </c>
      <c r="AC400" s="391" t="s">
        <v>289</v>
      </c>
      <c r="AD400" s="395" t="s">
        <v>289</v>
      </c>
      <c r="AE400" s="395"/>
      <c r="AF400" s="395"/>
      <c r="AG400" s="395"/>
      <c r="AH400" s="395"/>
    </row>
    <row r="401" ht="30.75" customHeight="1">
      <c r="A401" s="373" t="str">
        <f t="shared" si="1"/>
        <v/>
      </c>
      <c r="B401" s="421" t="s">
        <v>289</v>
      </c>
      <c r="C401" s="406"/>
      <c r="D401" s="406"/>
      <c r="E401" s="406"/>
      <c r="F401" s="395" t="s">
        <v>289</v>
      </c>
      <c r="G401" s="406"/>
      <c r="H401" s="406"/>
      <c r="I401" s="378" t="s">
        <v>289</v>
      </c>
      <c r="J401" s="379" t="s">
        <v>289</v>
      </c>
      <c r="K401" s="407"/>
      <c r="L401" s="378" t="s">
        <v>289</v>
      </c>
      <c r="M401" s="378" t="s">
        <v>289</v>
      </c>
      <c r="N401" s="378" t="s">
        <v>289</v>
      </c>
      <c r="O401" s="409"/>
      <c r="P401" s="387" t="s">
        <v>289</v>
      </c>
      <c r="Q401" s="383"/>
      <c r="R401" s="383"/>
      <c r="S401" s="383"/>
      <c r="T401" s="410"/>
      <c r="U401" s="406"/>
      <c r="V401" s="386"/>
      <c r="W401" s="387" t="s">
        <v>289</v>
      </c>
      <c r="X401" s="378" t="s">
        <v>289</v>
      </c>
      <c r="Y401" s="387" t="s">
        <v>289</v>
      </c>
      <c r="Z401" s="391" t="s">
        <v>289</v>
      </c>
      <c r="AA401" s="391" t="s">
        <v>289</v>
      </c>
      <c r="AB401" s="391" t="s">
        <v>289</v>
      </c>
      <c r="AC401" s="391" t="s">
        <v>289</v>
      </c>
      <c r="AD401" s="395" t="s">
        <v>289</v>
      </c>
      <c r="AE401" s="395"/>
      <c r="AF401" s="395"/>
      <c r="AG401" s="395"/>
      <c r="AH401" s="395"/>
    </row>
    <row r="402" ht="30.75" customHeight="1">
      <c r="A402" s="373" t="str">
        <f t="shared" si="1"/>
        <v/>
      </c>
      <c r="B402" s="421" t="s">
        <v>289</v>
      </c>
      <c r="C402" s="406"/>
      <c r="D402" s="406"/>
      <c r="E402" s="406"/>
      <c r="F402" s="395" t="s">
        <v>289</v>
      </c>
      <c r="G402" s="406"/>
      <c r="H402" s="406"/>
      <c r="I402" s="378" t="s">
        <v>289</v>
      </c>
      <c r="J402" s="379" t="s">
        <v>289</v>
      </c>
      <c r="K402" s="407"/>
      <c r="L402" s="378" t="s">
        <v>289</v>
      </c>
      <c r="M402" s="378" t="s">
        <v>289</v>
      </c>
      <c r="N402" s="378" t="s">
        <v>289</v>
      </c>
      <c r="O402" s="409"/>
      <c r="P402" s="387" t="s">
        <v>289</v>
      </c>
      <c r="Q402" s="383"/>
      <c r="R402" s="383"/>
      <c r="S402" s="383"/>
      <c r="T402" s="410"/>
      <c r="U402" s="406"/>
      <c r="V402" s="386"/>
      <c r="W402" s="387" t="s">
        <v>289</v>
      </c>
      <c r="X402" s="378" t="s">
        <v>289</v>
      </c>
      <c r="Y402" s="387" t="s">
        <v>289</v>
      </c>
      <c r="Z402" s="391" t="s">
        <v>289</v>
      </c>
      <c r="AA402" s="391" t="s">
        <v>289</v>
      </c>
      <c r="AB402" s="391" t="s">
        <v>289</v>
      </c>
      <c r="AC402" s="391" t="s">
        <v>289</v>
      </c>
      <c r="AD402" s="395" t="s">
        <v>289</v>
      </c>
      <c r="AE402" s="395"/>
      <c r="AF402" s="395"/>
      <c r="AG402" s="395"/>
      <c r="AH402" s="395"/>
    </row>
    <row r="403" ht="30.75" customHeight="1">
      <c r="A403" s="373" t="str">
        <f t="shared" si="1"/>
        <v/>
      </c>
      <c r="B403" s="421" t="s">
        <v>289</v>
      </c>
      <c r="C403" s="406"/>
      <c r="D403" s="406"/>
      <c r="E403" s="406"/>
      <c r="F403" s="395" t="s">
        <v>289</v>
      </c>
      <c r="G403" s="406"/>
      <c r="H403" s="406"/>
      <c r="I403" s="378" t="s">
        <v>289</v>
      </c>
      <c r="J403" s="379" t="s">
        <v>289</v>
      </c>
      <c r="K403" s="407"/>
      <c r="L403" s="378" t="s">
        <v>289</v>
      </c>
      <c r="M403" s="378" t="s">
        <v>289</v>
      </c>
      <c r="N403" s="378" t="s">
        <v>289</v>
      </c>
      <c r="O403" s="409"/>
      <c r="P403" s="387" t="s">
        <v>289</v>
      </c>
      <c r="Q403" s="383"/>
      <c r="R403" s="383"/>
      <c r="S403" s="383"/>
      <c r="T403" s="410"/>
      <c r="U403" s="406"/>
      <c r="V403" s="386"/>
      <c r="W403" s="387" t="s">
        <v>289</v>
      </c>
      <c r="X403" s="378" t="s">
        <v>289</v>
      </c>
      <c r="Y403" s="387" t="s">
        <v>289</v>
      </c>
      <c r="Z403" s="391" t="s">
        <v>289</v>
      </c>
      <c r="AA403" s="391" t="s">
        <v>289</v>
      </c>
      <c r="AB403" s="391" t="s">
        <v>289</v>
      </c>
      <c r="AC403" s="391" t="s">
        <v>289</v>
      </c>
      <c r="AD403" s="395" t="s">
        <v>289</v>
      </c>
      <c r="AE403" s="395"/>
      <c r="AF403" s="395"/>
      <c r="AG403" s="395"/>
      <c r="AH403" s="395"/>
    </row>
    <row r="404" ht="30.75" customHeight="1">
      <c r="A404" s="373" t="str">
        <f t="shared" si="1"/>
        <v/>
      </c>
      <c r="B404" s="421" t="s">
        <v>289</v>
      </c>
      <c r="C404" s="406"/>
      <c r="D404" s="406"/>
      <c r="E404" s="406"/>
      <c r="F404" s="395" t="s">
        <v>289</v>
      </c>
      <c r="G404" s="406"/>
      <c r="H404" s="406"/>
      <c r="I404" s="378" t="s">
        <v>289</v>
      </c>
      <c r="J404" s="379" t="s">
        <v>289</v>
      </c>
      <c r="K404" s="407"/>
      <c r="L404" s="378" t="s">
        <v>289</v>
      </c>
      <c r="M404" s="378" t="s">
        <v>289</v>
      </c>
      <c r="N404" s="378" t="s">
        <v>289</v>
      </c>
      <c r="O404" s="409"/>
      <c r="P404" s="387" t="s">
        <v>289</v>
      </c>
      <c r="Q404" s="383"/>
      <c r="R404" s="383"/>
      <c r="S404" s="383"/>
      <c r="T404" s="410"/>
      <c r="U404" s="406"/>
      <c r="V404" s="386"/>
      <c r="W404" s="387" t="s">
        <v>289</v>
      </c>
      <c r="X404" s="378" t="s">
        <v>289</v>
      </c>
      <c r="Y404" s="387" t="s">
        <v>289</v>
      </c>
      <c r="Z404" s="391" t="s">
        <v>289</v>
      </c>
      <c r="AA404" s="391" t="s">
        <v>289</v>
      </c>
      <c r="AB404" s="391" t="s">
        <v>289</v>
      </c>
      <c r="AC404" s="391" t="s">
        <v>289</v>
      </c>
      <c r="AD404" s="395" t="s">
        <v>289</v>
      </c>
      <c r="AE404" s="395"/>
      <c r="AF404" s="395"/>
      <c r="AG404" s="395"/>
      <c r="AH404" s="395"/>
    </row>
    <row r="405" ht="30.75" customHeight="1">
      <c r="A405" s="373" t="str">
        <f t="shared" si="1"/>
        <v/>
      </c>
      <c r="B405" s="421" t="s">
        <v>289</v>
      </c>
      <c r="C405" s="406"/>
      <c r="D405" s="406"/>
      <c r="E405" s="406"/>
      <c r="F405" s="395" t="s">
        <v>289</v>
      </c>
      <c r="G405" s="406"/>
      <c r="H405" s="406"/>
      <c r="I405" s="378" t="s">
        <v>289</v>
      </c>
      <c r="J405" s="379" t="s">
        <v>289</v>
      </c>
      <c r="K405" s="407"/>
      <c r="L405" s="378" t="s">
        <v>289</v>
      </c>
      <c r="M405" s="378" t="s">
        <v>289</v>
      </c>
      <c r="N405" s="378" t="s">
        <v>289</v>
      </c>
      <c r="O405" s="409"/>
      <c r="P405" s="387" t="s">
        <v>289</v>
      </c>
      <c r="Q405" s="383"/>
      <c r="R405" s="383"/>
      <c r="S405" s="383"/>
      <c r="T405" s="410"/>
      <c r="U405" s="406"/>
      <c r="V405" s="386"/>
      <c r="W405" s="387" t="s">
        <v>289</v>
      </c>
      <c r="X405" s="378" t="s">
        <v>289</v>
      </c>
      <c r="Y405" s="387" t="s">
        <v>289</v>
      </c>
      <c r="Z405" s="391" t="s">
        <v>289</v>
      </c>
      <c r="AA405" s="391" t="s">
        <v>289</v>
      </c>
      <c r="AB405" s="391" t="s">
        <v>289</v>
      </c>
      <c r="AC405" s="391" t="s">
        <v>289</v>
      </c>
      <c r="AD405" s="395" t="s">
        <v>289</v>
      </c>
      <c r="AE405" s="395"/>
      <c r="AF405" s="395"/>
      <c r="AG405" s="395"/>
      <c r="AH405" s="395"/>
    </row>
    <row r="406" ht="30.75" customHeight="1">
      <c r="A406" s="373" t="str">
        <f t="shared" si="1"/>
        <v/>
      </c>
      <c r="B406" s="421" t="s">
        <v>289</v>
      </c>
      <c r="C406" s="406"/>
      <c r="D406" s="406"/>
      <c r="E406" s="406"/>
      <c r="F406" s="395" t="s">
        <v>289</v>
      </c>
      <c r="G406" s="406"/>
      <c r="H406" s="406"/>
      <c r="I406" s="378" t="s">
        <v>289</v>
      </c>
      <c r="J406" s="379" t="s">
        <v>289</v>
      </c>
      <c r="K406" s="407"/>
      <c r="L406" s="378" t="s">
        <v>289</v>
      </c>
      <c r="M406" s="378" t="s">
        <v>289</v>
      </c>
      <c r="N406" s="378" t="s">
        <v>289</v>
      </c>
      <c r="O406" s="409"/>
      <c r="P406" s="387" t="s">
        <v>289</v>
      </c>
      <c r="Q406" s="383"/>
      <c r="R406" s="383"/>
      <c r="S406" s="383"/>
      <c r="T406" s="410"/>
      <c r="U406" s="406"/>
      <c r="V406" s="386"/>
      <c r="W406" s="387" t="s">
        <v>289</v>
      </c>
      <c r="X406" s="378" t="s">
        <v>289</v>
      </c>
      <c r="Y406" s="387" t="s">
        <v>289</v>
      </c>
      <c r="Z406" s="391" t="s">
        <v>289</v>
      </c>
      <c r="AA406" s="391" t="s">
        <v>289</v>
      </c>
      <c r="AB406" s="391" t="s">
        <v>289</v>
      </c>
      <c r="AC406" s="391" t="s">
        <v>289</v>
      </c>
      <c r="AD406" s="395" t="s">
        <v>289</v>
      </c>
      <c r="AE406" s="395"/>
      <c r="AF406" s="395"/>
      <c r="AG406" s="395"/>
      <c r="AH406" s="395"/>
    </row>
    <row r="407" ht="30.75" customHeight="1">
      <c r="A407" s="373" t="str">
        <f t="shared" si="1"/>
        <v/>
      </c>
      <c r="B407" s="421" t="s">
        <v>289</v>
      </c>
      <c r="C407" s="406"/>
      <c r="D407" s="406"/>
      <c r="E407" s="406"/>
      <c r="F407" s="395" t="s">
        <v>289</v>
      </c>
      <c r="G407" s="406"/>
      <c r="H407" s="406"/>
      <c r="I407" s="378" t="s">
        <v>289</v>
      </c>
      <c r="J407" s="379" t="s">
        <v>289</v>
      </c>
      <c r="K407" s="407"/>
      <c r="L407" s="378" t="s">
        <v>289</v>
      </c>
      <c r="M407" s="378" t="s">
        <v>289</v>
      </c>
      <c r="N407" s="378" t="s">
        <v>289</v>
      </c>
      <c r="O407" s="409"/>
      <c r="P407" s="387" t="s">
        <v>289</v>
      </c>
      <c r="Q407" s="383"/>
      <c r="R407" s="383"/>
      <c r="S407" s="383"/>
      <c r="T407" s="410"/>
      <c r="U407" s="406"/>
      <c r="V407" s="386"/>
      <c r="W407" s="387" t="s">
        <v>289</v>
      </c>
      <c r="X407" s="378" t="s">
        <v>289</v>
      </c>
      <c r="Y407" s="387" t="s">
        <v>289</v>
      </c>
      <c r="Z407" s="391" t="s">
        <v>289</v>
      </c>
      <c r="AA407" s="391" t="s">
        <v>289</v>
      </c>
      <c r="AB407" s="391" t="s">
        <v>289</v>
      </c>
      <c r="AC407" s="391" t="s">
        <v>289</v>
      </c>
      <c r="AD407" s="395" t="s">
        <v>289</v>
      </c>
      <c r="AE407" s="395"/>
      <c r="AF407" s="395"/>
      <c r="AG407" s="395"/>
      <c r="AH407" s="395"/>
    </row>
    <row r="408" ht="30.75" customHeight="1">
      <c r="A408" s="373" t="str">
        <f t="shared" si="1"/>
        <v/>
      </c>
      <c r="B408" s="421" t="s">
        <v>289</v>
      </c>
      <c r="C408" s="406"/>
      <c r="D408" s="406"/>
      <c r="E408" s="406"/>
      <c r="F408" s="395" t="s">
        <v>289</v>
      </c>
      <c r="G408" s="406"/>
      <c r="H408" s="406"/>
      <c r="I408" s="378" t="s">
        <v>289</v>
      </c>
      <c r="J408" s="379" t="s">
        <v>289</v>
      </c>
      <c r="K408" s="407"/>
      <c r="L408" s="378" t="s">
        <v>289</v>
      </c>
      <c r="M408" s="378" t="s">
        <v>289</v>
      </c>
      <c r="N408" s="378" t="s">
        <v>289</v>
      </c>
      <c r="O408" s="409"/>
      <c r="P408" s="387" t="s">
        <v>289</v>
      </c>
      <c r="Q408" s="383"/>
      <c r="R408" s="383"/>
      <c r="S408" s="383"/>
      <c r="T408" s="410"/>
      <c r="U408" s="406"/>
      <c r="V408" s="386"/>
      <c r="W408" s="387" t="s">
        <v>289</v>
      </c>
      <c r="X408" s="378" t="s">
        <v>289</v>
      </c>
      <c r="Y408" s="387" t="s">
        <v>289</v>
      </c>
      <c r="Z408" s="391" t="s">
        <v>289</v>
      </c>
      <c r="AA408" s="391" t="s">
        <v>289</v>
      </c>
      <c r="AB408" s="391" t="s">
        <v>289</v>
      </c>
      <c r="AC408" s="391" t="s">
        <v>289</v>
      </c>
      <c r="AD408" s="395" t="s">
        <v>289</v>
      </c>
      <c r="AE408" s="395"/>
      <c r="AF408" s="395"/>
      <c r="AG408" s="395"/>
      <c r="AH408" s="395"/>
    </row>
    <row r="409" ht="30.75" customHeight="1">
      <c r="A409" s="373" t="str">
        <f t="shared" si="1"/>
        <v/>
      </c>
      <c r="B409" s="421" t="s">
        <v>289</v>
      </c>
      <c r="C409" s="406"/>
      <c r="D409" s="406"/>
      <c r="E409" s="406"/>
      <c r="F409" s="395" t="s">
        <v>289</v>
      </c>
      <c r="G409" s="406"/>
      <c r="H409" s="406"/>
      <c r="I409" s="378" t="s">
        <v>289</v>
      </c>
      <c r="J409" s="379" t="s">
        <v>289</v>
      </c>
      <c r="K409" s="407"/>
      <c r="L409" s="378" t="s">
        <v>289</v>
      </c>
      <c r="M409" s="378" t="s">
        <v>289</v>
      </c>
      <c r="N409" s="378" t="s">
        <v>289</v>
      </c>
      <c r="O409" s="409"/>
      <c r="P409" s="387" t="s">
        <v>289</v>
      </c>
      <c r="Q409" s="383"/>
      <c r="R409" s="383"/>
      <c r="S409" s="383"/>
      <c r="T409" s="410"/>
      <c r="U409" s="406"/>
      <c r="V409" s="386"/>
      <c r="W409" s="387" t="s">
        <v>289</v>
      </c>
      <c r="X409" s="378" t="s">
        <v>289</v>
      </c>
      <c r="Y409" s="387" t="s">
        <v>289</v>
      </c>
      <c r="Z409" s="391" t="s">
        <v>289</v>
      </c>
      <c r="AA409" s="391" t="s">
        <v>289</v>
      </c>
      <c r="AB409" s="391" t="s">
        <v>289</v>
      </c>
      <c r="AC409" s="391" t="s">
        <v>289</v>
      </c>
      <c r="AD409" s="395" t="s">
        <v>289</v>
      </c>
      <c r="AE409" s="395"/>
      <c r="AF409" s="395"/>
      <c r="AG409" s="395"/>
      <c r="AH409" s="395"/>
    </row>
    <row r="410" ht="30.75" customHeight="1">
      <c r="A410" s="373" t="str">
        <f t="shared" si="1"/>
        <v/>
      </c>
      <c r="B410" s="421" t="s">
        <v>289</v>
      </c>
      <c r="C410" s="406"/>
      <c r="D410" s="406"/>
      <c r="E410" s="406"/>
      <c r="F410" s="395" t="s">
        <v>289</v>
      </c>
      <c r="G410" s="406"/>
      <c r="H410" s="406"/>
      <c r="I410" s="378" t="s">
        <v>289</v>
      </c>
      <c r="J410" s="379" t="s">
        <v>289</v>
      </c>
      <c r="K410" s="407"/>
      <c r="L410" s="378" t="s">
        <v>289</v>
      </c>
      <c r="M410" s="378" t="s">
        <v>289</v>
      </c>
      <c r="N410" s="378" t="s">
        <v>289</v>
      </c>
      <c r="O410" s="409"/>
      <c r="P410" s="387" t="s">
        <v>289</v>
      </c>
      <c r="Q410" s="383"/>
      <c r="R410" s="383"/>
      <c r="S410" s="383"/>
      <c r="T410" s="410"/>
      <c r="U410" s="406"/>
      <c r="V410" s="386"/>
      <c r="W410" s="387" t="s">
        <v>289</v>
      </c>
      <c r="X410" s="378" t="s">
        <v>289</v>
      </c>
      <c r="Y410" s="387" t="s">
        <v>289</v>
      </c>
      <c r="Z410" s="391" t="s">
        <v>289</v>
      </c>
      <c r="AA410" s="391" t="s">
        <v>289</v>
      </c>
      <c r="AB410" s="391" t="s">
        <v>289</v>
      </c>
      <c r="AC410" s="391" t="s">
        <v>289</v>
      </c>
      <c r="AD410" s="395" t="s">
        <v>289</v>
      </c>
      <c r="AE410" s="395"/>
      <c r="AF410" s="395"/>
      <c r="AG410" s="395"/>
      <c r="AH410" s="395"/>
    </row>
    <row r="411" ht="30.75" customHeight="1">
      <c r="A411" s="373" t="str">
        <f t="shared" si="1"/>
        <v/>
      </c>
      <c r="B411" s="421" t="s">
        <v>289</v>
      </c>
      <c r="C411" s="406"/>
      <c r="D411" s="406"/>
      <c r="E411" s="406"/>
      <c r="F411" s="395" t="s">
        <v>289</v>
      </c>
      <c r="G411" s="406"/>
      <c r="H411" s="406"/>
      <c r="I411" s="378" t="s">
        <v>289</v>
      </c>
      <c r="J411" s="379" t="s">
        <v>289</v>
      </c>
      <c r="K411" s="407"/>
      <c r="L411" s="378" t="s">
        <v>289</v>
      </c>
      <c r="M411" s="378" t="s">
        <v>289</v>
      </c>
      <c r="N411" s="378" t="s">
        <v>289</v>
      </c>
      <c r="O411" s="409"/>
      <c r="P411" s="387" t="s">
        <v>289</v>
      </c>
      <c r="Q411" s="383"/>
      <c r="R411" s="383"/>
      <c r="S411" s="383"/>
      <c r="T411" s="410"/>
      <c r="U411" s="406"/>
      <c r="V411" s="386"/>
      <c r="W411" s="387" t="s">
        <v>289</v>
      </c>
      <c r="X411" s="378" t="s">
        <v>289</v>
      </c>
      <c r="Y411" s="387" t="s">
        <v>289</v>
      </c>
      <c r="Z411" s="391" t="s">
        <v>289</v>
      </c>
      <c r="AA411" s="391" t="s">
        <v>289</v>
      </c>
      <c r="AB411" s="391" t="s">
        <v>289</v>
      </c>
      <c r="AC411" s="391" t="s">
        <v>289</v>
      </c>
      <c r="AD411" s="395" t="s">
        <v>289</v>
      </c>
      <c r="AE411" s="395"/>
      <c r="AF411" s="395"/>
      <c r="AG411" s="395"/>
      <c r="AH411" s="395"/>
    </row>
    <row r="412" ht="30.75" customHeight="1">
      <c r="A412" s="373" t="str">
        <f t="shared" si="1"/>
        <v/>
      </c>
      <c r="B412" s="421" t="s">
        <v>289</v>
      </c>
      <c r="C412" s="406"/>
      <c r="D412" s="406"/>
      <c r="E412" s="406"/>
      <c r="F412" s="395" t="s">
        <v>289</v>
      </c>
      <c r="G412" s="406"/>
      <c r="H412" s="406"/>
      <c r="I412" s="378" t="s">
        <v>289</v>
      </c>
      <c r="J412" s="379" t="s">
        <v>289</v>
      </c>
      <c r="K412" s="407"/>
      <c r="L412" s="378" t="s">
        <v>289</v>
      </c>
      <c r="M412" s="378" t="s">
        <v>289</v>
      </c>
      <c r="N412" s="378" t="s">
        <v>289</v>
      </c>
      <c r="O412" s="409"/>
      <c r="P412" s="387" t="s">
        <v>289</v>
      </c>
      <c r="Q412" s="383"/>
      <c r="R412" s="383"/>
      <c r="S412" s="383"/>
      <c r="T412" s="410"/>
      <c r="U412" s="406"/>
      <c r="V412" s="386"/>
      <c r="W412" s="387" t="s">
        <v>289</v>
      </c>
      <c r="X412" s="378" t="s">
        <v>289</v>
      </c>
      <c r="Y412" s="387" t="s">
        <v>289</v>
      </c>
      <c r="Z412" s="391" t="s">
        <v>289</v>
      </c>
      <c r="AA412" s="391" t="s">
        <v>289</v>
      </c>
      <c r="AB412" s="391" t="s">
        <v>289</v>
      </c>
      <c r="AC412" s="391" t="s">
        <v>289</v>
      </c>
      <c r="AD412" s="395" t="s">
        <v>289</v>
      </c>
      <c r="AE412" s="395"/>
      <c r="AF412" s="395"/>
      <c r="AG412" s="395"/>
      <c r="AH412" s="395"/>
    </row>
    <row r="413" ht="30.75" customHeight="1">
      <c r="A413" s="373" t="str">
        <f t="shared" si="1"/>
        <v/>
      </c>
      <c r="B413" s="421" t="s">
        <v>289</v>
      </c>
      <c r="C413" s="406"/>
      <c r="D413" s="406"/>
      <c r="E413" s="406"/>
      <c r="F413" s="395" t="s">
        <v>289</v>
      </c>
      <c r="G413" s="406"/>
      <c r="H413" s="406"/>
      <c r="I413" s="378" t="s">
        <v>289</v>
      </c>
      <c r="J413" s="379" t="s">
        <v>289</v>
      </c>
      <c r="K413" s="407"/>
      <c r="L413" s="378" t="s">
        <v>289</v>
      </c>
      <c r="M413" s="378" t="s">
        <v>289</v>
      </c>
      <c r="N413" s="378" t="s">
        <v>289</v>
      </c>
      <c r="O413" s="409"/>
      <c r="P413" s="387" t="s">
        <v>289</v>
      </c>
      <c r="Q413" s="383"/>
      <c r="R413" s="383"/>
      <c r="S413" s="383"/>
      <c r="T413" s="410"/>
      <c r="U413" s="406"/>
      <c r="V413" s="386"/>
      <c r="W413" s="387" t="s">
        <v>289</v>
      </c>
      <c r="X413" s="378" t="s">
        <v>289</v>
      </c>
      <c r="Y413" s="387" t="s">
        <v>289</v>
      </c>
      <c r="Z413" s="391" t="s">
        <v>289</v>
      </c>
      <c r="AA413" s="391" t="s">
        <v>289</v>
      </c>
      <c r="AB413" s="391" t="s">
        <v>289</v>
      </c>
      <c r="AC413" s="391" t="s">
        <v>289</v>
      </c>
      <c r="AD413" s="395" t="s">
        <v>289</v>
      </c>
      <c r="AE413" s="395"/>
      <c r="AF413" s="395"/>
      <c r="AG413" s="395"/>
      <c r="AH413" s="395"/>
    </row>
    <row r="414" ht="30.75" customHeight="1">
      <c r="A414" s="373" t="str">
        <f t="shared" si="1"/>
        <v/>
      </c>
      <c r="B414" s="421" t="s">
        <v>289</v>
      </c>
      <c r="C414" s="406"/>
      <c r="D414" s="406"/>
      <c r="E414" s="406"/>
      <c r="F414" s="395" t="s">
        <v>289</v>
      </c>
      <c r="G414" s="406"/>
      <c r="H414" s="406"/>
      <c r="I414" s="378" t="s">
        <v>289</v>
      </c>
      <c r="J414" s="379" t="s">
        <v>289</v>
      </c>
      <c r="K414" s="407"/>
      <c r="L414" s="378" t="s">
        <v>289</v>
      </c>
      <c r="M414" s="378" t="s">
        <v>289</v>
      </c>
      <c r="N414" s="378" t="s">
        <v>289</v>
      </c>
      <c r="O414" s="409"/>
      <c r="P414" s="387" t="s">
        <v>289</v>
      </c>
      <c r="Q414" s="383"/>
      <c r="R414" s="383"/>
      <c r="S414" s="383"/>
      <c r="T414" s="410"/>
      <c r="U414" s="406"/>
      <c r="V414" s="386"/>
      <c r="W414" s="387" t="s">
        <v>289</v>
      </c>
      <c r="X414" s="378" t="s">
        <v>289</v>
      </c>
      <c r="Y414" s="387" t="s">
        <v>289</v>
      </c>
      <c r="Z414" s="391" t="s">
        <v>289</v>
      </c>
      <c r="AA414" s="391" t="s">
        <v>289</v>
      </c>
      <c r="AB414" s="391" t="s">
        <v>289</v>
      </c>
      <c r="AC414" s="391" t="s">
        <v>289</v>
      </c>
      <c r="AD414" s="395" t="s">
        <v>289</v>
      </c>
      <c r="AE414" s="395"/>
      <c r="AF414" s="395"/>
      <c r="AG414" s="395"/>
      <c r="AH414" s="395"/>
    </row>
    <row r="415" ht="30.75" customHeight="1">
      <c r="A415" s="373" t="str">
        <f t="shared" si="1"/>
        <v/>
      </c>
      <c r="B415" s="421" t="s">
        <v>289</v>
      </c>
      <c r="C415" s="406"/>
      <c r="D415" s="406"/>
      <c r="E415" s="406"/>
      <c r="F415" s="395" t="s">
        <v>289</v>
      </c>
      <c r="G415" s="406"/>
      <c r="H415" s="406"/>
      <c r="I415" s="378" t="s">
        <v>289</v>
      </c>
      <c r="J415" s="379" t="s">
        <v>289</v>
      </c>
      <c r="K415" s="407"/>
      <c r="L415" s="378" t="s">
        <v>289</v>
      </c>
      <c r="M415" s="378" t="s">
        <v>289</v>
      </c>
      <c r="N415" s="378" t="s">
        <v>289</v>
      </c>
      <c r="O415" s="409"/>
      <c r="P415" s="387" t="s">
        <v>289</v>
      </c>
      <c r="Q415" s="383"/>
      <c r="R415" s="383"/>
      <c r="S415" s="383"/>
      <c r="T415" s="410"/>
      <c r="U415" s="406"/>
      <c r="V415" s="386"/>
      <c r="W415" s="387" t="s">
        <v>289</v>
      </c>
      <c r="X415" s="378" t="s">
        <v>289</v>
      </c>
      <c r="Y415" s="387" t="s">
        <v>289</v>
      </c>
      <c r="Z415" s="391" t="s">
        <v>289</v>
      </c>
      <c r="AA415" s="391" t="s">
        <v>289</v>
      </c>
      <c r="AB415" s="391" t="s">
        <v>289</v>
      </c>
      <c r="AC415" s="391" t="s">
        <v>289</v>
      </c>
      <c r="AD415" s="395" t="s">
        <v>289</v>
      </c>
      <c r="AE415" s="395"/>
      <c r="AF415" s="395"/>
      <c r="AG415" s="395"/>
      <c r="AH415" s="395"/>
    </row>
    <row r="416" ht="30.75" customHeight="1">
      <c r="A416" s="373" t="str">
        <f t="shared" si="1"/>
        <v/>
      </c>
      <c r="B416" s="421" t="s">
        <v>289</v>
      </c>
      <c r="C416" s="406"/>
      <c r="D416" s="406"/>
      <c r="E416" s="406"/>
      <c r="F416" s="395" t="s">
        <v>289</v>
      </c>
      <c r="G416" s="406"/>
      <c r="H416" s="406"/>
      <c r="I416" s="378" t="s">
        <v>289</v>
      </c>
      <c r="J416" s="379" t="s">
        <v>289</v>
      </c>
      <c r="K416" s="407"/>
      <c r="L416" s="378" t="s">
        <v>289</v>
      </c>
      <c r="M416" s="378" t="s">
        <v>289</v>
      </c>
      <c r="N416" s="378" t="s">
        <v>289</v>
      </c>
      <c r="O416" s="409"/>
      <c r="P416" s="387" t="s">
        <v>289</v>
      </c>
      <c r="Q416" s="383"/>
      <c r="R416" s="383"/>
      <c r="S416" s="383"/>
      <c r="T416" s="410"/>
      <c r="U416" s="406"/>
      <c r="V416" s="386"/>
      <c r="W416" s="387" t="s">
        <v>289</v>
      </c>
      <c r="X416" s="378" t="s">
        <v>289</v>
      </c>
      <c r="Y416" s="387" t="s">
        <v>289</v>
      </c>
      <c r="Z416" s="391" t="s">
        <v>289</v>
      </c>
      <c r="AA416" s="391" t="s">
        <v>289</v>
      </c>
      <c r="AB416" s="391" t="s">
        <v>289</v>
      </c>
      <c r="AC416" s="391" t="s">
        <v>289</v>
      </c>
      <c r="AD416" s="395" t="s">
        <v>289</v>
      </c>
      <c r="AE416" s="395"/>
      <c r="AF416" s="395"/>
      <c r="AG416" s="395"/>
      <c r="AH416" s="395"/>
    </row>
    <row r="417" ht="30.75" customHeight="1">
      <c r="A417" s="373" t="str">
        <f t="shared" si="1"/>
        <v/>
      </c>
      <c r="B417" s="421" t="s">
        <v>289</v>
      </c>
      <c r="C417" s="406"/>
      <c r="D417" s="406"/>
      <c r="E417" s="406"/>
      <c r="F417" s="395" t="s">
        <v>289</v>
      </c>
      <c r="G417" s="406"/>
      <c r="H417" s="406"/>
      <c r="I417" s="378" t="s">
        <v>289</v>
      </c>
      <c r="J417" s="379" t="s">
        <v>289</v>
      </c>
      <c r="K417" s="407"/>
      <c r="L417" s="378" t="s">
        <v>289</v>
      </c>
      <c r="M417" s="378" t="s">
        <v>289</v>
      </c>
      <c r="N417" s="378" t="s">
        <v>289</v>
      </c>
      <c r="O417" s="409"/>
      <c r="P417" s="387" t="s">
        <v>289</v>
      </c>
      <c r="Q417" s="383"/>
      <c r="R417" s="383"/>
      <c r="S417" s="383"/>
      <c r="T417" s="410"/>
      <c r="U417" s="406"/>
      <c r="V417" s="386"/>
      <c r="W417" s="387" t="s">
        <v>289</v>
      </c>
      <c r="X417" s="378" t="s">
        <v>289</v>
      </c>
      <c r="Y417" s="387" t="s">
        <v>289</v>
      </c>
      <c r="Z417" s="391" t="s">
        <v>289</v>
      </c>
      <c r="AA417" s="391" t="s">
        <v>289</v>
      </c>
      <c r="AB417" s="391" t="s">
        <v>289</v>
      </c>
      <c r="AC417" s="391" t="s">
        <v>289</v>
      </c>
      <c r="AD417" s="395" t="s">
        <v>289</v>
      </c>
      <c r="AE417" s="395"/>
      <c r="AF417" s="395"/>
      <c r="AG417" s="395"/>
      <c r="AH417" s="395"/>
    </row>
    <row r="418" ht="30.75" customHeight="1">
      <c r="A418" s="373" t="str">
        <f t="shared" si="1"/>
        <v/>
      </c>
      <c r="B418" s="421" t="s">
        <v>289</v>
      </c>
      <c r="C418" s="406"/>
      <c r="D418" s="406"/>
      <c r="E418" s="406"/>
      <c r="F418" s="395" t="s">
        <v>289</v>
      </c>
      <c r="G418" s="406"/>
      <c r="H418" s="406"/>
      <c r="I418" s="378" t="s">
        <v>289</v>
      </c>
      <c r="J418" s="379" t="s">
        <v>289</v>
      </c>
      <c r="K418" s="407"/>
      <c r="L418" s="378" t="s">
        <v>289</v>
      </c>
      <c r="M418" s="378" t="s">
        <v>289</v>
      </c>
      <c r="N418" s="378" t="s">
        <v>289</v>
      </c>
      <c r="O418" s="409"/>
      <c r="P418" s="387" t="s">
        <v>289</v>
      </c>
      <c r="Q418" s="383"/>
      <c r="R418" s="383"/>
      <c r="S418" s="383"/>
      <c r="T418" s="410"/>
      <c r="U418" s="406"/>
      <c r="V418" s="386"/>
      <c r="W418" s="387" t="s">
        <v>289</v>
      </c>
      <c r="X418" s="378" t="s">
        <v>289</v>
      </c>
      <c r="Y418" s="387" t="s">
        <v>289</v>
      </c>
      <c r="Z418" s="391" t="s">
        <v>289</v>
      </c>
      <c r="AA418" s="391" t="s">
        <v>289</v>
      </c>
      <c r="AB418" s="391" t="s">
        <v>289</v>
      </c>
      <c r="AC418" s="391" t="s">
        <v>289</v>
      </c>
      <c r="AD418" s="395" t="s">
        <v>289</v>
      </c>
      <c r="AE418" s="395"/>
      <c r="AF418" s="395"/>
      <c r="AG418" s="395"/>
      <c r="AH418" s="395"/>
    </row>
    <row r="419" ht="30.75" customHeight="1">
      <c r="A419" s="373" t="str">
        <f t="shared" si="1"/>
        <v/>
      </c>
      <c r="B419" s="421" t="s">
        <v>289</v>
      </c>
      <c r="C419" s="406"/>
      <c r="D419" s="406"/>
      <c r="E419" s="406"/>
      <c r="F419" s="395" t="s">
        <v>289</v>
      </c>
      <c r="G419" s="406"/>
      <c r="H419" s="406"/>
      <c r="I419" s="378" t="s">
        <v>289</v>
      </c>
      <c r="J419" s="379" t="s">
        <v>289</v>
      </c>
      <c r="K419" s="407"/>
      <c r="L419" s="378" t="s">
        <v>289</v>
      </c>
      <c r="M419" s="378" t="s">
        <v>289</v>
      </c>
      <c r="N419" s="378" t="s">
        <v>289</v>
      </c>
      <c r="O419" s="409"/>
      <c r="P419" s="387" t="s">
        <v>289</v>
      </c>
      <c r="Q419" s="383"/>
      <c r="R419" s="383"/>
      <c r="S419" s="383"/>
      <c r="T419" s="410"/>
      <c r="U419" s="406"/>
      <c r="V419" s="386"/>
      <c r="W419" s="387" t="s">
        <v>289</v>
      </c>
      <c r="X419" s="378" t="s">
        <v>289</v>
      </c>
      <c r="Y419" s="387" t="s">
        <v>289</v>
      </c>
      <c r="Z419" s="391" t="s">
        <v>289</v>
      </c>
      <c r="AA419" s="391" t="s">
        <v>289</v>
      </c>
      <c r="AB419" s="391" t="s">
        <v>289</v>
      </c>
      <c r="AC419" s="391" t="s">
        <v>289</v>
      </c>
      <c r="AD419" s="395" t="s">
        <v>289</v>
      </c>
      <c r="AE419" s="395"/>
      <c r="AF419" s="395"/>
      <c r="AG419" s="395"/>
      <c r="AH419" s="395"/>
    </row>
    <row r="420" ht="30.75" customHeight="1">
      <c r="A420" s="373" t="str">
        <f t="shared" si="1"/>
        <v/>
      </c>
      <c r="B420" s="421" t="s">
        <v>289</v>
      </c>
      <c r="C420" s="406"/>
      <c r="D420" s="406"/>
      <c r="E420" s="406"/>
      <c r="F420" s="395" t="s">
        <v>289</v>
      </c>
      <c r="G420" s="406"/>
      <c r="H420" s="406"/>
      <c r="I420" s="378" t="s">
        <v>289</v>
      </c>
      <c r="J420" s="379" t="s">
        <v>289</v>
      </c>
      <c r="K420" s="407"/>
      <c r="L420" s="378" t="s">
        <v>289</v>
      </c>
      <c r="M420" s="378" t="s">
        <v>289</v>
      </c>
      <c r="N420" s="378" t="s">
        <v>289</v>
      </c>
      <c r="O420" s="409"/>
      <c r="P420" s="387" t="s">
        <v>289</v>
      </c>
      <c r="Q420" s="383"/>
      <c r="R420" s="383"/>
      <c r="S420" s="383"/>
      <c r="T420" s="410"/>
      <c r="U420" s="406"/>
      <c r="V420" s="386"/>
      <c r="W420" s="387" t="s">
        <v>289</v>
      </c>
      <c r="X420" s="378" t="s">
        <v>289</v>
      </c>
      <c r="Y420" s="387" t="s">
        <v>289</v>
      </c>
      <c r="Z420" s="391" t="s">
        <v>289</v>
      </c>
      <c r="AA420" s="391" t="s">
        <v>289</v>
      </c>
      <c r="AB420" s="391" t="s">
        <v>289</v>
      </c>
      <c r="AC420" s="391" t="s">
        <v>289</v>
      </c>
      <c r="AD420" s="395" t="s">
        <v>289</v>
      </c>
      <c r="AE420" s="395"/>
      <c r="AF420" s="395"/>
      <c r="AG420" s="395"/>
      <c r="AH420" s="395"/>
    </row>
    <row r="421" ht="30.75" customHeight="1">
      <c r="A421" s="373" t="str">
        <f t="shared" si="1"/>
        <v/>
      </c>
      <c r="B421" s="421" t="s">
        <v>289</v>
      </c>
      <c r="C421" s="406"/>
      <c r="D421" s="406"/>
      <c r="E421" s="406"/>
      <c r="F421" s="395" t="s">
        <v>289</v>
      </c>
      <c r="G421" s="406"/>
      <c r="H421" s="406"/>
      <c r="I421" s="378" t="s">
        <v>289</v>
      </c>
      <c r="J421" s="379" t="s">
        <v>289</v>
      </c>
      <c r="K421" s="407"/>
      <c r="L421" s="378" t="s">
        <v>289</v>
      </c>
      <c r="M421" s="378" t="s">
        <v>289</v>
      </c>
      <c r="N421" s="378" t="s">
        <v>289</v>
      </c>
      <c r="O421" s="409"/>
      <c r="P421" s="387" t="s">
        <v>289</v>
      </c>
      <c r="Q421" s="383"/>
      <c r="R421" s="383"/>
      <c r="S421" s="383"/>
      <c r="T421" s="410"/>
      <c r="U421" s="406"/>
      <c r="V421" s="386"/>
      <c r="W421" s="387" t="s">
        <v>289</v>
      </c>
      <c r="X421" s="378" t="s">
        <v>289</v>
      </c>
      <c r="Y421" s="387" t="s">
        <v>289</v>
      </c>
      <c r="Z421" s="391" t="s">
        <v>289</v>
      </c>
      <c r="AA421" s="391" t="s">
        <v>289</v>
      </c>
      <c r="AB421" s="391" t="s">
        <v>289</v>
      </c>
      <c r="AC421" s="391" t="s">
        <v>289</v>
      </c>
      <c r="AD421" s="395" t="s">
        <v>289</v>
      </c>
      <c r="AE421" s="395"/>
      <c r="AF421" s="395"/>
      <c r="AG421" s="395"/>
      <c r="AH421" s="395"/>
    </row>
    <row r="422" ht="30.75" customHeight="1">
      <c r="A422" s="373" t="str">
        <f t="shared" si="1"/>
        <v/>
      </c>
      <c r="B422" s="421" t="s">
        <v>289</v>
      </c>
      <c r="C422" s="406"/>
      <c r="D422" s="406"/>
      <c r="E422" s="406"/>
      <c r="F422" s="395" t="s">
        <v>289</v>
      </c>
      <c r="G422" s="406"/>
      <c r="H422" s="406"/>
      <c r="I422" s="378" t="s">
        <v>289</v>
      </c>
      <c r="J422" s="379" t="s">
        <v>289</v>
      </c>
      <c r="K422" s="407"/>
      <c r="L422" s="378" t="s">
        <v>289</v>
      </c>
      <c r="M422" s="378" t="s">
        <v>289</v>
      </c>
      <c r="N422" s="378" t="s">
        <v>289</v>
      </c>
      <c r="O422" s="409"/>
      <c r="P422" s="387" t="s">
        <v>289</v>
      </c>
      <c r="Q422" s="383"/>
      <c r="R422" s="383"/>
      <c r="S422" s="383"/>
      <c r="T422" s="410"/>
      <c r="U422" s="406"/>
      <c r="V422" s="386"/>
      <c r="W422" s="387" t="s">
        <v>289</v>
      </c>
      <c r="X422" s="378" t="s">
        <v>289</v>
      </c>
      <c r="Y422" s="387" t="s">
        <v>289</v>
      </c>
      <c r="Z422" s="391" t="s">
        <v>289</v>
      </c>
      <c r="AA422" s="391" t="s">
        <v>289</v>
      </c>
      <c r="AB422" s="391" t="s">
        <v>289</v>
      </c>
      <c r="AC422" s="391" t="s">
        <v>289</v>
      </c>
      <c r="AD422" s="395" t="s">
        <v>289</v>
      </c>
      <c r="AE422" s="395"/>
      <c r="AF422" s="395"/>
      <c r="AG422" s="395"/>
      <c r="AH422" s="395"/>
    </row>
    <row r="423" ht="30.75" customHeight="1">
      <c r="A423" s="373" t="str">
        <f t="shared" si="1"/>
        <v/>
      </c>
      <c r="B423" s="421" t="s">
        <v>289</v>
      </c>
      <c r="C423" s="406"/>
      <c r="D423" s="406"/>
      <c r="E423" s="406"/>
      <c r="F423" s="395" t="s">
        <v>289</v>
      </c>
      <c r="G423" s="406"/>
      <c r="H423" s="406"/>
      <c r="I423" s="378" t="s">
        <v>289</v>
      </c>
      <c r="J423" s="379" t="s">
        <v>289</v>
      </c>
      <c r="K423" s="407"/>
      <c r="L423" s="378" t="s">
        <v>289</v>
      </c>
      <c r="M423" s="378" t="s">
        <v>289</v>
      </c>
      <c r="N423" s="378" t="s">
        <v>289</v>
      </c>
      <c r="O423" s="409"/>
      <c r="P423" s="387" t="s">
        <v>289</v>
      </c>
      <c r="Q423" s="383"/>
      <c r="R423" s="383"/>
      <c r="S423" s="383"/>
      <c r="T423" s="410"/>
      <c r="U423" s="406"/>
      <c r="V423" s="386"/>
      <c r="W423" s="387" t="s">
        <v>289</v>
      </c>
      <c r="X423" s="378" t="s">
        <v>289</v>
      </c>
      <c r="Y423" s="387" t="s">
        <v>289</v>
      </c>
      <c r="Z423" s="391" t="s">
        <v>289</v>
      </c>
      <c r="AA423" s="391" t="s">
        <v>289</v>
      </c>
      <c r="AB423" s="391" t="s">
        <v>289</v>
      </c>
      <c r="AC423" s="391" t="s">
        <v>289</v>
      </c>
      <c r="AD423" s="395" t="s">
        <v>289</v>
      </c>
      <c r="AE423" s="395"/>
      <c r="AF423" s="395"/>
      <c r="AG423" s="395"/>
      <c r="AH423" s="395"/>
    </row>
    <row r="424" ht="30.75" customHeight="1">
      <c r="A424" s="373" t="str">
        <f t="shared" si="1"/>
        <v/>
      </c>
      <c r="B424" s="421" t="s">
        <v>289</v>
      </c>
      <c r="C424" s="406"/>
      <c r="D424" s="406"/>
      <c r="E424" s="406"/>
      <c r="F424" s="395" t="s">
        <v>289</v>
      </c>
      <c r="G424" s="406"/>
      <c r="H424" s="406"/>
      <c r="I424" s="378" t="s">
        <v>289</v>
      </c>
      <c r="J424" s="379" t="s">
        <v>289</v>
      </c>
      <c r="K424" s="407"/>
      <c r="L424" s="378" t="s">
        <v>289</v>
      </c>
      <c r="M424" s="378" t="s">
        <v>289</v>
      </c>
      <c r="N424" s="378" t="s">
        <v>289</v>
      </c>
      <c r="O424" s="409"/>
      <c r="P424" s="387" t="s">
        <v>289</v>
      </c>
      <c r="Q424" s="383"/>
      <c r="R424" s="383"/>
      <c r="S424" s="383"/>
      <c r="T424" s="410"/>
      <c r="U424" s="406"/>
      <c r="V424" s="386"/>
      <c r="W424" s="387" t="s">
        <v>289</v>
      </c>
      <c r="X424" s="378" t="s">
        <v>289</v>
      </c>
      <c r="Y424" s="387" t="s">
        <v>289</v>
      </c>
      <c r="Z424" s="391" t="s">
        <v>289</v>
      </c>
      <c r="AA424" s="391" t="s">
        <v>289</v>
      </c>
      <c r="AB424" s="391" t="s">
        <v>289</v>
      </c>
      <c r="AC424" s="391" t="s">
        <v>289</v>
      </c>
      <c r="AD424" s="395" t="s">
        <v>289</v>
      </c>
      <c r="AE424" s="395"/>
      <c r="AF424" s="395"/>
      <c r="AG424" s="395"/>
      <c r="AH424" s="395"/>
    </row>
    <row r="425" ht="30.75" customHeight="1">
      <c r="A425" s="373" t="str">
        <f t="shared" si="1"/>
        <v/>
      </c>
      <c r="B425" s="421" t="s">
        <v>289</v>
      </c>
      <c r="C425" s="406"/>
      <c r="D425" s="406"/>
      <c r="E425" s="406"/>
      <c r="F425" s="395" t="s">
        <v>289</v>
      </c>
      <c r="G425" s="406"/>
      <c r="H425" s="406"/>
      <c r="I425" s="378" t="s">
        <v>289</v>
      </c>
      <c r="J425" s="379" t="s">
        <v>289</v>
      </c>
      <c r="K425" s="407"/>
      <c r="L425" s="378" t="s">
        <v>289</v>
      </c>
      <c r="M425" s="378" t="s">
        <v>289</v>
      </c>
      <c r="N425" s="378" t="s">
        <v>289</v>
      </c>
      <c r="O425" s="409"/>
      <c r="P425" s="387" t="s">
        <v>289</v>
      </c>
      <c r="Q425" s="383"/>
      <c r="R425" s="383"/>
      <c r="S425" s="383"/>
      <c r="T425" s="410"/>
      <c r="U425" s="406"/>
      <c r="V425" s="386"/>
      <c r="W425" s="387" t="s">
        <v>289</v>
      </c>
      <c r="X425" s="378" t="s">
        <v>289</v>
      </c>
      <c r="Y425" s="387" t="s">
        <v>289</v>
      </c>
      <c r="Z425" s="391" t="s">
        <v>289</v>
      </c>
      <c r="AA425" s="391" t="s">
        <v>289</v>
      </c>
      <c r="AB425" s="391" t="s">
        <v>289</v>
      </c>
      <c r="AC425" s="391" t="s">
        <v>289</v>
      </c>
      <c r="AD425" s="395" t="s">
        <v>289</v>
      </c>
      <c r="AE425" s="395"/>
      <c r="AF425" s="395"/>
      <c r="AG425" s="395"/>
      <c r="AH425" s="395"/>
    </row>
    <row r="426" ht="30.75" customHeight="1">
      <c r="A426" s="373" t="str">
        <f t="shared" si="1"/>
        <v/>
      </c>
      <c r="B426" s="421" t="s">
        <v>289</v>
      </c>
      <c r="C426" s="406"/>
      <c r="D426" s="406"/>
      <c r="E426" s="406"/>
      <c r="F426" s="395" t="s">
        <v>289</v>
      </c>
      <c r="G426" s="406"/>
      <c r="H426" s="406"/>
      <c r="I426" s="378" t="s">
        <v>289</v>
      </c>
      <c r="J426" s="379" t="s">
        <v>289</v>
      </c>
      <c r="K426" s="407"/>
      <c r="L426" s="378" t="s">
        <v>289</v>
      </c>
      <c r="M426" s="378" t="s">
        <v>289</v>
      </c>
      <c r="N426" s="378" t="s">
        <v>289</v>
      </c>
      <c r="O426" s="409"/>
      <c r="P426" s="387" t="s">
        <v>289</v>
      </c>
      <c r="Q426" s="383"/>
      <c r="R426" s="383"/>
      <c r="S426" s="383"/>
      <c r="T426" s="410"/>
      <c r="U426" s="406"/>
      <c r="V426" s="386"/>
      <c r="W426" s="387" t="s">
        <v>289</v>
      </c>
      <c r="X426" s="378" t="s">
        <v>289</v>
      </c>
      <c r="Y426" s="387" t="s">
        <v>289</v>
      </c>
      <c r="Z426" s="391" t="s">
        <v>289</v>
      </c>
      <c r="AA426" s="391" t="s">
        <v>289</v>
      </c>
      <c r="AB426" s="391" t="s">
        <v>289</v>
      </c>
      <c r="AC426" s="391" t="s">
        <v>289</v>
      </c>
      <c r="AD426" s="395" t="s">
        <v>289</v>
      </c>
      <c r="AE426" s="395"/>
      <c r="AF426" s="395"/>
      <c r="AG426" s="395"/>
      <c r="AH426" s="395"/>
    </row>
    <row r="427" ht="30.75" customHeight="1">
      <c r="A427" s="373" t="str">
        <f t="shared" si="1"/>
        <v/>
      </c>
      <c r="B427" s="421" t="s">
        <v>289</v>
      </c>
      <c r="C427" s="406"/>
      <c r="D427" s="406"/>
      <c r="E427" s="406"/>
      <c r="F427" s="395" t="s">
        <v>289</v>
      </c>
      <c r="G427" s="406"/>
      <c r="H427" s="406"/>
      <c r="I427" s="378" t="s">
        <v>289</v>
      </c>
      <c r="J427" s="379" t="s">
        <v>289</v>
      </c>
      <c r="K427" s="407"/>
      <c r="L427" s="378" t="s">
        <v>289</v>
      </c>
      <c r="M427" s="378" t="s">
        <v>289</v>
      </c>
      <c r="N427" s="378" t="s">
        <v>289</v>
      </c>
      <c r="O427" s="409"/>
      <c r="P427" s="387" t="s">
        <v>289</v>
      </c>
      <c r="Q427" s="383"/>
      <c r="R427" s="383"/>
      <c r="S427" s="383"/>
      <c r="T427" s="410"/>
      <c r="U427" s="406"/>
      <c r="V427" s="386"/>
      <c r="W427" s="387" t="s">
        <v>289</v>
      </c>
      <c r="X427" s="378" t="s">
        <v>289</v>
      </c>
      <c r="Y427" s="387" t="s">
        <v>289</v>
      </c>
      <c r="Z427" s="391" t="s">
        <v>289</v>
      </c>
      <c r="AA427" s="391" t="s">
        <v>289</v>
      </c>
      <c r="AB427" s="391" t="s">
        <v>289</v>
      </c>
      <c r="AC427" s="391" t="s">
        <v>289</v>
      </c>
      <c r="AD427" s="395" t="s">
        <v>289</v>
      </c>
      <c r="AE427" s="395"/>
      <c r="AF427" s="395"/>
      <c r="AG427" s="395"/>
      <c r="AH427" s="395"/>
    </row>
    <row r="428" ht="30.75" customHeight="1">
      <c r="A428" s="373" t="str">
        <f t="shared" si="1"/>
        <v/>
      </c>
      <c r="B428" s="421" t="s">
        <v>289</v>
      </c>
      <c r="C428" s="406"/>
      <c r="D428" s="406"/>
      <c r="E428" s="406"/>
      <c r="F428" s="395" t="s">
        <v>289</v>
      </c>
      <c r="G428" s="406"/>
      <c r="H428" s="406"/>
      <c r="I428" s="378" t="s">
        <v>289</v>
      </c>
      <c r="J428" s="379" t="s">
        <v>289</v>
      </c>
      <c r="K428" s="407"/>
      <c r="L428" s="378" t="s">
        <v>289</v>
      </c>
      <c r="M428" s="378" t="s">
        <v>289</v>
      </c>
      <c r="N428" s="378" t="s">
        <v>289</v>
      </c>
      <c r="O428" s="409"/>
      <c r="P428" s="387" t="s">
        <v>289</v>
      </c>
      <c r="Q428" s="383"/>
      <c r="R428" s="383"/>
      <c r="S428" s="383"/>
      <c r="T428" s="410"/>
      <c r="U428" s="406"/>
      <c r="V428" s="386"/>
      <c r="W428" s="387" t="s">
        <v>289</v>
      </c>
      <c r="X428" s="378" t="s">
        <v>289</v>
      </c>
      <c r="Y428" s="387" t="s">
        <v>289</v>
      </c>
      <c r="Z428" s="391" t="s">
        <v>289</v>
      </c>
      <c r="AA428" s="391" t="s">
        <v>289</v>
      </c>
      <c r="AB428" s="391" t="s">
        <v>289</v>
      </c>
      <c r="AC428" s="391" t="s">
        <v>289</v>
      </c>
      <c r="AD428" s="395" t="s">
        <v>289</v>
      </c>
      <c r="AE428" s="395"/>
      <c r="AF428" s="395"/>
      <c r="AG428" s="395"/>
      <c r="AH428" s="395"/>
    </row>
    <row r="429" ht="30.75" customHeight="1">
      <c r="A429" s="373" t="str">
        <f t="shared" si="1"/>
        <v/>
      </c>
      <c r="B429" s="421" t="s">
        <v>289</v>
      </c>
      <c r="C429" s="406"/>
      <c r="D429" s="406"/>
      <c r="E429" s="406"/>
      <c r="F429" s="395" t="s">
        <v>289</v>
      </c>
      <c r="G429" s="406"/>
      <c r="H429" s="406"/>
      <c r="I429" s="378" t="s">
        <v>289</v>
      </c>
      <c r="J429" s="379" t="s">
        <v>289</v>
      </c>
      <c r="K429" s="407"/>
      <c r="L429" s="378" t="s">
        <v>289</v>
      </c>
      <c r="M429" s="378" t="s">
        <v>289</v>
      </c>
      <c r="N429" s="378" t="s">
        <v>289</v>
      </c>
      <c r="O429" s="409"/>
      <c r="P429" s="387" t="s">
        <v>289</v>
      </c>
      <c r="Q429" s="383"/>
      <c r="R429" s="383"/>
      <c r="S429" s="383"/>
      <c r="T429" s="410"/>
      <c r="U429" s="406"/>
      <c r="V429" s="386"/>
      <c r="W429" s="387" t="s">
        <v>289</v>
      </c>
      <c r="X429" s="378" t="s">
        <v>289</v>
      </c>
      <c r="Y429" s="387" t="s">
        <v>289</v>
      </c>
      <c r="Z429" s="391" t="s">
        <v>289</v>
      </c>
      <c r="AA429" s="391" t="s">
        <v>289</v>
      </c>
      <c r="AB429" s="391" t="s">
        <v>289</v>
      </c>
      <c r="AC429" s="391" t="s">
        <v>289</v>
      </c>
      <c r="AD429" s="395" t="s">
        <v>289</v>
      </c>
      <c r="AE429" s="395"/>
      <c r="AF429" s="395"/>
      <c r="AG429" s="395"/>
      <c r="AH429" s="395"/>
    </row>
    <row r="430" ht="30.75" customHeight="1">
      <c r="A430" s="373" t="str">
        <f t="shared" si="1"/>
        <v/>
      </c>
      <c r="B430" s="421" t="s">
        <v>289</v>
      </c>
      <c r="C430" s="406"/>
      <c r="D430" s="406"/>
      <c r="E430" s="406"/>
      <c r="F430" s="395" t="s">
        <v>289</v>
      </c>
      <c r="G430" s="406"/>
      <c r="H430" s="406"/>
      <c r="I430" s="378" t="s">
        <v>289</v>
      </c>
      <c r="J430" s="379" t="s">
        <v>289</v>
      </c>
      <c r="K430" s="407"/>
      <c r="L430" s="378" t="s">
        <v>289</v>
      </c>
      <c r="M430" s="378" t="s">
        <v>289</v>
      </c>
      <c r="N430" s="378" t="s">
        <v>289</v>
      </c>
      <c r="O430" s="409"/>
      <c r="P430" s="387" t="s">
        <v>289</v>
      </c>
      <c r="Q430" s="383"/>
      <c r="R430" s="383"/>
      <c r="S430" s="383"/>
      <c r="T430" s="410"/>
      <c r="U430" s="406"/>
      <c r="V430" s="386"/>
      <c r="W430" s="387" t="s">
        <v>289</v>
      </c>
      <c r="X430" s="378" t="s">
        <v>289</v>
      </c>
      <c r="Y430" s="387" t="s">
        <v>289</v>
      </c>
      <c r="Z430" s="391" t="s">
        <v>289</v>
      </c>
      <c r="AA430" s="391" t="s">
        <v>289</v>
      </c>
      <c r="AB430" s="391" t="s">
        <v>289</v>
      </c>
      <c r="AC430" s="391" t="s">
        <v>289</v>
      </c>
      <c r="AD430" s="395" t="s">
        <v>289</v>
      </c>
      <c r="AE430" s="395"/>
      <c r="AF430" s="395"/>
      <c r="AG430" s="395"/>
      <c r="AH430" s="395"/>
    </row>
    <row r="431" ht="30.75" customHeight="1">
      <c r="A431" s="373" t="str">
        <f t="shared" si="1"/>
        <v/>
      </c>
      <c r="B431" s="421" t="s">
        <v>289</v>
      </c>
      <c r="C431" s="406"/>
      <c r="D431" s="406"/>
      <c r="E431" s="406"/>
      <c r="F431" s="395" t="s">
        <v>289</v>
      </c>
      <c r="G431" s="406"/>
      <c r="H431" s="406"/>
      <c r="I431" s="378" t="s">
        <v>289</v>
      </c>
      <c r="J431" s="379" t="s">
        <v>289</v>
      </c>
      <c r="K431" s="407"/>
      <c r="L431" s="378" t="s">
        <v>289</v>
      </c>
      <c r="M431" s="378" t="s">
        <v>289</v>
      </c>
      <c r="N431" s="378" t="s">
        <v>289</v>
      </c>
      <c r="O431" s="409"/>
      <c r="P431" s="387" t="s">
        <v>289</v>
      </c>
      <c r="Q431" s="383"/>
      <c r="R431" s="383"/>
      <c r="S431" s="383"/>
      <c r="T431" s="410"/>
      <c r="U431" s="406"/>
      <c r="V431" s="386"/>
      <c r="W431" s="387" t="s">
        <v>289</v>
      </c>
      <c r="X431" s="378" t="s">
        <v>289</v>
      </c>
      <c r="Y431" s="387" t="s">
        <v>289</v>
      </c>
      <c r="Z431" s="391" t="s">
        <v>289</v>
      </c>
      <c r="AA431" s="391" t="s">
        <v>289</v>
      </c>
      <c r="AB431" s="391" t="s">
        <v>289</v>
      </c>
      <c r="AC431" s="391" t="s">
        <v>289</v>
      </c>
      <c r="AD431" s="395" t="s">
        <v>289</v>
      </c>
      <c r="AE431" s="395"/>
      <c r="AF431" s="395"/>
      <c r="AG431" s="395"/>
      <c r="AH431" s="395"/>
    </row>
    <row r="432" ht="30.75" customHeight="1">
      <c r="A432" s="373" t="str">
        <f t="shared" si="1"/>
        <v/>
      </c>
      <c r="B432" s="421" t="s">
        <v>289</v>
      </c>
      <c r="C432" s="406"/>
      <c r="D432" s="406"/>
      <c r="E432" s="406"/>
      <c r="F432" s="395" t="s">
        <v>289</v>
      </c>
      <c r="G432" s="406"/>
      <c r="H432" s="406"/>
      <c r="I432" s="378" t="s">
        <v>289</v>
      </c>
      <c r="J432" s="379" t="s">
        <v>289</v>
      </c>
      <c r="K432" s="407"/>
      <c r="L432" s="378" t="s">
        <v>289</v>
      </c>
      <c r="M432" s="378" t="s">
        <v>289</v>
      </c>
      <c r="N432" s="378" t="s">
        <v>289</v>
      </c>
      <c r="O432" s="409"/>
      <c r="P432" s="387" t="s">
        <v>289</v>
      </c>
      <c r="Q432" s="383"/>
      <c r="R432" s="383"/>
      <c r="S432" s="383"/>
      <c r="T432" s="410"/>
      <c r="U432" s="406"/>
      <c r="V432" s="386"/>
      <c r="W432" s="387" t="s">
        <v>289</v>
      </c>
      <c r="X432" s="378" t="s">
        <v>289</v>
      </c>
      <c r="Y432" s="387" t="s">
        <v>289</v>
      </c>
      <c r="Z432" s="391" t="s">
        <v>289</v>
      </c>
      <c r="AA432" s="391" t="s">
        <v>289</v>
      </c>
      <c r="AB432" s="391" t="s">
        <v>289</v>
      </c>
      <c r="AC432" s="391" t="s">
        <v>289</v>
      </c>
      <c r="AD432" s="395" t="s">
        <v>289</v>
      </c>
      <c r="AE432" s="395"/>
      <c r="AF432" s="395"/>
      <c r="AG432" s="395"/>
      <c r="AH432" s="395"/>
    </row>
    <row r="433" ht="30.75" customHeight="1">
      <c r="A433" s="373" t="str">
        <f t="shared" si="1"/>
        <v/>
      </c>
      <c r="B433" s="421" t="s">
        <v>289</v>
      </c>
      <c r="C433" s="406"/>
      <c r="D433" s="406"/>
      <c r="E433" s="406"/>
      <c r="F433" s="395" t="s">
        <v>289</v>
      </c>
      <c r="G433" s="406"/>
      <c r="H433" s="406"/>
      <c r="I433" s="378" t="s">
        <v>289</v>
      </c>
      <c r="J433" s="379" t="s">
        <v>289</v>
      </c>
      <c r="K433" s="407"/>
      <c r="L433" s="378" t="s">
        <v>289</v>
      </c>
      <c r="M433" s="378" t="s">
        <v>289</v>
      </c>
      <c r="N433" s="378" t="s">
        <v>289</v>
      </c>
      <c r="O433" s="409"/>
      <c r="P433" s="387" t="s">
        <v>289</v>
      </c>
      <c r="Q433" s="383"/>
      <c r="R433" s="383"/>
      <c r="S433" s="383"/>
      <c r="T433" s="410"/>
      <c r="U433" s="406"/>
      <c r="V433" s="386"/>
      <c r="W433" s="387" t="s">
        <v>289</v>
      </c>
      <c r="X433" s="378" t="s">
        <v>289</v>
      </c>
      <c r="Y433" s="387" t="s">
        <v>289</v>
      </c>
      <c r="Z433" s="391" t="s">
        <v>289</v>
      </c>
      <c r="AA433" s="391" t="s">
        <v>289</v>
      </c>
      <c r="AB433" s="391" t="s">
        <v>289</v>
      </c>
      <c r="AC433" s="391" t="s">
        <v>289</v>
      </c>
      <c r="AD433" s="395" t="s">
        <v>289</v>
      </c>
      <c r="AE433" s="395"/>
      <c r="AF433" s="395"/>
      <c r="AG433" s="395"/>
      <c r="AH433" s="395"/>
    </row>
    <row r="434" ht="30.75" customHeight="1">
      <c r="A434" s="373" t="str">
        <f t="shared" si="1"/>
        <v/>
      </c>
      <c r="B434" s="421" t="s">
        <v>289</v>
      </c>
      <c r="C434" s="406"/>
      <c r="D434" s="406"/>
      <c r="E434" s="406"/>
      <c r="F434" s="395" t="s">
        <v>289</v>
      </c>
      <c r="G434" s="406"/>
      <c r="H434" s="406"/>
      <c r="I434" s="378" t="s">
        <v>289</v>
      </c>
      <c r="J434" s="379" t="s">
        <v>289</v>
      </c>
      <c r="K434" s="407"/>
      <c r="L434" s="378" t="s">
        <v>289</v>
      </c>
      <c r="M434" s="378" t="s">
        <v>289</v>
      </c>
      <c r="N434" s="378" t="s">
        <v>289</v>
      </c>
      <c r="O434" s="409"/>
      <c r="P434" s="387" t="s">
        <v>289</v>
      </c>
      <c r="Q434" s="383"/>
      <c r="R434" s="383"/>
      <c r="S434" s="383"/>
      <c r="T434" s="410"/>
      <c r="U434" s="406"/>
      <c r="V434" s="386"/>
      <c r="W434" s="387" t="s">
        <v>289</v>
      </c>
      <c r="X434" s="378" t="s">
        <v>289</v>
      </c>
      <c r="Y434" s="387" t="s">
        <v>289</v>
      </c>
      <c r="Z434" s="391" t="s">
        <v>289</v>
      </c>
      <c r="AA434" s="391" t="s">
        <v>289</v>
      </c>
      <c r="AB434" s="391" t="s">
        <v>289</v>
      </c>
      <c r="AC434" s="391" t="s">
        <v>289</v>
      </c>
      <c r="AD434" s="395" t="s">
        <v>289</v>
      </c>
      <c r="AE434" s="395"/>
      <c r="AF434" s="395"/>
      <c r="AG434" s="395"/>
      <c r="AH434" s="395"/>
    </row>
    <row r="435" ht="30.75" customHeight="1">
      <c r="A435" s="373" t="str">
        <f t="shared" si="1"/>
        <v/>
      </c>
      <c r="B435" s="421" t="s">
        <v>289</v>
      </c>
      <c r="C435" s="406"/>
      <c r="D435" s="406"/>
      <c r="E435" s="406"/>
      <c r="F435" s="395" t="s">
        <v>289</v>
      </c>
      <c r="G435" s="406"/>
      <c r="H435" s="406"/>
      <c r="I435" s="378" t="s">
        <v>289</v>
      </c>
      <c r="J435" s="379" t="s">
        <v>289</v>
      </c>
      <c r="K435" s="407"/>
      <c r="L435" s="378" t="s">
        <v>289</v>
      </c>
      <c r="M435" s="378" t="s">
        <v>289</v>
      </c>
      <c r="N435" s="378" t="s">
        <v>289</v>
      </c>
      <c r="O435" s="409"/>
      <c r="P435" s="387" t="s">
        <v>289</v>
      </c>
      <c r="Q435" s="383"/>
      <c r="R435" s="383"/>
      <c r="S435" s="383"/>
      <c r="T435" s="410"/>
      <c r="U435" s="406"/>
      <c r="V435" s="386"/>
      <c r="W435" s="387" t="s">
        <v>289</v>
      </c>
      <c r="X435" s="378" t="s">
        <v>289</v>
      </c>
      <c r="Y435" s="387" t="s">
        <v>289</v>
      </c>
      <c r="Z435" s="391" t="s">
        <v>289</v>
      </c>
      <c r="AA435" s="391" t="s">
        <v>289</v>
      </c>
      <c r="AB435" s="391" t="s">
        <v>289</v>
      </c>
      <c r="AC435" s="391" t="s">
        <v>289</v>
      </c>
      <c r="AD435" s="395" t="s">
        <v>289</v>
      </c>
      <c r="AE435" s="395"/>
      <c r="AF435" s="395"/>
      <c r="AG435" s="395"/>
      <c r="AH435" s="395"/>
    </row>
    <row r="436" ht="30.75" customHeight="1">
      <c r="A436" s="373" t="str">
        <f t="shared" si="1"/>
        <v/>
      </c>
      <c r="B436" s="421" t="s">
        <v>289</v>
      </c>
      <c r="C436" s="406"/>
      <c r="D436" s="406"/>
      <c r="E436" s="406"/>
      <c r="F436" s="395" t="s">
        <v>289</v>
      </c>
      <c r="G436" s="406"/>
      <c r="H436" s="406"/>
      <c r="I436" s="378" t="s">
        <v>289</v>
      </c>
      <c r="J436" s="379" t="s">
        <v>289</v>
      </c>
      <c r="K436" s="407"/>
      <c r="L436" s="378" t="s">
        <v>289</v>
      </c>
      <c r="M436" s="378" t="s">
        <v>289</v>
      </c>
      <c r="N436" s="378" t="s">
        <v>289</v>
      </c>
      <c r="O436" s="409"/>
      <c r="P436" s="387" t="s">
        <v>289</v>
      </c>
      <c r="Q436" s="383"/>
      <c r="R436" s="383"/>
      <c r="S436" s="383"/>
      <c r="T436" s="410"/>
      <c r="U436" s="406"/>
      <c r="V436" s="386"/>
      <c r="W436" s="387" t="s">
        <v>289</v>
      </c>
      <c r="X436" s="378" t="s">
        <v>289</v>
      </c>
      <c r="Y436" s="387" t="s">
        <v>289</v>
      </c>
      <c r="Z436" s="391" t="s">
        <v>289</v>
      </c>
      <c r="AA436" s="391" t="s">
        <v>289</v>
      </c>
      <c r="AB436" s="391" t="s">
        <v>289</v>
      </c>
      <c r="AC436" s="391" t="s">
        <v>289</v>
      </c>
      <c r="AD436" s="395" t="s">
        <v>289</v>
      </c>
      <c r="AE436" s="395"/>
      <c r="AF436" s="395"/>
      <c r="AG436" s="395"/>
      <c r="AH436" s="395"/>
    </row>
    <row r="437" ht="30.75" customHeight="1">
      <c r="A437" s="373" t="str">
        <f t="shared" si="1"/>
        <v/>
      </c>
      <c r="B437" s="421" t="s">
        <v>289</v>
      </c>
      <c r="C437" s="406"/>
      <c r="D437" s="406"/>
      <c r="E437" s="406"/>
      <c r="F437" s="395" t="s">
        <v>289</v>
      </c>
      <c r="G437" s="406"/>
      <c r="H437" s="406"/>
      <c r="I437" s="378" t="s">
        <v>289</v>
      </c>
      <c r="J437" s="379" t="s">
        <v>289</v>
      </c>
      <c r="K437" s="407"/>
      <c r="L437" s="378" t="s">
        <v>289</v>
      </c>
      <c r="M437" s="378" t="s">
        <v>289</v>
      </c>
      <c r="N437" s="378" t="s">
        <v>289</v>
      </c>
      <c r="O437" s="409"/>
      <c r="P437" s="387" t="s">
        <v>289</v>
      </c>
      <c r="Q437" s="383"/>
      <c r="R437" s="383"/>
      <c r="S437" s="383"/>
      <c r="T437" s="410"/>
      <c r="U437" s="406"/>
      <c r="V437" s="386"/>
      <c r="W437" s="387" t="s">
        <v>289</v>
      </c>
      <c r="X437" s="378" t="s">
        <v>289</v>
      </c>
      <c r="Y437" s="387" t="s">
        <v>289</v>
      </c>
      <c r="Z437" s="391" t="s">
        <v>289</v>
      </c>
      <c r="AA437" s="391" t="s">
        <v>289</v>
      </c>
      <c r="AB437" s="391" t="s">
        <v>289</v>
      </c>
      <c r="AC437" s="391" t="s">
        <v>289</v>
      </c>
      <c r="AD437" s="395" t="s">
        <v>289</v>
      </c>
      <c r="AE437" s="395"/>
      <c r="AF437" s="395"/>
      <c r="AG437" s="395"/>
      <c r="AH437" s="395"/>
    </row>
    <row r="438" ht="30.75" customHeight="1">
      <c r="A438" s="373" t="str">
        <f t="shared" si="1"/>
        <v/>
      </c>
      <c r="B438" s="421" t="s">
        <v>289</v>
      </c>
      <c r="C438" s="406"/>
      <c r="D438" s="406"/>
      <c r="E438" s="406"/>
      <c r="F438" s="395" t="s">
        <v>289</v>
      </c>
      <c r="G438" s="406"/>
      <c r="H438" s="406"/>
      <c r="I438" s="378" t="s">
        <v>289</v>
      </c>
      <c r="J438" s="379" t="s">
        <v>289</v>
      </c>
      <c r="K438" s="407"/>
      <c r="L438" s="378" t="s">
        <v>289</v>
      </c>
      <c r="M438" s="378" t="s">
        <v>289</v>
      </c>
      <c r="N438" s="378" t="s">
        <v>289</v>
      </c>
      <c r="O438" s="409"/>
      <c r="P438" s="387" t="s">
        <v>289</v>
      </c>
      <c r="Q438" s="383"/>
      <c r="R438" s="383"/>
      <c r="S438" s="383"/>
      <c r="T438" s="410"/>
      <c r="U438" s="406"/>
      <c r="V438" s="386"/>
      <c r="W438" s="387" t="s">
        <v>289</v>
      </c>
      <c r="X438" s="378" t="s">
        <v>289</v>
      </c>
      <c r="Y438" s="387" t="s">
        <v>289</v>
      </c>
      <c r="Z438" s="391" t="s">
        <v>289</v>
      </c>
      <c r="AA438" s="391" t="s">
        <v>289</v>
      </c>
      <c r="AB438" s="391" t="s">
        <v>289</v>
      </c>
      <c r="AC438" s="391" t="s">
        <v>289</v>
      </c>
      <c r="AD438" s="395" t="s">
        <v>289</v>
      </c>
      <c r="AE438" s="395"/>
      <c r="AF438" s="395"/>
      <c r="AG438" s="395"/>
      <c r="AH438" s="395"/>
    </row>
    <row r="439" ht="30.75" customHeight="1">
      <c r="A439" s="373" t="str">
        <f t="shared" si="1"/>
        <v/>
      </c>
      <c r="B439" s="421" t="s">
        <v>289</v>
      </c>
      <c r="C439" s="406"/>
      <c r="D439" s="406"/>
      <c r="E439" s="406"/>
      <c r="F439" s="395" t="s">
        <v>289</v>
      </c>
      <c r="G439" s="406"/>
      <c r="H439" s="406"/>
      <c r="I439" s="378" t="s">
        <v>289</v>
      </c>
      <c r="J439" s="379" t="s">
        <v>289</v>
      </c>
      <c r="K439" s="407"/>
      <c r="L439" s="378" t="s">
        <v>289</v>
      </c>
      <c r="M439" s="378" t="s">
        <v>289</v>
      </c>
      <c r="N439" s="378" t="s">
        <v>289</v>
      </c>
      <c r="O439" s="409"/>
      <c r="P439" s="387" t="s">
        <v>289</v>
      </c>
      <c r="Q439" s="383"/>
      <c r="R439" s="383"/>
      <c r="S439" s="383"/>
      <c r="T439" s="410"/>
      <c r="U439" s="406"/>
      <c r="V439" s="386"/>
      <c r="W439" s="387" t="s">
        <v>289</v>
      </c>
      <c r="X439" s="378" t="s">
        <v>289</v>
      </c>
      <c r="Y439" s="387" t="s">
        <v>289</v>
      </c>
      <c r="Z439" s="391" t="s">
        <v>289</v>
      </c>
      <c r="AA439" s="391" t="s">
        <v>289</v>
      </c>
      <c r="AB439" s="391" t="s">
        <v>289</v>
      </c>
      <c r="AC439" s="391" t="s">
        <v>289</v>
      </c>
      <c r="AD439" s="395" t="s">
        <v>289</v>
      </c>
      <c r="AE439" s="395"/>
      <c r="AF439" s="395"/>
      <c r="AG439" s="395"/>
      <c r="AH439" s="395"/>
    </row>
    <row r="440" ht="30.75" customHeight="1">
      <c r="A440" s="373" t="str">
        <f t="shared" si="1"/>
        <v/>
      </c>
      <c r="B440" s="421" t="s">
        <v>289</v>
      </c>
      <c r="C440" s="406"/>
      <c r="D440" s="406"/>
      <c r="E440" s="406"/>
      <c r="F440" s="395" t="s">
        <v>289</v>
      </c>
      <c r="G440" s="406"/>
      <c r="H440" s="406"/>
      <c r="I440" s="378" t="s">
        <v>289</v>
      </c>
      <c r="J440" s="379" t="s">
        <v>289</v>
      </c>
      <c r="K440" s="407"/>
      <c r="L440" s="378" t="s">
        <v>289</v>
      </c>
      <c r="M440" s="378" t="s">
        <v>289</v>
      </c>
      <c r="N440" s="378" t="s">
        <v>289</v>
      </c>
      <c r="O440" s="409"/>
      <c r="P440" s="387" t="s">
        <v>289</v>
      </c>
      <c r="Q440" s="383"/>
      <c r="R440" s="383"/>
      <c r="S440" s="383"/>
      <c r="T440" s="410"/>
      <c r="U440" s="406"/>
      <c r="V440" s="386"/>
      <c r="W440" s="387" t="s">
        <v>289</v>
      </c>
      <c r="X440" s="378" t="s">
        <v>289</v>
      </c>
      <c r="Y440" s="387" t="s">
        <v>289</v>
      </c>
      <c r="Z440" s="391" t="s">
        <v>289</v>
      </c>
      <c r="AA440" s="391" t="s">
        <v>289</v>
      </c>
      <c r="AB440" s="391" t="s">
        <v>289</v>
      </c>
      <c r="AC440" s="391" t="s">
        <v>289</v>
      </c>
      <c r="AD440" s="395" t="s">
        <v>289</v>
      </c>
      <c r="AE440" s="395"/>
      <c r="AF440" s="395"/>
      <c r="AG440" s="395"/>
      <c r="AH440" s="395"/>
    </row>
    <row r="441" ht="30.75" customHeight="1">
      <c r="A441" s="373" t="str">
        <f t="shared" si="1"/>
        <v/>
      </c>
      <c r="B441" s="421" t="s">
        <v>289</v>
      </c>
      <c r="C441" s="406"/>
      <c r="D441" s="406"/>
      <c r="E441" s="406"/>
      <c r="F441" s="395" t="s">
        <v>289</v>
      </c>
      <c r="G441" s="406"/>
      <c r="H441" s="406"/>
      <c r="I441" s="378" t="s">
        <v>289</v>
      </c>
      <c r="J441" s="379" t="s">
        <v>289</v>
      </c>
      <c r="K441" s="407"/>
      <c r="L441" s="378" t="s">
        <v>289</v>
      </c>
      <c r="M441" s="378" t="s">
        <v>289</v>
      </c>
      <c r="N441" s="378" t="s">
        <v>289</v>
      </c>
      <c r="O441" s="409"/>
      <c r="P441" s="387" t="s">
        <v>289</v>
      </c>
      <c r="Q441" s="383"/>
      <c r="R441" s="383"/>
      <c r="S441" s="383"/>
      <c r="T441" s="410"/>
      <c r="U441" s="406"/>
      <c r="V441" s="386"/>
      <c r="W441" s="387" t="s">
        <v>289</v>
      </c>
      <c r="X441" s="378" t="s">
        <v>289</v>
      </c>
      <c r="Y441" s="387" t="s">
        <v>289</v>
      </c>
      <c r="Z441" s="391" t="s">
        <v>289</v>
      </c>
      <c r="AA441" s="391" t="s">
        <v>289</v>
      </c>
      <c r="AB441" s="391" t="s">
        <v>289</v>
      </c>
      <c r="AC441" s="391" t="s">
        <v>289</v>
      </c>
      <c r="AD441" s="395" t="s">
        <v>289</v>
      </c>
      <c r="AE441" s="395"/>
      <c r="AF441" s="395"/>
      <c r="AG441" s="395"/>
      <c r="AH441" s="395"/>
    </row>
    <row r="442" ht="30.75" customHeight="1">
      <c r="A442" s="373" t="str">
        <f t="shared" si="1"/>
        <v/>
      </c>
      <c r="B442" s="421" t="s">
        <v>289</v>
      </c>
      <c r="C442" s="406"/>
      <c r="D442" s="406"/>
      <c r="E442" s="406"/>
      <c r="F442" s="395" t="s">
        <v>289</v>
      </c>
      <c r="G442" s="406"/>
      <c r="H442" s="406"/>
      <c r="I442" s="378" t="s">
        <v>289</v>
      </c>
      <c r="J442" s="379" t="s">
        <v>289</v>
      </c>
      <c r="K442" s="407"/>
      <c r="L442" s="378" t="s">
        <v>289</v>
      </c>
      <c r="M442" s="378" t="s">
        <v>289</v>
      </c>
      <c r="N442" s="378" t="s">
        <v>289</v>
      </c>
      <c r="O442" s="409"/>
      <c r="P442" s="387" t="s">
        <v>289</v>
      </c>
      <c r="Q442" s="383"/>
      <c r="R442" s="383"/>
      <c r="S442" s="383"/>
      <c r="T442" s="410"/>
      <c r="U442" s="406"/>
      <c r="V442" s="386"/>
      <c r="W442" s="387" t="s">
        <v>289</v>
      </c>
      <c r="X442" s="378" t="s">
        <v>289</v>
      </c>
      <c r="Y442" s="387" t="s">
        <v>289</v>
      </c>
      <c r="Z442" s="391" t="s">
        <v>289</v>
      </c>
      <c r="AA442" s="391" t="s">
        <v>289</v>
      </c>
      <c r="AB442" s="391" t="s">
        <v>289</v>
      </c>
      <c r="AC442" s="391" t="s">
        <v>289</v>
      </c>
      <c r="AD442" s="395" t="s">
        <v>289</v>
      </c>
      <c r="AE442" s="395"/>
      <c r="AF442" s="395"/>
      <c r="AG442" s="395"/>
      <c r="AH442" s="395"/>
    </row>
    <row r="443" ht="30.75" customHeight="1">
      <c r="A443" s="373" t="str">
        <f t="shared" si="1"/>
        <v/>
      </c>
      <c r="B443" s="421" t="s">
        <v>289</v>
      </c>
      <c r="C443" s="406"/>
      <c r="D443" s="406"/>
      <c r="E443" s="406"/>
      <c r="F443" s="395" t="s">
        <v>289</v>
      </c>
      <c r="G443" s="406"/>
      <c r="H443" s="406"/>
      <c r="I443" s="378" t="s">
        <v>289</v>
      </c>
      <c r="J443" s="379" t="s">
        <v>289</v>
      </c>
      <c r="K443" s="407"/>
      <c r="L443" s="378" t="s">
        <v>289</v>
      </c>
      <c r="M443" s="378" t="s">
        <v>289</v>
      </c>
      <c r="N443" s="378" t="s">
        <v>289</v>
      </c>
      <c r="O443" s="409"/>
      <c r="P443" s="387" t="s">
        <v>289</v>
      </c>
      <c r="Q443" s="383"/>
      <c r="R443" s="383"/>
      <c r="S443" s="383"/>
      <c r="T443" s="410"/>
      <c r="U443" s="406"/>
      <c r="V443" s="386"/>
      <c r="W443" s="387" t="s">
        <v>289</v>
      </c>
      <c r="X443" s="378" t="s">
        <v>289</v>
      </c>
      <c r="Y443" s="387" t="s">
        <v>289</v>
      </c>
      <c r="Z443" s="391" t="s">
        <v>289</v>
      </c>
      <c r="AA443" s="391" t="s">
        <v>289</v>
      </c>
      <c r="AB443" s="391" t="s">
        <v>289</v>
      </c>
      <c r="AC443" s="391" t="s">
        <v>289</v>
      </c>
      <c r="AD443" s="395" t="s">
        <v>289</v>
      </c>
      <c r="AE443" s="395"/>
      <c r="AF443" s="395"/>
      <c r="AG443" s="395"/>
      <c r="AH443" s="395"/>
    </row>
    <row r="444" ht="30.75" customHeight="1">
      <c r="A444" s="373" t="str">
        <f t="shared" si="1"/>
        <v/>
      </c>
      <c r="B444" s="421" t="s">
        <v>289</v>
      </c>
      <c r="C444" s="406"/>
      <c r="D444" s="406"/>
      <c r="E444" s="406"/>
      <c r="F444" s="395" t="s">
        <v>289</v>
      </c>
      <c r="G444" s="406"/>
      <c r="H444" s="406"/>
      <c r="I444" s="378" t="s">
        <v>289</v>
      </c>
      <c r="J444" s="379" t="s">
        <v>289</v>
      </c>
      <c r="K444" s="407"/>
      <c r="L444" s="378" t="s">
        <v>289</v>
      </c>
      <c r="M444" s="378" t="s">
        <v>289</v>
      </c>
      <c r="N444" s="378" t="s">
        <v>289</v>
      </c>
      <c r="O444" s="409"/>
      <c r="P444" s="387" t="s">
        <v>289</v>
      </c>
      <c r="Q444" s="383"/>
      <c r="R444" s="383"/>
      <c r="S444" s="383"/>
      <c r="T444" s="410"/>
      <c r="U444" s="406"/>
      <c r="V444" s="386"/>
      <c r="W444" s="387" t="s">
        <v>289</v>
      </c>
      <c r="X444" s="378" t="s">
        <v>289</v>
      </c>
      <c r="Y444" s="387" t="s">
        <v>289</v>
      </c>
      <c r="Z444" s="391" t="s">
        <v>289</v>
      </c>
      <c r="AA444" s="391" t="s">
        <v>289</v>
      </c>
      <c r="AB444" s="391" t="s">
        <v>289</v>
      </c>
      <c r="AC444" s="391" t="s">
        <v>289</v>
      </c>
      <c r="AD444" s="395" t="s">
        <v>289</v>
      </c>
      <c r="AE444" s="395"/>
      <c r="AF444" s="395"/>
      <c r="AG444" s="395"/>
      <c r="AH444" s="395"/>
    </row>
    <row r="445" ht="30.75" customHeight="1">
      <c r="A445" s="373" t="str">
        <f t="shared" si="1"/>
        <v/>
      </c>
      <c r="B445" s="421" t="s">
        <v>289</v>
      </c>
      <c r="C445" s="406"/>
      <c r="D445" s="406"/>
      <c r="E445" s="406"/>
      <c r="F445" s="395" t="s">
        <v>289</v>
      </c>
      <c r="G445" s="406"/>
      <c r="H445" s="406"/>
      <c r="I445" s="378" t="s">
        <v>289</v>
      </c>
      <c r="J445" s="379" t="s">
        <v>289</v>
      </c>
      <c r="K445" s="407"/>
      <c r="L445" s="378" t="s">
        <v>289</v>
      </c>
      <c r="M445" s="378" t="s">
        <v>289</v>
      </c>
      <c r="N445" s="378" t="s">
        <v>289</v>
      </c>
      <c r="O445" s="409"/>
      <c r="P445" s="387" t="s">
        <v>289</v>
      </c>
      <c r="Q445" s="383"/>
      <c r="R445" s="383"/>
      <c r="S445" s="383"/>
      <c r="T445" s="410"/>
      <c r="U445" s="406"/>
      <c r="V445" s="386"/>
      <c r="W445" s="387" t="s">
        <v>289</v>
      </c>
      <c r="X445" s="378" t="s">
        <v>289</v>
      </c>
      <c r="Y445" s="387" t="s">
        <v>289</v>
      </c>
      <c r="Z445" s="391" t="s">
        <v>289</v>
      </c>
      <c r="AA445" s="391" t="s">
        <v>289</v>
      </c>
      <c r="AB445" s="391" t="s">
        <v>289</v>
      </c>
      <c r="AC445" s="391" t="s">
        <v>289</v>
      </c>
      <c r="AD445" s="395" t="s">
        <v>289</v>
      </c>
      <c r="AE445" s="395"/>
      <c r="AF445" s="395"/>
      <c r="AG445" s="395"/>
      <c r="AH445" s="395"/>
    </row>
    <row r="446" ht="30.75" customHeight="1">
      <c r="A446" s="373" t="str">
        <f t="shared" si="1"/>
        <v/>
      </c>
      <c r="B446" s="421" t="s">
        <v>289</v>
      </c>
      <c r="C446" s="406"/>
      <c r="D446" s="406"/>
      <c r="E446" s="406"/>
      <c r="F446" s="395" t="s">
        <v>289</v>
      </c>
      <c r="G446" s="406"/>
      <c r="H446" s="406"/>
      <c r="I446" s="378" t="s">
        <v>289</v>
      </c>
      <c r="J446" s="379" t="s">
        <v>289</v>
      </c>
      <c r="K446" s="407"/>
      <c r="L446" s="378" t="s">
        <v>289</v>
      </c>
      <c r="M446" s="378" t="s">
        <v>289</v>
      </c>
      <c r="N446" s="378" t="s">
        <v>289</v>
      </c>
      <c r="O446" s="409"/>
      <c r="P446" s="387" t="s">
        <v>289</v>
      </c>
      <c r="Q446" s="383"/>
      <c r="R446" s="383"/>
      <c r="S446" s="383"/>
      <c r="T446" s="410"/>
      <c r="U446" s="406"/>
      <c r="V446" s="386"/>
      <c r="W446" s="387" t="s">
        <v>289</v>
      </c>
      <c r="X446" s="378" t="s">
        <v>289</v>
      </c>
      <c r="Y446" s="387" t="s">
        <v>289</v>
      </c>
      <c r="Z446" s="391" t="s">
        <v>289</v>
      </c>
      <c r="AA446" s="391" t="s">
        <v>289</v>
      </c>
      <c r="AB446" s="391" t="s">
        <v>289</v>
      </c>
      <c r="AC446" s="391" t="s">
        <v>289</v>
      </c>
      <c r="AD446" s="395" t="s">
        <v>289</v>
      </c>
      <c r="AE446" s="395"/>
      <c r="AF446" s="395"/>
      <c r="AG446" s="395"/>
      <c r="AH446" s="395"/>
    </row>
    <row r="447" ht="30.75" customHeight="1">
      <c r="A447" s="373" t="str">
        <f t="shared" si="1"/>
        <v/>
      </c>
      <c r="B447" s="421" t="s">
        <v>289</v>
      </c>
      <c r="C447" s="406"/>
      <c r="D447" s="406"/>
      <c r="E447" s="406"/>
      <c r="F447" s="395" t="s">
        <v>289</v>
      </c>
      <c r="G447" s="406"/>
      <c r="H447" s="406"/>
      <c r="I447" s="378" t="s">
        <v>289</v>
      </c>
      <c r="J447" s="379" t="s">
        <v>289</v>
      </c>
      <c r="K447" s="407"/>
      <c r="L447" s="378" t="s">
        <v>289</v>
      </c>
      <c r="M447" s="378" t="s">
        <v>289</v>
      </c>
      <c r="N447" s="378" t="s">
        <v>289</v>
      </c>
      <c r="O447" s="409"/>
      <c r="P447" s="387" t="s">
        <v>289</v>
      </c>
      <c r="Q447" s="383"/>
      <c r="R447" s="383"/>
      <c r="S447" s="383"/>
      <c r="T447" s="410"/>
      <c r="U447" s="406"/>
      <c r="V447" s="386"/>
      <c r="W447" s="387" t="s">
        <v>289</v>
      </c>
      <c r="X447" s="378" t="s">
        <v>289</v>
      </c>
      <c r="Y447" s="387" t="s">
        <v>289</v>
      </c>
      <c r="Z447" s="391" t="s">
        <v>289</v>
      </c>
      <c r="AA447" s="391" t="s">
        <v>289</v>
      </c>
      <c r="AB447" s="391" t="s">
        <v>289</v>
      </c>
      <c r="AC447" s="391" t="s">
        <v>289</v>
      </c>
      <c r="AD447" s="395" t="s">
        <v>289</v>
      </c>
      <c r="AE447" s="395"/>
      <c r="AF447" s="395"/>
      <c r="AG447" s="395"/>
      <c r="AH447" s="395"/>
    </row>
    <row r="448" ht="30.75" customHeight="1">
      <c r="A448" s="373" t="str">
        <f t="shared" si="1"/>
        <v/>
      </c>
      <c r="B448" s="421" t="s">
        <v>289</v>
      </c>
      <c r="C448" s="406"/>
      <c r="D448" s="406"/>
      <c r="E448" s="406"/>
      <c r="F448" s="395" t="s">
        <v>289</v>
      </c>
      <c r="G448" s="406"/>
      <c r="H448" s="406"/>
      <c r="I448" s="378" t="s">
        <v>289</v>
      </c>
      <c r="J448" s="379" t="s">
        <v>289</v>
      </c>
      <c r="K448" s="407"/>
      <c r="L448" s="378" t="s">
        <v>289</v>
      </c>
      <c r="M448" s="378" t="s">
        <v>289</v>
      </c>
      <c r="N448" s="378" t="s">
        <v>289</v>
      </c>
      <c r="O448" s="409"/>
      <c r="P448" s="387" t="s">
        <v>289</v>
      </c>
      <c r="Q448" s="383"/>
      <c r="R448" s="383"/>
      <c r="S448" s="383"/>
      <c r="T448" s="410"/>
      <c r="U448" s="406"/>
      <c r="V448" s="386"/>
      <c r="W448" s="387" t="s">
        <v>289</v>
      </c>
      <c r="X448" s="378" t="s">
        <v>289</v>
      </c>
      <c r="Y448" s="387" t="s">
        <v>289</v>
      </c>
      <c r="Z448" s="391" t="s">
        <v>289</v>
      </c>
      <c r="AA448" s="391" t="s">
        <v>289</v>
      </c>
      <c r="AB448" s="391" t="s">
        <v>289</v>
      </c>
      <c r="AC448" s="391" t="s">
        <v>289</v>
      </c>
      <c r="AD448" s="395" t="s">
        <v>289</v>
      </c>
      <c r="AE448" s="395"/>
      <c r="AF448" s="395"/>
      <c r="AG448" s="395"/>
      <c r="AH448" s="395"/>
    </row>
    <row r="449" ht="30.75" customHeight="1">
      <c r="A449" s="373" t="str">
        <f t="shared" si="1"/>
        <v/>
      </c>
      <c r="B449" s="421" t="s">
        <v>289</v>
      </c>
      <c r="C449" s="406"/>
      <c r="D449" s="406"/>
      <c r="E449" s="406"/>
      <c r="F449" s="395" t="s">
        <v>289</v>
      </c>
      <c r="G449" s="406"/>
      <c r="H449" s="406"/>
      <c r="I449" s="378" t="s">
        <v>289</v>
      </c>
      <c r="J449" s="379" t="s">
        <v>289</v>
      </c>
      <c r="K449" s="407"/>
      <c r="L449" s="378" t="s">
        <v>289</v>
      </c>
      <c r="M449" s="378" t="s">
        <v>289</v>
      </c>
      <c r="N449" s="378" t="s">
        <v>289</v>
      </c>
      <c r="O449" s="409"/>
      <c r="P449" s="387" t="s">
        <v>289</v>
      </c>
      <c r="Q449" s="383"/>
      <c r="R449" s="383"/>
      <c r="S449" s="383"/>
      <c r="T449" s="410"/>
      <c r="U449" s="406"/>
      <c r="V449" s="386"/>
      <c r="W449" s="387" t="s">
        <v>289</v>
      </c>
      <c r="X449" s="378" t="s">
        <v>289</v>
      </c>
      <c r="Y449" s="387" t="s">
        <v>289</v>
      </c>
      <c r="Z449" s="391" t="s">
        <v>289</v>
      </c>
      <c r="AA449" s="391" t="s">
        <v>289</v>
      </c>
      <c r="AB449" s="391" t="s">
        <v>289</v>
      </c>
      <c r="AC449" s="391" t="s">
        <v>289</v>
      </c>
      <c r="AD449" s="395" t="s">
        <v>289</v>
      </c>
      <c r="AE449" s="395"/>
      <c r="AF449" s="395"/>
      <c r="AG449" s="395"/>
      <c r="AH449" s="395"/>
    </row>
    <row r="450" ht="30.75" customHeight="1">
      <c r="A450" s="373" t="str">
        <f t="shared" si="1"/>
        <v/>
      </c>
      <c r="B450" s="421" t="s">
        <v>289</v>
      </c>
      <c r="C450" s="406"/>
      <c r="D450" s="406"/>
      <c r="E450" s="406"/>
      <c r="F450" s="395" t="s">
        <v>289</v>
      </c>
      <c r="G450" s="406"/>
      <c r="H450" s="406"/>
      <c r="I450" s="378" t="s">
        <v>289</v>
      </c>
      <c r="J450" s="379" t="s">
        <v>289</v>
      </c>
      <c r="K450" s="407"/>
      <c r="L450" s="378" t="s">
        <v>289</v>
      </c>
      <c r="M450" s="378" t="s">
        <v>289</v>
      </c>
      <c r="N450" s="378" t="s">
        <v>289</v>
      </c>
      <c r="O450" s="409"/>
      <c r="P450" s="387" t="s">
        <v>289</v>
      </c>
      <c r="Q450" s="383"/>
      <c r="R450" s="383"/>
      <c r="S450" s="383"/>
      <c r="T450" s="410"/>
      <c r="U450" s="406"/>
      <c r="V450" s="386"/>
      <c r="W450" s="387" t="s">
        <v>289</v>
      </c>
      <c r="X450" s="378" t="s">
        <v>289</v>
      </c>
      <c r="Y450" s="387" t="s">
        <v>289</v>
      </c>
      <c r="Z450" s="391" t="s">
        <v>289</v>
      </c>
      <c r="AA450" s="391" t="s">
        <v>289</v>
      </c>
      <c r="AB450" s="391" t="s">
        <v>289</v>
      </c>
      <c r="AC450" s="391" t="s">
        <v>289</v>
      </c>
      <c r="AD450" s="395" t="s">
        <v>289</v>
      </c>
      <c r="AE450" s="395"/>
      <c r="AF450" s="395"/>
      <c r="AG450" s="395"/>
      <c r="AH450" s="395"/>
    </row>
    <row r="451" ht="30.75" customHeight="1">
      <c r="A451" s="373" t="str">
        <f t="shared" si="1"/>
        <v/>
      </c>
      <c r="B451" s="421" t="s">
        <v>289</v>
      </c>
      <c r="C451" s="406"/>
      <c r="D451" s="406"/>
      <c r="E451" s="406"/>
      <c r="F451" s="395" t="s">
        <v>289</v>
      </c>
      <c r="G451" s="406"/>
      <c r="H451" s="406"/>
      <c r="I451" s="378" t="s">
        <v>289</v>
      </c>
      <c r="J451" s="379" t="s">
        <v>289</v>
      </c>
      <c r="K451" s="407"/>
      <c r="L451" s="378" t="s">
        <v>289</v>
      </c>
      <c r="M451" s="378" t="s">
        <v>289</v>
      </c>
      <c r="N451" s="378" t="s">
        <v>289</v>
      </c>
      <c r="O451" s="409"/>
      <c r="P451" s="387" t="s">
        <v>289</v>
      </c>
      <c r="Q451" s="383"/>
      <c r="R451" s="383"/>
      <c r="S451" s="383"/>
      <c r="T451" s="410"/>
      <c r="U451" s="406"/>
      <c r="V451" s="386"/>
      <c r="W451" s="387" t="s">
        <v>289</v>
      </c>
      <c r="X451" s="378" t="s">
        <v>289</v>
      </c>
      <c r="Y451" s="387" t="s">
        <v>289</v>
      </c>
      <c r="Z451" s="391" t="s">
        <v>289</v>
      </c>
      <c r="AA451" s="391" t="s">
        <v>289</v>
      </c>
      <c r="AB451" s="391" t="s">
        <v>289</v>
      </c>
      <c r="AC451" s="391" t="s">
        <v>289</v>
      </c>
      <c r="AD451" s="395" t="s">
        <v>289</v>
      </c>
      <c r="AE451" s="395"/>
      <c r="AF451" s="395"/>
      <c r="AG451" s="395"/>
      <c r="AH451" s="395"/>
    </row>
    <row r="452" ht="30.75" customHeight="1">
      <c r="A452" s="373" t="str">
        <f t="shared" si="1"/>
        <v/>
      </c>
      <c r="B452" s="421" t="s">
        <v>289</v>
      </c>
      <c r="C452" s="406"/>
      <c r="D452" s="406"/>
      <c r="E452" s="406"/>
      <c r="F452" s="395" t="s">
        <v>289</v>
      </c>
      <c r="G452" s="406"/>
      <c r="H452" s="406"/>
      <c r="I452" s="378" t="s">
        <v>289</v>
      </c>
      <c r="J452" s="379" t="s">
        <v>289</v>
      </c>
      <c r="K452" s="407"/>
      <c r="L452" s="378" t="s">
        <v>289</v>
      </c>
      <c r="M452" s="378" t="s">
        <v>289</v>
      </c>
      <c r="N452" s="378" t="s">
        <v>289</v>
      </c>
      <c r="O452" s="409"/>
      <c r="P452" s="387" t="s">
        <v>289</v>
      </c>
      <c r="Q452" s="383"/>
      <c r="R452" s="383"/>
      <c r="S452" s="383"/>
      <c r="T452" s="410"/>
      <c r="U452" s="406"/>
      <c r="V452" s="386"/>
      <c r="W452" s="387" t="s">
        <v>289</v>
      </c>
      <c r="X452" s="378" t="s">
        <v>289</v>
      </c>
      <c r="Y452" s="387" t="s">
        <v>289</v>
      </c>
      <c r="Z452" s="391" t="s">
        <v>289</v>
      </c>
      <c r="AA452" s="391" t="s">
        <v>289</v>
      </c>
      <c r="AB452" s="391" t="s">
        <v>289</v>
      </c>
      <c r="AC452" s="391" t="s">
        <v>289</v>
      </c>
      <c r="AD452" s="395" t="s">
        <v>289</v>
      </c>
      <c r="AE452" s="395"/>
      <c r="AF452" s="395"/>
      <c r="AG452" s="395"/>
      <c r="AH452" s="395"/>
    </row>
    <row r="453" ht="30.75" customHeight="1">
      <c r="A453" s="373" t="str">
        <f t="shared" si="1"/>
        <v/>
      </c>
      <c r="B453" s="421" t="s">
        <v>289</v>
      </c>
      <c r="C453" s="406"/>
      <c r="D453" s="406"/>
      <c r="E453" s="406"/>
      <c r="F453" s="395" t="s">
        <v>289</v>
      </c>
      <c r="G453" s="406"/>
      <c r="H453" s="406"/>
      <c r="I453" s="378" t="s">
        <v>289</v>
      </c>
      <c r="J453" s="379" t="s">
        <v>289</v>
      </c>
      <c r="K453" s="407"/>
      <c r="L453" s="378" t="s">
        <v>289</v>
      </c>
      <c r="M453" s="378" t="s">
        <v>289</v>
      </c>
      <c r="N453" s="378" t="s">
        <v>289</v>
      </c>
      <c r="O453" s="409"/>
      <c r="P453" s="387" t="s">
        <v>289</v>
      </c>
      <c r="Q453" s="383"/>
      <c r="R453" s="383"/>
      <c r="S453" s="383"/>
      <c r="T453" s="410"/>
      <c r="U453" s="406"/>
      <c r="V453" s="386"/>
      <c r="W453" s="387" t="s">
        <v>289</v>
      </c>
      <c r="X453" s="378" t="s">
        <v>289</v>
      </c>
      <c r="Y453" s="387" t="s">
        <v>289</v>
      </c>
      <c r="Z453" s="391" t="s">
        <v>289</v>
      </c>
      <c r="AA453" s="391" t="s">
        <v>289</v>
      </c>
      <c r="AB453" s="391" t="s">
        <v>289</v>
      </c>
      <c r="AC453" s="391" t="s">
        <v>289</v>
      </c>
      <c r="AD453" s="395" t="s">
        <v>289</v>
      </c>
      <c r="AE453" s="395"/>
      <c r="AF453" s="395"/>
      <c r="AG453" s="395"/>
      <c r="AH453" s="395"/>
    </row>
    <row r="454" ht="30.75" customHeight="1">
      <c r="A454" s="373" t="str">
        <f t="shared" si="1"/>
        <v/>
      </c>
      <c r="B454" s="421" t="s">
        <v>289</v>
      </c>
      <c r="C454" s="406"/>
      <c r="D454" s="406"/>
      <c r="E454" s="406"/>
      <c r="F454" s="395" t="s">
        <v>289</v>
      </c>
      <c r="G454" s="406"/>
      <c r="H454" s="406"/>
      <c r="I454" s="378" t="s">
        <v>289</v>
      </c>
      <c r="J454" s="379" t="s">
        <v>289</v>
      </c>
      <c r="K454" s="407"/>
      <c r="L454" s="378" t="s">
        <v>289</v>
      </c>
      <c r="M454" s="378" t="s">
        <v>289</v>
      </c>
      <c r="N454" s="378" t="s">
        <v>289</v>
      </c>
      <c r="O454" s="409"/>
      <c r="P454" s="387" t="s">
        <v>289</v>
      </c>
      <c r="Q454" s="383"/>
      <c r="R454" s="383"/>
      <c r="S454" s="383"/>
      <c r="T454" s="410"/>
      <c r="U454" s="406"/>
      <c r="V454" s="386"/>
      <c r="W454" s="387" t="s">
        <v>289</v>
      </c>
      <c r="X454" s="378" t="s">
        <v>289</v>
      </c>
      <c r="Y454" s="387" t="s">
        <v>289</v>
      </c>
      <c r="Z454" s="391" t="s">
        <v>289</v>
      </c>
      <c r="AA454" s="391" t="s">
        <v>289</v>
      </c>
      <c r="AB454" s="391" t="s">
        <v>289</v>
      </c>
      <c r="AC454" s="391" t="s">
        <v>289</v>
      </c>
      <c r="AD454" s="395" t="s">
        <v>289</v>
      </c>
      <c r="AE454" s="395"/>
      <c r="AF454" s="395"/>
      <c r="AG454" s="395"/>
      <c r="AH454" s="395"/>
    </row>
    <row r="455" ht="30.75" customHeight="1">
      <c r="A455" s="373" t="str">
        <f t="shared" si="1"/>
        <v/>
      </c>
      <c r="B455" s="421" t="s">
        <v>289</v>
      </c>
      <c r="C455" s="406"/>
      <c r="D455" s="406"/>
      <c r="E455" s="406"/>
      <c r="F455" s="395" t="s">
        <v>289</v>
      </c>
      <c r="G455" s="406"/>
      <c r="H455" s="406"/>
      <c r="I455" s="378" t="s">
        <v>289</v>
      </c>
      <c r="J455" s="379" t="s">
        <v>289</v>
      </c>
      <c r="K455" s="407"/>
      <c r="L455" s="378" t="s">
        <v>289</v>
      </c>
      <c r="M455" s="378" t="s">
        <v>289</v>
      </c>
      <c r="N455" s="378" t="s">
        <v>289</v>
      </c>
      <c r="O455" s="409"/>
      <c r="P455" s="387" t="s">
        <v>289</v>
      </c>
      <c r="Q455" s="383"/>
      <c r="R455" s="383"/>
      <c r="S455" s="383"/>
      <c r="T455" s="410"/>
      <c r="U455" s="406"/>
      <c r="V455" s="386"/>
      <c r="W455" s="387" t="s">
        <v>289</v>
      </c>
      <c r="X455" s="378" t="s">
        <v>289</v>
      </c>
      <c r="Y455" s="387" t="s">
        <v>289</v>
      </c>
      <c r="Z455" s="391" t="s">
        <v>289</v>
      </c>
      <c r="AA455" s="391" t="s">
        <v>289</v>
      </c>
      <c r="AB455" s="391" t="s">
        <v>289</v>
      </c>
      <c r="AC455" s="391" t="s">
        <v>289</v>
      </c>
      <c r="AD455" s="395" t="s">
        <v>289</v>
      </c>
      <c r="AE455" s="395"/>
      <c r="AF455" s="395"/>
      <c r="AG455" s="395"/>
      <c r="AH455" s="395"/>
    </row>
    <row r="456" ht="30.75" customHeight="1">
      <c r="A456" s="373" t="str">
        <f t="shared" si="1"/>
        <v/>
      </c>
      <c r="B456" s="421" t="s">
        <v>289</v>
      </c>
      <c r="C456" s="406"/>
      <c r="D456" s="406"/>
      <c r="E456" s="406"/>
      <c r="F456" s="395" t="s">
        <v>289</v>
      </c>
      <c r="G456" s="406"/>
      <c r="H456" s="406"/>
      <c r="I456" s="378" t="s">
        <v>289</v>
      </c>
      <c r="J456" s="379" t="s">
        <v>289</v>
      </c>
      <c r="K456" s="407"/>
      <c r="L456" s="378" t="s">
        <v>289</v>
      </c>
      <c r="M456" s="378" t="s">
        <v>289</v>
      </c>
      <c r="N456" s="378" t="s">
        <v>289</v>
      </c>
      <c r="O456" s="409"/>
      <c r="P456" s="387" t="s">
        <v>289</v>
      </c>
      <c r="Q456" s="383"/>
      <c r="R456" s="383"/>
      <c r="S456" s="383"/>
      <c r="T456" s="410"/>
      <c r="U456" s="406"/>
      <c r="V456" s="386"/>
      <c r="W456" s="387" t="s">
        <v>289</v>
      </c>
      <c r="X456" s="378" t="s">
        <v>289</v>
      </c>
      <c r="Y456" s="387" t="s">
        <v>289</v>
      </c>
      <c r="Z456" s="391" t="s">
        <v>289</v>
      </c>
      <c r="AA456" s="391" t="s">
        <v>289</v>
      </c>
      <c r="AB456" s="391" t="s">
        <v>289</v>
      </c>
      <c r="AC456" s="391" t="s">
        <v>289</v>
      </c>
      <c r="AD456" s="395" t="s">
        <v>289</v>
      </c>
      <c r="AE456" s="395"/>
      <c r="AF456" s="395"/>
      <c r="AG456" s="395"/>
      <c r="AH456" s="395"/>
    </row>
    <row r="457" ht="30.75" customHeight="1">
      <c r="A457" s="373" t="str">
        <f t="shared" si="1"/>
        <v/>
      </c>
      <c r="B457" s="421" t="s">
        <v>289</v>
      </c>
      <c r="C457" s="406"/>
      <c r="D457" s="406"/>
      <c r="E457" s="406"/>
      <c r="F457" s="395" t="s">
        <v>289</v>
      </c>
      <c r="G457" s="406"/>
      <c r="H457" s="406"/>
      <c r="I457" s="378" t="s">
        <v>289</v>
      </c>
      <c r="J457" s="379" t="s">
        <v>289</v>
      </c>
      <c r="K457" s="407"/>
      <c r="L457" s="378" t="s">
        <v>289</v>
      </c>
      <c r="M457" s="378" t="s">
        <v>289</v>
      </c>
      <c r="N457" s="378" t="s">
        <v>289</v>
      </c>
      <c r="O457" s="409"/>
      <c r="P457" s="387" t="s">
        <v>289</v>
      </c>
      <c r="Q457" s="383"/>
      <c r="R457" s="383"/>
      <c r="S457" s="383"/>
      <c r="T457" s="410"/>
      <c r="U457" s="406"/>
      <c r="V457" s="386"/>
      <c r="W457" s="387" t="s">
        <v>289</v>
      </c>
      <c r="X457" s="378" t="s">
        <v>289</v>
      </c>
      <c r="Y457" s="387" t="s">
        <v>289</v>
      </c>
      <c r="Z457" s="391" t="s">
        <v>289</v>
      </c>
      <c r="AA457" s="391" t="s">
        <v>289</v>
      </c>
      <c r="AB457" s="391" t="s">
        <v>289</v>
      </c>
      <c r="AC457" s="391" t="s">
        <v>289</v>
      </c>
      <c r="AD457" s="395" t="s">
        <v>289</v>
      </c>
      <c r="AE457" s="395"/>
      <c r="AF457" s="395"/>
      <c r="AG457" s="395"/>
      <c r="AH457" s="395"/>
    </row>
    <row r="458" ht="30.75" customHeight="1">
      <c r="A458" s="373" t="str">
        <f t="shared" si="1"/>
        <v/>
      </c>
      <c r="B458" s="421" t="s">
        <v>289</v>
      </c>
      <c r="C458" s="406"/>
      <c r="D458" s="406"/>
      <c r="E458" s="406"/>
      <c r="F458" s="395" t="s">
        <v>289</v>
      </c>
      <c r="G458" s="406"/>
      <c r="H458" s="406"/>
      <c r="I458" s="378" t="s">
        <v>289</v>
      </c>
      <c r="J458" s="379" t="s">
        <v>289</v>
      </c>
      <c r="K458" s="407"/>
      <c r="L458" s="378" t="s">
        <v>289</v>
      </c>
      <c r="M458" s="378" t="s">
        <v>289</v>
      </c>
      <c r="N458" s="378" t="s">
        <v>289</v>
      </c>
      <c r="O458" s="409"/>
      <c r="P458" s="387" t="s">
        <v>289</v>
      </c>
      <c r="Q458" s="383"/>
      <c r="R458" s="383"/>
      <c r="S458" s="383"/>
      <c r="T458" s="410"/>
      <c r="U458" s="406"/>
      <c r="V458" s="386"/>
      <c r="W458" s="387" t="s">
        <v>289</v>
      </c>
      <c r="X458" s="378" t="s">
        <v>289</v>
      </c>
      <c r="Y458" s="387" t="s">
        <v>289</v>
      </c>
      <c r="Z458" s="391" t="s">
        <v>289</v>
      </c>
      <c r="AA458" s="391" t="s">
        <v>289</v>
      </c>
      <c r="AB458" s="391" t="s">
        <v>289</v>
      </c>
      <c r="AC458" s="391" t="s">
        <v>289</v>
      </c>
      <c r="AD458" s="395" t="s">
        <v>289</v>
      </c>
      <c r="AE458" s="395"/>
      <c r="AF458" s="395"/>
      <c r="AG458" s="395"/>
      <c r="AH458" s="395"/>
    </row>
    <row r="459" ht="30.75" customHeight="1">
      <c r="A459" s="373" t="str">
        <f t="shared" si="1"/>
        <v/>
      </c>
      <c r="B459" s="421" t="s">
        <v>289</v>
      </c>
      <c r="C459" s="406"/>
      <c r="D459" s="406"/>
      <c r="E459" s="406"/>
      <c r="F459" s="395" t="s">
        <v>289</v>
      </c>
      <c r="G459" s="406"/>
      <c r="H459" s="406"/>
      <c r="I459" s="378" t="s">
        <v>289</v>
      </c>
      <c r="J459" s="379" t="s">
        <v>289</v>
      </c>
      <c r="K459" s="407"/>
      <c r="L459" s="378" t="s">
        <v>289</v>
      </c>
      <c r="M459" s="378" t="s">
        <v>289</v>
      </c>
      <c r="N459" s="378" t="s">
        <v>289</v>
      </c>
      <c r="O459" s="409"/>
      <c r="P459" s="387" t="s">
        <v>289</v>
      </c>
      <c r="Q459" s="383"/>
      <c r="R459" s="383"/>
      <c r="S459" s="383"/>
      <c r="T459" s="410"/>
      <c r="U459" s="406"/>
      <c r="V459" s="386"/>
      <c r="W459" s="387" t="s">
        <v>289</v>
      </c>
      <c r="X459" s="378" t="s">
        <v>289</v>
      </c>
      <c r="Y459" s="387" t="s">
        <v>289</v>
      </c>
      <c r="Z459" s="391" t="s">
        <v>289</v>
      </c>
      <c r="AA459" s="391" t="s">
        <v>289</v>
      </c>
      <c r="AB459" s="391" t="s">
        <v>289</v>
      </c>
      <c r="AC459" s="391" t="s">
        <v>289</v>
      </c>
      <c r="AD459" s="395" t="s">
        <v>289</v>
      </c>
      <c r="AE459" s="395"/>
      <c r="AF459" s="395"/>
      <c r="AG459" s="395"/>
      <c r="AH459" s="395"/>
    </row>
    <row r="460" ht="30.75" customHeight="1">
      <c r="A460" s="373" t="str">
        <f t="shared" si="1"/>
        <v/>
      </c>
      <c r="B460" s="421" t="s">
        <v>289</v>
      </c>
      <c r="C460" s="406"/>
      <c r="D460" s="406"/>
      <c r="E460" s="406"/>
      <c r="F460" s="395" t="s">
        <v>289</v>
      </c>
      <c r="G460" s="406"/>
      <c r="H460" s="406"/>
      <c r="I460" s="378" t="s">
        <v>289</v>
      </c>
      <c r="J460" s="379" t="s">
        <v>289</v>
      </c>
      <c r="K460" s="407"/>
      <c r="L460" s="378" t="s">
        <v>289</v>
      </c>
      <c r="M460" s="378" t="s">
        <v>289</v>
      </c>
      <c r="N460" s="378" t="s">
        <v>289</v>
      </c>
      <c r="O460" s="409"/>
      <c r="P460" s="387" t="s">
        <v>289</v>
      </c>
      <c r="Q460" s="383"/>
      <c r="R460" s="383"/>
      <c r="S460" s="383"/>
      <c r="T460" s="410"/>
      <c r="U460" s="406"/>
      <c r="V460" s="386"/>
      <c r="W460" s="387" t="s">
        <v>289</v>
      </c>
      <c r="X460" s="378" t="s">
        <v>289</v>
      </c>
      <c r="Y460" s="387" t="s">
        <v>289</v>
      </c>
      <c r="Z460" s="391" t="s">
        <v>289</v>
      </c>
      <c r="AA460" s="391" t="s">
        <v>289</v>
      </c>
      <c r="AB460" s="391" t="s">
        <v>289</v>
      </c>
      <c r="AC460" s="391" t="s">
        <v>289</v>
      </c>
      <c r="AD460" s="395" t="s">
        <v>289</v>
      </c>
      <c r="AE460" s="395"/>
      <c r="AF460" s="395"/>
      <c r="AG460" s="395"/>
      <c r="AH460" s="395"/>
    </row>
    <row r="461" ht="30.75" customHeight="1">
      <c r="A461" s="373" t="str">
        <f t="shared" si="1"/>
        <v/>
      </c>
      <c r="B461" s="421" t="s">
        <v>289</v>
      </c>
      <c r="C461" s="406"/>
      <c r="D461" s="406"/>
      <c r="E461" s="406"/>
      <c r="F461" s="395" t="s">
        <v>289</v>
      </c>
      <c r="G461" s="406"/>
      <c r="H461" s="406"/>
      <c r="I461" s="378" t="s">
        <v>289</v>
      </c>
      <c r="J461" s="379" t="s">
        <v>289</v>
      </c>
      <c r="K461" s="407"/>
      <c r="L461" s="378" t="s">
        <v>289</v>
      </c>
      <c r="M461" s="378" t="s">
        <v>289</v>
      </c>
      <c r="N461" s="378" t="s">
        <v>289</v>
      </c>
      <c r="O461" s="409"/>
      <c r="P461" s="387" t="s">
        <v>289</v>
      </c>
      <c r="Q461" s="383"/>
      <c r="R461" s="383"/>
      <c r="S461" s="383"/>
      <c r="T461" s="410"/>
      <c r="U461" s="406"/>
      <c r="V461" s="386"/>
      <c r="W461" s="387" t="s">
        <v>289</v>
      </c>
      <c r="X461" s="378" t="s">
        <v>289</v>
      </c>
      <c r="Y461" s="387" t="s">
        <v>289</v>
      </c>
      <c r="Z461" s="391" t="s">
        <v>289</v>
      </c>
      <c r="AA461" s="391" t="s">
        <v>289</v>
      </c>
      <c r="AB461" s="391" t="s">
        <v>289</v>
      </c>
      <c r="AC461" s="391" t="s">
        <v>289</v>
      </c>
      <c r="AD461" s="395" t="s">
        <v>289</v>
      </c>
      <c r="AE461" s="395"/>
      <c r="AF461" s="395"/>
      <c r="AG461" s="395"/>
      <c r="AH461" s="395"/>
    </row>
    <row r="462" ht="30.75" customHeight="1">
      <c r="A462" s="373" t="str">
        <f t="shared" si="1"/>
        <v/>
      </c>
      <c r="B462" s="421" t="s">
        <v>289</v>
      </c>
      <c r="C462" s="406"/>
      <c r="D462" s="406"/>
      <c r="E462" s="406"/>
      <c r="F462" s="395" t="s">
        <v>289</v>
      </c>
      <c r="G462" s="406"/>
      <c r="H462" s="406"/>
      <c r="I462" s="378" t="s">
        <v>289</v>
      </c>
      <c r="J462" s="379" t="s">
        <v>289</v>
      </c>
      <c r="K462" s="407"/>
      <c r="L462" s="378" t="s">
        <v>289</v>
      </c>
      <c r="M462" s="378" t="s">
        <v>289</v>
      </c>
      <c r="N462" s="378" t="s">
        <v>289</v>
      </c>
      <c r="O462" s="409"/>
      <c r="P462" s="387" t="s">
        <v>289</v>
      </c>
      <c r="Q462" s="383"/>
      <c r="R462" s="383"/>
      <c r="S462" s="383"/>
      <c r="T462" s="410"/>
      <c r="U462" s="406"/>
      <c r="V462" s="386"/>
      <c r="W462" s="387" t="s">
        <v>289</v>
      </c>
      <c r="X462" s="378" t="s">
        <v>289</v>
      </c>
      <c r="Y462" s="387" t="s">
        <v>289</v>
      </c>
      <c r="Z462" s="391" t="s">
        <v>289</v>
      </c>
      <c r="AA462" s="391" t="s">
        <v>289</v>
      </c>
      <c r="AB462" s="391" t="s">
        <v>289</v>
      </c>
      <c r="AC462" s="391" t="s">
        <v>289</v>
      </c>
      <c r="AD462" s="395" t="s">
        <v>289</v>
      </c>
      <c r="AE462" s="395"/>
      <c r="AF462" s="395"/>
      <c r="AG462" s="395"/>
      <c r="AH462" s="395"/>
    </row>
    <row r="463" ht="30.75" customHeight="1">
      <c r="A463" s="373" t="str">
        <f t="shared" si="1"/>
        <v/>
      </c>
      <c r="B463" s="421" t="s">
        <v>289</v>
      </c>
      <c r="C463" s="406"/>
      <c r="D463" s="406"/>
      <c r="E463" s="406"/>
      <c r="F463" s="395" t="s">
        <v>289</v>
      </c>
      <c r="G463" s="406"/>
      <c r="H463" s="406"/>
      <c r="I463" s="378" t="s">
        <v>289</v>
      </c>
      <c r="J463" s="379" t="s">
        <v>289</v>
      </c>
      <c r="K463" s="407"/>
      <c r="L463" s="378" t="s">
        <v>289</v>
      </c>
      <c r="M463" s="378" t="s">
        <v>289</v>
      </c>
      <c r="N463" s="378" t="s">
        <v>289</v>
      </c>
      <c r="O463" s="409"/>
      <c r="P463" s="387" t="s">
        <v>289</v>
      </c>
      <c r="Q463" s="383"/>
      <c r="R463" s="383"/>
      <c r="S463" s="383"/>
      <c r="T463" s="410"/>
      <c r="U463" s="406"/>
      <c r="V463" s="386"/>
      <c r="W463" s="387" t="s">
        <v>289</v>
      </c>
      <c r="X463" s="378" t="s">
        <v>289</v>
      </c>
      <c r="Y463" s="387" t="s">
        <v>289</v>
      </c>
      <c r="Z463" s="391" t="s">
        <v>289</v>
      </c>
      <c r="AA463" s="391" t="s">
        <v>289</v>
      </c>
      <c r="AB463" s="391" t="s">
        <v>289</v>
      </c>
      <c r="AC463" s="391" t="s">
        <v>289</v>
      </c>
      <c r="AD463" s="395" t="s">
        <v>289</v>
      </c>
      <c r="AE463" s="395"/>
      <c r="AF463" s="395"/>
      <c r="AG463" s="395"/>
      <c r="AH463" s="395"/>
    </row>
    <row r="464" ht="30.75" customHeight="1">
      <c r="A464" s="373" t="str">
        <f t="shared" si="1"/>
        <v/>
      </c>
      <c r="B464" s="421" t="s">
        <v>289</v>
      </c>
      <c r="C464" s="406"/>
      <c r="D464" s="406"/>
      <c r="E464" s="406"/>
      <c r="F464" s="395" t="s">
        <v>289</v>
      </c>
      <c r="G464" s="406"/>
      <c r="H464" s="406"/>
      <c r="I464" s="378" t="s">
        <v>289</v>
      </c>
      <c r="J464" s="379" t="s">
        <v>289</v>
      </c>
      <c r="K464" s="407"/>
      <c r="L464" s="378" t="s">
        <v>289</v>
      </c>
      <c r="M464" s="378" t="s">
        <v>289</v>
      </c>
      <c r="N464" s="378" t="s">
        <v>289</v>
      </c>
      <c r="O464" s="409"/>
      <c r="P464" s="387" t="s">
        <v>289</v>
      </c>
      <c r="Q464" s="383"/>
      <c r="R464" s="383"/>
      <c r="S464" s="383"/>
      <c r="T464" s="410"/>
      <c r="U464" s="406"/>
      <c r="V464" s="386"/>
      <c r="W464" s="387" t="s">
        <v>289</v>
      </c>
      <c r="X464" s="378" t="s">
        <v>289</v>
      </c>
      <c r="Y464" s="387" t="s">
        <v>289</v>
      </c>
      <c r="Z464" s="391" t="s">
        <v>289</v>
      </c>
      <c r="AA464" s="391" t="s">
        <v>289</v>
      </c>
      <c r="AB464" s="391" t="s">
        <v>289</v>
      </c>
      <c r="AC464" s="391" t="s">
        <v>289</v>
      </c>
      <c r="AD464" s="395" t="s">
        <v>289</v>
      </c>
      <c r="AE464" s="395"/>
      <c r="AF464" s="395"/>
      <c r="AG464" s="395"/>
      <c r="AH464" s="395"/>
    </row>
    <row r="465" ht="30.75" customHeight="1">
      <c r="A465" s="373" t="str">
        <f t="shared" si="1"/>
        <v/>
      </c>
      <c r="B465" s="421" t="s">
        <v>289</v>
      </c>
      <c r="C465" s="406"/>
      <c r="D465" s="406"/>
      <c r="E465" s="406"/>
      <c r="F465" s="395" t="s">
        <v>289</v>
      </c>
      <c r="G465" s="406"/>
      <c r="H465" s="406"/>
      <c r="I465" s="378" t="s">
        <v>289</v>
      </c>
      <c r="J465" s="379" t="s">
        <v>289</v>
      </c>
      <c r="K465" s="407"/>
      <c r="L465" s="378" t="s">
        <v>289</v>
      </c>
      <c r="M465" s="378" t="s">
        <v>289</v>
      </c>
      <c r="N465" s="378" t="s">
        <v>289</v>
      </c>
      <c r="O465" s="409"/>
      <c r="P465" s="387" t="s">
        <v>289</v>
      </c>
      <c r="Q465" s="383"/>
      <c r="R465" s="383"/>
      <c r="S465" s="383"/>
      <c r="T465" s="410"/>
      <c r="U465" s="406"/>
      <c r="V465" s="386"/>
      <c r="W465" s="387" t="s">
        <v>289</v>
      </c>
      <c r="X465" s="378" t="s">
        <v>289</v>
      </c>
      <c r="Y465" s="387" t="s">
        <v>289</v>
      </c>
      <c r="Z465" s="391" t="s">
        <v>289</v>
      </c>
      <c r="AA465" s="391" t="s">
        <v>289</v>
      </c>
      <c r="AB465" s="391" t="s">
        <v>289</v>
      </c>
      <c r="AC465" s="391" t="s">
        <v>289</v>
      </c>
      <c r="AD465" s="395" t="s">
        <v>289</v>
      </c>
      <c r="AE465" s="395"/>
      <c r="AF465" s="395"/>
      <c r="AG465" s="395"/>
      <c r="AH465" s="395"/>
    </row>
    <row r="466" ht="30.75" customHeight="1">
      <c r="A466" s="373" t="str">
        <f t="shared" si="1"/>
        <v/>
      </c>
      <c r="B466" s="421" t="s">
        <v>289</v>
      </c>
      <c r="C466" s="406"/>
      <c r="D466" s="406"/>
      <c r="E466" s="406"/>
      <c r="F466" s="395" t="s">
        <v>289</v>
      </c>
      <c r="G466" s="406"/>
      <c r="H466" s="406"/>
      <c r="I466" s="378" t="s">
        <v>289</v>
      </c>
      <c r="J466" s="379" t="s">
        <v>289</v>
      </c>
      <c r="K466" s="407"/>
      <c r="L466" s="378" t="s">
        <v>289</v>
      </c>
      <c r="M466" s="378" t="s">
        <v>289</v>
      </c>
      <c r="N466" s="378" t="s">
        <v>289</v>
      </c>
      <c r="O466" s="409"/>
      <c r="P466" s="387" t="s">
        <v>289</v>
      </c>
      <c r="Q466" s="383"/>
      <c r="R466" s="383"/>
      <c r="S466" s="383"/>
      <c r="T466" s="410"/>
      <c r="U466" s="406"/>
      <c r="V466" s="386"/>
      <c r="W466" s="387" t="s">
        <v>289</v>
      </c>
      <c r="X466" s="378" t="s">
        <v>289</v>
      </c>
      <c r="Y466" s="387" t="s">
        <v>289</v>
      </c>
      <c r="Z466" s="391" t="s">
        <v>289</v>
      </c>
      <c r="AA466" s="391" t="s">
        <v>289</v>
      </c>
      <c r="AB466" s="391" t="s">
        <v>289</v>
      </c>
      <c r="AC466" s="391" t="s">
        <v>289</v>
      </c>
      <c r="AD466" s="395" t="s">
        <v>289</v>
      </c>
      <c r="AE466" s="395"/>
      <c r="AF466" s="395"/>
      <c r="AG466" s="395"/>
      <c r="AH466" s="395"/>
    </row>
    <row r="467" ht="30.75" customHeight="1">
      <c r="A467" s="373" t="str">
        <f t="shared" si="1"/>
        <v/>
      </c>
      <c r="B467" s="421" t="s">
        <v>289</v>
      </c>
      <c r="C467" s="406"/>
      <c r="D467" s="406"/>
      <c r="E467" s="406"/>
      <c r="F467" s="395" t="s">
        <v>289</v>
      </c>
      <c r="G467" s="406"/>
      <c r="H467" s="406"/>
      <c r="I467" s="378" t="s">
        <v>289</v>
      </c>
      <c r="J467" s="379" t="s">
        <v>289</v>
      </c>
      <c r="K467" s="407"/>
      <c r="L467" s="378" t="s">
        <v>289</v>
      </c>
      <c r="M467" s="378" t="s">
        <v>289</v>
      </c>
      <c r="N467" s="378" t="s">
        <v>289</v>
      </c>
      <c r="O467" s="409"/>
      <c r="P467" s="387" t="s">
        <v>289</v>
      </c>
      <c r="Q467" s="383"/>
      <c r="R467" s="383"/>
      <c r="S467" s="383"/>
      <c r="T467" s="410"/>
      <c r="U467" s="406"/>
      <c r="V467" s="386"/>
      <c r="W467" s="387" t="s">
        <v>289</v>
      </c>
      <c r="X467" s="378" t="s">
        <v>289</v>
      </c>
      <c r="Y467" s="387" t="s">
        <v>289</v>
      </c>
      <c r="Z467" s="391" t="s">
        <v>289</v>
      </c>
      <c r="AA467" s="391" t="s">
        <v>289</v>
      </c>
      <c r="AB467" s="391" t="s">
        <v>289</v>
      </c>
      <c r="AC467" s="391" t="s">
        <v>289</v>
      </c>
      <c r="AD467" s="395" t="s">
        <v>289</v>
      </c>
      <c r="AE467" s="395"/>
      <c r="AF467" s="395"/>
      <c r="AG467" s="395"/>
      <c r="AH467" s="395"/>
    </row>
    <row r="468" ht="30.75" customHeight="1">
      <c r="A468" s="373" t="str">
        <f t="shared" si="1"/>
        <v/>
      </c>
      <c r="B468" s="421" t="s">
        <v>289</v>
      </c>
      <c r="C468" s="406"/>
      <c r="D468" s="406"/>
      <c r="E468" s="406"/>
      <c r="F468" s="395" t="s">
        <v>289</v>
      </c>
      <c r="G468" s="406"/>
      <c r="H468" s="406"/>
      <c r="I468" s="378" t="s">
        <v>289</v>
      </c>
      <c r="J468" s="379" t="s">
        <v>289</v>
      </c>
      <c r="K468" s="407"/>
      <c r="L468" s="378" t="s">
        <v>289</v>
      </c>
      <c r="M468" s="378" t="s">
        <v>289</v>
      </c>
      <c r="N468" s="378" t="s">
        <v>289</v>
      </c>
      <c r="O468" s="409"/>
      <c r="P468" s="387" t="s">
        <v>289</v>
      </c>
      <c r="Q468" s="383"/>
      <c r="R468" s="383"/>
      <c r="S468" s="383"/>
      <c r="T468" s="410"/>
      <c r="U468" s="406"/>
      <c r="V468" s="386"/>
      <c r="W468" s="387" t="s">
        <v>289</v>
      </c>
      <c r="X468" s="378" t="s">
        <v>289</v>
      </c>
      <c r="Y468" s="387" t="s">
        <v>289</v>
      </c>
      <c r="Z468" s="391" t="s">
        <v>289</v>
      </c>
      <c r="AA468" s="391" t="s">
        <v>289</v>
      </c>
      <c r="AB468" s="391" t="s">
        <v>289</v>
      </c>
      <c r="AC468" s="391" t="s">
        <v>289</v>
      </c>
      <c r="AD468" s="395" t="s">
        <v>289</v>
      </c>
      <c r="AE468" s="395"/>
      <c r="AF468" s="395"/>
      <c r="AG468" s="395"/>
      <c r="AH468" s="395"/>
    </row>
    <row r="469" ht="30.75" customHeight="1">
      <c r="A469" s="373" t="str">
        <f t="shared" si="1"/>
        <v/>
      </c>
      <c r="B469" s="421" t="s">
        <v>289</v>
      </c>
      <c r="C469" s="406"/>
      <c r="D469" s="406"/>
      <c r="E469" s="406"/>
      <c r="F469" s="395" t="s">
        <v>289</v>
      </c>
      <c r="G469" s="406"/>
      <c r="H469" s="406"/>
      <c r="I469" s="378" t="s">
        <v>289</v>
      </c>
      <c r="J469" s="379" t="s">
        <v>289</v>
      </c>
      <c r="K469" s="407"/>
      <c r="L469" s="378" t="s">
        <v>289</v>
      </c>
      <c r="M469" s="378" t="s">
        <v>289</v>
      </c>
      <c r="N469" s="378" t="s">
        <v>289</v>
      </c>
      <c r="O469" s="409"/>
      <c r="P469" s="387" t="s">
        <v>289</v>
      </c>
      <c r="Q469" s="383"/>
      <c r="R469" s="383"/>
      <c r="S469" s="383"/>
      <c r="T469" s="410"/>
      <c r="U469" s="406"/>
      <c r="V469" s="386"/>
      <c r="W469" s="387" t="s">
        <v>289</v>
      </c>
      <c r="X469" s="378" t="s">
        <v>289</v>
      </c>
      <c r="Y469" s="387" t="s">
        <v>289</v>
      </c>
      <c r="Z469" s="391" t="s">
        <v>289</v>
      </c>
      <c r="AA469" s="391" t="s">
        <v>289</v>
      </c>
      <c r="AB469" s="391" t="s">
        <v>289</v>
      </c>
      <c r="AC469" s="391" t="s">
        <v>289</v>
      </c>
      <c r="AD469" s="395" t="s">
        <v>289</v>
      </c>
      <c r="AE469" s="395"/>
      <c r="AF469" s="395"/>
      <c r="AG469" s="395"/>
      <c r="AH469" s="395"/>
    </row>
    <row r="470" ht="30.75" customHeight="1">
      <c r="A470" s="373" t="str">
        <f t="shared" si="1"/>
        <v/>
      </c>
      <c r="B470" s="421" t="s">
        <v>289</v>
      </c>
      <c r="C470" s="406"/>
      <c r="D470" s="406"/>
      <c r="E470" s="406"/>
      <c r="F470" s="395" t="s">
        <v>289</v>
      </c>
      <c r="G470" s="406"/>
      <c r="H470" s="406"/>
      <c r="I470" s="378" t="s">
        <v>289</v>
      </c>
      <c r="J470" s="379" t="s">
        <v>289</v>
      </c>
      <c r="K470" s="407"/>
      <c r="L470" s="378" t="s">
        <v>289</v>
      </c>
      <c r="M470" s="378" t="s">
        <v>289</v>
      </c>
      <c r="N470" s="378" t="s">
        <v>289</v>
      </c>
      <c r="O470" s="409"/>
      <c r="P470" s="387" t="s">
        <v>289</v>
      </c>
      <c r="Q470" s="383"/>
      <c r="R470" s="383"/>
      <c r="S470" s="383"/>
      <c r="T470" s="410"/>
      <c r="U470" s="406"/>
      <c r="V470" s="386"/>
      <c r="W470" s="387" t="s">
        <v>289</v>
      </c>
      <c r="X470" s="378" t="s">
        <v>289</v>
      </c>
      <c r="Y470" s="387" t="s">
        <v>289</v>
      </c>
      <c r="Z470" s="391" t="s">
        <v>289</v>
      </c>
      <c r="AA470" s="391" t="s">
        <v>289</v>
      </c>
      <c r="AB470" s="391" t="s">
        <v>289</v>
      </c>
      <c r="AC470" s="391" t="s">
        <v>289</v>
      </c>
      <c r="AD470" s="395" t="s">
        <v>289</v>
      </c>
      <c r="AE470" s="395"/>
      <c r="AF470" s="395"/>
      <c r="AG470" s="395"/>
      <c r="AH470" s="395"/>
    </row>
    <row r="471" ht="30.75" customHeight="1">
      <c r="A471" s="373" t="str">
        <f t="shared" si="1"/>
        <v/>
      </c>
      <c r="B471" s="421" t="s">
        <v>289</v>
      </c>
      <c r="C471" s="406"/>
      <c r="D471" s="406"/>
      <c r="E471" s="406"/>
      <c r="F471" s="395" t="s">
        <v>289</v>
      </c>
      <c r="G471" s="406"/>
      <c r="H471" s="406"/>
      <c r="I471" s="378" t="s">
        <v>289</v>
      </c>
      <c r="J471" s="379" t="s">
        <v>289</v>
      </c>
      <c r="K471" s="407"/>
      <c r="L471" s="378" t="s">
        <v>289</v>
      </c>
      <c r="M471" s="378" t="s">
        <v>289</v>
      </c>
      <c r="N471" s="378" t="s">
        <v>289</v>
      </c>
      <c r="O471" s="409"/>
      <c r="P471" s="387" t="s">
        <v>289</v>
      </c>
      <c r="Q471" s="383"/>
      <c r="R471" s="383"/>
      <c r="S471" s="383"/>
      <c r="T471" s="410"/>
      <c r="U471" s="406"/>
      <c r="V471" s="386"/>
      <c r="W471" s="387" t="s">
        <v>289</v>
      </c>
      <c r="X471" s="378" t="s">
        <v>289</v>
      </c>
      <c r="Y471" s="387" t="s">
        <v>289</v>
      </c>
      <c r="Z471" s="391" t="s">
        <v>289</v>
      </c>
      <c r="AA471" s="391" t="s">
        <v>289</v>
      </c>
      <c r="AB471" s="391" t="s">
        <v>289</v>
      </c>
      <c r="AC471" s="391" t="s">
        <v>289</v>
      </c>
      <c r="AD471" s="395" t="s">
        <v>289</v>
      </c>
      <c r="AE471" s="395"/>
      <c r="AF471" s="395"/>
      <c r="AG471" s="395"/>
      <c r="AH471" s="395"/>
    </row>
    <row r="472" ht="30.75" customHeight="1">
      <c r="A472" s="373" t="str">
        <f t="shared" si="1"/>
        <v/>
      </c>
      <c r="B472" s="421" t="s">
        <v>289</v>
      </c>
      <c r="C472" s="406"/>
      <c r="D472" s="406"/>
      <c r="E472" s="406"/>
      <c r="F472" s="395" t="s">
        <v>289</v>
      </c>
      <c r="G472" s="406"/>
      <c r="H472" s="406"/>
      <c r="I472" s="378" t="s">
        <v>289</v>
      </c>
      <c r="J472" s="379" t="s">
        <v>289</v>
      </c>
      <c r="K472" s="407"/>
      <c r="L472" s="378" t="s">
        <v>289</v>
      </c>
      <c r="M472" s="378" t="s">
        <v>289</v>
      </c>
      <c r="N472" s="378" t="s">
        <v>289</v>
      </c>
      <c r="O472" s="409"/>
      <c r="P472" s="387" t="s">
        <v>289</v>
      </c>
      <c r="Q472" s="383"/>
      <c r="R472" s="383"/>
      <c r="S472" s="383"/>
      <c r="T472" s="410"/>
      <c r="U472" s="406"/>
      <c r="V472" s="386"/>
      <c r="W472" s="387" t="s">
        <v>289</v>
      </c>
      <c r="X472" s="378" t="s">
        <v>289</v>
      </c>
      <c r="Y472" s="387" t="s">
        <v>289</v>
      </c>
      <c r="Z472" s="391" t="s">
        <v>289</v>
      </c>
      <c r="AA472" s="391" t="s">
        <v>289</v>
      </c>
      <c r="AB472" s="391" t="s">
        <v>289</v>
      </c>
      <c r="AC472" s="391" t="s">
        <v>289</v>
      </c>
      <c r="AD472" s="395" t="s">
        <v>289</v>
      </c>
      <c r="AE472" s="395"/>
      <c r="AF472" s="395"/>
      <c r="AG472" s="395"/>
      <c r="AH472" s="395"/>
    </row>
    <row r="473" ht="30.75" customHeight="1">
      <c r="A473" s="373" t="str">
        <f t="shared" si="1"/>
        <v/>
      </c>
      <c r="B473" s="421" t="s">
        <v>289</v>
      </c>
      <c r="C473" s="406"/>
      <c r="D473" s="406"/>
      <c r="E473" s="406"/>
      <c r="F473" s="395" t="s">
        <v>289</v>
      </c>
      <c r="G473" s="406"/>
      <c r="H473" s="406"/>
      <c r="I473" s="378" t="s">
        <v>289</v>
      </c>
      <c r="J473" s="379" t="s">
        <v>289</v>
      </c>
      <c r="K473" s="407"/>
      <c r="L473" s="378" t="s">
        <v>289</v>
      </c>
      <c r="M473" s="378" t="s">
        <v>289</v>
      </c>
      <c r="N473" s="378" t="s">
        <v>289</v>
      </c>
      <c r="O473" s="409"/>
      <c r="P473" s="387" t="s">
        <v>289</v>
      </c>
      <c r="Q473" s="383"/>
      <c r="R473" s="383"/>
      <c r="S473" s="383"/>
      <c r="T473" s="410"/>
      <c r="U473" s="406"/>
      <c r="V473" s="386"/>
      <c r="W473" s="387" t="s">
        <v>289</v>
      </c>
      <c r="X473" s="378" t="s">
        <v>289</v>
      </c>
      <c r="Y473" s="387" t="s">
        <v>289</v>
      </c>
      <c r="Z473" s="391" t="s">
        <v>289</v>
      </c>
      <c r="AA473" s="391" t="s">
        <v>289</v>
      </c>
      <c r="AB473" s="391" t="s">
        <v>289</v>
      </c>
      <c r="AC473" s="391" t="s">
        <v>289</v>
      </c>
      <c r="AD473" s="395" t="s">
        <v>289</v>
      </c>
      <c r="AE473" s="395"/>
      <c r="AF473" s="395"/>
      <c r="AG473" s="395"/>
      <c r="AH473" s="395"/>
    </row>
    <row r="474" ht="30.75" customHeight="1">
      <c r="A474" s="373" t="str">
        <f t="shared" si="1"/>
        <v/>
      </c>
      <c r="B474" s="421" t="s">
        <v>289</v>
      </c>
      <c r="C474" s="406"/>
      <c r="D474" s="406"/>
      <c r="E474" s="406"/>
      <c r="F474" s="395" t="s">
        <v>289</v>
      </c>
      <c r="G474" s="406"/>
      <c r="H474" s="406"/>
      <c r="I474" s="378" t="s">
        <v>289</v>
      </c>
      <c r="J474" s="379" t="s">
        <v>289</v>
      </c>
      <c r="K474" s="407"/>
      <c r="L474" s="378" t="s">
        <v>289</v>
      </c>
      <c r="M474" s="378" t="s">
        <v>289</v>
      </c>
      <c r="N474" s="378" t="s">
        <v>289</v>
      </c>
      <c r="O474" s="409"/>
      <c r="P474" s="387" t="s">
        <v>289</v>
      </c>
      <c r="Q474" s="383"/>
      <c r="R474" s="383"/>
      <c r="S474" s="383"/>
      <c r="T474" s="410"/>
      <c r="U474" s="406"/>
      <c r="V474" s="386"/>
      <c r="W474" s="387" t="s">
        <v>289</v>
      </c>
      <c r="X474" s="378" t="s">
        <v>289</v>
      </c>
      <c r="Y474" s="387" t="s">
        <v>289</v>
      </c>
      <c r="Z474" s="391" t="s">
        <v>289</v>
      </c>
      <c r="AA474" s="391" t="s">
        <v>289</v>
      </c>
      <c r="AB474" s="391" t="s">
        <v>289</v>
      </c>
      <c r="AC474" s="391" t="s">
        <v>289</v>
      </c>
      <c r="AD474" s="395" t="s">
        <v>289</v>
      </c>
      <c r="AE474" s="395"/>
      <c r="AF474" s="395"/>
      <c r="AG474" s="395"/>
      <c r="AH474" s="395"/>
    </row>
    <row r="475" ht="30.75" customHeight="1">
      <c r="A475" s="373" t="str">
        <f t="shared" si="1"/>
        <v/>
      </c>
      <c r="B475" s="421" t="s">
        <v>289</v>
      </c>
      <c r="C475" s="406"/>
      <c r="D475" s="406"/>
      <c r="E475" s="406"/>
      <c r="F475" s="395" t="s">
        <v>289</v>
      </c>
      <c r="G475" s="406"/>
      <c r="H475" s="406"/>
      <c r="I475" s="378" t="s">
        <v>289</v>
      </c>
      <c r="J475" s="379" t="s">
        <v>289</v>
      </c>
      <c r="K475" s="407"/>
      <c r="L475" s="378" t="s">
        <v>289</v>
      </c>
      <c r="M475" s="378" t="s">
        <v>289</v>
      </c>
      <c r="N475" s="378" t="s">
        <v>289</v>
      </c>
      <c r="O475" s="409"/>
      <c r="P475" s="387" t="s">
        <v>289</v>
      </c>
      <c r="Q475" s="383"/>
      <c r="R475" s="383"/>
      <c r="S475" s="383"/>
      <c r="T475" s="410"/>
      <c r="U475" s="406"/>
      <c r="V475" s="386"/>
      <c r="W475" s="387" t="s">
        <v>289</v>
      </c>
      <c r="X475" s="378" t="s">
        <v>289</v>
      </c>
      <c r="Y475" s="387" t="s">
        <v>289</v>
      </c>
      <c r="Z475" s="391" t="s">
        <v>289</v>
      </c>
      <c r="AA475" s="391" t="s">
        <v>289</v>
      </c>
      <c r="AB475" s="391" t="s">
        <v>289</v>
      </c>
      <c r="AC475" s="391" t="s">
        <v>289</v>
      </c>
      <c r="AD475" s="395" t="s">
        <v>289</v>
      </c>
      <c r="AE475" s="395"/>
      <c r="AF475" s="395"/>
      <c r="AG475" s="395"/>
      <c r="AH475" s="395"/>
    </row>
    <row r="476" ht="30.75" customHeight="1">
      <c r="A476" s="373" t="str">
        <f t="shared" si="1"/>
        <v/>
      </c>
      <c r="B476" s="421" t="s">
        <v>289</v>
      </c>
      <c r="C476" s="406"/>
      <c r="D476" s="406"/>
      <c r="E476" s="406"/>
      <c r="F476" s="395" t="s">
        <v>289</v>
      </c>
      <c r="G476" s="406"/>
      <c r="H476" s="406"/>
      <c r="I476" s="378" t="s">
        <v>289</v>
      </c>
      <c r="J476" s="379" t="s">
        <v>289</v>
      </c>
      <c r="K476" s="407"/>
      <c r="L476" s="378" t="s">
        <v>289</v>
      </c>
      <c r="M476" s="378" t="s">
        <v>289</v>
      </c>
      <c r="N476" s="378" t="s">
        <v>289</v>
      </c>
      <c r="O476" s="409"/>
      <c r="P476" s="387" t="s">
        <v>289</v>
      </c>
      <c r="Q476" s="383"/>
      <c r="R476" s="383"/>
      <c r="S476" s="383"/>
      <c r="T476" s="410"/>
      <c r="U476" s="406"/>
      <c r="V476" s="386"/>
      <c r="W476" s="387" t="s">
        <v>289</v>
      </c>
      <c r="X476" s="378" t="s">
        <v>289</v>
      </c>
      <c r="Y476" s="387" t="s">
        <v>289</v>
      </c>
      <c r="Z476" s="391" t="s">
        <v>289</v>
      </c>
      <c r="AA476" s="391" t="s">
        <v>289</v>
      </c>
      <c r="AB476" s="391" t="s">
        <v>289</v>
      </c>
      <c r="AC476" s="391" t="s">
        <v>289</v>
      </c>
      <c r="AD476" s="395" t="s">
        <v>289</v>
      </c>
      <c r="AE476" s="395"/>
      <c r="AF476" s="395"/>
      <c r="AG476" s="395"/>
      <c r="AH476" s="395"/>
    </row>
    <row r="477" ht="30.75" customHeight="1">
      <c r="A477" s="373" t="str">
        <f t="shared" si="1"/>
        <v/>
      </c>
      <c r="B477" s="421" t="s">
        <v>289</v>
      </c>
      <c r="C477" s="406"/>
      <c r="D477" s="406"/>
      <c r="E477" s="406"/>
      <c r="F477" s="395" t="s">
        <v>289</v>
      </c>
      <c r="G477" s="406"/>
      <c r="H477" s="406"/>
      <c r="I477" s="378" t="s">
        <v>289</v>
      </c>
      <c r="J477" s="379" t="s">
        <v>289</v>
      </c>
      <c r="K477" s="407"/>
      <c r="L477" s="378" t="s">
        <v>289</v>
      </c>
      <c r="M477" s="378" t="s">
        <v>289</v>
      </c>
      <c r="N477" s="378" t="s">
        <v>289</v>
      </c>
      <c r="O477" s="409"/>
      <c r="P477" s="387" t="s">
        <v>289</v>
      </c>
      <c r="Q477" s="383"/>
      <c r="R477" s="383"/>
      <c r="S477" s="383"/>
      <c r="T477" s="410"/>
      <c r="U477" s="406"/>
      <c r="V477" s="386"/>
      <c r="W477" s="387" t="s">
        <v>289</v>
      </c>
      <c r="X477" s="378" t="s">
        <v>289</v>
      </c>
      <c r="Y477" s="387" t="s">
        <v>289</v>
      </c>
      <c r="Z477" s="391" t="s">
        <v>289</v>
      </c>
      <c r="AA477" s="391" t="s">
        <v>289</v>
      </c>
      <c r="AB477" s="391" t="s">
        <v>289</v>
      </c>
      <c r="AC477" s="391" t="s">
        <v>289</v>
      </c>
      <c r="AD477" s="395" t="s">
        <v>289</v>
      </c>
      <c r="AE477" s="395"/>
      <c r="AF477" s="395"/>
      <c r="AG477" s="395"/>
      <c r="AH477" s="395"/>
    </row>
    <row r="478" ht="30.75" customHeight="1">
      <c r="A478" s="373" t="str">
        <f t="shared" si="1"/>
        <v/>
      </c>
      <c r="B478" s="421" t="s">
        <v>289</v>
      </c>
      <c r="C478" s="406"/>
      <c r="D478" s="406"/>
      <c r="E478" s="406"/>
      <c r="F478" s="395" t="s">
        <v>289</v>
      </c>
      <c r="G478" s="406"/>
      <c r="H478" s="406"/>
      <c r="I478" s="378" t="s">
        <v>289</v>
      </c>
      <c r="J478" s="379" t="s">
        <v>289</v>
      </c>
      <c r="K478" s="407"/>
      <c r="L478" s="378" t="s">
        <v>289</v>
      </c>
      <c r="M478" s="378" t="s">
        <v>289</v>
      </c>
      <c r="N478" s="378" t="s">
        <v>289</v>
      </c>
      <c r="O478" s="409"/>
      <c r="P478" s="387" t="s">
        <v>289</v>
      </c>
      <c r="Q478" s="383"/>
      <c r="R478" s="383"/>
      <c r="S478" s="383"/>
      <c r="T478" s="410"/>
      <c r="U478" s="406"/>
      <c r="V478" s="386"/>
      <c r="W478" s="387" t="s">
        <v>289</v>
      </c>
      <c r="X478" s="378" t="s">
        <v>289</v>
      </c>
      <c r="Y478" s="387" t="s">
        <v>289</v>
      </c>
      <c r="Z478" s="391" t="s">
        <v>289</v>
      </c>
      <c r="AA478" s="391" t="s">
        <v>289</v>
      </c>
      <c r="AB478" s="391" t="s">
        <v>289</v>
      </c>
      <c r="AC478" s="391" t="s">
        <v>289</v>
      </c>
      <c r="AD478" s="395" t="s">
        <v>289</v>
      </c>
      <c r="AE478" s="395"/>
      <c r="AF478" s="395"/>
      <c r="AG478" s="395"/>
      <c r="AH478" s="395"/>
    </row>
    <row r="479" ht="30.75" customHeight="1">
      <c r="A479" s="373" t="str">
        <f t="shared" si="1"/>
        <v/>
      </c>
      <c r="B479" s="421" t="s">
        <v>289</v>
      </c>
      <c r="C479" s="406"/>
      <c r="D479" s="406"/>
      <c r="E479" s="406"/>
      <c r="F479" s="395" t="s">
        <v>289</v>
      </c>
      <c r="G479" s="406"/>
      <c r="H479" s="406"/>
      <c r="I479" s="378" t="s">
        <v>289</v>
      </c>
      <c r="J479" s="379" t="s">
        <v>289</v>
      </c>
      <c r="K479" s="407"/>
      <c r="L479" s="378" t="s">
        <v>289</v>
      </c>
      <c r="M479" s="378" t="s">
        <v>289</v>
      </c>
      <c r="N479" s="378" t="s">
        <v>289</v>
      </c>
      <c r="O479" s="409"/>
      <c r="P479" s="387" t="s">
        <v>289</v>
      </c>
      <c r="Q479" s="383"/>
      <c r="R479" s="383"/>
      <c r="S479" s="383"/>
      <c r="T479" s="410"/>
      <c r="U479" s="406"/>
      <c r="V479" s="386"/>
      <c r="W479" s="387" t="s">
        <v>289</v>
      </c>
      <c r="X479" s="378" t="s">
        <v>289</v>
      </c>
      <c r="Y479" s="387" t="s">
        <v>289</v>
      </c>
      <c r="Z479" s="391" t="s">
        <v>289</v>
      </c>
      <c r="AA479" s="391" t="s">
        <v>289</v>
      </c>
      <c r="AB479" s="391" t="s">
        <v>289</v>
      </c>
      <c r="AC479" s="391" t="s">
        <v>289</v>
      </c>
      <c r="AD479" s="395" t="s">
        <v>289</v>
      </c>
      <c r="AE479" s="395"/>
      <c r="AF479" s="395"/>
      <c r="AG479" s="395"/>
      <c r="AH479" s="395"/>
    </row>
    <row r="480" ht="30.75" customHeight="1">
      <c r="A480" s="373" t="str">
        <f t="shared" si="1"/>
        <v/>
      </c>
      <c r="B480" s="421" t="s">
        <v>289</v>
      </c>
      <c r="C480" s="406"/>
      <c r="D480" s="406"/>
      <c r="E480" s="406"/>
      <c r="F480" s="395" t="s">
        <v>289</v>
      </c>
      <c r="G480" s="406"/>
      <c r="H480" s="406"/>
      <c r="I480" s="378" t="s">
        <v>289</v>
      </c>
      <c r="J480" s="379" t="s">
        <v>289</v>
      </c>
      <c r="K480" s="407"/>
      <c r="L480" s="378" t="s">
        <v>289</v>
      </c>
      <c r="M480" s="378" t="s">
        <v>289</v>
      </c>
      <c r="N480" s="378" t="s">
        <v>289</v>
      </c>
      <c r="O480" s="409"/>
      <c r="P480" s="387" t="s">
        <v>289</v>
      </c>
      <c r="Q480" s="383"/>
      <c r="R480" s="383"/>
      <c r="S480" s="383"/>
      <c r="T480" s="410"/>
      <c r="U480" s="406"/>
      <c r="V480" s="386"/>
      <c r="W480" s="387" t="s">
        <v>289</v>
      </c>
      <c r="X480" s="378" t="s">
        <v>289</v>
      </c>
      <c r="Y480" s="387" t="s">
        <v>289</v>
      </c>
      <c r="Z480" s="391" t="s">
        <v>289</v>
      </c>
      <c r="AA480" s="391" t="s">
        <v>289</v>
      </c>
      <c r="AB480" s="391" t="s">
        <v>289</v>
      </c>
      <c r="AC480" s="391" t="s">
        <v>289</v>
      </c>
      <c r="AD480" s="395" t="s">
        <v>289</v>
      </c>
      <c r="AE480" s="395"/>
      <c r="AF480" s="395"/>
      <c r="AG480" s="395"/>
      <c r="AH480" s="395"/>
    </row>
    <row r="481" ht="30.75" customHeight="1">
      <c r="A481" s="373" t="str">
        <f t="shared" si="1"/>
        <v/>
      </c>
      <c r="B481" s="421" t="s">
        <v>289</v>
      </c>
      <c r="C481" s="406"/>
      <c r="D481" s="406"/>
      <c r="E481" s="406"/>
      <c r="F481" s="395" t="s">
        <v>289</v>
      </c>
      <c r="G481" s="406"/>
      <c r="H481" s="406"/>
      <c r="I481" s="378" t="s">
        <v>289</v>
      </c>
      <c r="J481" s="379" t="s">
        <v>289</v>
      </c>
      <c r="K481" s="407"/>
      <c r="L481" s="378" t="s">
        <v>289</v>
      </c>
      <c r="M481" s="378" t="s">
        <v>289</v>
      </c>
      <c r="N481" s="378" t="s">
        <v>289</v>
      </c>
      <c r="O481" s="409"/>
      <c r="P481" s="387" t="s">
        <v>289</v>
      </c>
      <c r="Q481" s="383"/>
      <c r="R481" s="383"/>
      <c r="S481" s="383"/>
      <c r="T481" s="410"/>
      <c r="U481" s="406"/>
      <c r="V481" s="386"/>
      <c r="W481" s="387" t="s">
        <v>289</v>
      </c>
      <c r="X481" s="378" t="s">
        <v>289</v>
      </c>
      <c r="Y481" s="387" t="s">
        <v>289</v>
      </c>
      <c r="Z481" s="391" t="s">
        <v>289</v>
      </c>
      <c r="AA481" s="391" t="s">
        <v>289</v>
      </c>
      <c r="AB481" s="391" t="s">
        <v>289</v>
      </c>
      <c r="AC481" s="391" t="s">
        <v>289</v>
      </c>
      <c r="AD481" s="395" t="s">
        <v>289</v>
      </c>
      <c r="AE481" s="395"/>
      <c r="AF481" s="395"/>
      <c r="AG481" s="395"/>
      <c r="AH481" s="395"/>
    </row>
    <row r="482" ht="30.75" customHeight="1">
      <c r="A482" s="373" t="str">
        <f t="shared" si="1"/>
        <v/>
      </c>
      <c r="B482" s="421" t="s">
        <v>289</v>
      </c>
      <c r="C482" s="406"/>
      <c r="D482" s="406"/>
      <c r="E482" s="406"/>
      <c r="F482" s="395" t="s">
        <v>289</v>
      </c>
      <c r="G482" s="406"/>
      <c r="H482" s="406"/>
      <c r="I482" s="378" t="s">
        <v>289</v>
      </c>
      <c r="J482" s="379" t="s">
        <v>289</v>
      </c>
      <c r="K482" s="407"/>
      <c r="L482" s="378" t="s">
        <v>289</v>
      </c>
      <c r="M482" s="378" t="s">
        <v>289</v>
      </c>
      <c r="N482" s="378" t="s">
        <v>289</v>
      </c>
      <c r="O482" s="409"/>
      <c r="P482" s="387" t="s">
        <v>289</v>
      </c>
      <c r="Q482" s="383"/>
      <c r="R482" s="383"/>
      <c r="S482" s="383"/>
      <c r="T482" s="410"/>
      <c r="U482" s="406"/>
      <c r="V482" s="386"/>
      <c r="W482" s="387" t="s">
        <v>289</v>
      </c>
      <c r="X482" s="378" t="s">
        <v>289</v>
      </c>
      <c r="Y482" s="387" t="s">
        <v>289</v>
      </c>
      <c r="Z482" s="391" t="s">
        <v>289</v>
      </c>
      <c r="AA482" s="391" t="s">
        <v>289</v>
      </c>
      <c r="AB482" s="391" t="s">
        <v>289</v>
      </c>
      <c r="AC482" s="391" t="s">
        <v>289</v>
      </c>
      <c r="AD482" s="395" t="s">
        <v>289</v>
      </c>
      <c r="AE482" s="395"/>
      <c r="AF482" s="395"/>
      <c r="AG482" s="395"/>
      <c r="AH482" s="395"/>
    </row>
    <row r="483" ht="30.75" customHeight="1">
      <c r="A483" s="373" t="str">
        <f t="shared" si="1"/>
        <v/>
      </c>
      <c r="B483" s="421" t="s">
        <v>289</v>
      </c>
      <c r="C483" s="406"/>
      <c r="D483" s="406"/>
      <c r="E483" s="406"/>
      <c r="F483" s="395" t="s">
        <v>289</v>
      </c>
      <c r="G483" s="406"/>
      <c r="H483" s="406"/>
      <c r="I483" s="378" t="s">
        <v>289</v>
      </c>
      <c r="J483" s="379" t="s">
        <v>289</v>
      </c>
      <c r="K483" s="407"/>
      <c r="L483" s="378" t="s">
        <v>289</v>
      </c>
      <c r="M483" s="378" t="s">
        <v>289</v>
      </c>
      <c r="N483" s="378" t="s">
        <v>289</v>
      </c>
      <c r="O483" s="409"/>
      <c r="P483" s="387" t="s">
        <v>289</v>
      </c>
      <c r="Q483" s="383"/>
      <c r="R483" s="383"/>
      <c r="S483" s="383"/>
      <c r="T483" s="410"/>
      <c r="U483" s="406"/>
      <c r="V483" s="386"/>
      <c r="W483" s="387" t="s">
        <v>289</v>
      </c>
      <c r="X483" s="378" t="s">
        <v>289</v>
      </c>
      <c r="Y483" s="387" t="s">
        <v>289</v>
      </c>
      <c r="Z483" s="391" t="s">
        <v>289</v>
      </c>
      <c r="AA483" s="391" t="s">
        <v>289</v>
      </c>
      <c r="AB483" s="391" t="s">
        <v>289</v>
      </c>
      <c r="AC483" s="391" t="s">
        <v>289</v>
      </c>
      <c r="AD483" s="395" t="s">
        <v>289</v>
      </c>
      <c r="AE483" s="395"/>
      <c r="AF483" s="395"/>
      <c r="AG483" s="395"/>
      <c r="AH483" s="395"/>
    </row>
    <row r="484" ht="30.75" customHeight="1">
      <c r="A484" s="373" t="str">
        <f t="shared" si="1"/>
        <v/>
      </c>
      <c r="B484" s="421" t="s">
        <v>289</v>
      </c>
      <c r="C484" s="406"/>
      <c r="D484" s="406"/>
      <c r="E484" s="406"/>
      <c r="F484" s="395" t="s">
        <v>289</v>
      </c>
      <c r="G484" s="406"/>
      <c r="H484" s="406"/>
      <c r="I484" s="378" t="s">
        <v>289</v>
      </c>
      <c r="J484" s="379" t="s">
        <v>289</v>
      </c>
      <c r="K484" s="407"/>
      <c r="L484" s="378" t="s">
        <v>289</v>
      </c>
      <c r="M484" s="378" t="s">
        <v>289</v>
      </c>
      <c r="N484" s="378" t="s">
        <v>289</v>
      </c>
      <c r="O484" s="409"/>
      <c r="P484" s="387" t="s">
        <v>289</v>
      </c>
      <c r="Q484" s="383"/>
      <c r="R484" s="383"/>
      <c r="S484" s="383"/>
      <c r="T484" s="410"/>
      <c r="U484" s="406"/>
      <c r="V484" s="386"/>
      <c r="W484" s="387" t="s">
        <v>289</v>
      </c>
      <c r="X484" s="378" t="s">
        <v>289</v>
      </c>
      <c r="Y484" s="387" t="s">
        <v>289</v>
      </c>
      <c r="Z484" s="391" t="s">
        <v>289</v>
      </c>
      <c r="AA484" s="391" t="s">
        <v>289</v>
      </c>
      <c r="AB484" s="391" t="s">
        <v>289</v>
      </c>
      <c r="AC484" s="391" t="s">
        <v>289</v>
      </c>
      <c r="AD484" s="395" t="s">
        <v>289</v>
      </c>
      <c r="AE484" s="395"/>
      <c r="AF484" s="395"/>
      <c r="AG484" s="395"/>
      <c r="AH484" s="395"/>
    </row>
    <row r="485" ht="30.75" customHeight="1">
      <c r="A485" s="373" t="str">
        <f t="shared" si="1"/>
        <v/>
      </c>
      <c r="B485" s="421" t="s">
        <v>289</v>
      </c>
      <c r="C485" s="406"/>
      <c r="D485" s="406"/>
      <c r="E485" s="406"/>
      <c r="F485" s="395" t="s">
        <v>289</v>
      </c>
      <c r="G485" s="406"/>
      <c r="H485" s="406"/>
      <c r="I485" s="378" t="s">
        <v>289</v>
      </c>
      <c r="J485" s="379" t="s">
        <v>289</v>
      </c>
      <c r="K485" s="407"/>
      <c r="L485" s="378" t="s">
        <v>289</v>
      </c>
      <c r="M485" s="378" t="s">
        <v>289</v>
      </c>
      <c r="N485" s="378" t="s">
        <v>289</v>
      </c>
      <c r="O485" s="409"/>
      <c r="P485" s="387" t="s">
        <v>289</v>
      </c>
      <c r="Q485" s="383"/>
      <c r="R485" s="383"/>
      <c r="S485" s="383"/>
      <c r="T485" s="410"/>
      <c r="U485" s="406"/>
      <c r="V485" s="386"/>
      <c r="W485" s="387" t="s">
        <v>289</v>
      </c>
      <c r="X485" s="378" t="s">
        <v>289</v>
      </c>
      <c r="Y485" s="387" t="s">
        <v>289</v>
      </c>
      <c r="Z485" s="391" t="s">
        <v>289</v>
      </c>
      <c r="AA485" s="391" t="s">
        <v>289</v>
      </c>
      <c r="AB485" s="391" t="s">
        <v>289</v>
      </c>
      <c r="AC485" s="391" t="s">
        <v>289</v>
      </c>
      <c r="AD485" s="395" t="s">
        <v>289</v>
      </c>
      <c r="AE485" s="395"/>
      <c r="AF485" s="395"/>
      <c r="AG485" s="395"/>
      <c r="AH485" s="395"/>
    </row>
    <row r="486" ht="30.75" customHeight="1">
      <c r="A486" s="373" t="str">
        <f t="shared" si="1"/>
        <v/>
      </c>
      <c r="B486" s="421" t="s">
        <v>289</v>
      </c>
      <c r="C486" s="406"/>
      <c r="D486" s="406"/>
      <c r="E486" s="406"/>
      <c r="F486" s="395" t="s">
        <v>289</v>
      </c>
      <c r="G486" s="406"/>
      <c r="H486" s="406"/>
      <c r="I486" s="378" t="s">
        <v>289</v>
      </c>
      <c r="J486" s="379" t="s">
        <v>289</v>
      </c>
      <c r="K486" s="407"/>
      <c r="L486" s="378" t="s">
        <v>289</v>
      </c>
      <c r="M486" s="378" t="s">
        <v>289</v>
      </c>
      <c r="N486" s="378" t="s">
        <v>289</v>
      </c>
      <c r="O486" s="409"/>
      <c r="P486" s="387" t="s">
        <v>289</v>
      </c>
      <c r="Q486" s="383"/>
      <c r="R486" s="383"/>
      <c r="S486" s="383"/>
      <c r="T486" s="410"/>
      <c r="U486" s="406"/>
      <c r="V486" s="386"/>
      <c r="W486" s="387" t="s">
        <v>289</v>
      </c>
      <c r="X486" s="378" t="s">
        <v>289</v>
      </c>
      <c r="Y486" s="387" t="s">
        <v>289</v>
      </c>
      <c r="Z486" s="391" t="s">
        <v>289</v>
      </c>
      <c r="AA486" s="391" t="s">
        <v>289</v>
      </c>
      <c r="AB486" s="391" t="s">
        <v>289</v>
      </c>
      <c r="AC486" s="391" t="s">
        <v>289</v>
      </c>
      <c r="AD486" s="395" t="s">
        <v>289</v>
      </c>
      <c r="AE486" s="395"/>
      <c r="AF486" s="395"/>
      <c r="AG486" s="395"/>
      <c r="AH486" s="395"/>
    </row>
    <row r="487" ht="30.75" customHeight="1">
      <c r="A487" s="373" t="str">
        <f t="shared" si="1"/>
        <v/>
      </c>
      <c r="B487" s="421" t="s">
        <v>289</v>
      </c>
      <c r="C487" s="406"/>
      <c r="D487" s="406"/>
      <c r="E487" s="406"/>
      <c r="F487" s="395" t="s">
        <v>289</v>
      </c>
      <c r="G487" s="406"/>
      <c r="H487" s="406"/>
      <c r="I487" s="378" t="s">
        <v>289</v>
      </c>
      <c r="J487" s="379" t="s">
        <v>289</v>
      </c>
      <c r="K487" s="407"/>
      <c r="L487" s="378" t="s">
        <v>289</v>
      </c>
      <c r="M487" s="378" t="s">
        <v>289</v>
      </c>
      <c r="N487" s="378" t="s">
        <v>289</v>
      </c>
      <c r="O487" s="409"/>
      <c r="P487" s="387" t="s">
        <v>289</v>
      </c>
      <c r="Q487" s="383"/>
      <c r="R487" s="383"/>
      <c r="S487" s="383"/>
      <c r="T487" s="410"/>
      <c r="U487" s="406"/>
      <c r="V487" s="386"/>
      <c r="W487" s="387" t="s">
        <v>289</v>
      </c>
      <c r="X487" s="378" t="s">
        <v>289</v>
      </c>
      <c r="Y487" s="387" t="s">
        <v>289</v>
      </c>
      <c r="Z487" s="391" t="s">
        <v>289</v>
      </c>
      <c r="AA487" s="391" t="s">
        <v>289</v>
      </c>
      <c r="AB487" s="391" t="s">
        <v>289</v>
      </c>
      <c r="AC487" s="391" t="s">
        <v>289</v>
      </c>
      <c r="AD487" s="395" t="s">
        <v>289</v>
      </c>
      <c r="AE487" s="395"/>
      <c r="AF487" s="395"/>
      <c r="AG487" s="395"/>
      <c r="AH487" s="395"/>
    </row>
    <row r="488" ht="30.75" customHeight="1">
      <c r="A488" s="373" t="str">
        <f t="shared" si="1"/>
        <v/>
      </c>
      <c r="B488" s="421" t="s">
        <v>289</v>
      </c>
      <c r="C488" s="406"/>
      <c r="D488" s="406"/>
      <c r="E488" s="406"/>
      <c r="F488" s="395" t="s">
        <v>289</v>
      </c>
      <c r="G488" s="406"/>
      <c r="H488" s="406"/>
      <c r="I488" s="378" t="s">
        <v>289</v>
      </c>
      <c r="J488" s="379" t="s">
        <v>289</v>
      </c>
      <c r="K488" s="407"/>
      <c r="L488" s="378" t="s">
        <v>289</v>
      </c>
      <c r="M488" s="378" t="s">
        <v>289</v>
      </c>
      <c r="N488" s="378" t="s">
        <v>289</v>
      </c>
      <c r="O488" s="409"/>
      <c r="P488" s="387" t="s">
        <v>289</v>
      </c>
      <c r="Q488" s="383"/>
      <c r="R488" s="383"/>
      <c r="S488" s="383"/>
      <c r="T488" s="410"/>
      <c r="U488" s="406"/>
      <c r="V488" s="386"/>
      <c r="W488" s="387" t="s">
        <v>289</v>
      </c>
      <c r="X488" s="378" t="s">
        <v>289</v>
      </c>
      <c r="Y488" s="387" t="s">
        <v>289</v>
      </c>
      <c r="Z488" s="391" t="s">
        <v>289</v>
      </c>
      <c r="AA488" s="391" t="s">
        <v>289</v>
      </c>
      <c r="AB488" s="391" t="s">
        <v>289</v>
      </c>
      <c r="AC488" s="391" t="s">
        <v>289</v>
      </c>
      <c r="AD488" s="395" t="s">
        <v>289</v>
      </c>
      <c r="AE488" s="395"/>
      <c r="AF488" s="395"/>
      <c r="AG488" s="395"/>
      <c r="AH488" s="395"/>
    </row>
    <row r="489" ht="30.75" customHeight="1">
      <c r="A489" s="373" t="str">
        <f t="shared" si="1"/>
        <v/>
      </c>
      <c r="B489" s="421" t="s">
        <v>289</v>
      </c>
      <c r="C489" s="406"/>
      <c r="D489" s="406"/>
      <c r="E489" s="406"/>
      <c r="F489" s="395" t="s">
        <v>289</v>
      </c>
      <c r="G489" s="406"/>
      <c r="H489" s="406"/>
      <c r="I489" s="378" t="s">
        <v>289</v>
      </c>
      <c r="J489" s="379" t="s">
        <v>289</v>
      </c>
      <c r="K489" s="407"/>
      <c r="L489" s="378" t="s">
        <v>289</v>
      </c>
      <c r="M489" s="378" t="s">
        <v>289</v>
      </c>
      <c r="N489" s="378" t="s">
        <v>289</v>
      </c>
      <c r="O489" s="409"/>
      <c r="P489" s="387" t="s">
        <v>289</v>
      </c>
      <c r="Q489" s="383"/>
      <c r="R489" s="383"/>
      <c r="S489" s="383"/>
      <c r="T489" s="410"/>
      <c r="U489" s="406"/>
      <c r="V489" s="386"/>
      <c r="W489" s="387" t="s">
        <v>289</v>
      </c>
      <c r="X489" s="378" t="s">
        <v>289</v>
      </c>
      <c r="Y489" s="387" t="s">
        <v>289</v>
      </c>
      <c r="Z489" s="391" t="s">
        <v>289</v>
      </c>
      <c r="AA489" s="391" t="s">
        <v>289</v>
      </c>
      <c r="AB489" s="391" t="s">
        <v>289</v>
      </c>
      <c r="AC489" s="391" t="s">
        <v>289</v>
      </c>
      <c r="AD489" s="395" t="s">
        <v>289</v>
      </c>
      <c r="AE489" s="395"/>
      <c r="AF489" s="395"/>
      <c r="AG489" s="395"/>
      <c r="AH489" s="395"/>
    </row>
    <row r="490" ht="30.75" customHeight="1">
      <c r="A490" s="373" t="str">
        <f t="shared" si="1"/>
        <v/>
      </c>
      <c r="B490" s="421" t="s">
        <v>289</v>
      </c>
      <c r="C490" s="406"/>
      <c r="D490" s="406"/>
      <c r="E490" s="406"/>
      <c r="F490" s="395" t="s">
        <v>289</v>
      </c>
      <c r="G490" s="406"/>
      <c r="H490" s="406"/>
      <c r="I490" s="378" t="s">
        <v>289</v>
      </c>
      <c r="J490" s="379" t="s">
        <v>289</v>
      </c>
      <c r="K490" s="407"/>
      <c r="L490" s="378" t="s">
        <v>289</v>
      </c>
      <c r="M490" s="378" t="s">
        <v>289</v>
      </c>
      <c r="N490" s="378" t="s">
        <v>289</v>
      </c>
      <c r="O490" s="409"/>
      <c r="P490" s="387" t="s">
        <v>289</v>
      </c>
      <c r="Q490" s="383"/>
      <c r="R490" s="383"/>
      <c r="S490" s="383"/>
      <c r="T490" s="410"/>
      <c r="U490" s="406"/>
      <c r="V490" s="386"/>
      <c r="W490" s="387" t="s">
        <v>289</v>
      </c>
      <c r="X490" s="378" t="s">
        <v>289</v>
      </c>
      <c r="Y490" s="387" t="s">
        <v>289</v>
      </c>
      <c r="Z490" s="391" t="s">
        <v>289</v>
      </c>
      <c r="AA490" s="391" t="s">
        <v>289</v>
      </c>
      <c r="AB490" s="391" t="s">
        <v>289</v>
      </c>
      <c r="AC490" s="391" t="s">
        <v>289</v>
      </c>
      <c r="AD490" s="395" t="s">
        <v>289</v>
      </c>
      <c r="AE490" s="395"/>
      <c r="AF490" s="395"/>
      <c r="AG490" s="395"/>
      <c r="AH490" s="395"/>
    </row>
    <row r="491" ht="30.75" customHeight="1">
      <c r="A491" s="373" t="str">
        <f t="shared" si="1"/>
        <v/>
      </c>
      <c r="B491" s="421" t="s">
        <v>289</v>
      </c>
      <c r="C491" s="406"/>
      <c r="D491" s="406"/>
      <c r="E491" s="406"/>
      <c r="F491" s="395" t="s">
        <v>289</v>
      </c>
      <c r="G491" s="406"/>
      <c r="H491" s="406"/>
      <c r="I491" s="378" t="s">
        <v>289</v>
      </c>
      <c r="J491" s="379" t="s">
        <v>289</v>
      </c>
      <c r="K491" s="407"/>
      <c r="L491" s="378" t="s">
        <v>289</v>
      </c>
      <c r="M491" s="378" t="s">
        <v>289</v>
      </c>
      <c r="N491" s="378" t="s">
        <v>289</v>
      </c>
      <c r="O491" s="409"/>
      <c r="P491" s="387" t="s">
        <v>289</v>
      </c>
      <c r="Q491" s="383"/>
      <c r="R491" s="383"/>
      <c r="S491" s="383"/>
      <c r="T491" s="410"/>
      <c r="U491" s="406"/>
      <c r="V491" s="386"/>
      <c r="W491" s="387" t="s">
        <v>289</v>
      </c>
      <c r="X491" s="378" t="s">
        <v>289</v>
      </c>
      <c r="Y491" s="387" t="s">
        <v>289</v>
      </c>
      <c r="Z491" s="391" t="s">
        <v>289</v>
      </c>
      <c r="AA491" s="391" t="s">
        <v>289</v>
      </c>
      <c r="AB491" s="391" t="s">
        <v>289</v>
      </c>
      <c r="AC491" s="391" t="s">
        <v>289</v>
      </c>
      <c r="AD491" s="395" t="s">
        <v>289</v>
      </c>
      <c r="AE491" s="395"/>
      <c r="AF491" s="395"/>
      <c r="AG491" s="395"/>
      <c r="AH491" s="395"/>
    </row>
    <row r="492" ht="30.75" customHeight="1">
      <c r="A492" s="373" t="str">
        <f t="shared" si="1"/>
        <v/>
      </c>
      <c r="B492" s="421" t="s">
        <v>289</v>
      </c>
      <c r="C492" s="406"/>
      <c r="D492" s="406"/>
      <c r="E492" s="406"/>
      <c r="F492" s="395" t="s">
        <v>289</v>
      </c>
      <c r="G492" s="406"/>
      <c r="H492" s="406"/>
      <c r="I492" s="378" t="s">
        <v>289</v>
      </c>
      <c r="J492" s="379" t="s">
        <v>289</v>
      </c>
      <c r="K492" s="407"/>
      <c r="L492" s="378" t="s">
        <v>289</v>
      </c>
      <c r="M492" s="378" t="s">
        <v>289</v>
      </c>
      <c r="N492" s="378" t="s">
        <v>289</v>
      </c>
      <c r="O492" s="409"/>
      <c r="P492" s="387" t="s">
        <v>289</v>
      </c>
      <c r="Q492" s="383"/>
      <c r="R492" s="383"/>
      <c r="S492" s="383"/>
      <c r="T492" s="410"/>
      <c r="U492" s="406"/>
      <c r="V492" s="386"/>
      <c r="W492" s="387" t="s">
        <v>289</v>
      </c>
      <c r="X492" s="378" t="s">
        <v>289</v>
      </c>
      <c r="Y492" s="387" t="s">
        <v>289</v>
      </c>
      <c r="Z492" s="391" t="s">
        <v>289</v>
      </c>
      <c r="AA492" s="391" t="s">
        <v>289</v>
      </c>
      <c r="AB492" s="391" t="s">
        <v>289</v>
      </c>
      <c r="AC492" s="391" t="s">
        <v>289</v>
      </c>
      <c r="AD492" s="395" t="s">
        <v>289</v>
      </c>
      <c r="AE492" s="395"/>
      <c r="AF492" s="395"/>
      <c r="AG492" s="395"/>
      <c r="AH492" s="395"/>
    </row>
    <row r="493" ht="30.75" customHeight="1">
      <c r="A493" s="373" t="str">
        <f t="shared" si="1"/>
        <v/>
      </c>
      <c r="B493" s="421" t="s">
        <v>289</v>
      </c>
      <c r="C493" s="406"/>
      <c r="D493" s="406"/>
      <c r="E493" s="406"/>
      <c r="F493" s="395" t="s">
        <v>289</v>
      </c>
      <c r="G493" s="406"/>
      <c r="H493" s="406"/>
      <c r="I493" s="378" t="s">
        <v>289</v>
      </c>
      <c r="J493" s="379" t="s">
        <v>289</v>
      </c>
      <c r="K493" s="407"/>
      <c r="L493" s="378" t="s">
        <v>289</v>
      </c>
      <c r="M493" s="378" t="s">
        <v>289</v>
      </c>
      <c r="N493" s="378" t="s">
        <v>289</v>
      </c>
      <c r="O493" s="409"/>
      <c r="P493" s="387" t="s">
        <v>289</v>
      </c>
      <c r="Q493" s="383"/>
      <c r="R493" s="383"/>
      <c r="S493" s="383"/>
      <c r="T493" s="410"/>
      <c r="U493" s="406"/>
      <c r="V493" s="386"/>
      <c r="W493" s="387" t="s">
        <v>289</v>
      </c>
      <c r="X493" s="378" t="s">
        <v>289</v>
      </c>
      <c r="Y493" s="387" t="s">
        <v>289</v>
      </c>
      <c r="Z493" s="391" t="s">
        <v>289</v>
      </c>
      <c r="AA493" s="391" t="s">
        <v>289</v>
      </c>
      <c r="AB493" s="391" t="s">
        <v>289</v>
      </c>
      <c r="AC493" s="391" t="s">
        <v>289</v>
      </c>
      <c r="AD493" s="395" t="s">
        <v>289</v>
      </c>
      <c r="AE493" s="395"/>
      <c r="AF493" s="395"/>
      <c r="AG493" s="395"/>
      <c r="AH493" s="395"/>
    </row>
    <row r="494" ht="30.75" customHeight="1">
      <c r="A494" s="373" t="str">
        <f t="shared" si="1"/>
        <v/>
      </c>
      <c r="B494" s="421" t="s">
        <v>289</v>
      </c>
      <c r="C494" s="406"/>
      <c r="D494" s="406"/>
      <c r="E494" s="406"/>
      <c r="F494" s="395" t="s">
        <v>289</v>
      </c>
      <c r="G494" s="406"/>
      <c r="H494" s="406"/>
      <c r="I494" s="378" t="s">
        <v>289</v>
      </c>
      <c r="J494" s="379" t="s">
        <v>289</v>
      </c>
      <c r="K494" s="407"/>
      <c r="L494" s="378" t="s">
        <v>289</v>
      </c>
      <c r="M494" s="378" t="s">
        <v>289</v>
      </c>
      <c r="N494" s="378" t="s">
        <v>289</v>
      </c>
      <c r="O494" s="409"/>
      <c r="P494" s="387" t="s">
        <v>289</v>
      </c>
      <c r="Q494" s="383"/>
      <c r="R494" s="383"/>
      <c r="S494" s="383"/>
      <c r="T494" s="410"/>
      <c r="U494" s="406"/>
      <c r="V494" s="386"/>
      <c r="W494" s="387" t="s">
        <v>289</v>
      </c>
      <c r="X494" s="378" t="s">
        <v>289</v>
      </c>
      <c r="Y494" s="387" t="s">
        <v>289</v>
      </c>
      <c r="Z494" s="391" t="s">
        <v>289</v>
      </c>
      <c r="AA494" s="391" t="s">
        <v>289</v>
      </c>
      <c r="AB494" s="391" t="s">
        <v>289</v>
      </c>
      <c r="AC494" s="391" t="s">
        <v>289</v>
      </c>
      <c r="AD494" s="395" t="s">
        <v>289</v>
      </c>
      <c r="AE494" s="395"/>
      <c r="AF494" s="395"/>
      <c r="AG494" s="395"/>
      <c r="AH494" s="395"/>
    </row>
    <row r="495" ht="30.75" customHeight="1">
      <c r="A495" s="373" t="str">
        <f t="shared" si="1"/>
        <v/>
      </c>
      <c r="B495" s="421" t="s">
        <v>289</v>
      </c>
      <c r="C495" s="406"/>
      <c r="D495" s="406"/>
      <c r="E495" s="406"/>
      <c r="F495" s="395" t="s">
        <v>289</v>
      </c>
      <c r="G495" s="406"/>
      <c r="H495" s="406"/>
      <c r="I495" s="378" t="s">
        <v>289</v>
      </c>
      <c r="J495" s="379" t="s">
        <v>289</v>
      </c>
      <c r="K495" s="407"/>
      <c r="L495" s="378" t="s">
        <v>289</v>
      </c>
      <c r="M495" s="378" t="s">
        <v>289</v>
      </c>
      <c r="N495" s="378" t="s">
        <v>289</v>
      </c>
      <c r="O495" s="409"/>
      <c r="P495" s="387" t="s">
        <v>289</v>
      </c>
      <c r="Q495" s="383"/>
      <c r="R495" s="383"/>
      <c r="S495" s="383"/>
      <c r="T495" s="410"/>
      <c r="U495" s="406"/>
      <c r="V495" s="386"/>
      <c r="W495" s="387" t="s">
        <v>289</v>
      </c>
      <c r="X495" s="378" t="s">
        <v>289</v>
      </c>
      <c r="Y495" s="387" t="s">
        <v>289</v>
      </c>
      <c r="Z495" s="391" t="s">
        <v>289</v>
      </c>
      <c r="AA495" s="391" t="s">
        <v>289</v>
      </c>
      <c r="AB495" s="391" t="s">
        <v>289</v>
      </c>
      <c r="AC495" s="391" t="s">
        <v>289</v>
      </c>
      <c r="AD495" s="395" t="s">
        <v>289</v>
      </c>
      <c r="AE495" s="395"/>
      <c r="AF495" s="395"/>
      <c r="AG495" s="395"/>
      <c r="AH495" s="395"/>
    </row>
    <row r="496" ht="30.75" customHeight="1">
      <c r="A496" s="373" t="str">
        <f t="shared" si="1"/>
        <v/>
      </c>
      <c r="B496" s="421" t="s">
        <v>289</v>
      </c>
      <c r="C496" s="406"/>
      <c r="D496" s="406"/>
      <c r="E496" s="406"/>
      <c r="F496" s="395" t="s">
        <v>289</v>
      </c>
      <c r="G496" s="406"/>
      <c r="H496" s="406"/>
      <c r="I496" s="378" t="s">
        <v>289</v>
      </c>
      <c r="J496" s="379" t="s">
        <v>289</v>
      </c>
      <c r="K496" s="407"/>
      <c r="L496" s="378" t="s">
        <v>289</v>
      </c>
      <c r="M496" s="378" t="s">
        <v>289</v>
      </c>
      <c r="N496" s="378" t="s">
        <v>289</v>
      </c>
      <c r="O496" s="409"/>
      <c r="P496" s="387" t="s">
        <v>289</v>
      </c>
      <c r="Q496" s="383"/>
      <c r="R496" s="383"/>
      <c r="S496" s="383"/>
      <c r="T496" s="410"/>
      <c r="U496" s="406"/>
      <c r="V496" s="386"/>
      <c r="W496" s="387" t="s">
        <v>289</v>
      </c>
      <c r="X496" s="378" t="s">
        <v>289</v>
      </c>
      <c r="Y496" s="387" t="s">
        <v>289</v>
      </c>
      <c r="Z496" s="391" t="s">
        <v>289</v>
      </c>
      <c r="AA496" s="391" t="s">
        <v>289</v>
      </c>
      <c r="AB496" s="391" t="s">
        <v>289</v>
      </c>
      <c r="AC496" s="391" t="s">
        <v>289</v>
      </c>
      <c r="AD496" s="395" t="s">
        <v>289</v>
      </c>
      <c r="AE496" s="395"/>
      <c r="AF496" s="395"/>
      <c r="AG496" s="395"/>
      <c r="AH496" s="395"/>
    </row>
    <row r="497" ht="30.75" customHeight="1">
      <c r="A497" s="373" t="str">
        <f t="shared" si="1"/>
        <v/>
      </c>
      <c r="B497" s="421" t="s">
        <v>289</v>
      </c>
      <c r="C497" s="406"/>
      <c r="D497" s="406"/>
      <c r="E497" s="406"/>
      <c r="F497" s="395" t="s">
        <v>289</v>
      </c>
      <c r="G497" s="406"/>
      <c r="H497" s="406"/>
      <c r="I497" s="378" t="s">
        <v>289</v>
      </c>
      <c r="J497" s="379" t="s">
        <v>289</v>
      </c>
      <c r="K497" s="407"/>
      <c r="L497" s="378" t="s">
        <v>289</v>
      </c>
      <c r="M497" s="378" t="s">
        <v>289</v>
      </c>
      <c r="N497" s="378" t="s">
        <v>289</v>
      </c>
      <c r="O497" s="409"/>
      <c r="P497" s="387" t="s">
        <v>289</v>
      </c>
      <c r="Q497" s="383"/>
      <c r="R497" s="383"/>
      <c r="S497" s="383"/>
      <c r="T497" s="410"/>
      <c r="U497" s="406"/>
      <c r="V497" s="386"/>
      <c r="W497" s="387" t="s">
        <v>289</v>
      </c>
      <c r="X497" s="378" t="s">
        <v>289</v>
      </c>
      <c r="Y497" s="387" t="s">
        <v>289</v>
      </c>
      <c r="Z497" s="391" t="s">
        <v>289</v>
      </c>
      <c r="AA497" s="391" t="s">
        <v>289</v>
      </c>
      <c r="AB497" s="391" t="s">
        <v>289</v>
      </c>
      <c r="AC497" s="391" t="s">
        <v>289</v>
      </c>
      <c r="AD497" s="395" t="s">
        <v>289</v>
      </c>
      <c r="AE497" s="395"/>
      <c r="AF497" s="395"/>
      <c r="AG497" s="395"/>
      <c r="AH497" s="395"/>
    </row>
    <row r="498" ht="30.75" customHeight="1">
      <c r="A498" s="373" t="str">
        <f t="shared" si="1"/>
        <v/>
      </c>
      <c r="B498" s="421" t="s">
        <v>289</v>
      </c>
      <c r="C498" s="406"/>
      <c r="D498" s="406"/>
      <c r="E498" s="406"/>
      <c r="F498" s="395" t="s">
        <v>289</v>
      </c>
      <c r="G498" s="406"/>
      <c r="H498" s="406"/>
      <c r="I498" s="378" t="s">
        <v>289</v>
      </c>
      <c r="J498" s="379" t="s">
        <v>289</v>
      </c>
      <c r="K498" s="407"/>
      <c r="L498" s="378" t="s">
        <v>289</v>
      </c>
      <c r="M498" s="378" t="s">
        <v>289</v>
      </c>
      <c r="N498" s="378" t="s">
        <v>289</v>
      </c>
      <c r="O498" s="409"/>
      <c r="P498" s="387" t="s">
        <v>289</v>
      </c>
      <c r="Q498" s="383"/>
      <c r="R498" s="383"/>
      <c r="S498" s="383"/>
      <c r="T498" s="410"/>
      <c r="U498" s="406"/>
      <c r="V498" s="386"/>
      <c r="W498" s="387" t="s">
        <v>289</v>
      </c>
      <c r="X498" s="378" t="s">
        <v>289</v>
      </c>
      <c r="Y498" s="387" t="s">
        <v>289</v>
      </c>
      <c r="Z498" s="391" t="s">
        <v>289</v>
      </c>
      <c r="AA498" s="391" t="s">
        <v>289</v>
      </c>
      <c r="AB498" s="391" t="s">
        <v>289</v>
      </c>
      <c r="AC498" s="391" t="s">
        <v>289</v>
      </c>
      <c r="AD498" s="395" t="s">
        <v>289</v>
      </c>
      <c r="AE498" s="395"/>
      <c r="AF498" s="395"/>
      <c r="AG498" s="395"/>
      <c r="AH498" s="395"/>
    </row>
    <row r="499" ht="30.75" customHeight="1">
      <c r="A499" s="373" t="str">
        <f t="shared" si="1"/>
        <v/>
      </c>
      <c r="B499" s="421" t="s">
        <v>289</v>
      </c>
      <c r="C499" s="406"/>
      <c r="D499" s="406"/>
      <c r="E499" s="406"/>
      <c r="F499" s="395" t="s">
        <v>289</v>
      </c>
      <c r="G499" s="406"/>
      <c r="H499" s="406"/>
      <c r="I499" s="378" t="s">
        <v>289</v>
      </c>
      <c r="J499" s="379" t="s">
        <v>289</v>
      </c>
      <c r="K499" s="407"/>
      <c r="L499" s="378" t="s">
        <v>289</v>
      </c>
      <c r="M499" s="378" t="s">
        <v>289</v>
      </c>
      <c r="N499" s="378" t="s">
        <v>289</v>
      </c>
      <c r="O499" s="409"/>
      <c r="P499" s="387" t="s">
        <v>289</v>
      </c>
      <c r="Q499" s="383"/>
      <c r="R499" s="383"/>
      <c r="S499" s="383"/>
      <c r="T499" s="410"/>
      <c r="U499" s="406"/>
      <c r="V499" s="386"/>
      <c r="W499" s="387" t="s">
        <v>289</v>
      </c>
      <c r="X499" s="378" t="s">
        <v>289</v>
      </c>
      <c r="Y499" s="387" t="s">
        <v>289</v>
      </c>
      <c r="Z499" s="391" t="s">
        <v>289</v>
      </c>
      <c r="AA499" s="391" t="s">
        <v>289</v>
      </c>
      <c r="AB499" s="391" t="s">
        <v>289</v>
      </c>
      <c r="AC499" s="391" t="s">
        <v>289</v>
      </c>
      <c r="AD499" s="395" t="s">
        <v>289</v>
      </c>
      <c r="AE499" s="395"/>
      <c r="AF499" s="395"/>
      <c r="AG499" s="395"/>
      <c r="AH499" s="395"/>
    </row>
    <row r="500" ht="30.75" customHeight="1">
      <c r="A500" s="373" t="str">
        <f t="shared" si="1"/>
        <v/>
      </c>
      <c r="B500" s="421" t="s">
        <v>289</v>
      </c>
      <c r="C500" s="406"/>
      <c r="D500" s="406"/>
      <c r="E500" s="406"/>
      <c r="F500" s="395" t="s">
        <v>289</v>
      </c>
      <c r="G500" s="406"/>
      <c r="H500" s="406"/>
      <c r="I500" s="378" t="s">
        <v>289</v>
      </c>
      <c r="J500" s="379" t="s">
        <v>289</v>
      </c>
      <c r="K500" s="407"/>
      <c r="L500" s="378" t="s">
        <v>289</v>
      </c>
      <c r="M500" s="378" t="s">
        <v>289</v>
      </c>
      <c r="N500" s="378" t="s">
        <v>289</v>
      </c>
      <c r="O500" s="409"/>
      <c r="P500" s="387" t="s">
        <v>289</v>
      </c>
      <c r="Q500" s="383"/>
      <c r="R500" s="383"/>
      <c r="S500" s="383"/>
      <c r="T500" s="410"/>
      <c r="U500" s="406"/>
      <c r="V500" s="386"/>
      <c r="W500" s="387" t="s">
        <v>289</v>
      </c>
      <c r="X500" s="378" t="s">
        <v>289</v>
      </c>
      <c r="Y500" s="387" t="s">
        <v>289</v>
      </c>
      <c r="Z500" s="391" t="s">
        <v>289</v>
      </c>
      <c r="AA500" s="391" t="s">
        <v>289</v>
      </c>
      <c r="AB500" s="391" t="s">
        <v>289</v>
      </c>
      <c r="AC500" s="391" t="s">
        <v>289</v>
      </c>
      <c r="AD500" s="395" t="s">
        <v>289</v>
      </c>
      <c r="AE500" s="395"/>
      <c r="AF500" s="395"/>
      <c r="AG500" s="395"/>
      <c r="AH500" s="395"/>
    </row>
    <row r="501" ht="30.75" customHeight="1">
      <c r="A501" s="373" t="str">
        <f t="shared" si="1"/>
        <v/>
      </c>
      <c r="B501" s="421" t="s">
        <v>289</v>
      </c>
      <c r="C501" s="406"/>
      <c r="D501" s="406"/>
      <c r="E501" s="406"/>
      <c r="F501" s="395" t="s">
        <v>289</v>
      </c>
      <c r="G501" s="406"/>
      <c r="H501" s="406"/>
      <c r="I501" s="378" t="s">
        <v>289</v>
      </c>
      <c r="J501" s="379" t="s">
        <v>289</v>
      </c>
      <c r="K501" s="407"/>
      <c r="L501" s="378" t="s">
        <v>289</v>
      </c>
      <c r="M501" s="378" t="s">
        <v>289</v>
      </c>
      <c r="N501" s="378" t="s">
        <v>289</v>
      </c>
      <c r="O501" s="409"/>
      <c r="P501" s="387" t="s">
        <v>289</v>
      </c>
      <c r="Q501" s="383"/>
      <c r="R501" s="383"/>
      <c r="S501" s="383"/>
      <c r="T501" s="410"/>
      <c r="U501" s="406"/>
      <c r="V501" s="386"/>
      <c r="W501" s="387" t="s">
        <v>289</v>
      </c>
      <c r="X501" s="378" t="s">
        <v>289</v>
      </c>
      <c r="Y501" s="387" t="s">
        <v>289</v>
      </c>
      <c r="Z501" s="391" t="s">
        <v>289</v>
      </c>
      <c r="AA501" s="391" t="s">
        <v>289</v>
      </c>
      <c r="AB501" s="391" t="s">
        <v>289</v>
      </c>
      <c r="AC501" s="391" t="s">
        <v>289</v>
      </c>
      <c r="AD501" s="395" t="s">
        <v>289</v>
      </c>
      <c r="AE501" s="395"/>
      <c r="AF501" s="395"/>
      <c r="AG501" s="395"/>
      <c r="AH501" s="395"/>
    </row>
    <row r="502" ht="30.75" customHeight="1">
      <c r="A502" s="373" t="str">
        <f t="shared" si="1"/>
        <v/>
      </c>
      <c r="B502" s="421" t="s">
        <v>289</v>
      </c>
      <c r="C502" s="406"/>
      <c r="D502" s="406"/>
      <c r="E502" s="406"/>
      <c r="F502" s="395" t="s">
        <v>289</v>
      </c>
      <c r="G502" s="406"/>
      <c r="H502" s="406"/>
      <c r="I502" s="378" t="s">
        <v>289</v>
      </c>
      <c r="J502" s="379" t="s">
        <v>289</v>
      </c>
      <c r="K502" s="407"/>
      <c r="L502" s="378" t="s">
        <v>289</v>
      </c>
      <c r="M502" s="378" t="s">
        <v>289</v>
      </c>
      <c r="N502" s="378" t="s">
        <v>289</v>
      </c>
      <c r="O502" s="409"/>
      <c r="P502" s="387" t="s">
        <v>289</v>
      </c>
      <c r="Q502" s="383"/>
      <c r="R502" s="383"/>
      <c r="S502" s="383"/>
      <c r="T502" s="410"/>
      <c r="U502" s="406"/>
      <c r="V502" s="386"/>
      <c r="W502" s="387" t="s">
        <v>289</v>
      </c>
      <c r="X502" s="378" t="s">
        <v>289</v>
      </c>
      <c r="Y502" s="387" t="s">
        <v>289</v>
      </c>
      <c r="Z502" s="391" t="s">
        <v>289</v>
      </c>
      <c r="AA502" s="391" t="s">
        <v>289</v>
      </c>
      <c r="AB502" s="391" t="s">
        <v>289</v>
      </c>
      <c r="AC502" s="391" t="s">
        <v>289</v>
      </c>
      <c r="AD502" s="395" t="s">
        <v>289</v>
      </c>
      <c r="AE502" s="395"/>
      <c r="AF502" s="395"/>
      <c r="AG502" s="395"/>
      <c r="AH502" s="395"/>
    </row>
    <row r="503" ht="30.75" customHeight="1">
      <c r="A503" s="373" t="str">
        <f t="shared" si="1"/>
        <v/>
      </c>
      <c r="B503" s="421" t="s">
        <v>289</v>
      </c>
      <c r="C503" s="406"/>
      <c r="D503" s="406"/>
      <c r="E503" s="406"/>
      <c r="F503" s="395" t="s">
        <v>289</v>
      </c>
      <c r="G503" s="406"/>
      <c r="H503" s="406"/>
      <c r="I503" s="378" t="s">
        <v>289</v>
      </c>
      <c r="J503" s="379" t="s">
        <v>289</v>
      </c>
      <c r="K503" s="407"/>
      <c r="L503" s="378" t="s">
        <v>289</v>
      </c>
      <c r="M503" s="378" t="s">
        <v>289</v>
      </c>
      <c r="N503" s="378" t="s">
        <v>289</v>
      </c>
      <c r="O503" s="409"/>
      <c r="P503" s="387" t="s">
        <v>289</v>
      </c>
      <c r="Q503" s="383"/>
      <c r="R503" s="383"/>
      <c r="S503" s="383"/>
      <c r="T503" s="410"/>
      <c r="U503" s="406"/>
      <c r="V503" s="386"/>
      <c r="W503" s="387" t="s">
        <v>289</v>
      </c>
      <c r="X503" s="378" t="s">
        <v>289</v>
      </c>
      <c r="Y503" s="387" t="s">
        <v>289</v>
      </c>
      <c r="Z503" s="391" t="s">
        <v>289</v>
      </c>
      <c r="AA503" s="391" t="s">
        <v>289</v>
      </c>
      <c r="AB503" s="391" t="s">
        <v>289</v>
      </c>
      <c r="AC503" s="391" t="s">
        <v>289</v>
      </c>
      <c r="AD503" s="395" t="s">
        <v>289</v>
      </c>
      <c r="AE503" s="395"/>
      <c r="AF503" s="395"/>
      <c r="AG503" s="395"/>
      <c r="AH503" s="395"/>
    </row>
    <row r="504" ht="30.75" customHeight="1">
      <c r="A504" s="373" t="str">
        <f t="shared" si="1"/>
        <v/>
      </c>
      <c r="B504" s="421" t="s">
        <v>289</v>
      </c>
      <c r="C504" s="406"/>
      <c r="D504" s="406"/>
      <c r="E504" s="406"/>
      <c r="F504" s="395" t="s">
        <v>289</v>
      </c>
      <c r="G504" s="406"/>
      <c r="H504" s="406"/>
      <c r="I504" s="378" t="s">
        <v>289</v>
      </c>
      <c r="J504" s="379" t="s">
        <v>289</v>
      </c>
      <c r="K504" s="407"/>
      <c r="L504" s="378" t="s">
        <v>289</v>
      </c>
      <c r="M504" s="378" t="s">
        <v>289</v>
      </c>
      <c r="N504" s="378" t="s">
        <v>289</v>
      </c>
      <c r="O504" s="409"/>
      <c r="P504" s="387" t="s">
        <v>289</v>
      </c>
      <c r="Q504" s="383"/>
      <c r="R504" s="383"/>
      <c r="S504" s="383"/>
      <c r="T504" s="410"/>
      <c r="U504" s="406"/>
      <c r="V504" s="386"/>
      <c r="W504" s="387" t="s">
        <v>289</v>
      </c>
      <c r="X504" s="378" t="s">
        <v>289</v>
      </c>
      <c r="Y504" s="387" t="s">
        <v>289</v>
      </c>
      <c r="Z504" s="391" t="s">
        <v>289</v>
      </c>
      <c r="AA504" s="391" t="s">
        <v>289</v>
      </c>
      <c r="AB504" s="391" t="s">
        <v>289</v>
      </c>
      <c r="AC504" s="391" t="s">
        <v>289</v>
      </c>
      <c r="AD504" s="395" t="s">
        <v>289</v>
      </c>
      <c r="AE504" s="395"/>
      <c r="AF504" s="395"/>
      <c r="AG504" s="395"/>
      <c r="AH504" s="395"/>
    </row>
    <row r="505" ht="30.75" customHeight="1">
      <c r="A505" s="373" t="str">
        <f t="shared" si="1"/>
        <v/>
      </c>
      <c r="B505" s="421" t="s">
        <v>289</v>
      </c>
      <c r="C505" s="406"/>
      <c r="D505" s="406"/>
      <c r="E505" s="406"/>
      <c r="F505" s="395" t="s">
        <v>289</v>
      </c>
      <c r="G505" s="406"/>
      <c r="H505" s="406"/>
      <c r="I505" s="378" t="s">
        <v>289</v>
      </c>
      <c r="J505" s="379" t="s">
        <v>289</v>
      </c>
      <c r="K505" s="407"/>
      <c r="L505" s="378" t="s">
        <v>289</v>
      </c>
      <c r="M505" s="378" t="s">
        <v>289</v>
      </c>
      <c r="N505" s="378" t="s">
        <v>289</v>
      </c>
      <c r="O505" s="409"/>
      <c r="P505" s="387" t="s">
        <v>289</v>
      </c>
      <c r="Q505" s="383"/>
      <c r="R505" s="383"/>
      <c r="S505" s="383"/>
      <c r="T505" s="410"/>
      <c r="U505" s="406"/>
      <c r="V505" s="386"/>
      <c r="W505" s="387" t="s">
        <v>289</v>
      </c>
      <c r="X505" s="378" t="s">
        <v>289</v>
      </c>
      <c r="Y505" s="387" t="s">
        <v>289</v>
      </c>
      <c r="Z505" s="391" t="s">
        <v>289</v>
      </c>
      <c r="AA505" s="391" t="s">
        <v>289</v>
      </c>
      <c r="AB505" s="391" t="s">
        <v>289</v>
      </c>
      <c r="AC505" s="391" t="s">
        <v>289</v>
      </c>
      <c r="AD505" s="395" t="s">
        <v>289</v>
      </c>
      <c r="AE505" s="395"/>
      <c r="AF505" s="395"/>
      <c r="AG505" s="395"/>
      <c r="AH505" s="395"/>
    </row>
    <row r="506" ht="30.75" customHeight="1">
      <c r="A506" s="373" t="str">
        <f t="shared" si="1"/>
        <v/>
      </c>
      <c r="B506" s="421" t="s">
        <v>289</v>
      </c>
      <c r="C506" s="406"/>
      <c r="D506" s="406"/>
      <c r="E506" s="406"/>
      <c r="F506" s="395" t="s">
        <v>289</v>
      </c>
      <c r="G506" s="406"/>
      <c r="H506" s="406"/>
      <c r="I506" s="378" t="s">
        <v>289</v>
      </c>
      <c r="J506" s="379" t="s">
        <v>289</v>
      </c>
      <c r="K506" s="407"/>
      <c r="L506" s="378" t="s">
        <v>289</v>
      </c>
      <c r="M506" s="378" t="s">
        <v>289</v>
      </c>
      <c r="N506" s="378" t="s">
        <v>289</v>
      </c>
      <c r="O506" s="409"/>
      <c r="P506" s="387" t="s">
        <v>289</v>
      </c>
      <c r="Q506" s="383"/>
      <c r="R506" s="383"/>
      <c r="S506" s="383"/>
      <c r="T506" s="410"/>
      <c r="U506" s="406"/>
      <c r="V506" s="386"/>
      <c r="W506" s="387" t="s">
        <v>289</v>
      </c>
      <c r="X506" s="378" t="s">
        <v>289</v>
      </c>
      <c r="Y506" s="387" t="s">
        <v>289</v>
      </c>
      <c r="Z506" s="391" t="s">
        <v>289</v>
      </c>
      <c r="AA506" s="391" t="s">
        <v>289</v>
      </c>
      <c r="AB506" s="391" t="s">
        <v>289</v>
      </c>
      <c r="AC506" s="391" t="s">
        <v>289</v>
      </c>
      <c r="AD506" s="395" t="s">
        <v>289</v>
      </c>
      <c r="AE506" s="395"/>
      <c r="AF506" s="395"/>
      <c r="AG506" s="395"/>
      <c r="AH506" s="395"/>
    </row>
    <row r="507" ht="30.75" customHeight="1">
      <c r="A507" s="373" t="str">
        <f t="shared" si="1"/>
        <v/>
      </c>
      <c r="B507" s="421" t="s">
        <v>289</v>
      </c>
      <c r="C507" s="406"/>
      <c r="D507" s="406"/>
      <c r="E507" s="406"/>
      <c r="F507" s="395" t="s">
        <v>289</v>
      </c>
      <c r="G507" s="406"/>
      <c r="H507" s="406"/>
      <c r="I507" s="378" t="s">
        <v>289</v>
      </c>
      <c r="J507" s="379" t="s">
        <v>289</v>
      </c>
      <c r="K507" s="407"/>
      <c r="L507" s="378" t="s">
        <v>289</v>
      </c>
      <c r="M507" s="378" t="s">
        <v>289</v>
      </c>
      <c r="N507" s="378" t="s">
        <v>289</v>
      </c>
      <c r="O507" s="409"/>
      <c r="P507" s="387" t="s">
        <v>289</v>
      </c>
      <c r="Q507" s="383"/>
      <c r="R507" s="383"/>
      <c r="S507" s="383"/>
      <c r="T507" s="410"/>
      <c r="U507" s="406"/>
      <c r="V507" s="386"/>
      <c r="W507" s="387" t="s">
        <v>289</v>
      </c>
      <c r="X507" s="378" t="s">
        <v>289</v>
      </c>
      <c r="Y507" s="387" t="s">
        <v>289</v>
      </c>
      <c r="Z507" s="391" t="s">
        <v>289</v>
      </c>
      <c r="AA507" s="391" t="s">
        <v>289</v>
      </c>
      <c r="AB507" s="391" t="s">
        <v>289</v>
      </c>
      <c r="AC507" s="391" t="s">
        <v>289</v>
      </c>
      <c r="AD507" s="395" t="s">
        <v>289</v>
      </c>
      <c r="AE507" s="395"/>
      <c r="AF507" s="395"/>
      <c r="AG507" s="395"/>
      <c r="AH507" s="395"/>
    </row>
    <row r="508" ht="30.75" customHeight="1">
      <c r="A508" s="373" t="str">
        <f t="shared" si="1"/>
        <v/>
      </c>
      <c r="B508" s="421" t="s">
        <v>289</v>
      </c>
      <c r="C508" s="406"/>
      <c r="D508" s="406"/>
      <c r="E508" s="406"/>
      <c r="F508" s="395" t="s">
        <v>289</v>
      </c>
      <c r="G508" s="406"/>
      <c r="H508" s="406"/>
      <c r="I508" s="378" t="s">
        <v>289</v>
      </c>
      <c r="J508" s="379" t="s">
        <v>289</v>
      </c>
      <c r="K508" s="407"/>
      <c r="L508" s="378" t="s">
        <v>289</v>
      </c>
      <c r="M508" s="378" t="s">
        <v>289</v>
      </c>
      <c r="N508" s="378" t="s">
        <v>289</v>
      </c>
      <c r="O508" s="409"/>
      <c r="P508" s="387" t="s">
        <v>289</v>
      </c>
      <c r="Q508" s="383"/>
      <c r="R508" s="383"/>
      <c r="S508" s="383"/>
      <c r="T508" s="410"/>
      <c r="U508" s="406"/>
      <c r="V508" s="386"/>
      <c r="W508" s="387" t="s">
        <v>289</v>
      </c>
      <c r="X508" s="378" t="s">
        <v>289</v>
      </c>
      <c r="Y508" s="387" t="s">
        <v>289</v>
      </c>
      <c r="Z508" s="391" t="s">
        <v>289</v>
      </c>
      <c r="AA508" s="391" t="s">
        <v>289</v>
      </c>
      <c r="AB508" s="391" t="s">
        <v>289</v>
      </c>
      <c r="AC508" s="391" t="s">
        <v>289</v>
      </c>
      <c r="AD508" s="395" t="s">
        <v>289</v>
      </c>
      <c r="AE508" s="395"/>
      <c r="AF508" s="395"/>
      <c r="AG508" s="395"/>
      <c r="AH508" s="395"/>
    </row>
    <row r="509" ht="30.75" customHeight="1">
      <c r="A509" s="373" t="str">
        <f t="shared" si="1"/>
        <v/>
      </c>
      <c r="B509" s="421" t="s">
        <v>289</v>
      </c>
      <c r="C509" s="406"/>
      <c r="D509" s="406"/>
      <c r="E509" s="406"/>
      <c r="F509" s="395" t="s">
        <v>289</v>
      </c>
      <c r="G509" s="406"/>
      <c r="H509" s="406"/>
      <c r="I509" s="378" t="s">
        <v>289</v>
      </c>
      <c r="J509" s="379" t="s">
        <v>289</v>
      </c>
      <c r="K509" s="407"/>
      <c r="L509" s="378" t="s">
        <v>289</v>
      </c>
      <c r="M509" s="378" t="s">
        <v>289</v>
      </c>
      <c r="N509" s="378" t="s">
        <v>289</v>
      </c>
      <c r="O509" s="409"/>
      <c r="P509" s="387" t="s">
        <v>289</v>
      </c>
      <c r="Q509" s="383"/>
      <c r="R509" s="383"/>
      <c r="S509" s="383"/>
      <c r="T509" s="410"/>
      <c r="U509" s="406"/>
      <c r="V509" s="386"/>
      <c r="W509" s="387" t="s">
        <v>289</v>
      </c>
      <c r="X509" s="378" t="s">
        <v>289</v>
      </c>
      <c r="Y509" s="387" t="s">
        <v>289</v>
      </c>
      <c r="Z509" s="391" t="s">
        <v>289</v>
      </c>
      <c r="AA509" s="391" t="s">
        <v>289</v>
      </c>
      <c r="AB509" s="391" t="s">
        <v>289</v>
      </c>
      <c r="AC509" s="391" t="s">
        <v>289</v>
      </c>
      <c r="AD509" s="395" t="s">
        <v>289</v>
      </c>
      <c r="AE509" s="395"/>
      <c r="AF509" s="395"/>
      <c r="AG509" s="395"/>
      <c r="AH509" s="395"/>
    </row>
    <row r="510" ht="30.75" customHeight="1">
      <c r="A510" s="373" t="str">
        <f t="shared" si="1"/>
        <v/>
      </c>
      <c r="B510" s="421" t="s">
        <v>289</v>
      </c>
      <c r="C510" s="406"/>
      <c r="D510" s="406"/>
      <c r="E510" s="406"/>
      <c r="F510" s="395" t="s">
        <v>289</v>
      </c>
      <c r="G510" s="406"/>
      <c r="H510" s="406"/>
      <c r="I510" s="378" t="s">
        <v>289</v>
      </c>
      <c r="J510" s="379" t="s">
        <v>289</v>
      </c>
      <c r="K510" s="407"/>
      <c r="L510" s="378" t="s">
        <v>289</v>
      </c>
      <c r="M510" s="378" t="s">
        <v>289</v>
      </c>
      <c r="N510" s="378" t="s">
        <v>289</v>
      </c>
      <c r="O510" s="409"/>
      <c r="P510" s="387" t="s">
        <v>289</v>
      </c>
      <c r="Q510" s="383"/>
      <c r="R510" s="383"/>
      <c r="S510" s="383"/>
      <c r="T510" s="410"/>
      <c r="U510" s="406"/>
      <c r="V510" s="386"/>
      <c r="W510" s="387" t="s">
        <v>289</v>
      </c>
      <c r="X510" s="378" t="s">
        <v>289</v>
      </c>
      <c r="Y510" s="387" t="s">
        <v>289</v>
      </c>
      <c r="Z510" s="391" t="s">
        <v>289</v>
      </c>
      <c r="AA510" s="391" t="s">
        <v>289</v>
      </c>
      <c r="AB510" s="391" t="s">
        <v>289</v>
      </c>
      <c r="AC510" s="391" t="s">
        <v>289</v>
      </c>
      <c r="AD510" s="395" t="s">
        <v>289</v>
      </c>
      <c r="AE510" s="395"/>
      <c r="AF510" s="395"/>
      <c r="AG510" s="395"/>
      <c r="AH510" s="395"/>
    </row>
    <row r="511" ht="30.75" customHeight="1">
      <c r="A511" s="373" t="str">
        <f t="shared" si="1"/>
        <v/>
      </c>
      <c r="B511" s="421" t="s">
        <v>289</v>
      </c>
      <c r="C511" s="406"/>
      <c r="D511" s="406"/>
      <c r="E511" s="406"/>
      <c r="F511" s="395" t="s">
        <v>289</v>
      </c>
      <c r="G511" s="406"/>
      <c r="H511" s="406"/>
      <c r="I511" s="378" t="s">
        <v>289</v>
      </c>
      <c r="J511" s="379" t="s">
        <v>289</v>
      </c>
      <c r="K511" s="407"/>
      <c r="L511" s="378" t="s">
        <v>289</v>
      </c>
      <c r="M511" s="378" t="s">
        <v>289</v>
      </c>
      <c r="N511" s="378" t="s">
        <v>289</v>
      </c>
      <c r="O511" s="409"/>
      <c r="P511" s="387" t="s">
        <v>289</v>
      </c>
      <c r="Q511" s="383"/>
      <c r="R511" s="383"/>
      <c r="S511" s="383"/>
      <c r="T511" s="410"/>
      <c r="U511" s="406"/>
      <c r="V511" s="386"/>
      <c r="W511" s="387" t="s">
        <v>289</v>
      </c>
      <c r="X511" s="378" t="s">
        <v>289</v>
      </c>
      <c r="Y511" s="387" t="s">
        <v>289</v>
      </c>
      <c r="Z511" s="391" t="s">
        <v>289</v>
      </c>
      <c r="AA511" s="391" t="s">
        <v>289</v>
      </c>
      <c r="AB511" s="391" t="s">
        <v>289</v>
      </c>
      <c r="AC511" s="391" t="s">
        <v>289</v>
      </c>
      <c r="AD511" s="395" t="s">
        <v>289</v>
      </c>
      <c r="AE511" s="395"/>
      <c r="AF511" s="395"/>
      <c r="AG511" s="395"/>
      <c r="AH511" s="395"/>
    </row>
    <row r="512" ht="30.75" customHeight="1">
      <c r="A512" s="373" t="str">
        <f t="shared" si="1"/>
        <v/>
      </c>
      <c r="B512" s="421" t="s">
        <v>289</v>
      </c>
      <c r="C512" s="406"/>
      <c r="D512" s="406"/>
      <c r="E512" s="406"/>
      <c r="F512" s="395" t="s">
        <v>289</v>
      </c>
      <c r="G512" s="406"/>
      <c r="H512" s="406"/>
      <c r="I512" s="378" t="s">
        <v>289</v>
      </c>
      <c r="J512" s="379" t="s">
        <v>289</v>
      </c>
      <c r="K512" s="407"/>
      <c r="L512" s="378" t="s">
        <v>289</v>
      </c>
      <c r="M512" s="378" t="s">
        <v>289</v>
      </c>
      <c r="N512" s="378" t="s">
        <v>289</v>
      </c>
      <c r="O512" s="409"/>
      <c r="P512" s="387" t="s">
        <v>289</v>
      </c>
      <c r="Q512" s="383"/>
      <c r="R512" s="383"/>
      <c r="S512" s="383"/>
      <c r="T512" s="410"/>
      <c r="U512" s="406"/>
      <c r="V512" s="386"/>
      <c r="W512" s="387" t="s">
        <v>289</v>
      </c>
      <c r="X512" s="378" t="s">
        <v>289</v>
      </c>
      <c r="Y512" s="387" t="s">
        <v>289</v>
      </c>
      <c r="Z512" s="391" t="s">
        <v>289</v>
      </c>
      <c r="AA512" s="391" t="s">
        <v>289</v>
      </c>
      <c r="AB512" s="391" t="s">
        <v>289</v>
      </c>
      <c r="AC512" s="391" t="s">
        <v>289</v>
      </c>
      <c r="AD512" s="395" t="s">
        <v>289</v>
      </c>
      <c r="AE512" s="395"/>
      <c r="AF512" s="395"/>
      <c r="AG512" s="395"/>
      <c r="AH512" s="395"/>
    </row>
    <row r="513" ht="30.75" customHeight="1">
      <c r="A513" s="373" t="str">
        <f t="shared" si="1"/>
        <v/>
      </c>
      <c r="B513" s="421" t="s">
        <v>289</v>
      </c>
      <c r="C513" s="406"/>
      <c r="D513" s="406"/>
      <c r="E513" s="406"/>
      <c r="F513" s="395" t="s">
        <v>289</v>
      </c>
      <c r="G513" s="406"/>
      <c r="H513" s="406"/>
      <c r="I513" s="378" t="s">
        <v>289</v>
      </c>
      <c r="J513" s="379" t="s">
        <v>289</v>
      </c>
      <c r="K513" s="407"/>
      <c r="L513" s="378" t="s">
        <v>289</v>
      </c>
      <c r="M513" s="378" t="s">
        <v>289</v>
      </c>
      <c r="N513" s="378" t="s">
        <v>289</v>
      </c>
      <c r="O513" s="409"/>
      <c r="P513" s="387" t="s">
        <v>289</v>
      </c>
      <c r="Q513" s="383"/>
      <c r="R513" s="383"/>
      <c r="S513" s="383"/>
      <c r="T513" s="410"/>
      <c r="U513" s="406"/>
      <c r="V513" s="386"/>
      <c r="W513" s="387" t="s">
        <v>289</v>
      </c>
      <c r="X513" s="378" t="s">
        <v>289</v>
      </c>
      <c r="Y513" s="387" t="s">
        <v>289</v>
      </c>
      <c r="Z513" s="391" t="s">
        <v>289</v>
      </c>
      <c r="AA513" s="391" t="s">
        <v>289</v>
      </c>
      <c r="AB513" s="391" t="s">
        <v>289</v>
      </c>
      <c r="AC513" s="391" t="s">
        <v>289</v>
      </c>
      <c r="AD513" s="395" t="s">
        <v>289</v>
      </c>
      <c r="AE513" s="395"/>
      <c r="AF513" s="395"/>
      <c r="AG513" s="395"/>
      <c r="AH513" s="395"/>
    </row>
    <row r="514" ht="30.75" customHeight="1">
      <c r="A514" s="373" t="str">
        <f t="shared" si="1"/>
        <v/>
      </c>
      <c r="B514" s="421" t="s">
        <v>289</v>
      </c>
      <c r="C514" s="406"/>
      <c r="D514" s="406"/>
      <c r="E514" s="406"/>
      <c r="F514" s="395" t="s">
        <v>289</v>
      </c>
      <c r="G514" s="406"/>
      <c r="H514" s="406"/>
      <c r="I514" s="378" t="s">
        <v>289</v>
      </c>
      <c r="J514" s="379" t="s">
        <v>289</v>
      </c>
      <c r="K514" s="407"/>
      <c r="L514" s="378" t="s">
        <v>289</v>
      </c>
      <c r="M514" s="378" t="s">
        <v>289</v>
      </c>
      <c r="N514" s="378" t="s">
        <v>289</v>
      </c>
      <c r="O514" s="409"/>
      <c r="P514" s="387" t="s">
        <v>289</v>
      </c>
      <c r="Q514" s="383"/>
      <c r="R514" s="383"/>
      <c r="S514" s="383"/>
      <c r="T514" s="410"/>
      <c r="U514" s="406"/>
      <c r="V514" s="386"/>
      <c r="W514" s="387" t="s">
        <v>289</v>
      </c>
      <c r="X514" s="378" t="s">
        <v>289</v>
      </c>
      <c r="Y514" s="387" t="s">
        <v>289</v>
      </c>
      <c r="Z514" s="391" t="s">
        <v>289</v>
      </c>
      <c r="AA514" s="391" t="s">
        <v>289</v>
      </c>
      <c r="AB514" s="391" t="s">
        <v>289</v>
      </c>
      <c r="AC514" s="391" t="s">
        <v>289</v>
      </c>
      <c r="AD514" s="395" t="s">
        <v>289</v>
      </c>
      <c r="AE514" s="395"/>
      <c r="AF514" s="395"/>
      <c r="AG514" s="395"/>
      <c r="AH514" s="395"/>
    </row>
    <row r="515" ht="30.75" customHeight="1">
      <c r="A515" s="373" t="str">
        <f t="shared" si="1"/>
        <v/>
      </c>
      <c r="B515" s="421" t="s">
        <v>289</v>
      </c>
      <c r="C515" s="406"/>
      <c r="D515" s="406"/>
      <c r="E515" s="406"/>
      <c r="F515" s="395" t="s">
        <v>289</v>
      </c>
      <c r="G515" s="406"/>
      <c r="H515" s="406"/>
      <c r="I515" s="378" t="s">
        <v>289</v>
      </c>
      <c r="J515" s="379" t="s">
        <v>289</v>
      </c>
      <c r="K515" s="407"/>
      <c r="L515" s="378" t="s">
        <v>289</v>
      </c>
      <c r="M515" s="378" t="s">
        <v>289</v>
      </c>
      <c r="N515" s="378" t="s">
        <v>289</v>
      </c>
      <c r="O515" s="409"/>
      <c r="P515" s="387" t="s">
        <v>289</v>
      </c>
      <c r="Q515" s="383"/>
      <c r="R515" s="383"/>
      <c r="S515" s="383"/>
      <c r="T515" s="410"/>
      <c r="U515" s="406"/>
      <c r="V515" s="386"/>
      <c r="W515" s="387" t="s">
        <v>289</v>
      </c>
      <c r="X515" s="378" t="s">
        <v>289</v>
      </c>
      <c r="Y515" s="387" t="s">
        <v>289</v>
      </c>
      <c r="Z515" s="391" t="s">
        <v>289</v>
      </c>
      <c r="AA515" s="391" t="s">
        <v>289</v>
      </c>
      <c r="AB515" s="391" t="s">
        <v>289</v>
      </c>
      <c r="AC515" s="391" t="s">
        <v>289</v>
      </c>
      <c r="AD515" s="395" t="s">
        <v>289</v>
      </c>
      <c r="AE515" s="395"/>
      <c r="AF515" s="395"/>
      <c r="AG515" s="395"/>
      <c r="AH515" s="395"/>
    </row>
    <row r="516" ht="30.75" customHeight="1">
      <c r="A516" s="373" t="str">
        <f t="shared" si="1"/>
        <v/>
      </c>
      <c r="B516" s="421" t="s">
        <v>289</v>
      </c>
      <c r="C516" s="406"/>
      <c r="D516" s="406"/>
      <c r="E516" s="406"/>
      <c r="F516" s="395" t="s">
        <v>289</v>
      </c>
      <c r="G516" s="406"/>
      <c r="H516" s="406"/>
      <c r="I516" s="378" t="s">
        <v>289</v>
      </c>
      <c r="J516" s="379" t="s">
        <v>289</v>
      </c>
      <c r="K516" s="407"/>
      <c r="L516" s="378" t="s">
        <v>289</v>
      </c>
      <c r="M516" s="378" t="s">
        <v>289</v>
      </c>
      <c r="N516" s="378" t="s">
        <v>289</v>
      </c>
      <c r="O516" s="409"/>
      <c r="P516" s="387" t="s">
        <v>289</v>
      </c>
      <c r="Q516" s="383"/>
      <c r="R516" s="383"/>
      <c r="S516" s="383"/>
      <c r="T516" s="410"/>
      <c r="U516" s="406"/>
      <c r="V516" s="386"/>
      <c r="W516" s="387" t="s">
        <v>289</v>
      </c>
      <c r="X516" s="378" t="s">
        <v>289</v>
      </c>
      <c r="Y516" s="387" t="s">
        <v>289</v>
      </c>
      <c r="Z516" s="391" t="s">
        <v>289</v>
      </c>
      <c r="AA516" s="391" t="s">
        <v>289</v>
      </c>
      <c r="AB516" s="391" t="s">
        <v>289</v>
      </c>
      <c r="AC516" s="391" t="s">
        <v>289</v>
      </c>
      <c r="AD516" s="395" t="s">
        <v>289</v>
      </c>
      <c r="AE516" s="395"/>
      <c r="AF516" s="395"/>
      <c r="AG516" s="395"/>
      <c r="AH516" s="395"/>
    </row>
    <row r="517" ht="30.75" customHeight="1">
      <c r="A517" s="373" t="str">
        <f t="shared" si="1"/>
        <v/>
      </c>
      <c r="B517" s="421" t="s">
        <v>289</v>
      </c>
      <c r="C517" s="406"/>
      <c r="D517" s="406"/>
      <c r="E517" s="406"/>
      <c r="F517" s="395" t="s">
        <v>289</v>
      </c>
      <c r="G517" s="406"/>
      <c r="H517" s="406"/>
      <c r="I517" s="378" t="s">
        <v>289</v>
      </c>
      <c r="J517" s="379" t="s">
        <v>289</v>
      </c>
      <c r="K517" s="407"/>
      <c r="L517" s="378" t="s">
        <v>289</v>
      </c>
      <c r="M517" s="378" t="s">
        <v>289</v>
      </c>
      <c r="N517" s="378" t="s">
        <v>289</v>
      </c>
      <c r="O517" s="409"/>
      <c r="P517" s="387" t="s">
        <v>289</v>
      </c>
      <c r="Q517" s="383"/>
      <c r="R517" s="383"/>
      <c r="S517" s="383"/>
      <c r="T517" s="410"/>
      <c r="U517" s="406"/>
      <c r="V517" s="386"/>
      <c r="W517" s="387" t="s">
        <v>289</v>
      </c>
      <c r="X517" s="378" t="s">
        <v>289</v>
      </c>
      <c r="Y517" s="387" t="s">
        <v>289</v>
      </c>
      <c r="Z517" s="391" t="s">
        <v>289</v>
      </c>
      <c r="AA517" s="391" t="s">
        <v>289</v>
      </c>
      <c r="AB517" s="391" t="s">
        <v>289</v>
      </c>
      <c r="AC517" s="391" t="s">
        <v>289</v>
      </c>
      <c r="AD517" s="395" t="s">
        <v>289</v>
      </c>
      <c r="AE517" s="395"/>
      <c r="AF517" s="395"/>
      <c r="AG517" s="395"/>
      <c r="AH517" s="395"/>
    </row>
    <row r="518" ht="30.75" customHeight="1">
      <c r="A518" s="373" t="str">
        <f t="shared" si="1"/>
        <v/>
      </c>
      <c r="B518" s="421" t="s">
        <v>289</v>
      </c>
      <c r="C518" s="406"/>
      <c r="D518" s="406"/>
      <c r="E518" s="406"/>
      <c r="F518" s="395" t="s">
        <v>289</v>
      </c>
      <c r="G518" s="406"/>
      <c r="H518" s="406"/>
      <c r="I518" s="378" t="s">
        <v>289</v>
      </c>
      <c r="J518" s="379" t="s">
        <v>289</v>
      </c>
      <c r="K518" s="407"/>
      <c r="L518" s="378" t="s">
        <v>289</v>
      </c>
      <c r="M518" s="378" t="s">
        <v>289</v>
      </c>
      <c r="N518" s="378" t="s">
        <v>289</v>
      </c>
      <c r="O518" s="409"/>
      <c r="P518" s="387" t="s">
        <v>289</v>
      </c>
      <c r="Q518" s="383"/>
      <c r="R518" s="383"/>
      <c r="S518" s="383"/>
      <c r="T518" s="410"/>
      <c r="U518" s="406"/>
      <c r="V518" s="386"/>
      <c r="W518" s="387" t="s">
        <v>289</v>
      </c>
      <c r="X518" s="378" t="s">
        <v>289</v>
      </c>
      <c r="Y518" s="387" t="s">
        <v>289</v>
      </c>
      <c r="Z518" s="391" t="s">
        <v>289</v>
      </c>
      <c r="AA518" s="391" t="s">
        <v>289</v>
      </c>
      <c r="AB518" s="391" t="s">
        <v>289</v>
      </c>
      <c r="AC518" s="391" t="s">
        <v>289</v>
      </c>
      <c r="AD518" s="395" t="s">
        <v>289</v>
      </c>
      <c r="AE518" s="395"/>
      <c r="AF518" s="395"/>
      <c r="AG518" s="395"/>
      <c r="AH518" s="395"/>
    </row>
    <row r="519" ht="30.75" customHeight="1">
      <c r="A519" s="373" t="str">
        <f t="shared" si="1"/>
        <v/>
      </c>
      <c r="B519" s="421" t="s">
        <v>289</v>
      </c>
      <c r="C519" s="406"/>
      <c r="D519" s="406"/>
      <c r="E519" s="406"/>
      <c r="F519" s="395" t="s">
        <v>289</v>
      </c>
      <c r="G519" s="406"/>
      <c r="H519" s="406"/>
      <c r="I519" s="378" t="s">
        <v>289</v>
      </c>
      <c r="J519" s="379" t="s">
        <v>289</v>
      </c>
      <c r="K519" s="407"/>
      <c r="L519" s="378" t="s">
        <v>289</v>
      </c>
      <c r="M519" s="378" t="s">
        <v>289</v>
      </c>
      <c r="N519" s="378" t="s">
        <v>289</v>
      </c>
      <c r="O519" s="409"/>
      <c r="P519" s="387" t="s">
        <v>289</v>
      </c>
      <c r="Q519" s="383"/>
      <c r="R519" s="383"/>
      <c r="S519" s="383"/>
      <c r="T519" s="410"/>
      <c r="U519" s="406"/>
      <c r="V519" s="386"/>
      <c r="W519" s="387" t="s">
        <v>289</v>
      </c>
      <c r="X519" s="378" t="s">
        <v>289</v>
      </c>
      <c r="Y519" s="387" t="s">
        <v>289</v>
      </c>
      <c r="Z519" s="391" t="s">
        <v>289</v>
      </c>
      <c r="AA519" s="391" t="s">
        <v>289</v>
      </c>
      <c r="AB519" s="391" t="s">
        <v>289</v>
      </c>
      <c r="AC519" s="391" t="s">
        <v>289</v>
      </c>
      <c r="AD519" s="395" t="s">
        <v>289</v>
      </c>
      <c r="AE519" s="395"/>
      <c r="AF519" s="395"/>
      <c r="AG519" s="395"/>
      <c r="AH519" s="395"/>
    </row>
    <row r="520" ht="30.75" customHeight="1">
      <c r="A520" s="373" t="str">
        <f t="shared" si="1"/>
        <v/>
      </c>
      <c r="B520" s="421" t="s">
        <v>289</v>
      </c>
      <c r="C520" s="406"/>
      <c r="D520" s="406"/>
      <c r="E520" s="406"/>
      <c r="F520" s="395" t="s">
        <v>289</v>
      </c>
      <c r="G520" s="406"/>
      <c r="H520" s="406"/>
      <c r="I520" s="378" t="s">
        <v>289</v>
      </c>
      <c r="J520" s="379" t="s">
        <v>289</v>
      </c>
      <c r="K520" s="407"/>
      <c r="L520" s="378" t="s">
        <v>289</v>
      </c>
      <c r="M520" s="378" t="s">
        <v>289</v>
      </c>
      <c r="N520" s="378" t="s">
        <v>289</v>
      </c>
      <c r="O520" s="409"/>
      <c r="P520" s="387" t="s">
        <v>289</v>
      </c>
      <c r="Q520" s="383"/>
      <c r="R520" s="383"/>
      <c r="S520" s="383"/>
      <c r="T520" s="410"/>
      <c r="U520" s="406"/>
      <c r="V520" s="386"/>
      <c r="W520" s="387" t="s">
        <v>289</v>
      </c>
      <c r="X520" s="378" t="s">
        <v>289</v>
      </c>
      <c r="Y520" s="387" t="s">
        <v>289</v>
      </c>
      <c r="Z520" s="391" t="s">
        <v>289</v>
      </c>
      <c r="AA520" s="391" t="s">
        <v>289</v>
      </c>
      <c r="AB520" s="391" t="s">
        <v>289</v>
      </c>
      <c r="AC520" s="391" t="s">
        <v>289</v>
      </c>
      <c r="AD520" s="395" t="s">
        <v>289</v>
      </c>
      <c r="AE520" s="395"/>
      <c r="AF520" s="395"/>
      <c r="AG520" s="395"/>
      <c r="AH520" s="395"/>
    </row>
    <row r="521" ht="30.75" customHeight="1">
      <c r="A521" s="373" t="str">
        <f t="shared" si="1"/>
        <v/>
      </c>
      <c r="B521" s="421" t="s">
        <v>289</v>
      </c>
      <c r="C521" s="406"/>
      <c r="D521" s="406"/>
      <c r="E521" s="406"/>
      <c r="F521" s="395" t="s">
        <v>289</v>
      </c>
      <c r="G521" s="406"/>
      <c r="H521" s="406"/>
      <c r="I521" s="378" t="s">
        <v>289</v>
      </c>
      <c r="J521" s="379" t="s">
        <v>289</v>
      </c>
      <c r="K521" s="407"/>
      <c r="L521" s="378" t="s">
        <v>289</v>
      </c>
      <c r="M521" s="378" t="s">
        <v>289</v>
      </c>
      <c r="N521" s="378" t="s">
        <v>289</v>
      </c>
      <c r="O521" s="409"/>
      <c r="P521" s="387" t="s">
        <v>289</v>
      </c>
      <c r="Q521" s="383"/>
      <c r="R521" s="383"/>
      <c r="S521" s="383"/>
      <c r="T521" s="410"/>
      <c r="U521" s="406"/>
      <c r="V521" s="386"/>
      <c r="W521" s="387" t="s">
        <v>289</v>
      </c>
      <c r="X521" s="378" t="s">
        <v>289</v>
      </c>
      <c r="Y521" s="387" t="s">
        <v>289</v>
      </c>
      <c r="Z521" s="391" t="s">
        <v>289</v>
      </c>
      <c r="AA521" s="391" t="s">
        <v>289</v>
      </c>
      <c r="AB521" s="391" t="s">
        <v>289</v>
      </c>
      <c r="AC521" s="391" t="s">
        <v>289</v>
      </c>
      <c r="AD521" s="395" t="s">
        <v>289</v>
      </c>
      <c r="AE521" s="395"/>
      <c r="AF521" s="395"/>
      <c r="AG521" s="395"/>
      <c r="AH521" s="395"/>
    </row>
    <row r="522" ht="30.75" customHeight="1">
      <c r="A522" s="373" t="str">
        <f t="shared" si="1"/>
        <v/>
      </c>
      <c r="B522" s="421" t="s">
        <v>289</v>
      </c>
      <c r="C522" s="406"/>
      <c r="D522" s="406"/>
      <c r="E522" s="406"/>
      <c r="F522" s="395" t="s">
        <v>289</v>
      </c>
      <c r="G522" s="406"/>
      <c r="H522" s="406"/>
      <c r="I522" s="378" t="s">
        <v>289</v>
      </c>
      <c r="J522" s="379" t="s">
        <v>289</v>
      </c>
      <c r="K522" s="407"/>
      <c r="L522" s="378" t="s">
        <v>289</v>
      </c>
      <c r="M522" s="378" t="s">
        <v>289</v>
      </c>
      <c r="N522" s="378" t="s">
        <v>289</v>
      </c>
      <c r="O522" s="409"/>
      <c r="P522" s="387" t="s">
        <v>289</v>
      </c>
      <c r="Q522" s="383"/>
      <c r="R522" s="383"/>
      <c r="S522" s="383"/>
      <c r="T522" s="410"/>
      <c r="U522" s="406"/>
      <c r="V522" s="386"/>
      <c r="W522" s="387" t="s">
        <v>289</v>
      </c>
      <c r="X522" s="378" t="s">
        <v>289</v>
      </c>
      <c r="Y522" s="387" t="s">
        <v>289</v>
      </c>
      <c r="Z522" s="391" t="s">
        <v>289</v>
      </c>
      <c r="AA522" s="391" t="s">
        <v>289</v>
      </c>
      <c r="AB522" s="391" t="s">
        <v>289</v>
      </c>
      <c r="AC522" s="391" t="s">
        <v>289</v>
      </c>
      <c r="AD522" s="395" t="s">
        <v>289</v>
      </c>
      <c r="AE522" s="395"/>
      <c r="AF522" s="395"/>
      <c r="AG522" s="395"/>
      <c r="AH522" s="395"/>
    </row>
    <row r="523" ht="30.75" customHeight="1">
      <c r="A523" s="373" t="str">
        <f t="shared" si="1"/>
        <v/>
      </c>
      <c r="B523" s="421" t="s">
        <v>289</v>
      </c>
      <c r="C523" s="406"/>
      <c r="D523" s="406"/>
      <c r="E523" s="406"/>
      <c r="F523" s="395" t="s">
        <v>289</v>
      </c>
      <c r="G523" s="406"/>
      <c r="H523" s="406"/>
      <c r="I523" s="378" t="s">
        <v>289</v>
      </c>
      <c r="J523" s="379" t="s">
        <v>289</v>
      </c>
      <c r="K523" s="407"/>
      <c r="L523" s="378" t="s">
        <v>289</v>
      </c>
      <c r="M523" s="378" t="s">
        <v>289</v>
      </c>
      <c r="N523" s="378" t="s">
        <v>289</v>
      </c>
      <c r="O523" s="409"/>
      <c r="P523" s="387" t="s">
        <v>289</v>
      </c>
      <c r="Q523" s="383"/>
      <c r="R523" s="383"/>
      <c r="S523" s="383"/>
      <c r="T523" s="410"/>
      <c r="U523" s="406"/>
      <c r="V523" s="386"/>
      <c r="W523" s="387" t="s">
        <v>289</v>
      </c>
      <c r="X523" s="378" t="s">
        <v>289</v>
      </c>
      <c r="Y523" s="387" t="s">
        <v>289</v>
      </c>
      <c r="Z523" s="391" t="s">
        <v>289</v>
      </c>
      <c r="AA523" s="391" t="s">
        <v>289</v>
      </c>
      <c r="AB523" s="391" t="s">
        <v>289</v>
      </c>
      <c r="AC523" s="391" t="s">
        <v>289</v>
      </c>
      <c r="AD523" s="395" t="s">
        <v>289</v>
      </c>
      <c r="AE523" s="395"/>
      <c r="AF523" s="395"/>
      <c r="AG523" s="395"/>
      <c r="AH523" s="395"/>
    </row>
    <row r="524" ht="30.75" customHeight="1">
      <c r="A524" s="373" t="str">
        <f t="shared" si="1"/>
        <v/>
      </c>
      <c r="B524" s="421" t="s">
        <v>289</v>
      </c>
      <c r="C524" s="406"/>
      <c r="D524" s="406"/>
      <c r="E524" s="406"/>
      <c r="F524" s="395" t="s">
        <v>289</v>
      </c>
      <c r="G524" s="406"/>
      <c r="H524" s="406"/>
      <c r="I524" s="378" t="s">
        <v>289</v>
      </c>
      <c r="J524" s="379" t="s">
        <v>289</v>
      </c>
      <c r="K524" s="407"/>
      <c r="L524" s="378" t="s">
        <v>289</v>
      </c>
      <c r="M524" s="378" t="s">
        <v>289</v>
      </c>
      <c r="N524" s="378" t="s">
        <v>289</v>
      </c>
      <c r="O524" s="409"/>
      <c r="P524" s="387" t="s">
        <v>289</v>
      </c>
      <c r="Q524" s="383"/>
      <c r="R524" s="383"/>
      <c r="S524" s="383"/>
      <c r="T524" s="410"/>
      <c r="U524" s="406"/>
      <c r="V524" s="386"/>
      <c r="W524" s="387" t="s">
        <v>289</v>
      </c>
      <c r="X524" s="378" t="s">
        <v>289</v>
      </c>
      <c r="Y524" s="387" t="s">
        <v>289</v>
      </c>
      <c r="Z524" s="391" t="s">
        <v>289</v>
      </c>
      <c r="AA524" s="391" t="s">
        <v>289</v>
      </c>
      <c r="AB524" s="391" t="s">
        <v>289</v>
      </c>
      <c r="AC524" s="391" t="s">
        <v>289</v>
      </c>
      <c r="AD524" s="395" t="s">
        <v>289</v>
      </c>
      <c r="AE524" s="395"/>
      <c r="AF524" s="395"/>
      <c r="AG524" s="395"/>
      <c r="AH524" s="395"/>
    </row>
    <row r="525" ht="30.75" customHeight="1">
      <c r="A525" s="373" t="str">
        <f t="shared" si="1"/>
        <v/>
      </c>
      <c r="B525" s="421" t="s">
        <v>289</v>
      </c>
      <c r="C525" s="406"/>
      <c r="D525" s="406"/>
      <c r="E525" s="406"/>
      <c r="F525" s="395" t="s">
        <v>289</v>
      </c>
      <c r="G525" s="406"/>
      <c r="H525" s="406"/>
      <c r="I525" s="378" t="s">
        <v>289</v>
      </c>
      <c r="J525" s="379" t="s">
        <v>289</v>
      </c>
      <c r="K525" s="407"/>
      <c r="L525" s="378" t="s">
        <v>289</v>
      </c>
      <c r="M525" s="378" t="s">
        <v>289</v>
      </c>
      <c r="N525" s="378" t="s">
        <v>289</v>
      </c>
      <c r="O525" s="409"/>
      <c r="P525" s="387" t="s">
        <v>289</v>
      </c>
      <c r="Q525" s="383"/>
      <c r="R525" s="383"/>
      <c r="S525" s="383"/>
      <c r="T525" s="410"/>
      <c r="U525" s="406"/>
      <c r="V525" s="386"/>
      <c r="W525" s="387" t="s">
        <v>289</v>
      </c>
      <c r="X525" s="378" t="s">
        <v>289</v>
      </c>
      <c r="Y525" s="387" t="s">
        <v>289</v>
      </c>
      <c r="Z525" s="391" t="s">
        <v>289</v>
      </c>
      <c r="AA525" s="391" t="s">
        <v>289</v>
      </c>
      <c r="AB525" s="391" t="s">
        <v>289</v>
      </c>
      <c r="AC525" s="391" t="s">
        <v>289</v>
      </c>
      <c r="AD525" s="395" t="s">
        <v>289</v>
      </c>
      <c r="AE525" s="395"/>
      <c r="AF525" s="395"/>
      <c r="AG525" s="395"/>
      <c r="AH525" s="395"/>
    </row>
    <row r="526" ht="30.75" customHeight="1">
      <c r="A526" s="373" t="str">
        <f t="shared" si="1"/>
        <v/>
      </c>
      <c r="B526" s="421" t="s">
        <v>289</v>
      </c>
      <c r="C526" s="406"/>
      <c r="D526" s="406"/>
      <c r="E526" s="406"/>
      <c r="F526" s="395" t="s">
        <v>289</v>
      </c>
      <c r="G526" s="406"/>
      <c r="H526" s="406"/>
      <c r="I526" s="378" t="s">
        <v>289</v>
      </c>
      <c r="J526" s="379" t="s">
        <v>289</v>
      </c>
      <c r="K526" s="407"/>
      <c r="L526" s="378" t="s">
        <v>289</v>
      </c>
      <c r="M526" s="378" t="s">
        <v>289</v>
      </c>
      <c r="N526" s="378" t="s">
        <v>289</v>
      </c>
      <c r="O526" s="409"/>
      <c r="P526" s="387" t="s">
        <v>289</v>
      </c>
      <c r="Q526" s="383"/>
      <c r="R526" s="383"/>
      <c r="S526" s="383"/>
      <c r="T526" s="410"/>
      <c r="U526" s="406"/>
      <c r="V526" s="386"/>
      <c r="W526" s="387" t="s">
        <v>289</v>
      </c>
      <c r="X526" s="378" t="s">
        <v>289</v>
      </c>
      <c r="Y526" s="387" t="s">
        <v>289</v>
      </c>
      <c r="Z526" s="391" t="s">
        <v>289</v>
      </c>
      <c r="AA526" s="391" t="s">
        <v>289</v>
      </c>
      <c r="AB526" s="391" t="s">
        <v>289</v>
      </c>
      <c r="AC526" s="391" t="s">
        <v>289</v>
      </c>
      <c r="AD526" s="395" t="s">
        <v>289</v>
      </c>
      <c r="AE526" s="395"/>
      <c r="AF526" s="395"/>
      <c r="AG526" s="395"/>
      <c r="AH526" s="395"/>
    </row>
    <row r="527" ht="30.75" customHeight="1">
      <c r="A527" s="373" t="str">
        <f t="shared" si="1"/>
        <v/>
      </c>
      <c r="B527" s="421" t="s">
        <v>289</v>
      </c>
      <c r="C527" s="406"/>
      <c r="D527" s="406"/>
      <c r="E527" s="406"/>
      <c r="F527" s="395" t="s">
        <v>289</v>
      </c>
      <c r="G527" s="406"/>
      <c r="H527" s="406"/>
      <c r="I527" s="378" t="s">
        <v>289</v>
      </c>
      <c r="J527" s="379" t="s">
        <v>289</v>
      </c>
      <c r="K527" s="407"/>
      <c r="L527" s="378" t="s">
        <v>289</v>
      </c>
      <c r="M527" s="378" t="s">
        <v>289</v>
      </c>
      <c r="N527" s="378" t="s">
        <v>289</v>
      </c>
      <c r="O527" s="409"/>
      <c r="P527" s="387" t="s">
        <v>289</v>
      </c>
      <c r="Q527" s="383"/>
      <c r="R527" s="383"/>
      <c r="S527" s="383"/>
      <c r="T527" s="410"/>
      <c r="U527" s="406"/>
      <c r="V527" s="386"/>
      <c r="W527" s="387" t="s">
        <v>289</v>
      </c>
      <c r="X527" s="378" t="s">
        <v>289</v>
      </c>
      <c r="Y527" s="387" t="s">
        <v>289</v>
      </c>
      <c r="Z527" s="391" t="s">
        <v>289</v>
      </c>
      <c r="AA527" s="391" t="s">
        <v>289</v>
      </c>
      <c r="AB527" s="391" t="s">
        <v>289</v>
      </c>
      <c r="AC527" s="391" t="s">
        <v>289</v>
      </c>
      <c r="AD527" s="395" t="s">
        <v>289</v>
      </c>
      <c r="AE527" s="395"/>
      <c r="AF527" s="395"/>
      <c r="AG527" s="395"/>
      <c r="AH527" s="395"/>
    </row>
    <row r="528" ht="30.75" customHeight="1">
      <c r="A528" s="373" t="str">
        <f t="shared" si="1"/>
        <v/>
      </c>
      <c r="B528" s="421" t="s">
        <v>289</v>
      </c>
      <c r="C528" s="406"/>
      <c r="D528" s="406"/>
      <c r="E528" s="406"/>
      <c r="F528" s="395" t="s">
        <v>289</v>
      </c>
      <c r="G528" s="406"/>
      <c r="H528" s="406"/>
      <c r="I528" s="378" t="s">
        <v>289</v>
      </c>
      <c r="J528" s="379" t="s">
        <v>289</v>
      </c>
      <c r="K528" s="407"/>
      <c r="L528" s="378" t="s">
        <v>289</v>
      </c>
      <c r="M528" s="378" t="s">
        <v>289</v>
      </c>
      <c r="N528" s="378" t="s">
        <v>289</v>
      </c>
      <c r="O528" s="409"/>
      <c r="P528" s="387" t="s">
        <v>289</v>
      </c>
      <c r="Q528" s="383"/>
      <c r="R528" s="383"/>
      <c r="S528" s="383"/>
      <c r="T528" s="410"/>
      <c r="U528" s="406"/>
      <c r="V528" s="386"/>
      <c r="W528" s="387" t="s">
        <v>289</v>
      </c>
      <c r="X528" s="378" t="s">
        <v>289</v>
      </c>
      <c r="Y528" s="387" t="s">
        <v>289</v>
      </c>
      <c r="Z528" s="391" t="s">
        <v>289</v>
      </c>
      <c r="AA528" s="391" t="s">
        <v>289</v>
      </c>
      <c r="AB528" s="391" t="s">
        <v>289</v>
      </c>
      <c r="AC528" s="391" t="s">
        <v>289</v>
      </c>
      <c r="AD528" s="395" t="s">
        <v>289</v>
      </c>
      <c r="AE528" s="395"/>
      <c r="AF528" s="395"/>
      <c r="AG528" s="395"/>
      <c r="AH528" s="395"/>
    </row>
    <row r="529" ht="30.75" customHeight="1">
      <c r="A529" s="373" t="str">
        <f t="shared" si="1"/>
        <v/>
      </c>
      <c r="B529" s="421" t="s">
        <v>289</v>
      </c>
      <c r="C529" s="406"/>
      <c r="D529" s="406"/>
      <c r="E529" s="406"/>
      <c r="F529" s="395" t="s">
        <v>289</v>
      </c>
      <c r="G529" s="406"/>
      <c r="H529" s="406"/>
      <c r="I529" s="378" t="s">
        <v>289</v>
      </c>
      <c r="J529" s="379" t="s">
        <v>289</v>
      </c>
      <c r="K529" s="407"/>
      <c r="L529" s="378" t="s">
        <v>289</v>
      </c>
      <c r="M529" s="378" t="s">
        <v>289</v>
      </c>
      <c r="N529" s="378" t="s">
        <v>289</v>
      </c>
      <c r="O529" s="409"/>
      <c r="P529" s="387" t="s">
        <v>289</v>
      </c>
      <c r="Q529" s="383"/>
      <c r="R529" s="383"/>
      <c r="S529" s="383"/>
      <c r="T529" s="410"/>
      <c r="U529" s="406"/>
      <c r="V529" s="386"/>
      <c r="W529" s="387" t="s">
        <v>289</v>
      </c>
      <c r="X529" s="378" t="s">
        <v>289</v>
      </c>
      <c r="Y529" s="387" t="s">
        <v>289</v>
      </c>
      <c r="Z529" s="391" t="s">
        <v>289</v>
      </c>
      <c r="AA529" s="391" t="s">
        <v>289</v>
      </c>
      <c r="AB529" s="391" t="s">
        <v>289</v>
      </c>
      <c r="AC529" s="391" t="s">
        <v>289</v>
      </c>
      <c r="AD529" s="395" t="s">
        <v>289</v>
      </c>
      <c r="AE529" s="395"/>
      <c r="AF529" s="395"/>
      <c r="AG529" s="395"/>
      <c r="AH529" s="395"/>
    </row>
    <row r="530" ht="30.75" customHeight="1">
      <c r="A530" s="373" t="str">
        <f t="shared" si="1"/>
        <v/>
      </c>
      <c r="B530" s="421" t="s">
        <v>289</v>
      </c>
      <c r="C530" s="406"/>
      <c r="D530" s="406"/>
      <c r="E530" s="406"/>
      <c r="F530" s="395" t="s">
        <v>289</v>
      </c>
      <c r="G530" s="406"/>
      <c r="H530" s="406"/>
      <c r="I530" s="378" t="s">
        <v>289</v>
      </c>
      <c r="J530" s="379" t="s">
        <v>289</v>
      </c>
      <c r="K530" s="407"/>
      <c r="L530" s="378" t="s">
        <v>289</v>
      </c>
      <c r="M530" s="378" t="s">
        <v>289</v>
      </c>
      <c r="N530" s="378" t="s">
        <v>289</v>
      </c>
      <c r="O530" s="409"/>
      <c r="P530" s="387" t="s">
        <v>289</v>
      </c>
      <c r="Q530" s="383"/>
      <c r="R530" s="383"/>
      <c r="S530" s="383"/>
      <c r="T530" s="410"/>
      <c r="U530" s="406"/>
      <c r="V530" s="386"/>
      <c r="W530" s="387" t="s">
        <v>289</v>
      </c>
      <c r="X530" s="378" t="s">
        <v>289</v>
      </c>
      <c r="Y530" s="387" t="s">
        <v>289</v>
      </c>
      <c r="Z530" s="391" t="s">
        <v>289</v>
      </c>
      <c r="AA530" s="391" t="s">
        <v>289</v>
      </c>
      <c r="AB530" s="391" t="s">
        <v>289</v>
      </c>
      <c r="AC530" s="391" t="s">
        <v>289</v>
      </c>
      <c r="AD530" s="395" t="s">
        <v>289</v>
      </c>
      <c r="AE530" s="395"/>
      <c r="AF530" s="395"/>
      <c r="AG530" s="395"/>
      <c r="AH530" s="395"/>
    </row>
    <row r="531" ht="30.75" customHeight="1">
      <c r="A531" s="373" t="str">
        <f t="shared" si="1"/>
        <v/>
      </c>
      <c r="B531" s="421" t="s">
        <v>289</v>
      </c>
      <c r="C531" s="406"/>
      <c r="D531" s="406"/>
      <c r="E531" s="406"/>
      <c r="F531" s="395" t="s">
        <v>289</v>
      </c>
      <c r="G531" s="406"/>
      <c r="H531" s="406"/>
      <c r="I531" s="378" t="s">
        <v>289</v>
      </c>
      <c r="J531" s="379" t="s">
        <v>289</v>
      </c>
      <c r="K531" s="407"/>
      <c r="L531" s="378" t="s">
        <v>289</v>
      </c>
      <c r="M531" s="378" t="s">
        <v>289</v>
      </c>
      <c r="N531" s="378" t="s">
        <v>289</v>
      </c>
      <c r="O531" s="409"/>
      <c r="P531" s="387" t="s">
        <v>289</v>
      </c>
      <c r="Q531" s="383"/>
      <c r="R531" s="383"/>
      <c r="S531" s="383"/>
      <c r="T531" s="410"/>
      <c r="U531" s="406"/>
      <c r="V531" s="386"/>
      <c r="W531" s="387" t="s">
        <v>289</v>
      </c>
      <c r="X531" s="378" t="s">
        <v>289</v>
      </c>
      <c r="Y531" s="387" t="s">
        <v>289</v>
      </c>
      <c r="Z531" s="391" t="s">
        <v>289</v>
      </c>
      <c r="AA531" s="391" t="s">
        <v>289</v>
      </c>
      <c r="AB531" s="391" t="s">
        <v>289</v>
      </c>
      <c r="AC531" s="391" t="s">
        <v>289</v>
      </c>
      <c r="AD531" s="395" t="s">
        <v>289</v>
      </c>
      <c r="AE531" s="395"/>
      <c r="AF531" s="395"/>
      <c r="AG531" s="395"/>
      <c r="AH531" s="395"/>
    </row>
    <row r="532" ht="30.75" customHeight="1">
      <c r="A532" s="373" t="str">
        <f t="shared" si="1"/>
        <v/>
      </c>
      <c r="B532" s="421" t="s">
        <v>289</v>
      </c>
      <c r="C532" s="406"/>
      <c r="D532" s="406"/>
      <c r="E532" s="406"/>
      <c r="F532" s="395" t="s">
        <v>289</v>
      </c>
      <c r="G532" s="406"/>
      <c r="H532" s="406"/>
      <c r="I532" s="378" t="s">
        <v>289</v>
      </c>
      <c r="J532" s="379" t="s">
        <v>289</v>
      </c>
      <c r="K532" s="407"/>
      <c r="L532" s="378" t="s">
        <v>289</v>
      </c>
      <c r="M532" s="378" t="s">
        <v>289</v>
      </c>
      <c r="N532" s="378" t="s">
        <v>289</v>
      </c>
      <c r="O532" s="409"/>
      <c r="P532" s="387" t="s">
        <v>289</v>
      </c>
      <c r="Q532" s="383"/>
      <c r="R532" s="383"/>
      <c r="S532" s="383"/>
      <c r="T532" s="410"/>
      <c r="U532" s="406"/>
      <c r="V532" s="386"/>
      <c r="W532" s="387" t="s">
        <v>289</v>
      </c>
      <c r="X532" s="378" t="s">
        <v>289</v>
      </c>
      <c r="Y532" s="387" t="s">
        <v>289</v>
      </c>
      <c r="Z532" s="391" t="s">
        <v>289</v>
      </c>
      <c r="AA532" s="391" t="s">
        <v>289</v>
      </c>
      <c r="AB532" s="391" t="s">
        <v>289</v>
      </c>
      <c r="AC532" s="391" t="s">
        <v>289</v>
      </c>
      <c r="AD532" s="395" t="s">
        <v>289</v>
      </c>
      <c r="AE532" s="395"/>
      <c r="AF532" s="395"/>
      <c r="AG532" s="395"/>
      <c r="AH532" s="395"/>
    </row>
    <row r="533" ht="30.75" customHeight="1">
      <c r="A533" s="373" t="str">
        <f t="shared" si="1"/>
        <v/>
      </c>
      <c r="B533" s="421" t="s">
        <v>289</v>
      </c>
      <c r="C533" s="406"/>
      <c r="D533" s="406"/>
      <c r="E533" s="406"/>
      <c r="F533" s="395" t="s">
        <v>289</v>
      </c>
      <c r="G533" s="406"/>
      <c r="H533" s="406"/>
      <c r="I533" s="378" t="s">
        <v>289</v>
      </c>
      <c r="J533" s="379" t="s">
        <v>289</v>
      </c>
      <c r="K533" s="407"/>
      <c r="L533" s="378" t="s">
        <v>289</v>
      </c>
      <c r="M533" s="378" t="s">
        <v>289</v>
      </c>
      <c r="N533" s="378" t="s">
        <v>289</v>
      </c>
      <c r="O533" s="409"/>
      <c r="P533" s="387" t="s">
        <v>289</v>
      </c>
      <c r="Q533" s="383"/>
      <c r="R533" s="383"/>
      <c r="S533" s="383"/>
      <c r="T533" s="410"/>
      <c r="U533" s="406"/>
      <c r="V533" s="386"/>
      <c r="W533" s="387" t="s">
        <v>289</v>
      </c>
      <c r="X533" s="378" t="s">
        <v>289</v>
      </c>
      <c r="Y533" s="387" t="s">
        <v>289</v>
      </c>
      <c r="Z533" s="391" t="s">
        <v>289</v>
      </c>
      <c r="AA533" s="391" t="s">
        <v>289</v>
      </c>
      <c r="AB533" s="391" t="s">
        <v>289</v>
      </c>
      <c r="AC533" s="391" t="s">
        <v>289</v>
      </c>
      <c r="AD533" s="395" t="s">
        <v>289</v>
      </c>
      <c r="AE533" s="395"/>
      <c r="AF533" s="395"/>
      <c r="AG533" s="395"/>
      <c r="AH533" s="395"/>
    </row>
    <row r="534" ht="30.75" customHeight="1">
      <c r="A534" s="373" t="str">
        <f t="shared" si="1"/>
        <v/>
      </c>
      <c r="B534" s="421" t="s">
        <v>289</v>
      </c>
      <c r="C534" s="406"/>
      <c r="D534" s="406"/>
      <c r="E534" s="406"/>
      <c r="F534" s="395" t="s">
        <v>289</v>
      </c>
      <c r="G534" s="406"/>
      <c r="H534" s="406"/>
      <c r="I534" s="378" t="s">
        <v>289</v>
      </c>
      <c r="J534" s="379" t="s">
        <v>289</v>
      </c>
      <c r="K534" s="407"/>
      <c r="L534" s="378" t="s">
        <v>289</v>
      </c>
      <c r="M534" s="378" t="s">
        <v>289</v>
      </c>
      <c r="N534" s="378" t="s">
        <v>289</v>
      </c>
      <c r="O534" s="409"/>
      <c r="P534" s="387" t="s">
        <v>289</v>
      </c>
      <c r="Q534" s="383"/>
      <c r="R534" s="383"/>
      <c r="S534" s="383"/>
      <c r="T534" s="410"/>
      <c r="U534" s="406"/>
      <c r="V534" s="386"/>
      <c r="W534" s="387" t="s">
        <v>289</v>
      </c>
      <c r="X534" s="378" t="s">
        <v>289</v>
      </c>
      <c r="Y534" s="387" t="s">
        <v>289</v>
      </c>
      <c r="Z534" s="391" t="s">
        <v>289</v>
      </c>
      <c r="AA534" s="391" t="s">
        <v>289</v>
      </c>
      <c r="AB534" s="391" t="s">
        <v>289</v>
      </c>
      <c r="AC534" s="391" t="s">
        <v>289</v>
      </c>
      <c r="AD534" s="395" t="s">
        <v>289</v>
      </c>
      <c r="AE534" s="395"/>
      <c r="AF534" s="395"/>
      <c r="AG534" s="395"/>
      <c r="AH534" s="395"/>
    </row>
    <row r="535" ht="30.75" customHeight="1">
      <c r="A535" s="373" t="str">
        <f t="shared" si="1"/>
        <v/>
      </c>
      <c r="B535" s="421" t="s">
        <v>289</v>
      </c>
      <c r="C535" s="406"/>
      <c r="D535" s="406"/>
      <c r="E535" s="406"/>
      <c r="F535" s="395" t="s">
        <v>289</v>
      </c>
      <c r="G535" s="406"/>
      <c r="H535" s="406"/>
      <c r="I535" s="378" t="s">
        <v>289</v>
      </c>
      <c r="J535" s="379" t="s">
        <v>289</v>
      </c>
      <c r="K535" s="407"/>
      <c r="L535" s="378" t="s">
        <v>289</v>
      </c>
      <c r="M535" s="378" t="s">
        <v>289</v>
      </c>
      <c r="N535" s="378" t="s">
        <v>289</v>
      </c>
      <c r="O535" s="409"/>
      <c r="P535" s="387" t="s">
        <v>289</v>
      </c>
      <c r="Q535" s="383"/>
      <c r="R535" s="383"/>
      <c r="S535" s="383"/>
      <c r="T535" s="410"/>
      <c r="U535" s="406"/>
      <c r="V535" s="386"/>
      <c r="W535" s="387" t="s">
        <v>289</v>
      </c>
      <c r="X535" s="378" t="s">
        <v>289</v>
      </c>
      <c r="Y535" s="387" t="s">
        <v>289</v>
      </c>
      <c r="Z535" s="391" t="s">
        <v>289</v>
      </c>
      <c r="AA535" s="391" t="s">
        <v>289</v>
      </c>
      <c r="AB535" s="391" t="s">
        <v>289</v>
      </c>
      <c r="AC535" s="391" t="s">
        <v>289</v>
      </c>
      <c r="AD535" s="395" t="s">
        <v>289</v>
      </c>
      <c r="AE535" s="395"/>
      <c r="AF535" s="395"/>
      <c r="AG535" s="395"/>
      <c r="AH535" s="395"/>
    </row>
    <row r="536" ht="30.75" customHeight="1">
      <c r="A536" s="373" t="str">
        <f t="shared" si="1"/>
        <v/>
      </c>
      <c r="B536" s="421" t="s">
        <v>289</v>
      </c>
      <c r="C536" s="406"/>
      <c r="D536" s="406"/>
      <c r="E536" s="406"/>
      <c r="F536" s="395" t="s">
        <v>289</v>
      </c>
      <c r="G536" s="406"/>
      <c r="H536" s="406"/>
      <c r="I536" s="378" t="s">
        <v>289</v>
      </c>
      <c r="J536" s="379" t="s">
        <v>289</v>
      </c>
      <c r="K536" s="407"/>
      <c r="L536" s="378" t="s">
        <v>289</v>
      </c>
      <c r="M536" s="378" t="s">
        <v>289</v>
      </c>
      <c r="N536" s="378" t="s">
        <v>289</v>
      </c>
      <c r="O536" s="409"/>
      <c r="P536" s="387" t="s">
        <v>289</v>
      </c>
      <c r="Q536" s="383"/>
      <c r="R536" s="383"/>
      <c r="S536" s="383"/>
      <c r="T536" s="410"/>
      <c r="U536" s="406"/>
      <c r="V536" s="386"/>
      <c r="W536" s="387" t="s">
        <v>289</v>
      </c>
      <c r="X536" s="378" t="s">
        <v>289</v>
      </c>
      <c r="Y536" s="387" t="s">
        <v>289</v>
      </c>
      <c r="Z536" s="391" t="s">
        <v>289</v>
      </c>
      <c r="AA536" s="391" t="s">
        <v>289</v>
      </c>
      <c r="AB536" s="391" t="s">
        <v>289</v>
      </c>
      <c r="AC536" s="391" t="s">
        <v>289</v>
      </c>
      <c r="AD536" s="395" t="s">
        <v>289</v>
      </c>
      <c r="AE536" s="395"/>
      <c r="AF536" s="395"/>
      <c r="AG536" s="395"/>
      <c r="AH536" s="395"/>
    </row>
    <row r="537" ht="30.75" customHeight="1">
      <c r="A537" s="373" t="str">
        <f t="shared" si="1"/>
        <v/>
      </c>
      <c r="B537" s="421" t="s">
        <v>289</v>
      </c>
      <c r="C537" s="406"/>
      <c r="D537" s="406"/>
      <c r="E537" s="406"/>
      <c r="F537" s="395" t="s">
        <v>289</v>
      </c>
      <c r="G537" s="406"/>
      <c r="H537" s="406"/>
      <c r="I537" s="378" t="s">
        <v>289</v>
      </c>
      <c r="J537" s="379" t="s">
        <v>289</v>
      </c>
      <c r="K537" s="407"/>
      <c r="L537" s="378" t="s">
        <v>289</v>
      </c>
      <c r="M537" s="378" t="s">
        <v>289</v>
      </c>
      <c r="N537" s="378" t="s">
        <v>289</v>
      </c>
      <c r="O537" s="409"/>
      <c r="P537" s="387" t="s">
        <v>289</v>
      </c>
      <c r="Q537" s="383"/>
      <c r="R537" s="383"/>
      <c r="S537" s="383"/>
      <c r="T537" s="410"/>
      <c r="U537" s="406"/>
      <c r="V537" s="386"/>
      <c r="W537" s="387" t="s">
        <v>289</v>
      </c>
      <c r="X537" s="378" t="s">
        <v>289</v>
      </c>
      <c r="Y537" s="387" t="s">
        <v>289</v>
      </c>
      <c r="Z537" s="391" t="s">
        <v>289</v>
      </c>
      <c r="AA537" s="391" t="s">
        <v>289</v>
      </c>
      <c r="AB537" s="391" t="s">
        <v>289</v>
      </c>
      <c r="AC537" s="391" t="s">
        <v>289</v>
      </c>
      <c r="AD537" s="395" t="s">
        <v>289</v>
      </c>
      <c r="AE537" s="395"/>
      <c r="AF537" s="395"/>
      <c r="AG537" s="395"/>
      <c r="AH537" s="395"/>
    </row>
    <row r="538" ht="30.75" customHeight="1">
      <c r="A538" s="373" t="str">
        <f t="shared" si="1"/>
        <v/>
      </c>
      <c r="B538" s="421" t="s">
        <v>289</v>
      </c>
      <c r="C538" s="406"/>
      <c r="D538" s="406"/>
      <c r="E538" s="406"/>
      <c r="F538" s="395" t="s">
        <v>289</v>
      </c>
      <c r="G538" s="406"/>
      <c r="H538" s="406"/>
      <c r="I538" s="378" t="s">
        <v>289</v>
      </c>
      <c r="J538" s="379" t="s">
        <v>289</v>
      </c>
      <c r="K538" s="407"/>
      <c r="L538" s="378" t="s">
        <v>289</v>
      </c>
      <c r="M538" s="378" t="s">
        <v>289</v>
      </c>
      <c r="N538" s="378" t="s">
        <v>289</v>
      </c>
      <c r="O538" s="409"/>
      <c r="P538" s="387" t="s">
        <v>289</v>
      </c>
      <c r="Q538" s="383"/>
      <c r="R538" s="383"/>
      <c r="S538" s="383"/>
      <c r="T538" s="410"/>
      <c r="U538" s="406"/>
      <c r="V538" s="386"/>
      <c r="W538" s="387" t="s">
        <v>289</v>
      </c>
      <c r="X538" s="378" t="s">
        <v>289</v>
      </c>
      <c r="Y538" s="387" t="s">
        <v>289</v>
      </c>
      <c r="Z538" s="391" t="s">
        <v>289</v>
      </c>
      <c r="AA538" s="391" t="s">
        <v>289</v>
      </c>
      <c r="AB538" s="391" t="s">
        <v>289</v>
      </c>
      <c r="AC538" s="391" t="s">
        <v>289</v>
      </c>
      <c r="AD538" s="395" t="s">
        <v>289</v>
      </c>
      <c r="AE538" s="395"/>
      <c r="AF538" s="395"/>
      <c r="AG538" s="395"/>
      <c r="AH538" s="395"/>
    </row>
    <row r="539" ht="30.75" customHeight="1">
      <c r="A539" s="373" t="str">
        <f t="shared" si="1"/>
        <v/>
      </c>
      <c r="B539" s="421" t="s">
        <v>289</v>
      </c>
      <c r="C539" s="406"/>
      <c r="D539" s="406"/>
      <c r="E539" s="406"/>
      <c r="F539" s="395" t="s">
        <v>289</v>
      </c>
      <c r="G539" s="406"/>
      <c r="H539" s="406"/>
      <c r="I539" s="378" t="s">
        <v>289</v>
      </c>
      <c r="J539" s="379" t="s">
        <v>289</v>
      </c>
      <c r="K539" s="407"/>
      <c r="L539" s="378" t="s">
        <v>289</v>
      </c>
      <c r="M539" s="378" t="s">
        <v>289</v>
      </c>
      <c r="N539" s="378" t="s">
        <v>289</v>
      </c>
      <c r="O539" s="409"/>
      <c r="P539" s="387" t="s">
        <v>289</v>
      </c>
      <c r="Q539" s="383"/>
      <c r="R539" s="383"/>
      <c r="S539" s="383"/>
      <c r="T539" s="410"/>
      <c r="U539" s="406"/>
      <c r="V539" s="386"/>
      <c r="W539" s="387" t="s">
        <v>289</v>
      </c>
      <c r="X539" s="378" t="s">
        <v>289</v>
      </c>
      <c r="Y539" s="387" t="s">
        <v>289</v>
      </c>
      <c r="Z539" s="391" t="s">
        <v>289</v>
      </c>
      <c r="AA539" s="391" t="s">
        <v>289</v>
      </c>
      <c r="AB539" s="391" t="s">
        <v>289</v>
      </c>
      <c r="AC539" s="391" t="s">
        <v>289</v>
      </c>
      <c r="AD539" s="395" t="s">
        <v>289</v>
      </c>
      <c r="AE539" s="395"/>
      <c r="AF539" s="395"/>
      <c r="AG539" s="395"/>
      <c r="AH539" s="395"/>
    </row>
    <row r="540" ht="30.75" customHeight="1">
      <c r="A540" s="373" t="str">
        <f t="shared" si="1"/>
        <v/>
      </c>
      <c r="B540" s="421" t="s">
        <v>289</v>
      </c>
      <c r="C540" s="406"/>
      <c r="D540" s="406"/>
      <c r="E540" s="406"/>
      <c r="F540" s="395" t="s">
        <v>289</v>
      </c>
      <c r="G540" s="406"/>
      <c r="H540" s="406"/>
      <c r="I540" s="378" t="s">
        <v>289</v>
      </c>
      <c r="J540" s="379" t="s">
        <v>289</v>
      </c>
      <c r="K540" s="407"/>
      <c r="L540" s="378" t="s">
        <v>289</v>
      </c>
      <c r="M540" s="378" t="s">
        <v>289</v>
      </c>
      <c r="N540" s="378" t="s">
        <v>289</v>
      </c>
      <c r="O540" s="409"/>
      <c r="P540" s="387" t="s">
        <v>289</v>
      </c>
      <c r="Q540" s="383"/>
      <c r="R540" s="383"/>
      <c r="S540" s="383"/>
      <c r="T540" s="410"/>
      <c r="U540" s="406"/>
      <c r="V540" s="386"/>
      <c r="W540" s="387" t="s">
        <v>289</v>
      </c>
      <c r="X540" s="378" t="s">
        <v>289</v>
      </c>
      <c r="Y540" s="387" t="s">
        <v>289</v>
      </c>
      <c r="Z540" s="391" t="s">
        <v>289</v>
      </c>
      <c r="AA540" s="391" t="s">
        <v>289</v>
      </c>
      <c r="AB540" s="391" t="s">
        <v>289</v>
      </c>
      <c r="AC540" s="391" t="s">
        <v>289</v>
      </c>
      <c r="AD540" s="395" t="s">
        <v>289</v>
      </c>
      <c r="AE540" s="395"/>
      <c r="AF540" s="395"/>
      <c r="AG540" s="395"/>
      <c r="AH540" s="395"/>
    </row>
    <row r="541" ht="30.75" customHeight="1">
      <c r="A541" s="373" t="str">
        <f t="shared" si="1"/>
        <v/>
      </c>
      <c r="B541" s="421" t="s">
        <v>289</v>
      </c>
      <c r="C541" s="406"/>
      <c r="D541" s="406"/>
      <c r="E541" s="406"/>
      <c r="F541" s="395" t="s">
        <v>289</v>
      </c>
      <c r="G541" s="406"/>
      <c r="H541" s="406"/>
      <c r="I541" s="378" t="s">
        <v>289</v>
      </c>
      <c r="J541" s="379" t="s">
        <v>289</v>
      </c>
      <c r="K541" s="407"/>
      <c r="L541" s="378" t="s">
        <v>289</v>
      </c>
      <c r="M541" s="378" t="s">
        <v>289</v>
      </c>
      <c r="N541" s="378" t="s">
        <v>289</v>
      </c>
      <c r="O541" s="409"/>
      <c r="P541" s="387" t="s">
        <v>289</v>
      </c>
      <c r="Q541" s="383"/>
      <c r="R541" s="383"/>
      <c r="S541" s="383"/>
      <c r="T541" s="410"/>
      <c r="U541" s="406"/>
      <c r="V541" s="386"/>
      <c r="W541" s="387" t="s">
        <v>289</v>
      </c>
      <c r="X541" s="378" t="s">
        <v>289</v>
      </c>
      <c r="Y541" s="387" t="s">
        <v>289</v>
      </c>
      <c r="Z541" s="391" t="s">
        <v>289</v>
      </c>
      <c r="AA541" s="391" t="s">
        <v>289</v>
      </c>
      <c r="AB541" s="391" t="s">
        <v>289</v>
      </c>
      <c r="AC541" s="391" t="s">
        <v>289</v>
      </c>
      <c r="AD541" s="395" t="s">
        <v>289</v>
      </c>
      <c r="AE541" s="395"/>
      <c r="AF541" s="395"/>
      <c r="AG541" s="395"/>
      <c r="AH541" s="395"/>
    </row>
    <row r="542" ht="30.75" customHeight="1">
      <c r="A542" s="373" t="str">
        <f t="shared" si="1"/>
        <v/>
      </c>
      <c r="B542" s="421" t="s">
        <v>289</v>
      </c>
      <c r="C542" s="406"/>
      <c r="D542" s="406"/>
      <c r="E542" s="406"/>
      <c r="F542" s="395" t="s">
        <v>289</v>
      </c>
      <c r="G542" s="406"/>
      <c r="H542" s="406"/>
      <c r="I542" s="378" t="s">
        <v>289</v>
      </c>
      <c r="J542" s="379" t="s">
        <v>289</v>
      </c>
      <c r="K542" s="407"/>
      <c r="L542" s="378" t="s">
        <v>289</v>
      </c>
      <c r="M542" s="378" t="s">
        <v>289</v>
      </c>
      <c r="N542" s="378" t="s">
        <v>289</v>
      </c>
      <c r="O542" s="409"/>
      <c r="P542" s="387" t="s">
        <v>289</v>
      </c>
      <c r="Q542" s="383"/>
      <c r="R542" s="383"/>
      <c r="S542" s="383"/>
      <c r="T542" s="410"/>
      <c r="U542" s="406"/>
      <c r="V542" s="386"/>
      <c r="W542" s="387" t="s">
        <v>289</v>
      </c>
      <c r="X542" s="378" t="s">
        <v>289</v>
      </c>
      <c r="Y542" s="387" t="s">
        <v>289</v>
      </c>
      <c r="Z542" s="391" t="s">
        <v>289</v>
      </c>
      <c r="AA542" s="391" t="s">
        <v>289</v>
      </c>
      <c r="AB542" s="391" t="s">
        <v>289</v>
      </c>
      <c r="AC542" s="391" t="s">
        <v>289</v>
      </c>
      <c r="AD542" s="395" t="s">
        <v>289</v>
      </c>
      <c r="AE542" s="395"/>
      <c r="AF542" s="395"/>
      <c r="AG542" s="395"/>
      <c r="AH542" s="395"/>
    </row>
    <row r="543" ht="30.75" customHeight="1">
      <c r="A543" s="373" t="str">
        <f t="shared" si="1"/>
        <v/>
      </c>
      <c r="B543" s="421" t="s">
        <v>289</v>
      </c>
      <c r="C543" s="406"/>
      <c r="D543" s="406"/>
      <c r="E543" s="406"/>
      <c r="F543" s="395" t="s">
        <v>289</v>
      </c>
      <c r="G543" s="406"/>
      <c r="H543" s="406"/>
      <c r="I543" s="378" t="s">
        <v>289</v>
      </c>
      <c r="J543" s="379" t="s">
        <v>289</v>
      </c>
      <c r="K543" s="407"/>
      <c r="L543" s="378" t="s">
        <v>289</v>
      </c>
      <c r="M543" s="378" t="s">
        <v>289</v>
      </c>
      <c r="N543" s="378" t="s">
        <v>289</v>
      </c>
      <c r="O543" s="409"/>
      <c r="P543" s="387" t="s">
        <v>289</v>
      </c>
      <c r="Q543" s="383"/>
      <c r="R543" s="383"/>
      <c r="S543" s="383"/>
      <c r="T543" s="410"/>
      <c r="U543" s="406"/>
      <c r="V543" s="386"/>
      <c r="W543" s="387" t="s">
        <v>289</v>
      </c>
      <c r="X543" s="378" t="s">
        <v>289</v>
      </c>
      <c r="Y543" s="387" t="s">
        <v>289</v>
      </c>
      <c r="Z543" s="391" t="s">
        <v>289</v>
      </c>
      <c r="AA543" s="391" t="s">
        <v>289</v>
      </c>
      <c r="AB543" s="391" t="s">
        <v>289</v>
      </c>
      <c r="AC543" s="391" t="s">
        <v>289</v>
      </c>
      <c r="AD543" s="395" t="s">
        <v>289</v>
      </c>
      <c r="AE543" s="395"/>
      <c r="AF543" s="395"/>
      <c r="AG543" s="395"/>
      <c r="AH543" s="395"/>
    </row>
    <row r="544" ht="30.75" customHeight="1">
      <c r="A544" s="373" t="str">
        <f t="shared" si="1"/>
        <v/>
      </c>
      <c r="B544" s="421" t="s">
        <v>289</v>
      </c>
      <c r="C544" s="406"/>
      <c r="D544" s="406"/>
      <c r="E544" s="406"/>
      <c r="F544" s="395" t="s">
        <v>289</v>
      </c>
      <c r="G544" s="406"/>
      <c r="H544" s="406"/>
      <c r="I544" s="378" t="s">
        <v>289</v>
      </c>
      <c r="J544" s="379" t="s">
        <v>289</v>
      </c>
      <c r="K544" s="407"/>
      <c r="L544" s="378" t="s">
        <v>289</v>
      </c>
      <c r="M544" s="378" t="s">
        <v>289</v>
      </c>
      <c r="N544" s="378" t="s">
        <v>289</v>
      </c>
      <c r="O544" s="409"/>
      <c r="P544" s="387" t="s">
        <v>289</v>
      </c>
      <c r="Q544" s="383"/>
      <c r="R544" s="383"/>
      <c r="S544" s="383"/>
      <c r="T544" s="410"/>
      <c r="U544" s="406"/>
      <c r="V544" s="386"/>
      <c r="W544" s="387" t="s">
        <v>289</v>
      </c>
      <c r="X544" s="378" t="s">
        <v>289</v>
      </c>
      <c r="Y544" s="387" t="s">
        <v>289</v>
      </c>
      <c r="Z544" s="391" t="s">
        <v>289</v>
      </c>
      <c r="AA544" s="391" t="s">
        <v>289</v>
      </c>
      <c r="AB544" s="391" t="s">
        <v>289</v>
      </c>
      <c r="AC544" s="391" t="s">
        <v>289</v>
      </c>
      <c r="AD544" s="395" t="s">
        <v>289</v>
      </c>
      <c r="AE544" s="395"/>
      <c r="AF544" s="395"/>
      <c r="AG544" s="395"/>
      <c r="AH544" s="395"/>
    </row>
    <row r="545" ht="30.75" customHeight="1">
      <c r="A545" s="373" t="str">
        <f t="shared" si="1"/>
        <v/>
      </c>
      <c r="B545" s="421" t="s">
        <v>289</v>
      </c>
      <c r="C545" s="406"/>
      <c r="D545" s="406"/>
      <c r="E545" s="406"/>
      <c r="F545" s="395" t="s">
        <v>289</v>
      </c>
      <c r="G545" s="406"/>
      <c r="H545" s="406"/>
      <c r="I545" s="378" t="s">
        <v>289</v>
      </c>
      <c r="J545" s="379" t="s">
        <v>289</v>
      </c>
      <c r="K545" s="407"/>
      <c r="L545" s="378" t="s">
        <v>289</v>
      </c>
      <c r="M545" s="378" t="s">
        <v>289</v>
      </c>
      <c r="N545" s="378" t="s">
        <v>289</v>
      </c>
      <c r="O545" s="409"/>
      <c r="P545" s="387" t="s">
        <v>289</v>
      </c>
      <c r="Q545" s="383"/>
      <c r="R545" s="383"/>
      <c r="S545" s="383"/>
      <c r="T545" s="410"/>
      <c r="U545" s="406"/>
      <c r="V545" s="386"/>
      <c r="W545" s="387" t="s">
        <v>289</v>
      </c>
      <c r="X545" s="378" t="s">
        <v>289</v>
      </c>
      <c r="Y545" s="387" t="s">
        <v>289</v>
      </c>
      <c r="Z545" s="391" t="s">
        <v>289</v>
      </c>
      <c r="AA545" s="391" t="s">
        <v>289</v>
      </c>
      <c r="AB545" s="391" t="s">
        <v>289</v>
      </c>
      <c r="AC545" s="391" t="s">
        <v>289</v>
      </c>
      <c r="AD545" s="395" t="s">
        <v>289</v>
      </c>
      <c r="AE545" s="395"/>
      <c r="AF545" s="395"/>
      <c r="AG545" s="395"/>
      <c r="AH545" s="395"/>
    </row>
    <row r="546" ht="30.75" customHeight="1">
      <c r="A546" s="373" t="str">
        <f t="shared" si="1"/>
        <v/>
      </c>
      <c r="B546" s="421" t="s">
        <v>289</v>
      </c>
      <c r="C546" s="406"/>
      <c r="D546" s="406"/>
      <c r="E546" s="406"/>
      <c r="F546" s="395" t="s">
        <v>289</v>
      </c>
      <c r="G546" s="406"/>
      <c r="H546" s="406"/>
      <c r="I546" s="378" t="s">
        <v>289</v>
      </c>
      <c r="J546" s="379" t="s">
        <v>289</v>
      </c>
      <c r="K546" s="407"/>
      <c r="L546" s="378" t="s">
        <v>289</v>
      </c>
      <c r="M546" s="378" t="s">
        <v>289</v>
      </c>
      <c r="N546" s="378" t="s">
        <v>289</v>
      </c>
      <c r="O546" s="409"/>
      <c r="P546" s="387" t="s">
        <v>289</v>
      </c>
      <c r="Q546" s="383"/>
      <c r="R546" s="383"/>
      <c r="S546" s="383"/>
      <c r="T546" s="410"/>
      <c r="U546" s="406"/>
      <c r="V546" s="386"/>
      <c r="W546" s="387" t="s">
        <v>289</v>
      </c>
      <c r="X546" s="378" t="s">
        <v>289</v>
      </c>
      <c r="Y546" s="387" t="s">
        <v>289</v>
      </c>
      <c r="Z546" s="391" t="s">
        <v>289</v>
      </c>
      <c r="AA546" s="391" t="s">
        <v>289</v>
      </c>
      <c r="AB546" s="391" t="s">
        <v>289</v>
      </c>
      <c r="AC546" s="391" t="s">
        <v>289</v>
      </c>
      <c r="AD546" s="395" t="s">
        <v>289</v>
      </c>
      <c r="AE546" s="395"/>
      <c r="AF546" s="395"/>
      <c r="AG546" s="395"/>
      <c r="AH546" s="395"/>
    </row>
    <row r="547" ht="30.75" customHeight="1">
      <c r="A547" s="373" t="str">
        <f t="shared" si="1"/>
        <v/>
      </c>
      <c r="B547" s="421" t="s">
        <v>289</v>
      </c>
      <c r="C547" s="406"/>
      <c r="D547" s="406"/>
      <c r="E547" s="406"/>
      <c r="F547" s="395" t="s">
        <v>289</v>
      </c>
      <c r="G547" s="406"/>
      <c r="H547" s="406"/>
      <c r="I547" s="378" t="s">
        <v>289</v>
      </c>
      <c r="J547" s="379" t="s">
        <v>289</v>
      </c>
      <c r="K547" s="407"/>
      <c r="L547" s="378" t="s">
        <v>289</v>
      </c>
      <c r="M547" s="378" t="s">
        <v>289</v>
      </c>
      <c r="N547" s="378" t="s">
        <v>289</v>
      </c>
      <c r="O547" s="409"/>
      <c r="P547" s="387" t="s">
        <v>289</v>
      </c>
      <c r="Q547" s="383"/>
      <c r="R547" s="383"/>
      <c r="S547" s="383"/>
      <c r="T547" s="410"/>
      <c r="U547" s="406"/>
      <c r="V547" s="386"/>
      <c r="W547" s="387" t="s">
        <v>289</v>
      </c>
      <c r="X547" s="378" t="s">
        <v>289</v>
      </c>
      <c r="Y547" s="387" t="s">
        <v>289</v>
      </c>
      <c r="Z547" s="391" t="s">
        <v>289</v>
      </c>
      <c r="AA547" s="391" t="s">
        <v>289</v>
      </c>
      <c r="AB547" s="391" t="s">
        <v>289</v>
      </c>
      <c r="AC547" s="391" t="s">
        <v>289</v>
      </c>
      <c r="AD547" s="395" t="s">
        <v>289</v>
      </c>
      <c r="AE547" s="395"/>
      <c r="AF547" s="395"/>
      <c r="AG547" s="395"/>
      <c r="AH547" s="395"/>
    </row>
    <row r="548" ht="30.75" customHeight="1">
      <c r="A548" s="373" t="str">
        <f t="shared" si="1"/>
        <v/>
      </c>
      <c r="B548" s="421" t="s">
        <v>289</v>
      </c>
      <c r="C548" s="406"/>
      <c r="D548" s="406"/>
      <c r="E548" s="406"/>
      <c r="F548" s="395" t="s">
        <v>289</v>
      </c>
      <c r="G548" s="406"/>
      <c r="H548" s="406"/>
      <c r="I548" s="378" t="s">
        <v>289</v>
      </c>
      <c r="J548" s="379" t="s">
        <v>289</v>
      </c>
      <c r="K548" s="407"/>
      <c r="L548" s="378" t="s">
        <v>289</v>
      </c>
      <c r="M548" s="378" t="s">
        <v>289</v>
      </c>
      <c r="N548" s="378" t="s">
        <v>289</v>
      </c>
      <c r="O548" s="409"/>
      <c r="P548" s="387" t="s">
        <v>289</v>
      </c>
      <c r="Q548" s="383"/>
      <c r="R548" s="383"/>
      <c r="S548" s="383"/>
      <c r="T548" s="410"/>
      <c r="U548" s="406"/>
      <c r="V548" s="386"/>
      <c r="W548" s="387" t="s">
        <v>289</v>
      </c>
      <c r="X548" s="378" t="s">
        <v>289</v>
      </c>
      <c r="Y548" s="387" t="s">
        <v>289</v>
      </c>
      <c r="Z548" s="391" t="s">
        <v>289</v>
      </c>
      <c r="AA548" s="391" t="s">
        <v>289</v>
      </c>
      <c r="AB548" s="391" t="s">
        <v>289</v>
      </c>
      <c r="AC548" s="391" t="s">
        <v>289</v>
      </c>
      <c r="AD548" s="395" t="s">
        <v>289</v>
      </c>
      <c r="AE548" s="395"/>
      <c r="AF548" s="395"/>
      <c r="AG548" s="395"/>
      <c r="AH548" s="395"/>
    </row>
    <row r="549" ht="30.75" customHeight="1">
      <c r="A549" s="373" t="str">
        <f t="shared" si="1"/>
        <v/>
      </c>
      <c r="B549" s="421" t="s">
        <v>289</v>
      </c>
      <c r="C549" s="406"/>
      <c r="D549" s="406"/>
      <c r="E549" s="406"/>
      <c r="F549" s="395" t="s">
        <v>289</v>
      </c>
      <c r="G549" s="406"/>
      <c r="H549" s="406"/>
      <c r="I549" s="378" t="s">
        <v>289</v>
      </c>
      <c r="J549" s="379" t="s">
        <v>289</v>
      </c>
      <c r="K549" s="407"/>
      <c r="L549" s="378" t="s">
        <v>289</v>
      </c>
      <c r="M549" s="378" t="s">
        <v>289</v>
      </c>
      <c r="N549" s="378" t="s">
        <v>289</v>
      </c>
      <c r="O549" s="409"/>
      <c r="P549" s="387" t="s">
        <v>289</v>
      </c>
      <c r="Q549" s="383"/>
      <c r="R549" s="383"/>
      <c r="S549" s="383"/>
      <c r="T549" s="410"/>
      <c r="U549" s="406"/>
      <c r="V549" s="386"/>
      <c r="W549" s="387" t="s">
        <v>289</v>
      </c>
      <c r="X549" s="378" t="s">
        <v>289</v>
      </c>
      <c r="Y549" s="387" t="s">
        <v>289</v>
      </c>
      <c r="Z549" s="391" t="s">
        <v>289</v>
      </c>
      <c r="AA549" s="391" t="s">
        <v>289</v>
      </c>
      <c r="AB549" s="391" t="s">
        <v>289</v>
      </c>
      <c r="AC549" s="391" t="s">
        <v>289</v>
      </c>
      <c r="AD549" s="395" t="s">
        <v>289</v>
      </c>
      <c r="AE549" s="395"/>
      <c r="AF549" s="395"/>
      <c r="AG549" s="395"/>
      <c r="AH549" s="395"/>
    </row>
    <row r="550" ht="30.75" customHeight="1">
      <c r="A550" s="373" t="str">
        <f t="shared" si="1"/>
        <v/>
      </c>
      <c r="B550" s="421" t="s">
        <v>289</v>
      </c>
      <c r="C550" s="406"/>
      <c r="D550" s="406"/>
      <c r="E550" s="406"/>
      <c r="F550" s="395" t="s">
        <v>289</v>
      </c>
      <c r="G550" s="406"/>
      <c r="H550" s="406"/>
      <c r="I550" s="378" t="s">
        <v>289</v>
      </c>
      <c r="J550" s="379" t="s">
        <v>289</v>
      </c>
      <c r="K550" s="407"/>
      <c r="L550" s="378" t="s">
        <v>289</v>
      </c>
      <c r="M550" s="378" t="s">
        <v>289</v>
      </c>
      <c r="N550" s="378" t="s">
        <v>289</v>
      </c>
      <c r="O550" s="409"/>
      <c r="P550" s="387" t="s">
        <v>289</v>
      </c>
      <c r="Q550" s="383"/>
      <c r="R550" s="383"/>
      <c r="S550" s="383"/>
      <c r="T550" s="410"/>
      <c r="U550" s="406"/>
      <c r="V550" s="386"/>
      <c r="W550" s="387" t="s">
        <v>289</v>
      </c>
      <c r="X550" s="378" t="s">
        <v>289</v>
      </c>
      <c r="Y550" s="387" t="s">
        <v>289</v>
      </c>
      <c r="Z550" s="391" t="s">
        <v>289</v>
      </c>
      <c r="AA550" s="391" t="s">
        <v>289</v>
      </c>
      <c r="AB550" s="391" t="s">
        <v>289</v>
      </c>
      <c r="AC550" s="391" t="s">
        <v>289</v>
      </c>
      <c r="AD550" s="395" t="s">
        <v>289</v>
      </c>
      <c r="AE550" s="395"/>
      <c r="AF550" s="395"/>
      <c r="AG550" s="395"/>
      <c r="AH550" s="395"/>
    </row>
    <row r="551" ht="30.75" customHeight="1">
      <c r="A551" s="373" t="str">
        <f t="shared" si="1"/>
        <v/>
      </c>
      <c r="B551" s="421" t="s">
        <v>289</v>
      </c>
      <c r="C551" s="406"/>
      <c r="D551" s="406"/>
      <c r="E551" s="406"/>
      <c r="F551" s="395" t="s">
        <v>289</v>
      </c>
      <c r="G551" s="406"/>
      <c r="H551" s="406"/>
      <c r="I551" s="378" t="s">
        <v>289</v>
      </c>
      <c r="J551" s="379" t="s">
        <v>289</v>
      </c>
      <c r="K551" s="407"/>
      <c r="L551" s="378" t="s">
        <v>289</v>
      </c>
      <c r="M551" s="378" t="s">
        <v>289</v>
      </c>
      <c r="N551" s="378" t="s">
        <v>289</v>
      </c>
      <c r="O551" s="409"/>
      <c r="P551" s="387" t="s">
        <v>289</v>
      </c>
      <c r="Q551" s="383"/>
      <c r="R551" s="383"/>
      <c r="S551" s="383"/>
      <c r="T551" s="410"/>
      <c r="U551" s="406"/>
      <c r="V551" s="386"/>
      <c r="W551" s="387" t="s">
        <v>289</v>
      </c>
      <c r="X551" s="378" t="s">
        <v>289</v>
      </c>
      <c r="Y551" s="387" t="s">
        <v>289</v>
      </c>
      <c r="Z551" s="391" t="s">
        <v>289</v>
      </c>
      <c r="AA551" s="391" t="s">
        <v>289</v>
      </c>
      <c r="AB551" s="391" t="s">
        <v>289</v>
      </c>
      <c r="AC551" s="391" t="s">
        <v>289</v>
      </c>
      <c r="AD551" s="395" t="s">
        <v>289</v>
      </c>
      <c r="AE551" s="395"/>
      <c r="AF551" s="395"/>
      <c r="AG551" s="395"/>
      <c r="AH551" s="395"/>
    </row>
    <row r="552" ht="30.75" customHeight="1">
      <c r="A552" s="373" t="str">
        <f t="shared" si="1"/>
        <v/>
      </c>
      <c r="B552" s="421" t="s">
        <v>289</v>
      </c>
      <c r="C552" s="406"/>
      <c r="D552" s="406"/>
      <c r="E552" s="406"/>
      <c r="F552" s="395" t="s">
        <v>289</v>
      </c>
      <c r="G552" s="406"/>
      <c r="H552" s="406"/>
      <c r="I552" s="378" t="s">
        <v>289</v>
      </c>
      <c r="J552" s="379" t="s">
        <v>289</v>
      </c>
      <c r="K552" s="407"/>
      <c r="L552" s="378" t="s">
        <v>289</v>
      </c>
      <c r="M552" s="378" t="s">
        <v>289</v>
      </c>
      <c r="N552" s="378" t="s">
        <v>289</v>
      </c>
      <c r="O552" s="409"/>
      <c r="P552" s="387" t="s">
        <v>289</v>
      </c>
      <c r="Q552" s="383"/>
      <c r="R552" s="383"/>
      <c r="S552" s="383"/>
      <c r="T552" s="410"/>
      <c r="U552" s="406"/>
      <c r="V552" s="386"/>
      <c r="W552" s="387" t="s">
        <v>289</v>
      </c>
      <c r="X552" s="378" t="s">
        <v>289</v>
      </c>
      <c r="Y552" s="387" t="s">
        <v>289</v>
      </c>
      <c r="Z552" s="391" t="s">
        <v>289</v>
      </c>
      <c r="AA552" s="391" t="s">
        <v>289</v>
      </c>
      <c r="AB552" s="391" t="s">
        <v>289</v>
      </c>
      <c r="AC552" s="391" t="s">
        <v>289</v>
      </c>
      <c r="AD552" s="395" t="s">
        <v>289</v>
      </c>
      <c r="AE552" s="395"/>
      <c r="AF552" s="395"/>
      <c r="AG552" s="395"/>
      <c r="AH552" s="395"/>
    </row>
    <row r="553" ht="30.75" customHeight="1">
      <c r="A553" s="373" t="str">
        <f t="shared" si="1"/>
        <v/>
      </c>
      <c r="B553" s="421" t="s">
        <v>289</v>
      </c>
      <c r="C553" s="406"/>
      <c r="D553" s="406"/>
      <c r="E553" s="406"/>
      <c r="F553" s="395" t="s">
        <v>289</v>
      </c>
      <c r="G553" s="406"/>
      <c r="H553" s="406"/>
      <c r="I553" s="378" t="s">
        <v>289</v>
      </c>
      <c r="J553" s="379" t="s">
        <v>289</v>
      </c>
      <c r="K553" s="407"/>
      <c r="L553" s="378" t="s">
        <v>289</v>
      </c>
      <c r="M553" s="378" t="s">
        <v>289</v>
      </c>
      <c r="N553" s="378" t="s">
        <v>289</v>
      </c>
      <c r="O553" s="409"/>
      <c r="P553" s="387" t="s">
        <v>289</v>
      </c>
      <c r="Q553" s="383"/>
      <c r="R553" s="383"/>
      <c r="S553" s="383"/>
      <c r="T553" s="410"/>
      <c r="U553" s="406"/>
      <c r="V553" s="386"/>
      <c r="W553" s="387" t="s">
        <v>289</v>
      </c>
      <c r="X553" s="378" t="s">
        <v>289</v>
      </c>
      <c r="Y553" s="387" t="s">
        <v>289</v>
      </c>
      <c r="Z553" s="391" t="s">
        <v>289</v>
      </c>
      <c r="AA553" s="391" t="s">
        <v>289</v>
      </c>
      <c r="AB553" s="391" t="s">
        <v>289</v>
      </c>
      <c r="AC553" s="391" t="s">
        <v>289</v>
      </c>
      <c r="AD553" s="395" t="s">
        <v>289</v>
      </c>
      <c r="AE553" s="395"/>
      <c r="AF553" s="395"/>
      <c r="AG553" s="395"/>
      <c r="AH553" s="395"/>
    </row>
    <row r="554" ht="30.75" customHeight="1">
      <c r="A554" s="373" t="str">
        <f t="shared" si="1"/>
        <v/>
      </c>
      <c r="B554" s="421" t="s">
        <v>289</v>
      </c>
      <c r="C554" s="406"/>
      <c r="D554" s="406"/>
      <c r="E554" s="406"/>
      <c r="F554" s="395" t="s">
        <v>289</v>
      </c>
      <c r="G554" s="406"/>
      <c r="H554" s="406"/>
      <c r="I554" s="378" t="s">
        <v>289</v>
      </c>
      <c r="J554" s="379" t="s">
        <v>289</v>
      </c>
      <c r="K554" s="407"/>
      <c r="L554" s="378" t="s">
        <v>289</v>
      </c>
      <c r="M554" s="378" t="s">
        <v>289</v>
      </c>
      <c r="N554" s="378" t="s">
        <v>289</v>
      </c>
      <c r="O554" s="409"/>
      <c r="P554" s="387" t="s">
        <v>289</v>
      </c>
      <c r="Q554" s="383"/>
      <c r="R554" s="383"/>
      <c r="S554" s="383"/>
      <c r="T554" s="410"/>
      <c r="U554" s="406"/>
      <c r="V554" s="386"/>
      <c r="W554" s="387" t="s">
        <v>289</v>
      </c>
      <c r="X554" s="378" t="s">
        <v>289</v>
      </c>
      <c r="Y554" s="387" t="s">
        <v>289</v>
      </c>
      <c r="Z554" s="391" t="s">
        <v>289</v>
      </c>
      <c r="AA554" s="391" t="s">
        <v>289</v>
      </c>
      <c r="AB554" s="391" t="s">
        <v>289</v>
      </c>
      <c r="AC554" s="391" t="s">
        <v>289</v>
      </c>
      <c r="AD554" s="395" t="s">
        <v>289</v>
      </c>
      <c r="AE554" s="395"/>
      <c r="AF554" s="395"/>
      <c r="AG554" s="395"/>
      <c r="AH554" s="395"/>
    </row>
    <row r="555" ht="30.75" customHeight="1">
      <c r="A555" s="373" t="str">
        <f t="shared" si="1"/>
        <v/>
      </c>
      <c r="B555" s="421" t="s">
        <v>289</v>
      </c>
      <c r="C555" s="406"/>
      <c r="D555" s="406"/>
      <c r="E555" s="406"/>
      <c r="F555" s="395" t="s">
        <v>289</v>
      </c>
      <c r="G555" s="406"/>
      <c r="H555" s="406"/>
      <c r="I555" s="378" t="s">
        <v>289</v>
      </c>
      <c r="J555" s="379" t="s">
        <v>289</v>
      </c>
      <c r="K555" s="407"/>
      <c r="L555" s="378" t="s">
        <v>289</v>
      </c>
      <c r="M555" s="378" t="s">
        <v>289</v>
      </c>
      <c r="N555" s="378" t="s">
        <v>289</v>
      </c>
      <c r="O555" s="409"/>
      <c r="P555" s="387" t="s">
        <v>289</v>
      </c>
      <c r="Q555" s="383"/>
      <c r="R555" s="383"/>
      <c r="S555" s="383"/>
      <c r="T555" s="410"/>
      <c r="U555" s="406"/>
      <c r="V555" s="386"/>
      <c r="W555" s="387" t="s">
        <v>289</v>
      </c>
      <c r="X555" s="378" t="s">
        <v>289</v>
      </c>
      <c r="Y555" s="387" t="s">
        <v>289</v>
      </c>
      <c r="Z555" s="391" t="s">
        <v>289</v>
      </c>
      <c r="AA555" s="391" t="s">
        <v>289</v>
      </c>
      <c r="AB555" s="391" t="s">
        <v>289</v>
      </c>
      <c r="AC555" s="391" t="s">
        <v>289</v>
      </c>
      <c r="AD555" s="395" t="s">
        <v>289</v>
      </c>
      <c r="AE555" s="395"/>
      <c r="AF555" s="395"/>
      <c r="AG555" s="395"/>
      <c r="AH555" s="395"/>
    </row>
    <row r="556" ht="30.75" customHeight="1">
      <c r="A556" s="373" t="str">
        <f t="shared" si="1"/>
        <v/>
      </c>
      <c r="B556" s="421" t="s">
        <v>289</v>
      </c>
      <c r="C556" s="406"/>
      <c r="D556" s="406"/>
      <c r="E556" s="406"/>
      <c r="F556" s="395" t="s">
        <v>289</v>
      </c>
      <c r="G556" s="406"/>
      <c r="H556" s="406"/>
      <c r="I556" s="378" t="s">
        <v>289</v>
      </c>
      <c r="J556" s="379" t="s">
        <v>289</v>
      </c>
      <c r="K556" s="407"/>
      <c r="L556" s="378" t="s">
        <v>289</v>
      </c>
      <c r="M556" s="378" t="s">
        <v>289</v>
      </c>
      <c r="N556" s="378" t="s">
        <v>289</v>
      </c>
      <c r="O556" s="409"/>
      <c r="P556" s="387" t="s">
        <v>289</v>
      </c>
      <c r="Q556" s="383"/>
      <c r="R556" s="383"/>
      <c r="S556" s="383"/>
      <c r="T556" s="410"/>
      <c r="U556" s="406"/>
      <c r="V556" s="386"/>
      <c r="W556" s="387" t="s">
        <v>289</v>
      </c>
      <c r="X556" s="378" t="s">
        <v>289</v>
      </c>
      <c r="Y556" s="387" t="s">
        <v>289</v>
      </c>
      <c r="Z556" s="391" t="s">
        <v>289</v>
      </c>
      <c r="AA556" s="391" t="s">
        <v>289</v>
      </c>
      <c r="AB556" s="391" t="s">
        <v>289</v>
      </c>
      <c r="AC556" s="391" t="s">
        <v>289</v>
      </c>
      <c r="AD556" s="395" t="s">
        <v>289</v>
      </c>
      <c r="AE556" s="395"/>
      <c r="AF556" s="395"/>
      <c r="AG556" s="395"/>
      <c r="AH556" s="395"/>
    </row>
    <row r="557" ht="30.75" customHeight="1">
      <c r="A557" s="373" t="str">
        <f t="shared" si="1"/>
        <v/>
      </c>
      <c r="B557" s="421" t="s">
        <v>289</v>
      </c>
      <c r="C557" s="406"/>
      <c r="D557" s="406"/>
      <c r="E557" s="406"/>
      <c r="F557" s="395" t="s">
        <v>289</v>
      </c>
      <c r="G557" s="406"/>
      <c r="H557" s="406"/>
      <c r="I557" s="378" t="s">
        <v>289</v>
      </c>
      <c r="J557" s="379" t="s">
        <v>289</v>
      </c>
      <c r="K557" s="407"/>
      <c r="L557" s="378" t="s">
        <v>289</v>
      </c>
      <c r="M557" s="378" t="s">
        <v>289</v>
      </c>
      <c r="N557" s="378" t="s">
        <v>289</v>
      </c>
      <c r="O557" s="409"/>
      <c r="P557" s="387" t="s">
        <v>289</v>
      </c>
      <c r="Q557" s="383"/>
      <c r="R557" s="383"/>
      <c r="S557" s="383"/>
      <c r="T557" s="410"/>
      <c r="U557" s="406"/>
      <c r="V557" s="386"/>
      <c r="W557" s="387" t="s">
        <v>289</v>
      </c>
      <c r="X557" s="378" t="s">
        <v>289</v>
      </c>
      <c r="Y557" s="387" t="s">
        <v>289</v>
      </c>
      <c r="Z557" s="391" t="s">
        <v>289</v>
      </c>
      <c r="AA557" s="391" t="s">
        <v>289</v>
      </c>
      <c r="AB557" s="391" t="s">
        <v>289</v>
      </c>
      <c r="AC557" s="391" t="s">
        <v>289</v>
      </c>
      <c r="AD557" s="395" t="s">
        <v>289</v>
      </c>
      <c r="AE557" s="395"/>
      <c r="AF557" s="395"/>
      <c r="AG557" s="395"/>
      <c r="AH557" s="395"/>
    </row>
    <row r="558" ht="30.75" customHeight="1">
      <c r="A558" s="373" t="str">
        <f t="shared" si="1"/>
        <v/>
      </c>
      <c r="B558" s="421" t="s">
        <v>289</v>
      </c>
      <c r="C558" s="406"/>
      <c r="D558" s="406"/>
      <c r="E558" s="406"/>
      <c r="F558" s="395" t="s">
        <v>289</v>
      </c>
      <c r="G558" s="406"/>
      <c r="H558" s="406"/>
      <c r="I558" s="378" t="s">
        <v>289</v>
      </c>
      <c r="J558" s="379" t="s">
        <v>289</v>
      </c>
      <c r="K558" s="407"/>
      <c r="L558" s="378" t="s">
        <v>289</v>
      </c>
      <c r="M558" s="378" t="s">
        <v>289</v>
      </c>
      <c r="N558" s="378" t="s">
        <v>289</v>
      </c>
      <c r="O558" s="409"/>
      <c r="P558" s="387" t="s">
        <v>289</v>
      </c>
      <c r="Q558" s="383"/>
      <c r="R558" s="383"/>
      <c r="S558" s="383"/>
      <c r="T558" s="410"/>
      <c r="U558" s="406"/>
      <c r="V558" s="386"/>
      <c r="W558" s="387" t="s">
        <v>289</v>
      </c>
      <c r="X558" s="378" t="s">
        <v>289</v>
      </c>
      <c r="Y558" s="387" t="s">
        <v>289</v>
      </c>
      <c r="Z558" s="391" t="s">
        <v>289</v>
      </c>
      <c r="AA558" s="391" t="s">
        <v>289</v>
      </c>
      <c r="AB558" s="391" t="s">
        <v>289</v>
      </c>
      <c r="AC558" s="391" t="s">
        <v>289</v>
      </c>
      <c r="AD558" s="395" t="s">
        <v>289</v>
      </c>
      <c r="AE558" s="395"/>
      <c r="AF558" s="395"/>
      <c r="AG558" s="395"/>
      <c r="AH558" s="395"/>
    </row>
    <row r="559" ht="30.75" customHeight="1">
      <c r="A559" s="373" t="str">
        <f t="shared" si="1"/>
        <v/>
      </c>
      <c r="B559" s="421" t="s">
        <v>289</v>
      </c>
      <c r="C559" s="406"/>
      <c r="D559" s="406"/>
      <c r="E559" s="406"/>
      <c r="F559" s="395" t="s">
        <v>289</v>
      </c>
      <c r="G559" s="406"/>
      <c r="H559" s="406"/>
      <c r="I559" s="378" t="s">
        <v>289</v>
      </c>
      <c r="J559" s="379" t="s">
        <v>289</v>
      </c>
      <c r="K559" s="407"/>
      <c r="L559" s="378" t="s">
        <v>289</v>
      </c>
      <c r="M559" s="378" t="s">
        <v>289</v>
      </c>
      <c r="N559" s="378" t="s">
        <v>289</v>
      </c>
      <c r="O559" s="409"/>
      <c r="P559" s="387" t="s">
        <v>289</v>
      </c>
      <c r="Q559" s="383"/>
      <c r="R559" s="383"/>
      <c r="S559" s="383"/>
      <c r="T559" s="410"/>
      <c r="U559" s="406"/>
      <c r="V559" s="386"/>
      <c r="W559" s="387" t="s">
        <v>289</v>
      </c>
      <c r="X559" s="378" t="s">
        <v>289</v>
      </c>
      <c r="Y559" s="387" t="s">
        <v>289</v>
      </c>
      <c r="Z559" s="391" t="s">
        <v>289</v>
      </c>
      <c r="AA559" s="391" t="s">
        <v>289</v>
      </c>
      <c r="AB559" s="391" t="s">
        <v>289</v>
      </c>
      <c r="AC559" s="391" t="s">
        <v>289</v>
      </c>
      <c r="AD559" s="395" t="s">
        <v>289</v>
      </c>
      <c r="AE559" s="395"/>
      <c r="AF559" s="395"/>
      <c r="AG559" s="395"/>
      <c r="AH559" s="395"/>
    </row>
    <row r="560" ht="30.75" customHeight="1">
      <c r="A560" s="373" t="str">
        <f t="shared" si="1"/>
        <v/>
      </c>
      <c r="B560" s="421" t="s">
        <v>289</v>
      </c>
      <c r="C560" s="406"/>
      <c r="D560" s="406"/>
      <c r="E560" s="406"/>
      <c r="F560" s="395" t="s">
        <v>289</v>
      </c>
      <c r="G560" s="406"/>
      <c r="H560" s="406"/>
      <c r="I560" s="378" t="s">
        <v>289</v>
      </c>
      <c r="J560" s="379" t="s">
        <v>289</v>
      </c>
      <c r="K560" s="407"/>
      <c r="L560" s="378" t="s">
        <v>289</v>
      </c>
      <c r="M560" s="378" t="s">
        <v>289</v>
      </c>
      <c r="N560" s="378" t="s">
        <v>289</v>
      </c>
      <c r="O560" s="409"/>
      <c r="P560" s="387" t="s">
        <v>289</v>
      </c>
      <c r="Q560" s="383"/>
      <c r="R560" s="383"/>
      <c r="S560" s="383"/>
      <c r="T560" s="410"/>
      <c r="U560" s="406"/>
      <c r="V560" s="386"/>
      <c r="W560" s="387" t="s">
        <v>289</v>
      </c>
      <c r="X560" s="378" t="s">
        <v>289</v>
      </c>
      <c r="Y560" s="387" t="s">
        <v>289</v>
      </c>
      <c r="Z560" s="391" t="s">
        <v>289</v>
      </c>
      <c r="AA560" s="391" t="s">
        <v>289</v>
      </c>
      <c r="AB560" s="391" t="s">
        <v>289</v>
      </c>
      <c r="AC560" s="391" t="s">
        <v>289</v>
      </c>
      <c r="AD560" s="395" t="s">
        <v>289</v>
      </c>
      <c r="AE560" s="395"/>
      <c r="AF560" s="395"/>
      <c r="AG560" s="395"/>
      <c r="AH560" s="395"/>
    </row>
    <row r="561" ht="30.75" customHeight="1">
      <c r="A561" s="373" t="str">
        <f t="shared" si="1"/>
        <v/>
      </c>
      <c r="B561" s="421" t="s">
        <v>289</v>
      </c>
      <c r="C561" s="406"/>
      <c r="D561" s="406"/>
      <c r="E561" s="406"/>
      <c r="F561" s="395" t="s">
        <v>289</v>
      </c>
      <c r="G561" s="406"/>
      <c r="H561" s="406"/>
      <c r="I561" s="378" t="s">
        <v>289</v>
      </c>
      <c r="J561" s="379" t="s">
        <v>289</v>
      </c>
      <c r="K561" s="407"/>
      <c r="L561" s="378" t="s">
        <v>289</v>
      </c>
      <c r="M561" s="378" t="s">
        <v>289</v>
      </c>
      <c r="N561" s="378" t="s">
        <v>289</v>
      </c>
      <c r="O561" s="409"/>
      <c r="P561" s="387" t="s">
        <v>289</v>
      </c>
      <c r="Q561" s="383"/>
      <c r="R561" s="383"/>
      <c r="S561" s="383"/>
      <c r="T561" s="410"/>
      <c r="U561" s="406"/>
      <c r="V561" s="386"/>
      <c r="W561" s="387" t="s">
        <v>289</v>
      </c>
      <c r="X561" s="378" t="s">
        <v>289</v>
      </c>
      <c r="Y561" s="387" t="s">
        <v>289</v>
      </c>
      <c r="Z561" s="391" t="s">
        <v>289</v>
      </c>
      <c r="AA561" s="391" t="s">
        <v>289</v>
      </c>
      <c r="AB561" s="391" t="s">
        <v>289</v>
      </c>
      <c r="AC561" s="391" t="s">
        <v>289</v>
      </c>
      <c r="AD561" s="395" t="s">
        <v>289</v>
      </c>
      <c r="AE561" s="395"/>
      <c r="AF561" s="395"/>
      <c r="AG561" s="395"/>
      <c r="AH561" s="395"/>
    </row>
    <row r="562" ht="30.75" customHeight="1">
      <c r="A562" s="373" t="str">
        <f t="shared" si="1"/>
        <v/>
      </c>
      <c r="B562" s="421" t="s">
        <v>289</v>
      </c>
      <c r="C562" s="406"/>
      <c r="D562" s="406"/>
      <c r="E562" s="406"/>
      <c r="F562" s="395" t="s">
        <v>289</v>
      </c>
      <c r="G562" s="406"/>
      <c r="H562" s="406"/>
      <c r="I562" s="378" t="s">
        <v>289</v>
      </c>
      <c r="J562" s="379" t="s">
        <v>289</v>
      </c>
      <c r="K562" s="407"/>
      <c r="L562" s="378" t="s">
        <v>289</v>
      </c>
      <c r="M562" s="378" t="s">
        <v>289</v>
      </c>
      <c r="N562" s="378" t="s">
        <v>289</v>
      </c>
      <c r="O562" s="409"/>
      <c r="P562" s="387" t="s">
        <v>289</v>
      </c>
      <c r="Q562" s="383"/>
      <c r="R562" s="383"/>
      <c r="S562" s="383"/>
      <c r="T562" s="410"/>
      <c r="U562" s="406"/>
      <c r="V562" s="386"/>
      <c r="W562" s="387" t="s">
        <v>289</v>
      </c>
      <c r="X562" s="378" t="s">
        <v>289</v>
      </c>
      <c r="Y562" s="387" t="s">
        <v>289</v>
      </c>
      <c r="Z562" s="391" t="s">
        <v>289</v>
      </c>
      <c r="AA562" s="391" t="s">
        <v>289</v>
      </c>
      <c r="AB562" s="391" t="s">
        <v>289</v>
      </c>
      <c r="AC562" s="391" t="s">
        <v>289</v>
      </c>
      <c r="AD562" s="395" t="s">
        <v>289</v>
      </c>
      <c r="AE562" s="395"/>
      <c r="AF562" s="395"/>
      <c r="AG562" s="395"/>
      <c r="AH562" s="395"/>
    </row>
    <row r="563" ht="30.75" customHeight="1">
      <c r="A563" s="373" t="str">
        <f t="shared" si="1"/>
        <v/>
      </c>
      <c r="B563" s="421" t="s">
        <v>289</v>
      </c>
      <c r="C563" s="406"/>
      <c r="D563" s="406"/>
      <c r="E563" s="406"/>
      <c r="F563" s="395" t="s">
        <v>289</v>
      </c>
      <c r="G563" s="406"/>
      <c r="H563" s="406"/>
      <c r="I563" s="378" t="s">
        <v>289</v>
      </c>
      <c r="J563" s="379" t="s">
        <v>289</v>
      </c>
      <c r="K563" s="407"/>
      <c r="L563" s="378" t="s">
        <v>289</v>
      </c>
      <c r="M563" s="378" t="s">
        <v>289</v>
      </c>
      <c r="N563" s="378" t="s">
        <v>289</v>
      </c>
      <c r="O563" s="409"/>
      <c r="P563" s="387" t="s">
        <v>289</v>
      </c>
      <c r="Q563" s="383"/>
      <c r="R563" s="383"/>
      <c r="S563" s="383"/>
      <c r="T563" s="410"/>
      <c r="U563" s="406"/>
      <c r="V563" s="386"/>
      <c r="W563" s="387" t="s">
        <v>289</v>
      </c>
      <c r="X563" s="378" t="s">
        <v>289</v>
      </c>
      <c r="Y563" s="387" t="s">
        <v>289</v>
      </c>
      <c r="Z563" s="391" t="s">
        <v>289</v>
      </c>
      <c r="AA563" s="391" t="s">
        <v>289</v>
      </c>
      <c r="AB563" s="391" t="s">
        <v>289</v>
      </c>
      <c r="AC563" s="391" t="s">
        <v>289</v>
      </c>
      <c r="AD563" s="395" t="s">
        <v>289</v>
      </c>
      <c r="AE563" s="395"/>
      <c r="AF563" s="395"/>
      <c r="AG563" s="395"/>
      <c r="AH563" s="395"/>
    </row>
    <row r="564" ht="30.75" customHeight="1">
      <c r="A564" s="373" t="str">
        <f t="shared" si="1"/>
        <v/>
      </c>
      <c r="B564" s="421" t="s">
        <v>289</v>
      </c>
      <c r="C564" s="406"/>
      <c r="D564" s="406"/>
      <c r="E564" s="406"/>
      <c r="F564" s="395" t="s">
        <v>289</v>
      </c>
      <c r="G564" s="406"/>
      <c r="H564" s="406"/>
      <c r="I564" s="378" t="s">
        <v>289</v>
      </c>
      <c r="J564" s="379" t="s">
        <v>289</v>
      </c>
      <c r="K564" s="407"/>
      <c r="L564" s="378" t="s">
        <v>289</v>
      </c>
      <c r="M564" s="378" t="s">
        <v>289</v>
      </c>
      <c r="N564" s="378" t="s">
        <v>289</v>
      </c>
      <c r="O564" s="409"/>
      <c r="P564" s="387" t="s">
        <v>289</v>
      </c>
      <c r="Q564" s="383"/>
      <c r="R564" s="383"/>
      <c r="S564" s="383"/>
      <c r="T564" s="410"/>
      <c r="U564" s="406"/>
      <c r="V564" s="386"/>
      <c r="W564" s="387" t="s">
        <v>289</v>
      </c>
      <c r="X564" s="378" t="s">
        <v>289</v>
      </c>
      <c r="Y564" s="387" t="s">
        <v>289</v>
      </c>
      <c r="Z564" s="391" t="s">
        <v>289</v>
      </c>
      <c r="AA564" s="391" t="s">
        <v>289</v>
      </c>
      <c r="AB564" s="391" t="s">
        <v>289</v>
      </c>
      <c r="AC564" s="391" t="s">
        <v>289</v>
      </c>
      <c r="AD564" s="395" t="s">
        <v>289</v>
      </c>
      <c r="AE564" s="395"/>
      <c r="AF564" s="395"/>
      <c r="AG564" s="395"/>
      <c r="AH564" s="395"/>
    </row>
    <row r="565" ht="30.75" customHeight="1">
      <c r="A565" s="373" t="str">
        <f t="shared" si="1"/>
        <v/>
      </c>
      <c r="B565" s="421" t="s">
        <v>289</v>
      </c>
      <c r="C565" s="406"/>
      <c r="D565" s="406"/>
      <c r="E565" s="406"/>
      <c r="F565" s="395" t="s">
        <v>289</v>
      </c>
      <c r="G565" s="406"/>
      <c r="H565" s="406"/>
      <c r="I565" s="378" t="s">
        <v>289</v>
      </c>
      <c r="J565" s="379" t="s">
        <v>289</v>
      </c>
      <c r="K565" s="407"/>
      <c r="L565" s="378" t="s">
        <v>289</v>
      </c>
      <c r="M565" s="378" t="s">
        <v>289</v>
      </c>
      <c r="N565" s="378" t="s">
        <v>289</v>
      </c>
      <c r="O565" s="409"/>
      <c r="P565" s="387" t="s">
        <v>289</v>
      </c>
      <c r="Q565" s="383"/>
      <c r="R565" s="383"/>
      <c r="S565" s="383"/>
      <c r="T565" s="410"/>
      <c r="U565" s="406"/>
      <c r="V565" s="386"/>
      <c r="W565" s="387" t="s">
        <v>289</v>
      </c>
      <c r="X565" s="378" t="s">
        <v>289</v>
      </c>
      <c r="Y565" s="387" t="s">
        <v>289</v>
      </c>
      <c r="Z565" s="391" t="s">
        <v>289</v>
      </c>
      <c r="AA565" s="391" t="s">
        <v>289</v>
      </c>
      <c r="AB565" s="391" t="s">
        <v>289</v>
      </c>
      <c r="AC565" s="391" t="s">
        <v>289</v>
      </c>
      <c r="AD565" s="395" t="s">
        <v>289</v>
      </c>
      <c r="AE565" s="395"/>
      <c r="AF565" s="395"/>
      <c r="AG565" s="395"/>
      <c r="AH565" s="395"/>
    </row>
    <row r="566" ht="30.75" customHeight="1">
      <c r="A566" s="373" t="str">
        <f t="shared" si="1"/>
        <v/>
      </c>
      <c r="B566" s="421" t="s">
        <v>289</v>
      </c>
      <c r="C566" s="406"/>
      <c r="D566" s="406"/>
      <c r="E566" s="406"/>
      <c r="F566" s="395" t="s">
        <v>289</v>
      </c>
      <c r="G566" s="406"/>
      <c r="H566" s="406"/>
      <c r="I566" s="378" t="s">
        <v>289</v>
      </c>
      <c r="J566" s="379" t="s">
        <v>289</v>
      </c>
      <c r="K566" s="407"/>
      <c r="L566" s="378" t="s">
        <v>289</v>
      </c>
      <c r="M566" s="378" t="s">
        <v>289</v>
      </c>
      <c r="N566" s="378" t="s">
        <v>289</v>
      </c>
      <c r="O566" s="409"/>
      <c r="P566" s="387" t="s">
        <v>289</v>
      </c>
      <c r="Q566" s="383"/>
      <c r="R566" s="383"/>
      <c r="S566" s="383"/>
      <c r="T566" s="410"/>
      <c r="U566" s="406"/>
      <c r="V566" s="386"/>
      <c r="W566" s="387" t="s">
        <v>289</v>
      </c>
      <c r="X566" s="378" t="s">
        <v>289</v>
      </c>
      <c r="Y566" s="387" t="s">
        <v>289</v>
      </c>
      <c r="Z566" s="391" t="s">
        <v>289</v>
      </c>
      <c r="AA566" s="391" t="s">
        <v>289</v>
      </c>
      <c r="AB566" s="391" t="s">
        <v>289</v>
      </c>
      <c r="AC566" s="391" t="s">
        <v>289</v>
      </c>
      <c r="AD566" s="395" t="s">
        <v>289</v>
      </c>
      <c r="AE566" s="395"/>
      <c r="AF566" s="395"/>
      <c r="AG566" s="395"/>
      <c r="AH566" s="395"/>
    </row>
    <row r="567" ht="30.75" customHeight="1">
      <c r="A567" s="373" t="str">
        <f t="shared" si="1"/>
        <v/>
      </c>
      <c r="B567" s="421" t="s">
        <v>289</v>
      </c>
      <c r="C567" s="406"/>
      <c r="D567" s="406"/>
      <c r="E567" s="406"/>
      <c r="F567" s="395" t="s">
        <v>289</v>
      </c>
      <c r="G567" s="406"/>
      <c r="H567" s="406"/>
      <c r="I567" s="378" t="s">
        <v>289</v>
      </c>
      <c r="J567" s="379" t="s">
        <v>289</v>
      </c>
      <c r="K567" s="407"/>
      <c r="L567" s="378" t="s">
        <v>289</v>
      </c>
      <c r="M567" s="378" t="s">
        <v>289</v>
      </c>
      <c r="N567" s="378" t="s">
        <v>289</v>
      </c>
      <c r="O567" s="409"/>
      <c r="P567" s="387" t="s">
        <v>289</v>
      </c>
      <c r="Q567" s="383"/>
      <c r="R567" s="383"/>
      <c r="S567" s="383"/>
      <c r="T567" s="410"/>
      <c r="U567" s="406"/>
      <c r="V567" s="386"/>
      <c r="W567" s="387" t="s">
        <v>289</v>
      </c>
      <c r="X567" s="378" t="s">
        <v>289</v>
      </c>
      <c r="Y567" s="387" t="s">
        <v>289</v>
      </c>
      <c r="Z567" s="391" t="s">
        <v>289</v>
      </c>
      <c r="AA567" s="391" t="s">
        <v>289</v>
      </c>
      <c r="AB567" s="391" t="s">
        <v>289</v>
      </c>
      <c r="AC567" s="391" t="s">
        <v>289</v>
      </c>
      <c r="AD567" s="395" t="s">
        <v>289</v>
      </c>
      <c r="AE567" s="395"/>
      <c r="AF567" s="395"/>
      <c r="AG567" s="395"/>
      <c r="AH567" s="395"/>
    </row>
    <row r="568" ht="30.75" customHeight="1">
      <c r="A568" s="373" t="str">
        <f t="shared" si="1"/>
        <v/>
      </c>
      <c r="B568" s="421" t="s">
        <v>289</v>
      </c>
      <c r="C568" s="406"/>
      <c r="D568" s="406"/>
      <c r="E568" s="406"/>
      <c r="F568" s="395" t="s">
        <v>289</v>
      </c>
      <c r="G568" s="406"/>
      <c r="H568" s="406"/>
      <c r="I568" s="378" t="s">
        <v>289</v>
      </c>
      <c r="J568" s="379" t="s">
        <v>289</v>
      </c>
      <c r="K568" s="407"/>
      <c r="L568" s="378" t="s">
        <v>289</v>
      </c>
      <c r="M568" s="378" t="s">
        <v>289</v>
      </c>
      <c r="N568" s="378" t="s">
        <v>289</v>
      </c>
      <c r="O568" s="409"/>
      <c r="P568" s="387" t="s">
        <v>289</v>
      </c>
      <c r="Q568" s="383"/>
      <c r="R568" s="383"/>
      <c r="S568" s="383"/>
      <c r="T568" s="410"/>
      <c r="U568" s="406"/>
      <c r="V568" s="386"/>
      <c r="W568" s="387" t="s">
        <v>289</v>
      </c>
      <c r="X568" s="378" t="s">
        <v>289</v>
      </c>
      <c r="Y568" s="387" t="s">
        <v>289</v>
      </c>
      <c r="Z568" s="391" t="s">
        <v>289</v>
      </c>
      <c r="AA568" s="391" t="s">
        <v>289</v>
      </c>
      <c r="AB568" s="391" t="s">
        <v>289</v>
      </c>
      <c r="AC568" s="391" t="s">
        <v>289</v>
      </c>
      <c r="AD568" s="395" t="s">
        <v>289</v>
      </c>
      <c r="AE568" s="395"/>
      <c r="AF568" s="395"/>
      <c r="AG568" s="395"/>
      <c r="AH568" s="395"/>
    </row>
    <row r="569" ht="30.75" customHeight="1">
      <c r="A569" s="373" t="str">
        <f t="shared" si="1"/>
        <v/>
      </c>
      <c r="B569" s="421" t="s">
        <v>289</v>
      </c>
      <c r="C569" s="406"/>
      <c r="D569" s="406"/>
      <c r="E569" s="406"/>
      <c r="F569" s="395" t="s">
        <v>289</v>
      </c>
      <c r="G569" s="406"/>
      <c r="H569" s="406"/>
      <c r="I569" s="378" t="s">
        <v>289</v>
      </c>
      <c r="J569" s="379" t="s">
        <v>289</v>
      </c>
      <c r="K569" s="407"/>
      <c r="L569" s="378" t="s">
        <v>289</v>
      </c>
      <c r="M569" s="378" t="s">
        <v>289</v>
      </c>
      <c r="N569" s="378" t="s">
        <v>289</v>
      </c>
      <c r="O569" s="409"/>
      <c r="P569" s="387" t="s">
        <v>289</v>
      </c>
      <c r="Q569" s="383"/>
      <c r="R569" s="383"/>
      <c r="S569" s="383"/>
      <c r="T569" s="410"/>
      <c r="U569" s="406"/>
      <c r="V569" s="386"/>
      <c r="W569" s="387" t="s">
        <v>289</v>
      </c>
      <c r="X569" s="378" t="s">
        <v>289</v>
      </c>
      <c r="Y569" s="387" t="s">
        <v>289</v>
      </c>
      <c r="Z569" s="391" t="s">
        <v>289</v>
      </c>
      <c r="AA569" s="391" t="s">
        <v>289</v>
      </c>
      <c r="AB569" s="391" t="s">
        <v>289</v>
      </c>
      <c r="AC569" s="391" t="s">
        <v>289</v>
      </c>
      <c r="AD569" s="395" t="s">
        <v>289</v>
      </c>
      <c r="AE569" s="395"/>
      <c r="AF569" s="395"/>
      <c r="AG569" s="395"/>
      <c r="AH569" s="395"/>
    </row>
    <row r="570" ht="30.75" customHeight="1">
      <c r="A570" s="373" t="str">
        <f t="shared" si="1"/>
        <v/>
      </c>
      <c r="B570" s="421" t="s">
        <v>289</v>
      </c>
      <c r="C570" s="406"/>
      <c r="D570" s="406"/>
      <c r="E570" s="406"/>
      <c r="F570" s="395" t="s">
        <v>289</v>
      </c>
      <c r="G570" s="406"/>
      <c r="H570" s="406"/>
      <c r="I570" s="378" t="s">
        <v>289</v>
      </c>
      <c r="J570" s="379" t="s">
        <v>289</v>
      </c>
      <c r="K570" s="407"/>
      <c r="L570" s="378" t="s">
        <v>289</v>
      </c>
      <c r="M570" s="378" t="s">
        <v>289</v>
      </c>
      <c r="N570" s="378" t="s">
        <v>289</v>
      </c>
      <c r="O570" s="409"/>
      <c r="P570" s="387" t="s">
        <v>289</v>
      </c>
      <c r="Q570" s="383"/>
      <c r="R570" s="383"/>
      <c r="S570" s="383"/>
      <c r="T570" s="410"/>
      <c r="U570" s="406"/>
      <c r="V570" s="386"/>
      <c r="W570" s="387" t="s">
        <v>289</v>
      </c>
      <c r="X570" s="378" t="s">
        <v>289</v>
      </c>
      <c r="Y570" s="387" t="s">
        <v>289</v>
      </c>
      <c r="Z570" s="391" t="s">
        <v>289</v>
      </c>
      <c r="AA570" s="391" t="s">
        <v>289</v>
      </c>
      <c r="AB570" s="391" t="s">
        <v>289</v>
      </c>
      <c r="AC570" s="391" t="s">
        <v>289</v>
      </c>
      <c r="AD570" s="395" t="s">
        <v>289</v>
      </c>
      <c r="AE570" s="395"/>
      <c r="AF570" s="395"/>
      <c r="AG570" s="395"/>
      <c r="AH570" s="395"/>
    </row>
    <row r="571" ht="30.75" customHeight="1">
      <c r="A571" s="373" t="str">
        <f t="shared" si="1"/>
        <v/>
      </c>
      <c r="B571" s="421" t="s">
        <v>289</v>
      </c>
      <c r="C571" s="406"/>
      <c r="D571" s="406"/>
      <c r="E571" s="406"/>
      <c r="F571" s="395" t="s">
        <v>289</v>
      </c>
      <c r="G571" s="406"/>
      <c r="H571" s="406"/>
      <c r="I571" s="378" t="s">
        <v>289</v>
      </c>
      <c r="J571" s="379" t="s">
        <v>289</v>
      </c>
      <c r="K571" s="407"/>
      <c r="L571" s="378" t="s">
        <v>289</v>
      </c>
      <c r="M571" s="378" t="s">
        <v>289</v>
      </c>
      <c r="N571" s="378" t="s">
        <v>289</v>
      </c>
      <c r="O571" s="409"/>
      <c r="P571" s="387" t="s">
        <v>289</v>
      </c>
      <c r="Q571" s="383"/>
      <c r="R571" s="383"/>
      <c r="S571" s="383"/>
      <c r="T571" s="410"/>
      <c r="U571" s="406"/>
      <c r="V571" s="386"/>
      <c r="W571" s="387" t="s">
        <v>289</v>
      </c>
      <c r="X571" s="378" t="s">
        <v>289</v>
      </c>
      <c r="Y571" s="387" t="s">
        <v>289</v>
      </c>
      <c r="Z571" s="391" t="s">
        <v>289</v>
      </c>
      <c r="AA571" s="391" t="s">
        <v>289</v>
      </c>
      <c r="AB571" s="391" t="s">
        <v>289</v>
      </c>
      <c r="AC571" s="391" t="s">
        <v>289</v>
      </c>
      <c r="AD571" s="395" t="s">
        <v>289</v>
      </c>
      <c r="AE571" s="395"/>
      <c r="AF571" s="395"/>
      <c r="AG571" s="395"/>
      <c r="AH571" s="395"/>
    </row>
    <row r="572" ht="30.75" customHeight="1">
      <c r="A572" s="373" t="str">
        <f t="shared" si="1"/>
        <v/>
      </c>
      <c r="B572" s="421" t="s">
        <v>289</v>
      </c>
      <c r="C572" s="406"/>
      <c r="D572" s="406"/>
      <c r="E572" s="406"/>
      <c r="F572" s="395" t="s">
        <v>289</v>
      </c>
      <c r="G572" s="406"/>
      <c r="H572" s="406"/>
      <c r="I572" s="378" t="s">
        <v>289</v>
      </c>
      <c r="J572" s="379" t="s">
        <v>289</v>
      </c>
      <c r="K572" s="407"/>
      <c r="L572" s="378" t="s">
        <v>289</v>
      </c>
      <c r="M572" s="378" t="s">
        <v>289</v>
      </c>
      <c r="N572" s="378" t="s">
        <v>289</v>
      </c>
      <c r="O572" s="409"/>
      <c r="P572" s="387" t="s">
        <v>289</v>
      </c>
      <c r="Q572" s="383"/>
      <c r="R572" s="383"/>
      <c r="S572" s="383"/>
      <c r="T572" s="410"/>
      <c r="U572" s="406"/>
      <c r="V572" s="386"/>
      <c r="W572" s="387" t="s">
        <v>289</v>
      </c>
      <c r="X572" s="378" t="s">
        <v>289</v>
      </c>
      <c r="Y572" s="387" t="s">
        <v>289</v>
      </c>
      <c r="Z572" s="391" t="s">
        <v>289</v>
      </c>
      <c r="AA572" s="391" t="s">
        <v>289</v>
      </c>
      <c r="AB572" s="391" t="s">
        <v>289</v>
      </c>
      <c r="AC572" s="391" t="s">
        <v>289</v>
      </c>
      <c r="AD572" s="395" t="s">
        <v>289</v>
      </c>
      <c r="AE572" s="395"/>
      <c r="AF572" s="395"/>
      <c r="AG572" s="395"/>
      <c r="AH572" s="395"/>
    </row>
    <row r="573" ht="30.75" customHeight="1">
      <c r="A573" s="373" t="str">
        <f t="shared" si="1"/>
        <v/>
      </c>
      <c r="B573" s="421" t="s">
        <v>289</v>
      </c>
      <c r="C573" s="406"/>
      <c r="D573" s="406"/>
      <c r="E573" s="406"/>
      <c r="F573" s="395" t="s">
        <v>289</v>
      </c>
      <c r="G573" s="406"/>
      <c r="H573" s="406"/>
      <c r="I573" s="378" t="s">
        <v>289</v>
      </c>
      <c r="J573" s="379" t="s">
        <v>289</v>
      </c>
      <c r="K573" s="407"/>
      <c r="L573" s="378" t="s">
        <v>289</v>
      </c>
      <c r="M573" s="378" t="s">
        <v>289</v>
      </c>
      <c r="N573" s="378" t="s">
        <v>289</v>
      </c>
      <c r="O573" s="409"/>
      <c r="P573" s="387" t="s">
        <v>289</v>
      </c>
      <c r="Q573" s="383"/>
      <c r="R573" s="383"/>
      <c r="S573" s="383"/>
      <c r="T573" s="410"/>
      <c r="U573" s="406"/>
      <c r="V573" s="386"/>
      <c r="W573" s="387" t="s">
        <v>289</v>
      </c>
      <c r="X573" s="378" t="s">
        <v>289</v>
      </c>
      <c r="Y573" s="387" t="s">
        <v>289</v>
      </c>
      <c r="Z573" s="391" t="s">
        <v>289</v>
      </c>
      <c r="AA573" s="391" t="s">
        <v>289</v>
      </c>
      <c r="AB573" s="391" t="s">
        <v>289</v>
      </c>
      <c r="AC573" s="391" t="s">
        <v>289</v>
      </c>
      <c r="AD573" s="395" t="s">
        <v>289</v>
      </c>
      <c r="AE573" s="395"/>
      <c r="AF573" s="395"/>
      <c r="AG573" s="395"/>
      <c r="AH573" s="395"/>
    </row>
    <row r="574" ht="30.75" customHeight="1">
      <c r="A574" s="373" t="str">
        <f t="shared" si="1"/>
        <v/>
      </c>
      <c r="B574" s="421" t="s">
        <v>289</v>
      </c>
      <c r="C574" s="406"/>
      <c r="D574" s="406"/>
      <c r="E574" s="406"/>
      <c r="F574" s="395" t="s">
        <v>289</v>
      </c>
      <c r="G574" s="406"/>
      <c r="H574" s="406"/>
      <c r="I574" s="378" t="s">
        <v>289</v>
      </c>
      <c r="J574" s="379" t="s">
        <v>289</v>
      </c>
      <c r="K574" s="407"/>
      <c r="L574" s="378" t="s">
        <v>289</v>
      </c>
      <c r="M574" s="378" t="s">
        <v>289</v>
      </c>
      <c r="N574" s="378" t="s">
        <v>289</v>
      </c>
      <c r="O574" s="409"/>
      <c r="P574" s="387" t="s">
        <v>289</v>
      </c>
      <c r="Q574" s="383"/>
      <c r="R574" s="383"/>
      <c r="S574" s="383"/>
      <c r="T574" s="410"/>
      <c r="U574" s="406"/>
      <c r="V574" s="386"/>
      <c r="W574" s="387" t="s">
        <v>289</v>
      </c>
      <c r="X574" s="378" t="s">
        <v>289</v>
      </c>
      <c r="Y574" s="387" t="s">
        <v>289</v>
      </c>
      <c r="Z574" s="391" t="s">
        <v>289</v>
      </c>
      <c r="AA574" s="391" t="s">
        <v>289</v>
      </c>
      <c r="AB574" s="391" t="s">
        <v>289</v>
      </c>
      <c r="AC574" s="391" t="s">
        <v>289</v>
      </c>
      <c r="AD574" s="395" t="s">
        <v>289</v>
      </c>
      <c r="AE574" s="395"/>
      <c r="AF574" s="395"/>
      <c r="AG574" s="395"/>
      <c r="AH574" s="395"/>
    </row>
    <row r="575" ht="30.75" customHeight="1">
      <c r="A575" s="373" t="str">
        <f t="shared" si="1"/>
        <v/>
      </c>
      <c r="B575" s="421" t="s">
        <v>289</v>
      </c>
      <c r="C575" s="406"/>
      <c r="D575" s="406"/>
      <c r="E575" s="406"/>
      <c r="F575" s="395" t="s">
        <v>289</v>
      </c>
      <c r="G575" s="406"/>
      <c r="H575" s="406"/>
      <c r="I575" s="378" t="s">
        <v>289</v>
      </c>
      <c r="J575" s="379" t="s">
        <v>289</v>
      </c>
      <c r="K575" s="407"/>
      <c r="L575" s="378" t="s">
        <v>289</v>
      </c>
      <c r="M575" s="378" t="s">
        <v>289</v>
      </c>
      <c r="N575" s="378" t="s">
        <v>289</v>
      </c>
      <c r="O575" s="409"/>
      <c r="P575" s="387" t="s">
        <v>289</v>
      </c>
      <c r="Q575" s="383"/>
      <c r="R575" s="383"/>
      <c r="S575" s="383"/>
      <c r="T575" s="410"/>
      <c r="U575" s="406"/>
      <c r="V575" s="386"/>
      <c r="W575" s="387" t="s">
        <v>289</v>
      </c>
      <c r="X575" s="378" t="s">
        <v>289</v>
      </c>
      <c r="Y575" s="387" t="s">
        <v>289</v>
      </c>
      <c r="Z575" s="391" t="s">
        <v>289</v>
      </c>
      <c r="AA575" s="391" t="s">
        <v>289</v>
      </c>
      <c r="AB575" s="391" t="s">
        <v>289</v>
      </c>
      <c r="AC575" s="391" t="s">
        <v>289</v>
      </c>
      <c r="AD575" s="395" t="s">
        <v>289</v>
      </c>
      <c r="AE575" s="395"/>
      <c r="AF575" s="395"/>
      <c r="AG575" s="395"/>
      <c r="AH575" s="395"/>
    </row>
    <row r="576" ht="30.75" customHeight="1">
      <c r="A576" s="373" t="str">
        <f t="shared" si="1"/>
        <v/>
      </c>
      <c r="B576" s="421" t="s">
        <v>289</v>
      </c>
      <c r="C576" s="406"/>
      <c r="D576" s="406"/>
      <c r="E576" s="406"/>
      <c r="F576" s="395" t="s">
        <v>289</v>
      </c>
      <c r="G576" s="406"/>
      <c r="H576" s="406"/>
      <c r="I576" s="378" t="s">
        <v>289</v>
      </c>
      <c r="J576" s="379" t="s">
        <v>289</v>
      </c>
      <c r="K576" s="407"/>
      <c r="L576" s="378" t="s">
        <v>289</v>
      </c>
      <c r="M576" s="378" t="s">
        <v>289</v>
      </c>
      <c r="N576" s="378" t="s">
        <v>289</v>
      </c>
      <c r="O576" s="409"/>
      <c r="P576" s="387" t="s">
        <v>289</v>
      </c>
      <c r="Q576" s="383"/>
      <c r="R576" s="383"/>
      <c r="S576" s="383"/>
      <c r="T576" s="410"/>
      <c r="U576" s="406"/>
      <c r="V576" s="386"/>
      <c r="W576" s="387" t="s">
        <v>289</v>
      </c>
      <c r="X576" s="378" t="s">
        <v>289</v>
      </c>
      <c r="Y576" s="387" t="s">
        <v>289</v>
      </c>
      <c r="Z576" s="391" t="s">
        <v>289</v>
      </c>
      <c r="AA576" s="391" t="s">
        <v>289</v>
      </c>
      <c r="AB576" s="391" t="s">
        <v>289</v>
      </c>
      <c r="AC576" s="391" t="s">
        <v>289</v>
      </c>
      <c r="AD576" s="395" t="s">
        <v>289</v>
      </c>
      <c r="AE576" s="395"/>
      <c r="AF576" s="395"/>
      <c r="AG576" s="395"/>
      <c r="AH576" s="395"/>
    </row>
    <row r="577" ht="30.75" customHeight="1">
      <c r="A577" s="373" t="str">
        <f t="shared" si="1"/>
        <v/>
      </c>
      <c r="B577" s="421" t="s">
        <v>289</v>
      </c>
      <c r="C577" s="406"/>
      <c r="D577" s="406"/>
      <c r="E577" s="406"/>
      <c r="F577" s="395" t="s">
        <v>289</v>
      </c>
      <c r="G577" s="406"/>
      <c r="H577" s="406"/>
      <c r="I577" s="378" t="s">
        <v>289</v>
      </c>
      <c r="J577" s="379" t="s">
        <v>289</v>
      </c>
      <c r="K577" s="407"/>
      <c r="L577" s="378" t="s">
        <v>289</v>
      </c>
      <c r="M577" s="378" t="s">
        <v>289</v>
      </c>
      <c r="N577" s="378" t="s">
        <v>289</v>
      </c>
      <c r="O577" s="409"/>
      <c r="P577" s="387" t="s">
        <v>289</v>
      </c>
      <c r="Q577" s="383"/>
      <c r="R577" s="383"/>
      <c r="S577" s="383"/>
      <c r="T577" s="410"/>
      <c r="U577" s="406"/>
      <c r="V577" s="386"/>
      <c r="W577" s="387" t="s">
        <v>289</v>
      </c>
      <c r="X577" s="378" t="s">
        <v>289</v>
      </c>
      <c r="Y577" s="387" t="s">
        <v>289</v>
      </c>
      <c r="Z577" s="391" t="s">
        <v>289</v>
      </c>
      <c r="AA577" s="391" t="s">
        <v>289</v>
      </c>
      <c r="AB577" s="391" t="s">
        <v>289</v>
      </c>
      <c r="AC577" s="391" t="s">
        <v>289</v>
      </c>
      <c r="AD577" s="395" t="s">
        <v>289</v>
      </c>
      <c r="AE577" s="395"/>
      <c r="AF577" s="395"/>
      <c r="AG577" s="395"/>
      <c r="AH577" s="395"/>
    </row>
    <row r="578" ht="30.75" customHeight="1">
      <c r="A578" s="373" t="str">
        <f t="shared" si="1"/>
        <v/>
      </c>
      <c r="B578" s="421" t="s">
        <v>289</v>
      </c>
      <c r="C578" s="406"/>
      <c r="D578" s="406"/>
      <c r="E578" s="406"/>
      <c r="F578" s="395" t="s">
        <v>289</v>
      </c>
      <c r="G578" s="406"/>
      <c r="H578" s="406"/>
      <c r="I578" s="378" t="s">
        <v>289</v>
      </c>
      <c r="J578" s="379" t="s">
        <v>289</v>
      </c>
      <c r="K578" s="407"/>
      <c r="L578" s="378" t="s">
        <v>289</v>
      </c>
      <c r="M578" s="378" t="s">
        <v>289</v>
      </c>
      <c r="N578" s="378" t="s">
        <v>289</v>
      </c>
      <c r="O578" s="409"/>
      <c r="P578" s="387" t="s">
        <v>289</v>
      </c>
      <c r="Q578" s="383"/>
      <c r="R578" s="383"/>
      <c r="S578" s="383"/>
      <c r="T578" s="410"/>
      <c r="U578" s="406"/>
      <c r="V578" s="386"/>
      <c r="W578" s="387" t="s">
        <v>289</v>
      </c>
      <c r="X578" s="378" t="s">
        <v>289</v>
      </c>
      <c r="Y578" s="387" t="s">
        <v>289</v>
      </c>
      <c r="Z578" s="391" t="s">
        <v>289</v>
      </c>
      <c r="AA578" s="391" t="s">
        <v>289</v>
      </c>
      <c r="AB578" s="391" t="s">
        <v>289</v>
      </c>
      <c r="AC578" s="391" t="s">
        <v>289</v>
      </c>
      <c r="AD578" s="395" t="s">
        <v>289</v>
      </c>
      <c r="AE578" s="395"/>
      <c r="AF578" s="395"/>
      <c r="AG578" s="395"/>
      <c r="AH578" s="395"/>
    </row>
    <row r="579" ht="30.75" customHeight="1">
      <c r="A579" s="373" t="str">
        <f t="shared" si="1"/>
        <v/>
      </c>
      <c r="B579" s="421" t="s">
        <v>289</v>
      </c>
      <c r="C579" s="406"/>
      <c r="D579" s="406"/>
      <c r="E579" s="406"/>
      <c r="F579" s="395" t="s">
        <v>289</v>
      </c>
      <c r="G579" s="406"/>
      <c r="H579" s="406"/>
      <c r="I579" s="378" t="s">
        <v>289</v>
      </c>
      <c r="J579" s="379" t="s">
        <v>289</v>
      </c>
      <c r="K579" s="407"/>
      <c r="L579" s="378" t="s">
        <v>289</v>
      </c>
      <c r="M579" s="378" t="s">
        <v>289</v>
      </c>
      <c r="N579" s="378" t="s">
        <v>289</v>
      </c>
      <c r="O579" s="409"/>
      <c r="P579" s="387" t="s">
        <v>289</v>
      </c>
      <c r="Q579" s="383"/>
      <c r="R579" s="383"/>
      <c r="S579" s="383"/>
      <c r="T579" s="410"/>
      <c r="U579" s="406"/>
      <c r="V579" s="386"/>
      <c r="W579" s="387" t="s">
        <v>289</v>
      </c>
      <c r="X579" s="378" t="s">
        <v>289</v>
      </c>
      <c r="Y579" s="387" t="s">
        <v>289</v>
      </c>
      <c r="Z579" s="391" t="s">
        <v>289</v>
      </c>
      <c r="AA579" s="391" t="s">
        <v>289</v>
      </c>
      <c r="AB579" s="391" t="s">
        <v>289</v>
      </c>
      <c r="AC579" s="391" t="s">
        <v>289</v>
      </c>
      <c r="AD579" s="395" t="s">
        <v>289</v>
      </c>
      <c r="AE579" s="395"/>
      <c r="AF579" s="395"/>
      <c r="AG579" s="395"/>
      <c r="AH579" s="395"/>
    </row>
    <row r="580" ht="30.75" customHeight="1">
      <c r="A580" s="373" t="str">
        <f t="shared" si="1"/>
        <v/>
      </c>
      <c r="B580" s="421" t="s">
        <v>289</v>
      </c>
      <c r="C580" s="406"/>
      <c r="D580" s="406"/>
      <c r="E580" s="406"/>
      <c r="F580" s="395" t="s">
        <v>289</v>
      </c>
      <c r="G580" s="406"/>
      <c r="H580" s="406"/>
      <c r="I580" s="378" t="s">
        <v>289</v>
      </c>
      <c r="J580" s="379" t="s">
        <v>289</v>
      </c>
      <c r="K580" s="407"/>
      <c r="L580" s="378" t="s">
        <v>289</v>
      </c>
      <c r="M580" s="378" t="s">
        <v>289</v>
      </c>
      <c r="N580" s="378" t="s">
        <v>289</v>
      </c>
      <c r="O580" s="409"/>
      <c r="P580" s="387" t="s">
        <v>289</v>
      </c>
      <c r="Q580" s="383"/>
      <c r="R580" s="383"/>
      <c r="S580" s="383"/>
      <c r="T580" s="410"/>
      <c r="U580" s="406"/>
      <c r="V580" s="386"/>
      <c r="W580" s="387" t="s">
        <v>289</v>
      </c>
      <c r="X580" s="378" t="s">
        <v>289</v>
      </c>
      <c r="Y580" s="387" t="s">
        <v>289</v>
      </c>
      <c r="Z580" s="391" t="s">
        <v>289</v>
      </c>
      <c r="AA580" s="391" t="s">
        <v>289</v>
      </c>
      <c r="AB580" s="391" t="s">
        <v>289</v>
      </c>
      <c r="AC580" s="391" t="s">
        <v>289</v>
      </c>
      <c r="AD580" s="395" t="s">
        <v>289</v>
      </c>
      <c r="AE580" s="395"/>
      <c r="AF580" s="395"/>
      <c r="AG580" s="395"/>
      <c r="AH580" s="395"/>
    </row>
    <row r="581" ht="30.75" customHeight="1">
      <c r="A581" s="373" t="str">
        <f t="shared" si="1"/>
        <v/>
      </c>
      <c r="B581" s="421" t="s">
        <v>289</v>
      </c>
      <c r="C581" s="406"/>
      <c r="D581" s="406"/>
      <c r="E581" s="406"/>
      <c r="F581" s="395" t="s">
        <v>289</v>
      </c>
      <c r="G581" s="406"/>
      <c r="H581" s="406"/>
      <c r="I581" s="378" t="s">
        <v>289</v>
      </c>
      <c r="J581" s="379" t="s">
        <v>289</v>
      </c>
      <c r="K581" s="407"/>
      <c r="L581" s="378" t="s">
        <v>289</v>
      </c>
      <c r="M581" s="378" t="s">
        <v>289</v>
      </c>
      <c r="N581" s="378" t="s">
        <v>289</v>
      </c>
      <c r="O581" s="409"/>
      <c r="P581" s="387" t="s">
        <v>289</v>
      </c>
      <c r="Q581" s="383"/>
      <c r="R581" s="383"/>
      <c r="S581" s="383"/>
      <c r="T581" s="410"/>
      <c r="U581" s="406"/>
      <c r="V581" s="386"/>
      <c r="W581" s="387" t="s">
        <v>289</v>
      </c>
      <c r="X581" s="378" t="s">
        <v>289</v>
      </c>
      <c r="Y581" s="387" t="s">
        <v>289</v>
      </c>
      <c r="Z581" s="391" t="s">
        <v>289</v>
      </c>
      <c r="AA581" s="391" t="s">
        <v>289</v>
      </c>
      <c r="AB581" s="391" t="s">
        <v>289</v>
      </c>
      <c r="AC581" s="391" t="s">
        <v>289</v>
      </c>
      <c r="AD581" s="395" t="s">
        <v>289</v>
      </c>
      <c r="AE581" s="395"/>
      <c r="AF581" s="395"/>
      <c r="AG581" s="395"/>
      <c r="AH581" s="395"/>
    </row>
    <row r="582" ht="30.75" customHeight="1">
      <c r="A582" s="373" t="str">
        <f t="shared" si="1"/>
        <v/>
      </c>
      <c r="B582" s="421" t="s">
        <v>289</v>
      </c>
      <c r="C582" s="406"/>
      <c r="D582" s="406"/>
      <c r="E582" s="406"/>
      <c r="F582" s="395" t="s">
        <v>289</v>
      </c>
      <c r="G582" s="406"/>
      <c r="H582" s="406"/>
      <c r="I582" s="378" t="s">
        <v>289</v>
      </c>
      <c r="J582" s="379" t="s">
        <v>289</v>
      </c>
      <c r="K582" s="407"/>
      <c r="L582" s="378" t="s">
        <v>289</v>
      </c>
      <c r="M582" s="378" t="s">
        <v>289</v>
      </c>
      <c r="N582" s="378" t="s">
        <v>289</v>
      </c>
      <c r="O582" s="409"/>
      <c r="P582" s="387" t="s">
        <v>289</v>
      </c>
      <c r="Q582" s="383"/>
      <c r="R582" s="383"/>
      <c r="S582" s="383"/>
      <c r="T582" s="410"/>
      <c r="U582" s="406"/>
      <c r="V582" s="386"/>
      <c r="W582" s="387" t="s">
        <v>289</v>
      </c>
      <c r="X582" s="378" t="s">
        <v>289</v>
      </c>
      <c r="Y582" s="387" t="s">
        <v>289</v>
      </c>
      <c r="Z582" s="391" t="s">
        <v>289</v>
      </c>
      <c r="AA582" s="391" t="s">
        <v>289</v>
      </c>
      <c r="AB582" s="391" t="s">
        <v>289</v>
      </c>
      <c r="AC582" s="391" t="s">
        <v>289</v>
      </c>
      <c r="AD582" s="395" t="s">
        <v>289</v>
      </c>
      <c r="AE582" s="395"/>
      <c r="AF582" s="395"/>
      <c r="AG582" s="395"/>
      <c r="AH582" s="395"/>
    </row>
    <row r="583" ht="30.75" customHeight="1">
      <c r="A583" s="373" t="str">
        <f t="shared" si="1"/>
        <v/>
      </c>
      <c r="B583" s="421" t="s">
        <v>289</v>
      </c>
      <c r="C583" s="406"/>
      <c r="D583" s="406"/>
      <c r="E583" s="406"/>
      <c r="F583" s="395" t="s">
        <v>289</v>
      </c>
      <c r="G583" s="406"/>
      <c r="H583" s="406"/>
      <c r="I583" s="378" t="s">
        <v>289</v>
      </c>
      <c r="J583" s="379" t="s">
        <v>289</v>
      </c>
      <c r="K583" s="407"/>
      <c r="L583" s="378" t="s">
        <v>289</v>
      </c>
      <c r="M583" s="378" t="s">
        <v>289</v>
      </c>
      <c r="N583" s="378" t="s">
        <v>289</v>
      </c>
      <c r="O583" s="409"/>
      <c r="P583" s="387" t="s">
        <v>289</v>
      </c>
      <c r="Q583" s="383"/>
      <c r="R583" s="383"/>
      <c r="S583" s="383"/>
      <c r="T583" s="410"/>
      <c r="U583" s="406"/>
      <c r="V583" s="386"/>
      <c r="W583" s="387" t="s">
        <v>289</v>
      </c>
      <c r="X583" s="378" t="s">
        <v>289</v>
      </c>
      <c r="Y583" s="387" t="s">
        <v>289</v>
      </c>
      <c r="Z583" s="391" t="s">
        <v>289</v>
      </c>
      <c r="AA583" s="391" t="s">
        <v>289</v>
      </c>
      <c r="AB583" s="391" t="s">
        <v>289</v>
      </c>
      <c r="AC583" s="391" t="s">
        <v>289</v>
      </c>
      <c r="AD583" s="395" t="s">
        <v>289</v>
      </c>
      <c r="AE583" s="395"/>
      <c r="AF583" s="395"/>
      <c r="AG583" s="395"/>
      <c r="AH583" s="395"/>
    </row>
    <row r="584" ht="30.75" customHeight="1">
      <c r="A584" s="373" t="str">
        <f t="shared" si="1"/>
        <v/>
      </c>
      <c r="B584" s="421" t="s">
        <v>289</v>
      </c>
      <c r="C584" s="406"/>
      <c r="D584" s="406"/>
      <c r="E584" s="406"/>
      <c r="F584" s="395" t="s">
        <v>289</v>
      </c>
      <c r="G584" s="406"/>
      <c r="H584" s="406"/>
      <c r="I584" s="378" t="s">
        <v>289</v>
      </c>
      <c r="J584" s="379" t="s">
        <v>289</v>
      </c>
      <c r="K584" s="407"/>
      <c r="L584" s="378" t="s">
        <v>289</v>
      </c>
      <c r="M584" s="378" t="s">
        <v>289</v>
      </c>
      <c r="N584" s="378" t="s">
        <v>289</v>
      </c>
      <c r="O584" s="409"/>
      <c r="P584" s="387" t="s">
        <v>289</v>
      </c>
      <c r="Q584" s="383"/>
      <c r="R584" s="383"/>
      <c r="S584" s="383"/>
      <c r="T584" s="410"/>
      <c r="U584" s="406"/>
      <c r="V584" s="386"/>
      <c r="W584" s="387" t="s">
        <v>289</v>
      </c>
      <c r="X584" s="378" t="s">
        <v>289</v>
      </c>
      <c r="Y584" s="387" t="s">
        <v>289</v>
      </c>
      <c r="Z584" s="391" t="s">
        <v>289</v>
      </c>
      <c r="AA584" s="391" t="s">
        <v>289</v>
      </c>
      <c r="AB584" s="391" t="s">
        <v>289</v>
      </c>
      <c r="AC584" s="391" t="s">
        <v>289</v>
      </c>
      <c r="AD584" s="395" t="s">
        <v>289</v>
      </c>
      <c r="AE584" s="395"/>
      <c r="AF584" s="395"/>
      <c r="AG584" s="395"/>
      <c r="AH584" s="395"/>
    </row>
    <row r="585" ht="30.75" customHeight="1">
      <c r="A585" s="373" t="str">
        <f t="shared" si="1"/>
        <v/>
      </c>
      <c r="B585" s="421" t="s">
        <v>289</v>
      </c>
      <c r="C585" s="406"/>
      <c r="D585" s="406"/>
      <c r="E585" s="406"/>
      <c r="F585" s="395" t="s">
        <v>289</v>
      </c>
      <c r="G585" s="406"/>
      <c r="H585" s="406"/>
      <c r="I585" s="378" t="s">
        <v>289</v>
      </c>
      <c r="J585" s="379" t="s">
        <v>289</v>
      </c>
      <c r="K585" s="407"/>
      <c r="L585" s="378" t="s">
        <v>289</v>
      </c>
      <c r="M585" s="378" t="s">
        <v>289</v>
      </c>
      <c r="N585" s="378" t="s">
        <v>289</v>
      </c>
      <c r="O585" s="409"/>
      <c r="P585" s="387" t="s">
        <v>289</v>
      </c>
      <c r="Q585" s="383"/>
      <c r="R585" s="383"/>
      <c r="S585" s="383"/>
      <c r="T585" s="410"/>
      <c r="U585" s="406"/>
      <c r="V585" s="386"/>
      <c r="W585" s="387" t="s">
        <v>289</v>
      </c>
      <c r="X585" s="378" t="s">
        <v>289</v>
      </c>
      <c r="Y585" s="387" t="s">
        <v>289</v>
      </c>
      <c r="Z585" s="391" t="s">
        <v>289</v>
      </c>
      <c r="AA585" s="391" t="s">
        <v>289</v>
      </c>
      <c r="AB585" s="391" t="s">
        <v>289</v>
      </c>
      <c r="AC585" s="391" t="s">
        <v>289</v>
      </c>
      <c r="AD585" s="395" t="s">
        <v>289</v>
      </c>
      <c r="AE585" s="395"/>
      <c r="AF585" s="395"/>
      <c r="AG585" s="395"/>
      <c r="AH585" s="395"/>
    </row>
    <row r="586" ht="30.75" customHeight="1">
      <c r="A586" s="373" t="str">
        <f t="shared" si="1"/>
        <v/>
      </c>
      <c r="B586" s="421" t="s">
        <v>289</v>
      </c>
      <c r="C586" s="406"/>
      <c r="D586" s="406"/>
      <c r="E586" s="406"/>
      <c r="F586" s="395" t="s">
        <v>289</v>
      </c>
      <c r="G586" s="406"/>
      <c r="H586" s="406"/>
      <c r="I586" s="378" t="s">
        <v>289</v>
      </c>
      <c r="J586" s="379" t="s">
        <v>289</v>
      </c>
      <c r="K586" s="407"/>
      <c r="L586" s="378" t="s">
        <v>289</v>
      </c>
      <c r="M586" s="378" t="s">
        <v>289</v>
      </c>
      <c r="N586" s="378" t="s">
        <v>289</v>
      </c>
      <c r="O586" s="409"/>
      <c r="P586" s="387" t="s">
        <v>289</v>
      </c>
      <c r="Q586" s="383"/>
      <c r="R586" s="383"/>
      <c r="S586" s="383"/>
      <c r="T586" s="410"/>
      <c r="U586" s="406"/>
      <c r="V586" s="386"/>
      <c r="W586" s="387" t="s">
        <v>289</v>
      </c>
      <c r="X586" s="378" t="s">
        <v>289</v>
      </c>
      <c r="Y586" s="387" t="s">
        <v>289</v>
      </c>
      <c r="Z586" s="391" t="s">
        <v>289</v>
      </c>
      <c r="AA586" s="391" t="s">
        <v>289</v>
      </c>
      <c r="AB586" s="391" t="s">
        <v>289</v>
      </c>
      <c r="AC586" s="391" t="s">
        <v>289</v>
      </c>
      <c r="AD586" s="395" t="s">
        <v>289</v>
      </c>
      <c r="AE586" s="395"/>
      <c r="AF586" s="395"/>
      <c r="AG586" s="395"/>
      <c r="AH586" s="395"/>
    </row>
    <row r="587" ht="30.75" customHeight="1">
      <c r="A587" s="373" t="str">
        <f t="shared" si="1"/>
        <v/>
      </c>
      <c r="B587" s="421" t="s">
        <v>289</v>
      </c>
      <c r="C587" s="406"/>
      <c r="D587" s="406"/>
      <c r="E587" s="406"/>
      <c r="F587" s="395" t="s">
        <v>289</v>
      </c>
      <c r="G587" s="406"/>
      <c r="H587" s="406"/>
      <c r="I587" s="378" t="s">
        <v>289</v>
      </c>
      <c r="J587" s="379" t="s">
        <v>289</v>
      </c>
      <c r="K587" s="407"/>
      <c r="L587" s="378" t="s">
        <v>289</v>
      </c>
      <c r="M587" s="378" t="s">
        <v>289</v>
      </c>
      <c r="N587" s="378" t="s">
        <v>289</v>
      </c>
      <c r="O587" s="409"/>
      <c r="P587" s="387" t="s">
        <v>289</v>
      </c>
      <c r="Q587" s="383"/>
      <c r="R587" s="383"/>
      <c r="S587" s="383"/>
      <c r="T587" s="410"/>
      <c r="U587" s="406"/>
      <c r="V587" s="386"/>
      <c r="W587" s="387" t="s">
        <v>289</v>
      </c>
      <c r="X587" s="378" t="s">
        <v>289</v>
      </c>
      <c r="Y587" s="387" t="s">
        <v>289</v>
      </c>
      <c r="Z587" s="391" t="s">
        <v>289</v>
      </c>
      <c r="AA587" s="391" t="s">
        <v>289</v>
      </c>
      <c r="AB587" s="391" t="s">
        <v>289</v>
      </c>
      <c r="AC587" s="391" t="s">
        <v>289</v>
      </c>
      <c r="AD587" s="395" t="s">
        <v>289</v>
      </c>
      <c r="AE587" s="395"/>
      <c r="AF587" s="395"/>
      <c r="AG587" s="395"/>
      <c r="AH587" s="395"/>
    </row>
    <row r="588" ht="30.75" customHeight="1">
      <c r="A588" s="373" t="str">
        <f t="shared" si="1"/>
        <v/>
      </c>
      <c r="B588" s="421" t="s">
        <v>289</v>
      </c>
      <c r="C588" s="406"/>
      <c r="D588" s="406"/>
      <c r="E588" s="406"/>
      <c r="F588" s="395" t="s">
        <v>289</v>
      </c>
      <c r="G588" s="406"/>
      <c r="H588" s="406"/>
      <c r="I588" s="378" t="s">
        <v>289</v>
      </c>
      <c r="J588" s="379" t="s">
        <v>289</v>
      </c>
      <c r="K588" s="407"/>
      <c r="L588" s="378" t="s">
        <v>289</v>
      </c>
      <c r="M588" s="378" t="s">
        <v>289</v>
      </c>
      <c r="N588" s="378" t="s">
        <v>289</v>
      </c>
      <c r="O588" s="409"/>
      <c r="P588" s="387" t="s">
        <v>289</v>
      </c>
      <c r="Q588" s="383"/>
      <c r="R588" s="383"/>
      <c r="S588" s="383"/>
      <c r="T588" s="410"/>
      <c r="U588" s="406"/>
      <c r="V588" s="386"/>
      <c r="W588" s="387" t="s">
        <v>289</v>
      </c>
      <c r="X588" s="378" t="s">
        <v>289</v>
      </c>
      <c r="Y588" s="387" t="s">
        <v>289</v>
      </c>
      <c r="Z588" s="391" t="s">
        <v>289</v>
      </c>
      <c r="AA588" s="391" t="s">
        <v>289</v>
      </c>
      <c r="AB588" s="391" t="s">
        <v>289</v>
      </c>
      <c r="AC588" s="391" t="s">
        <v>289</v>
      </c>
      <c r="AD588" s="395" t="s">
        <v>289</v>
      </c>
      <c r="AE588" s="395"/>
      <c r="AF588" s="395"/>
      <c r="AG588" s="395"/>
      <c r="AH588" s="395"/>
    </row>
    <row r="589" ht="30.75" customHeight="1">
      <c r="A589" s="373" t="str">
        <f t="shared" si="1"/>
        <v/>
      </c>
      <c r="B589" s="421" t="s">
        <v>289</v>
      </c>
      <c r="C589" s="406"/>
      <c r="D589" s="406"/>
      <c r="E589" s="406"/>
      <c r="F589" s="395" t="s">
        <v>289</v>
      </c>
      <c r="G589" s="406"/>
      <c r="H589" s="406"/>
      <c r="I589" s="378" t="s">
        <v>289</v>
      </c>
      <c r="J589" s="379" t="s">
        <v>289</v>
      </c>
      <c r="K589" s="407"/>
      <c r="L589" s="378" t="s">
        <v>289</v>
      </c>
      <c r="M589" s="378" t="s">
        <v>289</v>
      </c>
      <c r="N589" s="378" t="s">
        <v>289</v>
      </c>
      <c r="O589" s="409"/>
      <c r="P589" s="387" t="s">
        <v>289</v>
      </c>
      <c r="Q589" s="383"/>
      <c r="R589" s="383"/>
      <c r="S589" s="383"/>
      <c r="T589" s="410"/>
      <c r="U589" s="406"/>
      <c r="V589" s="386"/>
      <c r="W589" s="387" t="s">
        <v>289</v>
      </c>
      <c r="X589" s="378" t="s">
        <v>289</v>
      </c>
      <c r="Y589" s="387" t="s">
        <v>289</v>
      </c>
      <c r="Z589" s="391" t="s">
        <v>289</v>
      </c>
      <c r="AA589" s="391" t="s">
        <v>289</v>
      </c>
      <c r="AB589" s="391" t="s">
        <v>289</v>
      </c>
      <c r="AC589" s="391" t="s">
        <v>289</v>
      </c>
      <c r="AD589" s="395" t="s">
        <v>289</v>
      </c>
      <c r="AE589" s="395"/>
      <c r="AF589" s="395"/>
      <c r="AG589" s="395"/>
      <c r="AH589" s="395"/>
    </row>
    <row r="590" ht="30.75" customHeight="1">
      <c r="A590" s="373" t="str">
        <f t="shared" si="1"/>
        <v/>
      </c>
      <c r="B590" s="421" t="s">
        <v>289</v>
      </c>
      <c r="C590" s="406"/>
      <c r="D590" s="406"/>
      <c r="E590" s="406"/>
      <c r="F590" s="395" t="s">
        <v>289</v>
      </c>
      <c r="G590" s="406"/>
      <c r="H590" s="406"/>
      <c r="I590" s="378" t="s">
        <v>289</v>
      </c>
      <c r="J590" s="379" t="s">
        <v>289</v>
      </c>
      <c r="K590" s="407"/>
      <c r="L590" s="378" t="s">
        <v>289</v>
      </c>
      <c r="M590" s="378" t="s">
        <v>289</v>
      </c>
      <c r="N590" s="378" t="s">
        <v>289</v>
      </c>
      <c r="O590" s="409"/>
      <c r="P590" s="387" t="s">
        <v>289</v>
      </c>
      <c r="Q590" s="383"/>
      <c r="R590" s="383"/>
      <c r="S590" s="383"/>
      <c r="T590" s="410"/>
      <c r="U590" s="406"/>
      <c r="V590" s="386"/>
      <c r="W590" s="387" t="s">
        <v>289</v>
      </c>
      <c r="X590" s="378" t="s">
        <v>289</v>
      </c>
      <c r="Y590" s="387" t="s">
        <v>289</v>
      </c>
      <c r="Z590" s="391" t="s">
        <v>289</v>
      </c>
      <c r="AA590" s="391" t="s">
        <v>289</v>
      </c>
      <c r="AB590" s="391" t="s">
        <v>289</v>
      </c>
      <c r="AC590" s="391" t="s">
        <v>289</v>
      </c>
      <c r="AD590" s="395" t="s">
        <v>289</v>
      </c>
      <c r="AE590" s="395"/>
      <c r="AF590" s="395"/>
      <c r="AG590" s="395"/>
      <c r="AH590" s="395"/>
    </row>
    <row r="591" ht="30.75" customHeight="1">
      <c r="A591" s="373" t="str">
        <f t="shared" si="1"/>
        <v/>
      </c>
      <c r="B591" s="421" t="s">
        <v>289</v>
      </c>
      <c r="C591" s="406"/>
      <c r="D591" s="406"/>
      <c r="E591" s="406"/>
      <c r="F591" s="395" t="s">
        <v>289</v>
      </c>
      <c r="G591" s="406"/>
      <c r="H591" s="406"/>
      <c r="I591" s="378" t="s">
        <v>289</v>
      </c>
      <c r="J591" s="379" t="s">
        <v>289</v>
      </c>
      <c r="K591" s="407"/>
      <c r="L591" s="378" t="s">
        <v>289</v>
      </c>
      <c r="M591" s="378" t="s">
        <v>289</v>
      </c>
      <c r="N591" s="378" t="s">
        <v>289</v>
      </c>
      <c r="O591" s="409"/>
      <c r="P591" s="387" t="s">
        <v>289</v>
      </c>
      <c r="Q591" s="383"/>
      <c r="R591" s="383"/>
      <c r="S591" s="383"/>
      <c r="T591" s="410"/>
      <c r="U591" s="406"/>
      <c r="V591" s="386"/>
      <c r="W591" s="387" t="s">
        <v>289</v>
      </c>
      <c r="X591" s="378" t="s">
        <v>289</v>
      </c>
      <c r="Y591" s="387" t="s">
        <v>289</v>
      </c>
      <c r="Z591" s="391" t="s">
        <v>289</v>
      </c>
      <c r="AA591" s="391" t="s">
        <v>289</v>
      </c>
      <c r="AB591" s="391" t="s">
        <v>289</v>
      </c>
      <c r="AC591" s="391" t="s">
        <v>289</v>
      </c>
      <c r="AD591" s="395" t="s">
        <v>289</v>
      </c>
      <c r="AE591" s="395"/>
      <c r="AF591" s="395"/>
      <c r="AG591" s="395"/>
      <c r="AH591" s="395"/>
    </row>
    <row r="592" ht="30.75" customHeight="1">
      <c r="A592" s="373" t="str">
        <f t="shared" si="1"/>
        <v/>
      </c>
      <c r="B592" s="421" t="s">
        <v>289</v>
      </c>
      <c r="C592" s="406"/>
      <c r="D592" s="406"/>
      <c r="E592" s="406"/>
      <c r="F592" s="395" t="s">
        <v>289</v>
      </c>
      <c r="G592" s="406"/>
      <c r="H592" s="406"/>
      <c r="I592" s="378" t="s">
        <v>289</v>
      </c>
      <c r="J592" s="379" t="s">
        <v>289</v>
      </c>
      <c r="K592" s="407"/>
      <c r="L592" s="378" t="s">
        <v>289</v>
      </c>
      <c r="M592" s="378" t="s">
        <v>289</v>
      </c>
      <c r="N592" s="378" t="s">
        <v>289</v>
      </c>
      <c r="O592" s="409"/>
      <c r="P592" s="387" t="s">
        <v>289</v>
      </c>
      <c r="Q592" s="383"/>
      <c r="R592" s="383"/>
      <c r="S592" s="383"/>
      <c r="T592" s="410"/>
      <c r="U592" s="406"/>
      <c r="V592" s="386"/>
      <c r="W592" s="387" t="s">
        <v>289</v>
      </c>
      <c r="X592" s="378" t="s">
        <v>289</v>
      </c>
      <c r="Y592" s="387" t="s">
        <v>289</v>
      </c>
      <c r="Z592" s="391" t="s">
        <v>289</v>
      </c>
      <c r="AA592" s="391" t="s">
        <v>289</v>
      </c>
      <c r="AB592" s="391" t="s">
        <v>289</v>
      </c>
      <c r="AC592" s="391" t="s">
        <v>289</v>
      </c>
      <c r="AD592" s="395" t="s">
        <v>289</v>
      </c>
      <c r="AE592" s="395"/>
      <c r="AF592" s="395"/>
      <c r="AG592" s="395"/>
      <c r="AH592" s="395"/>
    </row>
    <row r="593" ht="30.75" customHeight="1">
      <c r="A593" s="373" t="str">
        <f t="shared" si="1"/>
        <v/>
      </c>
      <c r="B593" s="421" t="s">
        <v>289</v>
      </c>
      <c r="C593" s="406"/>
      <c r="D593" s="406"/>
      <c r="E593" s="406"/>
      <c r="F593" s="395" t="s">
        <v>289</v>
      </c>
      <c r="G593" s="406"/>
      <c r="H593" s="406"/>
      <c r="I593" s="378" t="s">
        <v>289</v>
      </c>
      <c r="J593" s="379" t="s">
        <v>289</v>
      </c>
      <c r="K593" s="407"/>
      <c r="L593" s="378" t="s">
        <v>289</v>
      </c>
      <c r="M593" s="378" t="s">
        <v>289</v>
      </c>
      <c r="N593" s="378" t="s">
        <v>289</v>
      </c>
      <c r="O593" s="409"/>
      <c r="P593" s="387" t="s">
        <v>289</v>
      </c>
      <c r="Q593" s="383"/>
      <c r="R593" s="383"/>
      <c r="S593" s="383"/>
      <c r="T593" s="410"/>
      <c r="U593" s="406"/>
      <c r="V593" s="386"/>
      <c r="W593" s="387" t="s">
        <v>289</v>
      </c>
      <c r="X593" s="378" t="s">
        <v>289</v>
      </c>
      <c r="Y593" s="387" t="s">
        <v>289</v>
      </c>
      <c r="Z593" s="391" t="s">
        <v>289</v>
      </c>
      <c r="AA593" s="391" t="s">
        <v>289</v>
      </c>
      <c r="AB593" s="391" t="s">
        <v>289</v>
      </c>
      <c r="AC593" s="391" t="s">
        <v>289</v>
      </c>
      <c r="AD593" s="395" t="s">
        <v>289</v>
      </c>
      <c r="AE593" s="395"/>
      <c r="AF593" s="395"/>
      <c r="AG593" s="395"/>
      <c r="AH593" s="395"/>
    </row>
    <row r="594" ht="30.75" customHeight="1">
      <c r="A594" s="373" t="str">
        <f t="shared" si="1"/>
        <v/>
      </c>
      <c r="B594" s="421" t="s">
        <v>289</v>
      </c>
      <c r="C594" s="406"/>
      <c r="D594" s="406"/>
      <c r="E594" s="406"/>
      <c r="F594" s="395" t="s">
        <v>289</v>
      </c>
      <c r="G594" s="406"/>
      <c r="H594" s="406"/>
      <c r="I594" s="378" t="s">
        <v>289</v>
      </c>
      <c r="J594" s="379" t="s">
        <v>289</v>
      </c>
      <c r="K594" s="407"/>
      <c r="L594" s="378" t="s">
        <v>289</v>
      </c>
      <c r="M594" s="378" t="s">
        <v>289</v>
      </c>
      <c r="N594" s="378" t="s">
        <v>289</v>
      </c>
      <c r="O594" s="409"/>
      <c r="P594" s="387" t="s">
        <v>289</v>
      </c>
      <c r="Q594" s="383"/>
      <c r="R594" s="383"/>
      <c r="S594" s="383"/>
      <c r="T594" s="410"/>
      <c r="U594" s="406"/>
      <c r="V594" s="386"/>
      <c r="W594" s="387" t="s">
        <v>289</v>
      </c>
      <c r="X594" s="378" t="s">
        <v>289</v>
      </c>
      <c r="Y594" s="387" t="s">
        <v>289</v>
      </c>
      <c r="Z594" s="391" t="s">
        <v>289</v>
      </c>
      <c r="AA594" s="391" t="s">
        <v>289</v>
      </c>
      <c r="AB594" s="391" t="s">
        <v>289</v>
      </c>
      <c r="AC594" s="391" t="s">
        <v>289</v>
      </c>
      <c r="AD594" s="395" t="s">
        <v>289</v>
      </c>
      <c r="AE594" s="395"/>
      <c r="AF594" s="395"/>
      <c r="AG594" s="395"/>
      <c r="AH594" s="395"/>
    </row>
    <row r="595" ht="30.75" customHeight="1">
      <c r="A595" s="373" t="str">
        <f t="shared" si="1"/>
        <v/>
      </c>
      <c r="B595" s="421" t="s">
        <v>289</v>
      </c>
      <c r="C595" s="406"/>
      <c r="D595" s="406"/>
      <c r="E595" s="406"/>
      <c r="F595" s="395" t="s">
        <v>289</v>
      </c>
      <c r="G595" s="406"/>
      <c r="H595" s="406"/>
      <c r="I595" s="378" t="s">
        <v>289</v>
      </c>
      <c r="J595" s="379" t="s">
        <v>289</v>
      </c>
      <c r="K595" s="407"/>
      <c r="L595" s="378" t="s">
        <v>289</v>
      </c>
      <c r="M595" s="378" t="s">
        <v>289</v>
      </c>
      <c r="N595" s="378" t="s">
        <v>289</v>
      </c>
      <c r="O595" s="409"/>
      <c r="P595" s="387" t="s">
        <v>289</v>
      </c>
      <c r="Q595" s="383"/>
      <c r="R595" s="383"/>
      <c r="S595" s="383"/>
      <c r="T595" s="410"/>
      <c r="U595" s="406"/>
      <c r="V595" s="386"/>
      <c r="W595" s="387" t="s">
        <v>289</v>
      </c>
      <c r="X595" s="378" t="s">
        <v>289</v>
      </c>
      <c r="Y595" s="387" t="s">
        <v>289</v>
      </c>
      <c r="Z595" s="391" t="s">
        <v>289</v>
      </c>
      <c r="AA595" s="391" t="s">
        <v>289</v>
      </c>
      <c r="AB595" s="391" t="s">
        <v>289</v>
      </c>
      <c r="AC595" s="391" t="s">
        <v>289</v>
      </c>
      <c r="AD595" s="395" t="s">
        <v>289</v>
      </c>
      <c r="AE595" s="395"/>
      <c r="AF595" s="395"/>
      <c r="AG595" s="395"/>
      <c r="AH595" s="395"/>
    </row>
    <row r="596" ht="30.75" customHeight="1">
      <c r="A596" s="373" t="str">
        <f t="shared" si="1"/>
        <v/>
      </c>
      <c r="B596" s="421" t="s">
        <v>289</v>
      </c>
      <c r="C596" s="406"/>
      <c r="D596" s="406"/>
      <c r="E596" s="406"/>
      <c r="F596" s="395" t="s">
        <v>289</v>
      </c>
      <c r="G596" s="406"/>
      <c r="H596" s="406"/>
      <c r="I596" s="378" t="s">
        <v>289</v>
      </c>
      <c r="J596" s="379" t="s">
        <v>289</v>
      </c>
      <c r="K596" s="407"/>
      <c r="L596" s="378" t="s">
        <v>289</v>
      </c>
      <c r="M596" s="378" t="s">
        <v>289</v>
      </c>
      <c r="N596" s="378" t="s">
        <v>289</v>
      </c>
      <c r="O596" s="409"/>
      <c r="P596" s="387" t="s">
        <v>289</v>
      </c>
      <c r="Q596" s="383"/>
      <c r="R596" s="383"/>
      <c r="S596" s="383"/>
      <c r="T596" s="410"/>
      <c r="U596" s="406"/>
      <c r="V596" s="386"/>
      <c r="W596" s="387" t="s">
        <v>289</v>
      </c>
      <c r="X596" s="378" t="s">
        <v>289</v>
      </c>
      <c r="Y596" s="387" t="s">
        <v>289</v>
      </c>
      <c r="Z596" s="391" t="s">
        <v>289</v>
      </c>
      <c r="AA596" s="391" t="s">
        <v>289</v>
      </c>
      <c r="AB596" s="391" t="s">
        <v>289</v>
      </c>
      <c r="AC596" s="391" t="s">
        <v>289</v>
      </c>
      <c r="AD596" s="395" t="s">
        <v>289</v>
      </c>
      <c r="AE596" s="395"/>
      <c r="AF596" s="395"/>
      <c r="AG596" s="395"/>
      <c r="AH596" s="395"/>
    </row>
    <row r="597" ht="30.75" customHeight="1">
      <c r="A597" s="373" t="str">
        <f t="shared" si="1"/>
        <v/>
      </c>
      <c r="B597" s="421" t="s">
        <v>289</v>
      </c>
      <c r="C597" s="406"/>
      <c r="D597" s="406"/>
      <c r="E597" s="406"/>
      <c r="F597" s="395" t="s">
        <v>289</v>
      </c>
      <c r="G597" s="406"/>
      <c r="H597" s="406"/>
      <c r="I597" s="378" t="s">
        <v>289</v>
      </c>
      <c r="J597" s="379" t="s">
        <v>289</v>
      </c>
      <c r="K597" s="407"/>
      <c r="L597" s="378" t="s">
        <v>289</v>
      </c>
      <c r="M597" s="378" t="s">
        <v>289</v>
      </c>
      <c r="N597" s="378" t="s">
        <v>289</v>
      </c>
      <c r="O597" s="409"/>
      <c r="P597" s="387" t="s">
        <v>289</v>
      </c>
      <c r="Q597" s="383"/>
      <c r="R597" s="383"/>
      <c r="S597" s="383"/>
      <c r="T597" s="410"/>
      <c r="U597" s="406"/>
      <c r="V597" s="386"/>
      <c r="W597" s="387" t="s">
        <v>289</v>
      </c>
      <c r="X597" s="378" t="s">
        <v>289</v>
      </c>
      <c r="Y597" s="387" t="s">
        <v>289</v>
      </c>
      <c r="Z597" s="391" t="s">
        <v>289</v>
      </c>
      <c r="AA597" s="391" t="s">
        <v>289</v>
      </c>
      <c r="AB597" s="391" t="s">
        <v>289</v>
      </c>
      <c r="AC597" s="391" t="s">
        <v>289</v>
      </c>
      <c r="AD597" s="395" t="s">
        <v>289</v>
      </c>
      <c r="AE597" s="395"/>
      <c r="AF597" s="395"/>
      <c r="AG597" s="395"/>
      <c r="AH597" s="395"/>
    </row>
    <row r="598" ht="30.75" customHeight="1">
      <c r="A598" s="373" t="str">
        <f t="shared" si="1"/>
        <v/>
      </c>
      <c r="B598" s="421" t="s">
        <v>289</v>
      </c>
      <c r="C598" s="406"/>
      <c r="D598" s="406"/>
      <c r="E598" s="406"/>
      <c r="F598" s="395" t="s">
        <v>289</v>
      </c>
      <c r="G598" s="406"/>
      <c r="H598" s="406"/>
      <c r="I598" s="378" t="s">
        <v>289</v>
      </c>
      <c r="J598" s="379" t="s">
        <v>289</v>
      </c>
      <c r="K598" s="407"/>
      <c r="L598" s="378" t="s">
        <v>289</v>
      </c>
      <c r="M598" s="378" t="s">
        <v>289</v>
      </c>
      <c r="N598" s="378" t="s">
        <v>289</v>
      </c>
      <c r="O598" s="409"/>
      <c r="P598" s="387" t="s">
        <v>289</v>
      </c>
      <c r="Q598" s="383"/>
      <c r="R598" s="383"/>
      <c r="S598" s="383"/>
      <c r="T598" s="410"/>
      <c r="U598" s="406"/>
      <c r="V598" s="386"/>
      <c r="W598" s="387" t="s">
        <v>289</v>
      </c>
      <c r="X598" s="378" t="s">
        <v>289</v>
      </c>
      <c r="Y598" s="387" t="s">
        <v>289</v>
      </c>
      <c r="Z598" s="391" t="s">
        <v>289</v>
      </c>
      <c r="AA598" s="391" t="s">
        <v>289</v>
      </c>
      <c r="AB598" s="391" t="s">
        <v>289</v>
      </c>
      <c r="AC598" s="391" t="s">
        <v>289</v>
      </c>
      <c r="AD598" s="395" t="s">
        <v>289</v>
      </c>
      <c r="AE598" s="395"/>
      <c r="AF598" s="395"/>
      <c r="AG598" s="395"/>
      <c r="AH598" s="395"/>
    </row>
    <row r="599" ht="30.75" customHeight="1">
      <c r="A599" s="373" t="str">
        <f t="shared" si="1"/>
        <v/>
      </c>
      <c r="B599" s="421" t="s">
        <v>289</v>
      </c>
      <c r="C599" s="406"/>
      <c r="D599" s="406"/>
      <c r="E599" s="406"/>
      <c r="F599" s="395" t="s">
        <v>289</v>
      </c>
      <c r="G599" s="406"/>
      <c r="H599" s="406"/>
      <c r="I599" s="378" t="s">
        <v>289</v>
      </c>
      <c r="J599" s="379" t="s">
        <v>289</v>
      </c>
      <c r="K599" s="407"/>
      <c r="L599" s="378" t="s">
        <v>289</v>
      </c>
      <c r="M599" s="378" t="s">
        <v>289</v>
      </c>
      <c r="N599" s="378" t="s">
        <v>289</v>
      </c>
      <c r="O599" s="409"/>
      <c r="P599" s="387" t="s">
        <v>289</v>
      </c>
      <c r="Q599" s="383"/>
      <c r="R599" s="383"/>
      <c r="S599" s="383"/>
      <c r="T599" s="410"/>
      <c r="U599" s="406"/>
      <c r="V599" s="386"/>
      <c r="W599" s="387" t="s">
        <v>289</v>
      </c>
      <c r="X599" s="378" t="s">
        <v>289</v>
      </c>
      <c r="Y599" s="387" t="s">
        <v>289</v>
      </c>
      <c r="Z599" s="391" t="s">
        <v>289</v>
      </c>
      <c r="AA599" s="391" t="s">
        <v>289</v>
      </c>
      <c r="AB599" s="391" t="s">
        <v>289</v>
      </c>
      <c r="AC599" s="391" t="s">
        <v>289</v>
      </c>
      <c r="AD599" s="395" t="s">
        <v>289</v>
      </c>
      <c r="AE599" s="395"/>
      <c r="AF599" s="395"/>
      <c r="AG599" s="395"/>
      <c r="AH599" s="395"/>
    </row>
    <row r="600" ht="30.75" customHeight="1">
      <c r="A600" s="373" t="str">
        <f t="shared" si="1"/>
        <v/>
      </c>
      <c r="B600" s="421" t="s">
        <v>289</v>
      </c>
      <c r="C600" s="406"/>
      <c r="D600" s="406"/>
      <c r="E600" s="406"/>
      <c r="F600" s="395" t="s">
        <v>289</v>
      </c>
      <c r="G600" s="406"/>
      <c r="H600" s="406"/>
      <c r="I600" s="378" t="s">
        <v>289</v>
      </c>
      <c r="J600" s="379" t="s">
        <v>289</v>
      </c>
      <c r="K600" s="407"/>
      <c r="L600" s="378" t="s">
        <v>289</v>
      </c>
      <c r="M600" s="378" t="s">
        <v>289</v>
      </c>
      <c r="N600" s="378" t="s">
        <v>289</v>
      </c>
      <c r="O600" s="409"/>
      <c r="P600" s="387" t="s">
        <v>289</v>
      </c>
      <c r="Q600" s="383"/>
      <c r="R600" s="383"/>
      <c r="S600" s="383"/>
      <c r="T600" s="410"/>
      <c r="U600" s="406"/>
      <c r="V600" s="386"/>
      <c r="W600" s="387" t="s">
        <v>289</v>
      </c>
      <c r="X600" s="378" t="s">
        <v>289</v>
      </c>
      <c r="Y600" s="387" t="s">
        <v>289</v>
      </c>
      <c r="Z600" s="391" t="s">
        <v>289</v>
      </c>
      <c r="AA600" s="391" t="s">
        <v>289</v>
      </c>
      <c r="AB600" s="391" t="s">
        <v>289</v>
      </c>
      <c r="AC600" s="391" t="s">
        <v>289</v>
      </c>
      <c r="AD600" s="395" t="s">
        <v>289</v>
      </c>
      <c r="AE600" s="395"/>
      <c r="AF600" s="395"/>
      <c r="AG600" s="395"/>
      <c r="AH600" s="395"/>
    </row>
    <row r="601" ht="30.75" customHeight="1">
      <c r="A601" s="373" t="str">
        <f t="shared" si="1"/>
        <v/>
      </c>
      <c r="B601" s="421" t="s">
        <v>289</v>
      </c>
      <c r="C601" s="406"/>
      <c r="D601" s="406"/>
      <c r="E601" s="406"/>
      <c r="F601" s="395" t="s">
        <v>289</v>
      </c>
      <c r="G601" s="406"/>
      <c r="H601" s="406"/>
      <c r="I601" s="378" t="s">
        <v>289</v>
      </c>
      <c r="J601" s="379" t="s">
        <v>289</v>
      </c>
      <c r="K601" s="407"/>
      <c r="L601" s="378" t="s">
        <v>289</v>
      </c>
      <c r="M601" s="378" t="s">
        <v>289</v>
      </c>
      <c r="N601" s="378" t="s">
        <v>289</v>
      </c>
      <c r="O601" s="409"/>
      <c r="P601" s="387" t="s">
        <v>289</v>
      </c>
      <c r="Q601" s="383"/>
      <c r="R601" s="383"/>
      <c r="S601" s="383"/>
      <c r="T601" s="410"/>
      <c r="U601" s="406"/>
      <c r="V601" s="386"/>
      <c r="W601" s="387" t="s">
        <v>289</v>
      </c>
      <c r="X601" s="378" t="s">
        <v>289</v>
      </c>
      <c r="Y601" s="387" t="s">
        <v>289</v>
      </c>
      <c r="Z601" s="391" t="s">
        <v>289</v>
      </c>
      <c r="AA601" s="391" t="s">
        <v>289</v>
      </c>
      <c r="AB601" s="391" t="s">
        <v>289</v>
      </c>
      <c r="AC601" s="391" t="s">
        <v>289</v>
      </c>
      <c r="AD601" s="395" t="s">
        <v>289</v>
      </c>
      <c r="AE601" s="395"/>
      <c r="AF601" s="395"/>
      <c r="AG601" s="395"/>
      <c r="AH601" s="395"/>
    </row>
    <row r="602" ht="30.75" customHeight="1">
      <c r="A602" s="373" t="str">
        <f t="shared" si="1"/>
        <v/>
      </c>
      <c r="B602" s="421" t="s">
        <v>289</v>
      </c>
      <c r="C602" s="406"/>
      <c r="D602" s="406"/>
      <c r="E602" s="406"/>
      <c r="F602" s="395" t="s">
        <v>289</v>
      </c>
      <c r="G602" s="406"/>
      <c r="H602" s="406"/>
      <c r="I602" s="378" t="s">
        <v>289</v>
      </c>
      <c r="J602" s="379" t="s">
        <v>289</v>
      </c>
      <c r="K602" s="407"/>
      <c r="L602" s="378" t="s">
        <v>289</v>
      </c>
      <c r="M602" s="378" t="s">
        <v>289</v>
      </c>
      <c r="N602" s="378" t="s">
        <v>289</v>
      </c>
      <c r="O602" s="409"/>
      <c r="P602" s="387" t="s">
        <v>289</v>
      </c>
      <c r="Q602" s="383"/>
      <c r="R602" s="383"/>
      <c r="S602" s="383"/>
      <c r="T602" s="410"/>
      <c r="U602" s="406"/>
      <c r="V602" s="386"/>
      <c r="W602" s="387" t="s">
        <v>289</v>
      </c>
      <c r="X602" s="378" t="s">
        <v>289</v>
      </c>
      <c r="Y602" s="387" t="s">
        <v>289</v>
      </c>
      <c r="Z602" s="391" t="s">
        <v>289</v>
      </c>
      <c r="AA602" s="391" t="s">
        <v>289</v>
      </c>
      <c r="AB602" s="391" t="s">
        <v>289</v>
      </c>
      <c r="AC602" s="391" t="s">
        <v>289</v>
      </c>
      <c r="AD602" s="395" t="s">
        <v>289</v>
      </c>
      <c r="AE602" s="395"/>
      <c r="AF602" s="395"/>
      <c r="AG602" s="395"/>
      <c r="AH602" s="395"/>
    </row>
    <row r="603" ht="30.75" customHeight="1">
      <c r="A603" s="373" t="str">
        <f t="shared" si="1"/>
        <v/>
      </c>
      <c r="B603" s="421" t="s">
        <v>289</v>
      </c>
      <c r="C603" s="406"/>
      <c r="D603" s="406"/>
      <c r="E603" s="406"/>
      <c r="F603" s="395" t="s">
        <v>289</v>
      </c>
      <c r="G603" s="406"/>
      <c r="H603" s="406"/>
      <c r="I603" s="378" t="s">
        <v>289</v>
      </c>
      <c r="J603" s="379" t="s">
        <v>289</v>
      </c>
      <c r="K603" s="407"/>
      <c r="L603" s="378" t="s">
        <v>289</v>
      </c>
      <c r="M603" s="378" t="s">
        <v>289</v>
      </c>
      <c r="N603" s="378" t="s">
        <v>289</v>
      </c>
      <c r="O603" s="409"/>
      <c r="P603" s="387" t="s">
        <v>289</v>
      </c>
      <c r="Q603" s="383"/>
      <c r="R603" s="383"/>
      <c r="S603" s="383"/>
      <c r="T603" s="410"/>
      <c r="U603" s="406"/>
      <c r="V603" s="386"/>
      <c r="W603" s="387" t="s">
        <v>289</v>
      </c>
      <c r="X603" s="378" t="s">
        <v>289</v>
      </c>
      <c r="Y603" s="387" t="s">
        <v>289</v>
      </c>
      <c r="Z603" s="391" t="s">
        <v>289</v>
      </c>
      <c r="AA603" s="391" t="s">
        <v>289</v>
      </c>
      <c r="AB603" s="391" t="s">
        <v>289</v>
      </c>
      <c r="AC603" s="391" t="s">
        <v>289</v>
      </c>
      <c r="AD603" s="395" t="s">
        <v>289</v>
      </c>
      <c r="AE603" s="395"/>
      <c r="AF603" s="395"/>
      <c r="AG603" s="395"/>
      <c r="AH603" s="395"/>
    </row>
    <row r="604" ht="30.75" customHeight="1">
      <c r="A604" s="373" t="str">
        <f t="shared" si="1"/>
        <v/>
      </c>
      <c r="B604" s="421" t="s">
        <v>289</v>
      </c>
      <c r="C604" s="406"/>
      <c r="D604" s="406"/>
      <c r="E604" s="406"/>
      <c r="F604" s="395" t="s">
        <v>289</v>
      </c>
      <c r="G604" s="406"/>
      <c r="H604" s="406"/>
      <c r="I604" s="378" t="s">
        <v>289</v>
      </c>
      <c r="J604" s="379" t="s">
        <v>289</v>
      </c>
      <c r="K604" s="407"/>
      <c r="L604" s="378" t="s">
        <v>289</v>
      </c>
      <c r="M604" s="378" t="s">
        <v>289</v>
      </c>
      <c r="N604" s="378" t="s">
        <v>289</v>
      </c>
      <c r="O604" s="409"/>
      <c r="P604" s="387" t="s">
        <v>289</v>
      </c>
      <c r="Q604" s="383"/>
      <c r="R604" s="383"/>
      <c r="S604" s="383"/>
      <c r="T604" s="410"/>
      <c r="U604" s="406"/>
      <c r="V604" s="386"/>
      <c r="W604" s="387" t="s">
        <v>289</v>
      </c>
      <c r="X604" s="378" t="s">
        <v>289</v>
      </c>
      <c r="Y604" s="387" t="s">
        <v>289</v>
      </c>
      <c r="Z604" s="391" t="s">
        <v>289</v>
      </c>
      <c r="AA604" s="391" t="s">
        <v>289</v>
      </c>
      <c r="AB604" s="391" t="s">
        <v>289</v>
      </c>
      <c r="AC604" s="391" t="s">
        <v>289</v>
      </c>
      <c r="AD604" s="395" t="s">
        <v>289</v>
      </c>
      <c r="AE604" s="395"/>
      <c r="AF604" s="395"/>
      <c r="AG604" s="395"/>
      <c r="AH604" s="395"/>
    </row>
    <row r="605" ht="30.75" customHeight="1">
      <c r="A605" s="373" t="str">
        <f t="shared" si="1"/>
        <v/>
      </c>
      <c r="B605" s="421" t="s">
        <v>289</v>
      </c>
      <c r="C605" s="406"/>
      <c r="D605" s="406"/>
      <c r="E605" s="406"/>
      <c r="F605" s="395" t="s">
        <v>289</v>
      </c>
      <c r="G605" s="406"/>
      <c r="H605" s="406"/>
      <c r="I605" s="378" t="s">
        <v>289</v>
      </c>
      <c r="J605" s="379" t="s">
        <v>289</v>
      </c>
      <c r="K605" s="407"/>
      <c r="L605" s="378" t="s">
        <v>289</v>
      </c>
      <c r="M605" s="378" t="s">
        <v>289</v>
      </c>
      <c r="N605" s="378" t="s">
        <v>289</v>
      </c>
      <c r="O605" s="409"/>
      <c r="P605" s="387" t="s">
        <v>289</v>
      </c>
      <c r="Q605" s="383"/>
      <c r="R605" s="383"/>
      <c r="S605" s="383"/>
      <c r="T605" s="410"/>
      <c r="U605" s="406"/>
      <c r="V605" s="386"/>
      <c r="W605" s="387" t="s">
        <v>289</v>
      </c>
      <c r="X605" s="378" t="s">
        <v>289</v>
      </c>
      <c r="Y605" s="387" t="s">
        <v>289</v>
      </c>
      <c r="Z605" s="391" t="s">
        <v>289</v>
      </c>
      <c r="AA605" s="391" t="s">
        <v>289</v>
      </c>
      <c r="AB605" s="391" t="s">
        <v>289</v>
      </c>
      <c r="AC605" s="391" t="s">
        <v>289</v>
      </c>
      <c r="AD605" s="395" t="s">
        <v>289</v>
      </c>
      <c r="AE605" s="395"/>
      <c r="AF605" s="395"/>
      <c r="AG605" s="395"/>
      <c r="AH605" s="395"/>
    </row>
    <row r="606" ht="30.75" customHeight="1">
      <c r="A606" s="373" t="str">
        <f t="shared" si="1"/>
        <v/>
      </c>
      <c r="B606" s="421" t="s">
        <v>289</v>
      </c>
      <c r="C606" s="406"/>
      <c r="D606" s="406"/>
      <c r="E606" s="406"/>
      <c r="F606" s="395" t="s">
        <v>289</v>
      </c>
      <c r="G606" s="406"/>
      <c r="H606" s="406"/>
      <c r="I606" s="378" t="s">
        <v>289</v>
      </c>
      <c r="J606" s="379" t="s">
        <v>289</v>
      </c>
      <c r="K606" s="407"/>
      <c r="L606" s="378" t="s">
        <v>289</v>
      </c>
      <c r="M606" s="378" t="s">
        <v>289</v>
      </c>
      <c r="N606" s="378" t="s">
        <v>289</v>
      </c>
      <c r="O606" s="409"/>
      <c r="P606" s="387" t="s">
        <v>289</v>
      </c>
      <c r="Q606" s="383"/>
      <c r="R606" s="383"/>
      <c r="S606" s="383"/>
      <c r="T606" s="410"/>
      <c r="U606" s="406"/>
      <c r="V606" s="386"/>
      <c r="W606" s="387" t="s">
        <v>289</v>
      </c>
      <c r="X606" s="378" t="s">
        <v>289</v>
      </c>
      <c r="Y606" s="387" t="s">
        <v>289</v>
      </c>
      <c r="Z606" s="391" t="s">
        <v>289</v>
      </c>
      <c r="AA606" s="391" t="s">
        <v>289</v>
      </c>
      <c r="AB606" s="391" t="s">
        <v>289</v>
      </c>
      <c r="AC606" s="391" t="s">
        <v>289</v>
      </c>
      <c r="AD606" s="395" t="s">
        <v>289</v>
      </c>
      <c r="AE606" s="395"/>
      <c r="AF606" s="395"/>
      <c r="AG606" s="395"/>
      <c r="AH606" s="395"/>
    </row>
    <row r="607" ht="30.75" customHeight="1">
      <c r="A607" s="373" t="str">
        <f t="shared" si="1"/>
        <v/>
      </c>
      <c r="B607" s="421" t="s">
        <v>289</v>
      </c>
      <c r="C607" s="406"/>
      <c r="D607" s="406"/>
      <c r="E607" s="406"/>
      <c r="F607" s="395" t="s">
        <v>289</v>
      </c>
      <c r="G607" s="406"/>
      <c r="H607" s="406"/>
      <c r="I607" s="378" t="s">
        <v>289</v>
      </c>
      <c r="J607" s="379" t="s">
        <v>289</v>
      </c>
      <c r="K607" s="407"/>
      <c r="L607" s="378" t="s">
        <v>289</v>
      </c>
      <c r="M607" s="378" t="s">
        <v>289</v>
      </c>
      <c r="N607" s="378" t="s">
        <v>289</v>
      </c>
      <c r="O607" s="409"/>
      <c r="P607" s="387" t="s">
        <v>289</v>
      </c>
      <c r="Q607" s="383"/>
      <c r="R607" s="383"/>
      <c r="S607" s="383"/>
      <c r="T607" s="410"/>
      <c r="U607" s="406"/>
      <c r="V607" s="386"/>
      <c r="W607" s="387" t="s">
        <v>289</v>
      </c>
      <c r="X607" s="378" t="s">
        <v>289</v>
      </c>
      <c r="Y607" s="387" t="s">
        <v>289</v>
      </c>
      <c r="Z607" s="391" t="s">
        <v>289</v>
      </c>
      <c r="AA607" s="391" t="s">
        <v>289</v>
      </c>
      <c r="AB607" s="391" t="s">
        <v>289</v>
      </c>
      <c r="AC607" s="391" t="s">
        <v>289</v>
      </c>
      <c r="AD607" s="395" t="s">
        <v>289</v>
      </c>
      <c r="AE607" s="395"/>
      <c r="AF607" s="395"/>
      <c r="AG607" s="395"/>
      <c r="AH607" s="395"/>
    </row>
    <row r="608" ht="30.75" customHeight="1">
      <c r="A608" s="373" t="str">
        <f t="shared" si="1"/>
        <v/>
      </c>
      <c r="B608" s="421" t="s">
        <v>289</v>
      </c>
      <c r="C608" s="406"/>
      <c r="D608" s="406"/>
      <c r="E608" s="406"/>
      <c r="F608" s="395" t="s">
        <v>289</v>
      </c>
      <c r="G608" s="406"/>
      <c r="H608" s="406"/>
      <c r="I608" s="378" t="s">
        <v>289</v>
      </c>
      <c r="J608" s="379" t="s">
        <v>289</v>
      </c>
      <c r="K608" s="407"/>
      <c r="L608" s="378" t="s">
        <v>289</v>
      </c>
      <c r="M608" s="378" t="s">
        <v>289</v>
      </c>
      <c r="N608" s="378" t="s">
        <v>289</v>
      </c>
      <c r="O608" s="409"/>
      <c r="P608" s="387" t="s">
        <v>289</v>
      </c>
      <c r="Q608" s="383"/>
      <c r="R608" s="383"/>
      <c r="S608" s="383"/>
      <c r="T608" s="410"/>
      <c r="U608" s="406"/>
      <c r="V608" s="386"/>
      <c r="W608" s="387" t="s">
        <v>289</v>
      </c>
      <c r="X608" s="378" t="s">
        <v>289</v>
      </c>
      <c r="Y608" s="387" t="s">
        <v>289</v>
      </c>
      <c r="Z608" s="391" t="s">
        <v>289</v>
      </c>
      <c r="AA608" s="391" t="s">
        <v>289</v>
      </c>
      <c r="AB608" s="391" t="s">
        <v>289</v>
      </c>
      <c r="AC608" s="391" t="s">
        <v>289</v>
      </c>
      <c r="AD608" s="395" t="s">
        <v>289</v>
      </c>
      <c r="AE608" s="395"/>
      <c r="AF608" s="395"/>
      <c r="AG608" s="395"/>
      <c r="AH608" s="395"/>
    </row>
    <row r="609" ht="30.75" customHeight="1">
      <c r="A609" s="373" t="str">
        <f t="shared" si="1"/>
        <v/>
      </c>
      <c r="B609" s="421" t="s">
        <v>289</v>
      </c>
      <c r="C609" s="406"/>
      <c r="D609" s="406"/>
      <c r="E609" s="406"/>
      <c r="F609" s="395" t="s">
        <v>289</v>
      </c>
      <c r="G609" s="406"/>
      <c r="H609" s="406"/>
      <c r="I609" s="378" t="s">
        <v>289</v>
      </c>
      <c r="J609" s="379" t="s">
        <v>289</v>
      </c>
      <c r="K609" s="407"/>
      <c r="L609" s="378" t="s">
        <v>289</v>
      </c>
      <c r="M609" s="378" t="s">
        <v>289</v>
      </c>
      <c r="N609" s="378" t="s">
        <v>289</v>
      </c>
      <c r="O609" s="409"/>
      <c r="P609" s="387" t="s">
        <v>289</v>
      </c>
      <c r="Q609" s="383"/>
      <c r="R609" s="383"/>
      <c r="S609" s="383"/>
      <c r="T609" s="410"/>
      <c r="U609" s="406"/>
      <c r="V609" s="386"/>
      <c r="W609" s="387" t="s">
        <v>289</v>
      </c>
      <c r="X609" s="378" t="s">
        <v>289</v>
      </c>
      <c r="Y609" s="387" t="s">
        <v>289</v>
      </c>
      <c r="Z609" s="391" t="s">
        <v>289</v>
      </c>
      <c r="AA609" s="391" t="s">
        <v>289</v>
      </c>
      <c r="AB609" s="391" t="s">
        <v>289</v>
      </c>
      <c r="AC609" s="391" t="s">
        <v>289</v>
      </c>
      <c r="AD609" s="395" t="s">
        <v>289</v>
      </c>
      <c r="AE609" s="395"/>
      <c r="AF609" s="395"/>
      <c r="AG609" s="395"/>
      <c r="AH609" s="395"/>
    </row>
    <row r="610" ht="30.75" customHeight="1">
      <c r="A610" s="373" t="str">
        <f t="shared" si="1"/>
        <v/>
      </c>
      <c r="B610" s="421" t="s">
        <v>289</v>
      </c>
      <c r="C610" s="406"/>
      <c r="D610" s="406"/>
      <c r="E610" s="406"/>
      <c r="F610" s="395" t="s">
        <v>289</v>
      </c>
      <c r="G610" s="406"/>
      <c r="H610" s="406"/>
      <c r="I610" s="378" t="s">
        <v>289</v>
      </c>
      <c r="J610" s="379" t="s">
        <v>289</v>
      </c>
      <c r="K610" s="407"/>
      <c r="L610" s="378" t="s">
        <v>289</v>
      </c>
      <c r="M610" s="378" t="s">
        <v>289</v>
      </c>
      <c r="N610" s="378" t="s">
        <v>289</v>
      </c>
      <c r="O610" s="409"/>
      <c r="P610" s="387" t="s">
        <v>289</v>
      </c>
      <c r="Q610" s="383"/>
      <c r="R610" s="383"/>
      <c r="S610" s="383"/>
      <c r="T610" s="410"/>
      <c r="U610" s="406"/>
      <c r="V610" s="386"/>
      <c r="W610" s="387" t="s">
        <v>289</v>
      </c>
      <c r="X610" s="378" t="s">
        <v>289</v>
      </c>
      <c r="Y610" s="387" t="s">
        <v>289</v>
      </c>
      <c r="Z610" s="391" t="s">
        <v>289</v>
      </c>
      <c r="AA610" s="391" t="s">
        <v>289</v>
      </c>
      <c r="AB610" s="391" t="s">
        <v>289</v>
      </c>
      <c r="AC610" s="391" t="s">
        <v>289</v>
      </c>
      <c r="AD610" s="395" t="s">
        <v>289</v>
      </c>
      <c r="AE610" s="395"/>
      <c r="AF610" s="395"/>
      <c r="AG610" s="395"/>
      <c r="AH610" s="395"/>
    </row>
    <row r="611" ht="30.75" customHeight="1">
      <c r="A611" s="373" t="str">
        <f t="shared" si="1"/>
        <v/>
      </c>
      <c r="B611" s="421" t="s">
        <v>289</v>
      </c>
      <c r="C611" s="406"/>
      <c r="D611" s="406"/>
      <c r="E611" s="406"/>
      <c r="F611" s="395" t="s">
        <v>289</v>
      </c>
      <c r="G611" s="406"/>
      <c r="H611" s="406"/>
      <c r="I611" s="378" t="s">
        <v>289</v>
      </c>
      <c r="J611" s="379" t="s">
        <v>289</v>
      </c>
      <c r="K611" s="407"/>
      <c r="L611" s="378" t="s">
        <v>289</v>
      </c>
      <c r="M611" s="378" t="s">
        <v>289</v>
      </c>
      <c r="N611" s="378" t="s">
        <v>289</v>
      </c>
      <c r="O611" s="409"/>
      <c r="P611" s="387" t="s">
        <v>289</v>
      </c>
      <c r="Q611" s="383"/>
      <c r="R611" s="383"/>
      <c r="S611" s="383"/>
      <c r="T611" s="410"/>
      <c r="U611" s="406"/>
      <c r="V611" s="386"/>
      <c r="W611" s="387" t="s">
        <v>289</v>
      </c>
      <c r="X611" s="378" t="s">
        <v>289</v>
      </c>
      <c r="Y611" s="387" t="s">
        <v>289</v>
      </c>
      <c r="Z611" s="391" t="s">
        <v>289</v>
      </c>
      <c r="AA611" s="391" t="s">
        <v>289</v>
      </c>
      <c r="AB611" s="391" t="s">
        <v>289</v>
      </c>
      <c r="AC611" s="391" t="s">
        <v>289</v>
      </c>
      <c r="AD611" s="395" t="s">
        <v>289</v>
      </c>
      <c r="AE611" s="395"/>
      <c r="AF611" s="395"/>
      <c r="AG611" s="395"/>
      <c r="AH611" s="395"/>
    </row>
    <row r="612" ht="30.75" customHeight="1">
      <c r="A612" s="373" t="str">
        <f t="shared" si="1"/>
        <v/>
      </c>
      <c r="B612" s="421" t="s">
        <v>289</v>
      </c>
      <c r="C612" s="406"/>
      <c r="D612" s="406"/>
      <c r="E612" s="406"/>
      <c r="F612" s="395" t="s">
        <v>289</v>
      </c>
      <c r="G612" s="406"/>
      <c r="H612" s="406"/>
      <c r="I612" s="378" t="s">
        <v>289</v>
      </c>
      <c r="J612" s="379" t="s">
        <v>289</v>
      </c>
      <c r="K612" s="407"/>
      <c r="L612" s="378" t="s">
        <v>289</v>
      </c>
      <c r="M612" s="378" t="s">
        <v>289</v>
      </c>
      <c r="N612" s="378" t="s">
        <v>289</v>
      </c>
      <c r="O612" s="409"/>
      <c r="P612" s="387" t="s">
        <v>289</v>
      </c>
      <c r="Q612" s="383"/>
      <c r="R612" s="383"/>
      <c r="S612" s="383"/>
      <c r="T612" s="410"/>
      <c r="U612" s="406"/>
      <c r="V612" s="386"/>
      <c r="W612" s="387" t="s">
        <v>289</v>
      </c>
      <c r="X612" s="378" t="s">
        <v>289</v>
      </c>
      <c r="Y612" s="387" t="s">
        <v>289</v>
      </c>
      <c r="Z612" s="391" t="s">
        <v>289</v>
      </c>
      <c r="AA612" s="391" t="s">
        <v>289</v>
      </c>
      <c r="AB612" s="391" t="s">
        <v>289</v>
      </c>
      <c r="AC612" s="391" t="s">
        <v>289</v>
      </c>
      <c r="AD612" s="395" t="s">
        <v>289</v>
      </c>
      <c r="AE612" s="395"/>
      <c r="AF612" s="395"/>
      <c r="AG612" s="395"/>
      <c r="AH612" s="395"/>
    </row>
    <row r="613" ht="30.75" customHeight="1">
      <c r="A613" s="373" t="str">
        <f t="shared" si="1"/>
        <v/>
      </c>
      <c r="B613" s="421" t="s">
        <v>289</v>
      </c>
      <c r="C613" s="406"/>
      <c r="D613" s="406"/>
      <c r="E613" s="406"/>
      <c r="F613" s="395" t="s">
        <v>289</v>
      </c>
      <c r="G613" s="406"/>
      <c r="H613" s="406"/>
      <c r="I613" s="378" t="s">
        <v>289</v>
      </c>
      <c r="J613" s="379" t="s">
        <v>289</v>
      </c>
      <c r="K613" s="407"/>
      <c r="L613" s="378" t="s">
        <v>289</v>
      </c>
      <c r="M613" s="378" t="s">
        <v>289</v>
      </c>
      <c r="N613" s="378" t="s">
        <v>289</v>
      </c>
      <c r="O613" s="409"/>
      <c r="P613" s="387" t="s">
        <v>289</v>
      </c>
      <c r="Q613" s="383"/>
      <c r="R613" s="383"/>
      <c r="S613" s="383"/>
      <c r="T613" s="410"/>
      <c r="U613" s="406"/>
      <c r="V613" s="386"/>
      <c r="W613" s="387" t="s">
        <v>289</v>
      </c>
      <c r="X613" s="378" t="s">
        <v>289</v>
      </c>
      <c r="Y613" s="387" t="s">
        <v>289</v>
      </c>
      <c r="Z613" s="391" t="s">
        <v>289</v>
      </c>
      <c r="AA613" s="391" t="s">
        <v>289</v>
      </c>
      <c r="AB613" s="391" t="s">
        <v>289</v>
      </c>
      <c r="AC613" s="391" t="s">
        <v>289</v>
      </c>
      <c r="AD613" s="395" t="s">
        <v>289</v>
      </c>
      <c r="AE613" s="395"/>
      <c r="AF613" s="395"/>
      <c r="AG613" s="395"/>
      <c r="AH613" s="395"/>
    </row>
    <row r="614" ht="30.75" customHeight="1">
      <c r="A614" s="373" t="str">
        <f t="shared" si="1"/>
        <v/>
      </c>
      <c r="B614" s="421" t="s">
        <v>289</v>
      </c>
      <c r="C614" s="406"/>
      <c r="D614" s="406"/>
      <c r="E614" s="406"/>
      <c r="F614" s="395" t="s">
        <v>289</v>
      </c>
      <c r="G614" s="406"/>
      <c r="H614" s="406"/>
      <c r="I614" s="378" t="s">
        <v>289</v>
      </c>
      <c r="J614" s="379" t="s">
        <v>289</v>
      </c>
      <c r="K614" s="407"/>
      <c r="L614" s="378" t="s">
        <v>289</v>
      </c>
      <c r="M614" s="378" t="s">
        <v>289</v>
      </c>
      <c r="N614" s="378" t="s">
        <v>289</v>
      </c>
      <c r="O614" s="409"/>
      <c r="P614" s="387" t="s">
        <v>289</v>
      </c>
      <c r="Q614" s="383"/>
      <c r="R614" s="383"/>
      <c r="S614" s="383"/>
      <c r="T614" s="410"/>
      <c r="U614" s="406"/>
      <c r="V614" s="386"/>
      <c r="W614" s="387" t="s">
        <v>289</v>
      </c>
      <c r="X614" s="378" t="s">
        <v>289</v>
      </c>
      <c r="Y614" s="387" t="s">
        <v>289</v>
      </c>
      <c r="Z614" s="391" t="s">
        <v>289</v>
      </c>
      <c r="AA614" s="391" t="s">
        <v>289</v>
      </c>
      <c r="AB614" s="391" t="s">
        <v>289</v>
      </c>
      <c r="AC614" s="391" t="s">
        <v>289</v>
      </c>
      <c r="AD614" s="395" t="s">
        <v>289</v>
      </c>
      <c r="AE614" s="395"/>
      <c r="AF614" s="395"/>
      <c r="AG614" s="395"/>
      <c r="AH614" s="395"/>
    </row>
    <row r="615" ht="30.75" customHeight="1">
      <c r="A615" s="373" t="str">
        <f t="shared" si="1"/>
        <v/>
      </c>
      <c r="B615" s="421" t="s">
        <v>289</v>
      </c>
      <c r="C615" s="406"/>
      <c r="D615" s="406"/>
      <c r="E615" s="406"/>
      <c r="F615" s="395" t="s">
        <v>289</v>
      </c>
      <c r="G615" s="406"/>
      <c r="H615" s="406"/>
      <c r="I615" s="378" t="s">
        <v>289</v>
      </c>
      <c r="J615" s="379" t="s">
        <v>289</v>
      </c>
      <c r="K615" s="407"/>
      <c r="L615" s="378" t="s">
        <v>289</v>
      </c>
      <c r="M615" s="378" t="s">
        <v>289</v>
      </c>
      <c r="N615" s="378" t="s">
        <v>289</v>
      </c>
      <c r="O615" s="409"/>
      <c r="P615" s="387" t="s">
        <v>289</v>
      </c>
      <c r="Q615" s="383"/>
      <c r="R615" s="383"/>
      <c r="S615" s="383"/>
      <c r="T615" s="410"/>
      <c r="U615" s="406"/>
      <c r="V615" s="386"/>
      <c r="W615" s="387" t="s">
        <v>289</v>
      </c>
      <c r="X615" s="378" t="s">
        <v>289</v>
      </c>
      <c r="Y615" s="387" t="s">
        <v>289</v>
      </c>
      <c r="Z615" s="391" t="s">
        <v>289</v>
      </c>
      <c r="AA615" s="391" t="s">
        <v>289</v>
      </c>
      <c r="AB615" s="391" t="s">
        <v>289</v>
      </c>
      <c r="AC615" s="391" t="s">
        <v>289</v>
      </c>
      <c r="AD615" s="395" t="s">
        <v>289</v>
      </c>
      <c r="AE615" s="395"/>
      <c r="AF615" s="395"/>
      <c r="AG615" s="395"/>
      <c r="AH615" s="395"/>
    </row>
    <row r="616" ht="30.75" customHeight="1">
      <c r="A616" s="373" t="str">
        <f t="shared" si="1"/>
        <v/>
      </c>
      <c r="B616" s="421" t="s">
        <v>289</v>
      </c>
      <c r="C616" s="406"/>
      <c r="D616" s="406"/>
      <c r="E616" s="406"/>
      <c r="F616" s="395" t="s">
        <v>289</v>
      </c>
      <c r="G616" s="406"/>
      <c r="H616" s="406"/>
      <c r="I616" s="378" t="s">
        <v>289</v>
      </c>
      <c r="J616" s="379" t="s">
        <v>289</v>
      </c>
      <c r="K616" s="407"/>
      <c r="L616" s="378" t="s">
        <v>289</v>
      </c>
      <c r="M616" s="378" t="s">
        <v>289</v>
      </c>
      <c r="N616" s="378" t="s">
        <v>289</v>
      </c>
      <c r="O616" s="409"/>
      <c r="P616" s="387" t="s">
        <v>289</v>
      </c>
      <c r="Q616" s="383"/>
      <c r="R616" s="383"/>
      <c r="S616" s="383"/>
      <c r="T616" s="410"/>
      <c r="U616" s="406"/>
      <c r="V616" s="386"/>
      <c r="W616" s="387" t="s">
        <v>289</v>
      </c>
      <c r="X616" s="378" t="s">
        <v>289</v>
      </c>
      <c r="Y616" s="387" t="s">
        <v>289</v>
      </c>
      <c r="Z616" s="391" t="s">
        <v>289</v>
      </c>
      <c r="AA616" s="391" t="s">
        <v>289</v>
      </c>
      <c r="AB616" s="391" t="s">
        <v>289</v>
      </c>
      <c r="AC616" s="391" t="s">
        <v>289</v>
      </c>
      <c r="AD616" s="395" t="s">
        <v>289</v>
      </c>
      <c r="AE616" s="395"/>
      <c r="AF616" s="395"/>
      <c r="AG616" s="395"/>
      <c r="AH616" s="395"/>
    </row>
    <row r="617" ht="30.75" customHeight="1">
      <c r="A617" s="373" t="str">
        <f t="shared" si="1"/>
        <v/>
      </c>
      <c r="B617" s="421" t="s">
        <v>289</v>
      </c>
      <c r="C617" s="406"/>
      <c r="D617" s="406"/>
      <c r="E617" s="406"/>
      <c r="F617" s="395" t="s">
        <v>289</v>
      </c>
      <c r="G617" s="406"/>
      <c r="H617" s="406"/>
      <c r="I617" s="378" t="s">
        <v>289</v>
      </c>
      <c r="J617" s="379" t="s">
        <v>289</v>
      </c>
      <c r="K617" s="407"/>
      <c r="L617" s="378" t="s">
        <v>289</v>
      </c>
      <c r="M617" s="378" t="s">
        <v>289</v>
      </c>
      <c r="N617" s="378" t="s">
        <v>289</v>
      </c>
      <c r="O617" s="409"/>
      <c r="P617" s="387" t="s">
        <v>289</v>
      </c>
      <c r="Q617" s="383"/>
      <c r="R617" s="383"/>
      <c r="S617" s="383"/>
      <c r="T617" s="410"/>
      <c r="U617" s="406"/>
      <c r="V617" s="386"/>
      <c r="W617" s="387" t="s">
        <v>289</v>
      </c>
      <c r="X617" s="378" t="s">
        <v>289</v>
      </c>
      <c r="Y617" s="387" t="s">
        <v>289</v>
      </c>
      <c r="Z617" s="391" t="s">
        <v>289</v>
      </c>
      <c r="AA617" s="391" t="s">
        <v>289</v>
      </c>
      <c r="AB617" s="391" t="s">
        <v>289</v>
      </c>
      <c r="AC617" s="391" t="s">
        <v>289</v>
      </c>
      <c r="AD617" s="395" t="s">
        <v>289</v>
      </c>
      <c r="AE617" s="395"/>
      <c r="AF617" s="395"/>
      <c r="AG617" s="395"/>
      <c r="AH617" s="395"/>
    </row>
    <row r="618" ht="30.75" customHeight="1">
      <c r="A618" s="373" t="str">
        <f t="shared" si="1"/>
        <v/>
      </c>
      <c r="B618" s="421" t="s">
        <v>289</v>
      </c>
      <c r="C618" s="406"/>
      <c r="D618" s="406"/>
      <c r="E618" s="406"/>
      <c r="F618" s="395" t="s">
        <v>289</v>
      </c>
      <c r="G618" s="406"/>
      <c r="H618" s="406"/>
      <c r="I618" s="378" t="s">
        <v>289</v>
      </c>
      <c r="J618" s="379" t="s">
        <v>289</v>
      </c>
      <c r="K618" s="407"/>
      <c r="L618" s="378" t="s">
        <v>289</v>
      </c>
      <c r="M618" s="378" t="s">
        <v>289</v>
      </c>
      <c r="N618" s="378" t="s">
        <v>289</v>
      </c>
      <c r="O618" s="409"/>
      <c r="P618" s="387" t="s">
        <v>289</v>
      </c>
      <c r="Q618" s="383"/>
      <c r="R618" s="383"/>
      <c r="S618" s="383"/>
      <c r="T618" s="410"/>
      <c r="U618" s="406"/>
      <c r="V618" s="386"/>
      <c r="W618" s="387" t="s">
        <v>289</v>
      </c>
      <c r="X618" s="378" t="s">
        <v>289</v>
      </c>
      <c r="Y618" s="387" t="s">
        <v>289</v>
      </c>
      <c r="Z618" s="391" t="s">
        <v>289</v>
      </c>
      <c r="AA618" s="391" t="s">
        <v>289</v>
      </c>
      <c r="AB618" s="391" t="s">
        <v>289</v>
      </c>
      <c r="AC618" s="391" t="s">
        <v>289</v>
      </c>
      <c r="AD618" s="395" t="s">
        <v>289</v>
      </c>
      <c r="AE618" s="395"/>
      <c r="AF618" s="395"/>
      <c r="AG618" s="395"/>
      <c r="AH618" s="395"/>
    </row>
    <row r="619" ht="30.75" customHeight="1">
      <c r="A619" s="373" t="str">
        <f t="shared" si="1"/>
        <v/>
      </c>
      <c r="B619" s="421" t="s">
        <v>289</v>
      </c>
      <c r="C619" s="406"/>
      <c r="D619" s="406"/>
      <c r="E619" s="406"/>
      <c r="F619" s="395" t="s">
        <v>289</v>
      </c>
      <c r="G619" s="406"/>
      <c r="H619" s="406"/>
      <c r="I619" s="378" t="s">
        <v>289</v>
      </c>
      <c r="J619" s="379" t="s">
        <v>289</v>
      </c>
      <c r="K619" s="407"/>
      <c r="L619" s="378" t="s">
        <v>289</v>
      </c>
      <c r="M619" s="378" t="s">
        <v>289</v>
      </c>
      <c r="N619" s="378" t="s">
        <v>289</v>
      </c>
      <c r="O619" s="409"/>
      <c r="P619" s="387" t="s">
        <v>289</v>
      </c>
      <c r="Q619" s="383"/>
      <c r="R619" s="383"/>
      <c r="S619" s="383"/>
      <c r="T619" s="410"/>
      <c r="U619" s="406"/>
      <c r="V619" s="386"/>
      <c r="W619" s="387" t="s">
        <v>289</v>
      </c>
      <c r="X619" s="378" t="s">
        <v>289</v>
      </c>
      <c r="Y619" s="387" t="s">
        <v>289</v>
      </c>
      <c r="Z619" s="391" t="s">
        <v>289</v>
      </c>
      <c r="AA619" s="391" t="s">
        <v>289</v>
      </c>
      <c r="AB619" s="391" t="s">
        <v>289</v>
      </c>
      <c r="AC619" s="391" t="s">
        <v>289</v>
      </c>
      <c r="AD619" s="395" t="s">
        <v>289</v>
      </c>
      <c r="AE619" s="395"/>
      <c r="AF619" s="395"/>
      <c r="AG619" s="395"/>
      <c r="AH619" s="395"/>
    </row>
    <row r="620" ht="30.75" customHeight="1">
      <c r="A620" s="373" t="str">
        <f t="shared" si="1"/>
        <v/>
      </c>
      <c r="B620" s="421" t="s">
        <v>289</v>
      </c>
      <c r="C620" s="406"/>
      <c r="D620" s="406"/>
      <c r="E620" s="406"/>
      <c r="F620" s="395" t="s">
        <v>289</v>
      </c>
      <c r="G620" s="406"/>
      <c r="H620" s="406"/>
      <c r="I620" s="378" t="s">
        <v>289</v>
      </c>
      <c r="J620" s="379" t="s">
        <v>289</v>
      </c>
      <c r="K620" s="407"/>
      <c r="L620" s="378" t="s">
        <v>289</v>
      </c>
      <c r="M620" s="378" t="s">
        <v>289</v>
      </c>
      <c r="N620" s="378" t="s">
        <v>289</v>
      </c>
      <c r="O620" s="409"/>
      <c r="P620" s="387" t="s">
        <v>289</v>
      </c>
      <c r="Q620" s="383"/>
      <c r="R620" s="383"/>
      <c r="S620" s="383"/>
      <c r="T620" s="410"/>
      <c r="U620" s="406"/>
      <c r="V620" s="386"/>
      <c r="W620" s="387" t="s">
        <v>289</v>
      </c>
      <c r="X620" s="378" t="s">
        <v>289</v>
      </c>
      <c r="Y620" s="387" t="s">
        <v>289</v>
      </c>
      <c r="Z620" s="391" t="s">
        <v>289</v>
      </c>
      <c r="AA620" s="391" t="s">
        <v>289</v>
      </c>
      <c r="AB620" s="391" t="s">
        <v>289</v>
      </c>
      <c r="AC620" s="391" t="s">
        <v>289</v>
      </c>
      <c r="AD620" s="395" t="s">
        <v>289</v>
      </c>
      <c r="AE620" s="395"/>
      <c r="AF620" s="395"/>
      <c r="AG620" s="395"/>
      <c r="AH620" s="395"/>
    </row>
    <row r="621" ht="30.75" customHeight="1">
      <c r="A621" s="373" t="str">
        <f t="shared" si="1"/>
        <v/>
      </c>
      <c r="B621" s="421" t="s">
        <v>289</v>
      </c>
      <c r="C621" s="406"/>
      <c r="D621" s="406"/>
      <c r="E621" s="406"/>
      <c r="F621" s="395" t="s">
        <v>289</v>
      </c>
      <c r="G621" s="406"/>
      <c r="H621" s="406"/>
      <c r="I621" s="378" t="s">
        <v>289</v>
      </c>
      <c r="J621" s="379" t="s">
        <v>289</v>
      </c>
      <c r="K621" s="407"/>
      <c r="L621" s="378" t="s">
        <v>289</v>
      </c>
      <c r="M621" s="378" t="s">
        <v>289</v>
      </c>
      <c r="N621" s="378" t="s">
        <v>289</v>
      </c>
      <c r="O621" s="409"/>
      <c r="P621" s="387" t="s">
        <v>289</v>
      </c>
      <c r="Q621" s="383"/>
      <c r="R621" s="383"/>
      <c r="S621" s="383"/>
      <c r="T621" s="410"/>
      <c r="U621" s="406"/>
      <c r="V621" s="386"/>
      <c r="W621" s="387" t="s">
        <v>289</v>
      </c>
      <c r="X621" s="378" t="s">
        <v>289</v>
      </c>
      <c r="Y621" s="387" t="s">
        <v>289</v>
      </c>
      <c r="Z621" s="391" t="s">
        <v>289</v>
      </c>
      <c r="AA621" s="391" t="s">
        <v>289</v>
      </c>
      <c r="AB621" s="391" t="s">
        <v>289</v>
      </c>
      <c r="AC621" s="391" t="s">
        <v>289</v>
      </c>
      <c r="AD621" s="395" t="s">
        <v>289</v>
      </c>
      <c r="AE621" s="395"/>
      <c r="AF621" s="395"/>
      <c r="AG621" s="395"/>
      <c r="AH621" s="395"/>
    </row>
    <row r="622" ht="30.75" customHeight="1">
      <c r="A622" s="373" t="str">
        <f t="shared" si="1"/>
        <v/>
      </c>
      <c r="B622" s="421" t="s">
        <v>289</v>
      </c>
      <c r="C622" s="406"/>
      <c r="D622" s="406"/>
      <c r="E622" s="406"/>
      <c r="F622" s="395" t="s">
        <v>289</v>
      </c>
      <c r="G622" s="406"/>
      <c r="H622" s="406"/>
      <c r="I622" s="378" t="s">
        <v>289</v>
      </c>
      <c r="J622" s="379" t="s">
        <v>289</v>
      </c>
      <c r="K622" s="407"/>
      <c r="L622" s="378" t="s">
        <v>289</v>
      </c>
      <c r="M622" s="378" t="s">
        <v>289</v>
      </c>
      <c r="N622" s="378" t="s">
        <v>289</v>
      </c>
      <c r="O622" s="409"/>
      <c r="P622" s="387" t="s">
        <v>289</v>
      </c>
      <c r="Q622" s="383"/>
      <c r="R622" s="383"/>
      <c r="S622" s="383"/>
      <c r="T622" s="410"/>
      <c r="U622" s="406"/>
      <c r="V622" s="386"/>
      <c r="W622" s="387" t="s">
        <v>289</v>
      </c>
      <c r="X622" s="378" t="s">
        <v>289</v>
      </c>
      <c r="Y622" s="387" t="s">
        <v>289</v>
      </c>
      <c r="Z622" s="391" t="s">
        <v>289</v>
      </c>
      <c r="AA622" s="391" t="s">
        <v>289</v>
      </c>
      <c r="AB622" s="391" t="s">
        <v>289</v>
      </c>
      <c r="AC622" s="391" t="s">
        <v>289</v>
      </c>
      <c r="AD622" s="395" t="s">
        <v>289</v>
      </c>
      <c r="AE622" s="395"/>
      <c r="AF622" s="395"/>
      <c r="AG622" s="395"/>
      <c r="AH622" s="395"/>
    </row>
    <row r="623" ht="30.75" customHeight="1">
      <c r="A623" s="373" t="str">
        <f t="shared" si="1"/>
        <v/>
      </c>
      <c r="B623" s="421" t="s">
        <v>289</v>
      </c>
      <c r="C623" s="406"/>
      <c r="D623" s="406"/>
      <c r="E623" s="406"/>
      <c r="F623" s="395" t="s">
        <v>289</v>
      </c>
      <c r="G623" s="406"/>
      <c r="H623" s="406"/>
      <c r="I623" s="378" t="s">
        <v>289</v>
      </c>
      <c r="J623" s="379" t="s">
        <v>289</v>
      </c>
      <c r="K623" s="407"/>
      <c r="L623" s="378" t="s">
        <v>289</v>
      </c>
      <c r="M623" s="378" t="s">
        <v>289</v>
      </c>
      <c r="N623" s="378" t="s">
        <v>289</v>
      </c>
      <c r="O623" s="409"/>
      <c r="P623" s="387" t="s">
        <v>289</v>
      </c>
      <c r="Q623" s="383"/>
      <c r="R623" s="383"/>
      <c r="S623" s="383"/>
      <c r="T623" s="410"/>
      <c r="U623" s="406"/>
      <c r="V623" s="386"/>
      <c r="W623" s="387" t="s">
        <v>289</v>
      </c>
      <c r="X623" s="378" t="s">
        <v>289</v>
      </c>
      <c r="Y623" s="387" t="s">
        <v>289</v>
      </c>
      <c r="Z623" s="391" t="s">
        <v>289</v>
      </c>
      <c r="AA623" s="391" t="s">
        <v>289</v>
      </c>
      <c r="AB623" s="391" t="s">
        <v>289</v>
      </c>
      <c r="AC623" s="391" t="s">
        <v>289</v>
      </c>
      <c r="AD623" s="395" t="s">
        <v>289</v>
      </c>
      <c r="AE623" s="395"/>
      <c r="AF623" s="395"/>
      <c r="AG623" s="395"/>
      <c r="AH623" s="395"/>
    </row>
    <row r="624" ht="30.75" customHeight="1">
      <c r="A624" s="373" t="str">
        <f t="shared" si="1"/>
        <v/>
      </c>
      <c r="B624" s="421" t="s">
        <v>289</v>
      </c>
      <c r="C624" s="406"/>
      <c r="D624" s="406"/>
      <c r="E624" s="406"/>
      <c r="F624" s="395" t="s">
        <v>289</v>
      </c>
      <c r="G624" s="406"/>
      <c r="H624" s="406"/>
      <c r="I624" s="378" t="s">
        <v>289</v>
      </c>
      <c r="J624" s="379" t="s">
        <v>289</v>
      </c>
      <c r="K624" s="407"/>
      <c r="L624" s="378" t="s">
        <v>289</v>
      </c>
      <c r="M624" s="378" t="s">
        <v>289</v>
      </c>
      <c r="N624" s="378" t="s">
        <v>289</v>
      </c>
      <c r="O624" s="409"/>
      <c r="P624" s="387" t="s">
        <v>289</v>
      </c>
      <c r="Q624" s="383"/>
      <c r="R624" s="383"/>
      <c r="S624" s="383"/>
      <c r="T624" s="410"/>
      <c r="U624" s="406"/>
      <c r="V624" s="386"/>
      <c r="W624" s="387" t="s">
        <v>289</v>
      </c>
      <c r="X624" s="378" t="s">
        <v>289</v>
      </c>
      <c r="Y624" s="387" t="s">
        <v>289</v>
      </c>
      <c r="Z624" s="391" t="s">
        <v>289</v>
      </c>
      <c r="AA624" s="391" t="s">
        <v>289</v>
      </c>
      <c r="AB624" s="391" t="s">
        <v>289</v>
      </c>
      <c r="AC624" s="391" t="s">
        <v>289</v>
      </c>
      <c r="AD624" s="395" t="s">
        <v>289</v>
      </c>
      <c r="AE624" s="395"/>
      <c r="AF624" s="395"/>
      <c r="AG624" s="395"/>
      <c r="AH624" s="395"/>
    </row>
    <row r="625" ht="30.75" customHeight="1">
      <c r="A625" s="373" t="str">
        <f t="shared" si="1"/>
        <v/>
      </c>
      <c r="B625" s="421" t="s">
        <v>289</v>
      </c>
      <c r="C625" s="406"/>
      <c r="D625" s="406"/>
      <c r="E625" s="406"/>
      <c r="F625" s="395" t="s">
        <v>289</v>
      </c>
      <c r="G625" s="406"/>
      <c r="H625" s="406"/>
      <c r="I625" s="378" t="s">
        <v>289</v>
      </c>
      <c r="J625" s="379" t="s">
        <v>289</v>
      </c>
      <c r="K625" s="407"/>
      <c r="L625" s="378" t="s">
        <v>289</v>
      </c>
      <c r="M625" s="378" t="s">
        <v>289</v>
      </c>
      <c r="N625" s="378" t="s">
        <v>289</v>
      </c>
      <c r="O625" s="409"/>
      <c r="P625" s="387" t="s">
        <v>289</v>
      </c>
      <c r="Q625" s="383"/>
      <c r="R625" s="383"/>
      <c r="S625" s="383"/>
      <c r="T625" s="410"/>
      <c r="U625" s="406"/>
      <c r="V625" s="386"/>
      <c r="W625" s="387" t="s">
        <v>289</v>
      </c>
      <c r="X625" s="378" t="s">
        <v>289</v>
      </c>
      <c r="Y625" s="387" t="s">
        <v>289</v>
      </c>
      <c r="Z625" s="391" t="s">
        <v>289</v>
      </c>
      <c r="AA625" s="391" t="s">
        <v>289</v>
      </c>
      <c r="AB625" s="391" t="s">
        <v>289</v>
      </c>
      <c r="AC625" s="391" t="s">
        <v>289</v>
      </c>
      <c r="AD625" s="395" t="s">
        <v>289</v>
      </c>
      <c r="AE625" s="395"/>
      <c r="AF625" s="395"/>
      <c r="AG625" s="395"/>
      <c r="AH625" s="395"/>
    </row>
    <row r="626" ht="30.75" customHeight="1">
      <c r="A626" s="373" t="str">
        <f t="shared" si="1"/>
        <v/>
      </c>
      <c r="B626" s="421" t="s">
        <v>289</v>
      </c>
      <c r="C626" s="406"/>
      <c r="D626" s="406"/>
      <c r="E626" s="406"/>
      <c r="F626" s="395" t="s">
        <v>289</v>
      </c>
      <c r="G626" s="406"/>
      <c r="H626" s="406"/>
      <c r="I626" s="378" t="s">
        <v>289</v>
      </c>
      <c r="J626" s="379" t="s">
        <v>289</v>
      </c>
      <c r="K626" s="407"/>
      <c r="L626" s="378" t="s">
        <v>289</v>
      </c>
      <c r="M626" s="378" t="s">
        <v>289</v>
      </c>
      <c r="N626" s="378" t="s">
        <v>289</v>
      </c>
      <c r="O626" s="409"/>
      <c r="P626" s="387" t="s">
        <v>289</v>
      </c>
      <c r="Q626" s="383"/>
      <c r="R626" s="383"/>
      <c r="S626" s="383"/>
      <c r="T626" s="410"/>
      <c r="U626" s="406"/>
      <c r="V626" s="386"/>
      <c r="W626" s="387" t="s">
        <v>289</v>
      </c>
      <c r="X626" s="378" t="s">
        <v>289</v>
      </c>
      <c r="Y626" s="387" t="s">
        <v>289</v>
      </c>
      <c r="Z626" s="391" t="s">
        <v>289</v>
      </c>
      <c r="AA626" s="391" t="s">
        <v>289</v>
      </c>
      <c r="AB626" s="391" t="s">
        <v>289</v>
      </c>
      <c r="AC626" s="391" t="s">
        <v>289</v>
      </c>
      <c r="AD626" s="395" t="s">
        <v>289</v>
      </c>
      <c r="AE626" s="395"/>
      <c r="AF626" s="395"/>
      <c r="AG626" s="395"/>
      <c r="AH626" s="395"/>
    </row>
    <row r="627" ht="30.75" customHeight="1">
      <c r="A627" s="373" t="str">
        <f t="shared" si="1"/>
        <v/>
      </c>
      <c r="B627" s="421" t="s">
        <v>289</v>
      </c>
      <c r="C627" s="406"/>
      <c r="D627" s="406"/>
      <c r="E627" s="406"/>
      <c r="F627" s="395" t="s">
        <v>289</v>
      </c>
      <c r="G627" s="406"/>
      <c r="H627" s="406"/>
      <c r="I627" s="378" t="s">
        <v>289</v>
      </c>
      <c r="J627" s="379" t="s">
        <v>289</v>
      </c>
      <c r="K627" s="407"/>
      <c r="L627" s="378" t="s">
        <v>289</v>
      </c>
      <c r="M627" s="378" t="s">
        <v>289</v>
      </c>
      <c r="N627" s="378" t="s">
        <v>289</v>
      </c>
      <c r="O627" s="409"/>
      <c r="P627" s="387" t="s">
        <v>289</v>
      </c>
      <c r="Q627" s="383"/>
      <c r="R627" s="383"/>
      <c r="S627" s="383"/>
      <c r="T627" s="410"/>
      <c r="U627" s="406"/>
      <c r="V627" s="386"/>
      <c r="W627" s="387" t="s">
        <v>289</v>
      </c>
      <c r="X627" s="378" t="s">
        <v>289</v>
      </c>
      <c r="Y627" s="387" t="s">
        <v>289</v>
      </c>
      <c r="Z627" s="391" t="s">
        <v>289</v>
      </c>
      <c r="AA627" s="391" t="s">
        <v>289</v>
      </c>
      <c r="AB627" s="391" t="s">
        <v>289</v>
      </c>
      <c r="AC627" s="391" t="s">
        <v>289</v>
      </c>
      <c r="AD627" s="395" t="s">
        <v>289</v>
      </c>
      <c r="AE627" s="395"/>
      <c r="AF627" s="395"/>
      <c r="AG627" s="395"/>
      <c r="AH627" s="395"/>
    </row>
    <row r="628" ht="30.75" customHeight="1">
      <c r="A628" s="373" t="str">
        <f t="shared" si="1"/>
        <v/>
      </c>
      <c r="B628" s="421" t="s">
        <v>289</v>
      </c>
      <c r="C628" s="406"/>
      <c r="D628" s="406"/>
      <c r="E628" s="406"/>
      <c r="F628" s="395" t="s">
        <v>289</v>
      </c>
      <c r="G628" s="406"/>
      <c r="H628" s="406"/>
      <c r="I628" s="378" t="s">
        <v>289</v>
      </c>
      <c r="J628" s="379" t="s">
        <v>289</v>
      </c>
      <c r="K628" s="407"/>
      <c r="L628" s="378" t="s">
        <v>289</v>
      </c>
      <c r="M628" s="378" t="s">
        <v>289</v>
      </c>
      <c r="N628" s="378" t="s">
        <v>289</v>
      </c>
      <c r="O628" s="409"/>
      <c r="P628" s="387" t="s">
        <v>289</v>
      </c>
      <c r="Q628" s="383"/>
      <c r="R628" s="383"/>
      <c r="S628" s="383"/>
      <c r="T628" s="410"/>
      <c r="U628" s="406"/>
      <c r="V628" s="386"/>
      <c r="W628" s="387" t="s">
        <v>289</v>
      </c>
      <c r="X628" s="378" t="s">
        <v>289</v>
      </c>
      <c r="Y628" s="387" t="s">
        <v>289</v>
      </c>
      <c r="Z628" s="391" t="s">
        <v>289</v>
      </c>
      <c r="AA628" s="391" t="s">
        <v>289</v>
      </c>
      <c r="AB628" s="391" t="s">
        <v>289</v>
      </c>
      <c r="AC628" s="391" t="s">
        <v>289</v>
      </c>
      <c r="AD628" s="395" t="s">
        <v>289</v>
      </c>
      <c r="AE628" s="395"/>
      <c r="AF628" s="395"/>
      <c r="AG628" s="395"/>
      <c r="AH628" s="395"/>
    </row>
    <row r="629" ht="30.75" customHeight="1">
      <c r="A629" s="373" t="str">
        <f t="shared" si="1"/>
        <v/>
      </c>
      <c r="B629" s="421" t="s">
        <v>289</v>
      </c>
      <c r="C629" s="406"/>
      <c r="D629" s="406"/>
      <c r="E629" s="406"/>
      <c r="F629" s="395" t="s">
        <v>289</v>
      </c>
      <c r="G629" s="406"/>
      <c r="H629" s="406"/>
      <c r="I629" s="378" t="s">
        <v>289</v>
      </c>
      <c r="J629" s="379" t="s">
        <v>289</v>
      </c>
      <c r="K629" s="407"/>
      <c r="L629" s="378" t="s">
        <v>289</v>
      </c>
      <c r="M629" s="378" t="s">
        <v>289</v>
      </c>
      <c r="N629" s="378" t="s">
        <v>289</v>
      </c>
      <c r="O629" s="409"/>
      <c r="P629" s="387" t="s">
        <v>289</v>
      </c>
      <c r="Q629" s="383"/>
      <c r="R629" s="383"/>
      <c r="S629" s="383"/>
      <c r="T629" s="410"/>
      <c r="U629" s="406"/>
      <c r="V629" s="386"/>
      <c r="W629" s="387" t="s">
        <v>289</v>
      </c>
      <c r="X629" s="378" t="s">
        <v>289</v>
      </c>
      <c r="Y629" s="387" t="s">
        <v>289</v>
      </c>
      <c r="Z629" s="391" t="s">
        <v>289</v>
      </c>
      <c r="AA629" s="391" t="s">
        <v>289</v>
      </c>
      <c r="AB629" s="391" t="s">
        <v>289</v>
      </c>
      <c r="AC629" s="391" t="s">
        <v>289</v>
      </c>
      <c r="AD629" s="395" t="s">
        <v>289</v>
      </c>
      <c r="AE629" s="395"/>
      <c r="AF629" s="395"/>
      <c r="AG629" s="395"/>
      <c r="AH629" s="395"/>
    </row>
    <row r="630" ht="30.75" customHeight="1">
      <c r="A630" s="373" t="str">
        <f t="shared" si="1"/>
        <v/>
      </c>
      <c r="B630" s="421" t="s">
        <v>289</v>
      </c>
      <c r="C630" s="406"/>
      <c r="D630" s="406"/>
      <c r="E630" s="406"/>
      <c r="F630" s="395" t="s">
        <v>289</v>
      </c>
      <c r="G630" s="406"/>
      <c r="H630" s="406"/>
      <c r="I630" s="378" t="s">
        <v>289</v>
      </c>
      <c r="J630" s="379" t="s">
        <v>289</v>
      </c>
      <c r="K630" s="407"/>
      <c r="L630" s="378" t="s">
        <v>289</v>
      </c>
      <c r="M630" s="378" t="s">
        <v>289</v>
      </c>
      <c r="N630" s="378" t="s">
        <v>289</v>
      </c>
      <c r="O630" s="409"/>
      <c r="P630" s="387" t="s">
        <v>289</v>
      </c>
      <c r="Q630" s="383"/>
      <c r="R630" s="383"/>
      <c r="S630" s="383"/>
      <c r="T630" s="410"/>
      <c r="U630" s="406"/>
      <c r="V630" s="386"/>
      <c r="W630" s="387" t="s">
        <v>289</v>
      </c>
      <c r="X630" s="378" t="s">
        <v>289</v>
      </c>
      <c r="Y630" s="387" t="s">
        <v>289</v>
      </c>
      <c r="Z630" s="391" t="s">
        <v>289</v>
      </c>
      <c r="AA630" s="391" t="s">
        <v>289</v>
      </c>
      <c r="AB630" s="391" t="s">
        <v>289</v>
      </c>
      <c r="AC630" s="391" t="s">
        <v>289</v>
      </c>
      <c r="AD630" s="395" t="s">
        <v>289</v>
      </c>
      <c r="AE630" s="395"/>
      <c r="AF630" s="395"/>
      <c r="AG630" s="395"/>
      <c r="AH630" s="395"/>
    </row>
    <row r="631" ht="30.75" customHeight="1">
      <c r="A631" s="373" t="str">
        <f t="shared" si="1"/>
        <v/>
      </c>
      <c r="B631" s="421" t="s">
        <v>289</v>
      </c>
      <c r="C631" s="406"/>
      <c r="D631" s="406"/>
      <c r="E631" s="406"/>
      <c r="F631" s="395" t="s">
        <v>289</v>
      </c>
      <c r="G631" s="406"/>
      <c r="H631" s="406"/>
      <c r="I631" s="378" t="s">
        <v>289</v>
      </c>
      <c r="J631" s="379" t="s">
        <v>289</v>
      </c>
      <c r="K631" s="407"/>
      <c r="L631" s="378" t="s">
        <v>289</v>
      </c>
      <c r="M631" s="378" t="s">
        <v>289</v>
      </c>
      <c r="N631" s="378" t="s">
        <v>289</v>
      </c>
      <c r="O631" s="409"/>
      <c r="P631" s="387" t="s">
        <v>289</v>
      </c>
      <c r="Q631" s="383"/>
      <c r="R631" s="383"/>
      <c r="S631" s="383"/>
      <c r="T631" s="410"/>
      <c r="U631" s="406"/>
      <c r="V631" s="386"/>
      <c r="W631" s="387" t="s">
        <v>289</v>
      </c>
      <c r="X631" s="378" t="s">
        <v>289</v>
      </c>
      <c r="Y631" s="387" t="s">
        <v>289</v>
      </c>
      <c r="Z631" s="391" t="s">
        <v>289</v>
      </c>
      <c r="AA631" s="391" t="s">
        <v>289</v>
      </c>
      <c r="AB631" s="391" t="s">
        <v>289</v>
      </c>
      <c r="AC631" s="391" t="s">
        <v>289</v>
      </c>
      <c r="AD631" s="395" t="s">
        <v>289</v>
      </c>
      <c r="AE631" s="395"/>
      <c r="AF631" s="395"/>
      <c r="AG631" s="395"/>
      <c r="AH631" s="395"/>
    </row>
    <row r="632" ht="30.75" customHeight="1">
      <c r="A632" s="373" t="str">
        <f t="shared" si="1"/>
        <v/>
      </c>
      <c r="B632" s="421" t="s">
        <v>289</v>
      </c>
      <c r="C632" s="406"/>
      <c r="D632" s="406"/>
      <c r="E632" s="406"/>
      <c r="F632" s="395" t="s">
        <v>289</v>
      </c>
      <c r="G632" s="406"/>
      <c r="H632" s="406"/>
      <c r="I632" s="378" t="s">
        <v>289</v>
      </c>
      <c r="J632" s="379" t="s">
        <v>289</v>
      </c>
      <c r="K632" s="407"/>
      <c r="L632" s="378" t="s">
        <v>289</v>
      </c>
      <c r="M632" s="378" t="s">
        <v>289</v>
      </c>
      <c r="N632" s="378" t="s">
        <v>289</v>
      </c>
      <c r="O632" s="409"/>
      <c r="P632" s="387" t="s">
        <v>289</v>
      </c>
      <c r="Q632" s="383"/>
      <c r="R632" s="383"/>
      <c r="S632" s="383"/>
      <c r="T632" s="410"/>
      <c r="U632" s="406"/>
      <c r="V632" s="386"/>
      <c r="W632" s="387" t="s">
        <v>289</v>
      </c>
      <c r="X632" s="378" t="s">
        <v>289</v>
      </c>
      <c r="Y632" s="387" t="s">
        <v>289</v>
      </c>
      <c r="Z632" s="391" t="s">
        <v>289</v>
      </c>
      <c r="AA632" s="391" t="s">
        <v>289</v>
      </c>
      <c r="AB632" s="391" t="s">
        <v>289</v>
      </c>
      <c r="AC632" s="391" t="s">
        <v>289</v>
      </c>
      <c r="AD632" s="395" t="s">
        <v>289</v>
      </c>
      <c r="AE632" s="395"/>
      <c r="AF632" s="395"/>
      <c r="AG632" s="395"/>
      <c r="AH632" s="395"/>
    </row>
    <row r="633" ht="30.75" customHeight="1">
      <c r="A633" s="373" t="str">
        <f t="shared" si="1"/>
        <v/>
      </c>
      <c r="B633" s="421" t="s">
        <v>289</v>
      </c>
      <c r="C633" s="406"/>
      <c r="D633" s="406"/>
      <c r="E633" s="406"/>
      <c r="F633" s="395" t="s">
        <v>289</v>
      </c>
      <c r="G633" s="406"/>
      <c r="H633" s="406"/>
      <c r="I633" s="378" t="s">
        <v>289</v>
      </c>
      <c r="J633" s="379" t="s">
        <v>289</v>
      </c>
      <c r="K633" s="407"/>
      <c r="L633" s="378" t="s">
        <v>289</v>
      </c>
      <c r="M633" s="378" t="s">
        <v>289</v>
      </c>
      <c r="N633" s="378" t="s">
        <v>289</v>
      </c>
      <c r="O633" s="409"/>
      <c r="P633" s="387" t="s">
        <v>289</v>
      </c>
      <c r="Q633" s="383"/>
      <c r="R633" s="383"/>
      <c r="S633" s="383"/>
      <c r="T633" s="410"/>
      <c r="U633" s="406"/>
      <c r="V633" s="386"/>
      <c r="W633" s="387" t="s">
        <v>289</v>
      </c>
      <c r="X633" s="378" t="s">
        <v>289</v>
      </c>
      <c r="Y633" s="387" t="s">
        <v>289</v>
      </c>
      <c r="Z633" s="391" t="s">
        <v>289</v>
      </c>
      <c r="AA633" s="391" t="s">
        <v>289</v>
      </c>
      <c r="AB633" s="391" t="s">
        <v>289</v>
      </c>
      <c r="AC633" s="391" t="s">
        <v>289</v>
      </c>
      <c r="AD633" s="395" t="s">
        <v>289</v>
      </c>
      <c r="AE633" s="395"/>
      <c r="AF633" s="395"/>
      <c r="AG633" s="395"/>
      <c r="AH633" s="395"/>
    </row>
    <row r="634" ht="30.75" customHeight="1">
      <c r="A634" s="373" t="str">
        <f t="shared" si="1"/>
        <v/>
      </c>
      <c r="B634" s="421" t="s">
        <v>289</v>
      </c>
      <c r="C634" s="406"/>
      <c r="D634" s="406"/>
      <c r="E634" s="406"/>
      <c r="F634" s="395" t="s">
        <v>289</v>
      </c>
      <c r="G634" s="406"/>
      <c r="H634" s="406"/>
      <c r="I634" s="378" t="s">
        <v>289</v>
      </c>
      <c r="J634" s="379" t="s">
        <v>289</v>
      </c>
      <c r="K634" s="407"/>
      <c r="L634" s="378" t="s">
        <v>289</v>
      </c>
      <c r="M634" s="378" t="s">
        <v>289</v>
      </c>
      <c r="N634" s="378" t="s">
        <v>289</v>
      </c>
      <c r="O634" s="409"/>
      <c r="P634" s="387" t="s">
        <v>289</v>
      </c>
      <c r="Q634" s="383"/>
      <c r="R634" s="383"/>
      <c r="S634" s="383"/>
      <c r="T634" s="410"/>
      <c r="U634" s="406"/>
      <c r="V634" s="386"/>
      <c r="W634" s="387" t="s">
        <v>289</v>
      </c>
      <c r="X634" s="378" t="s">
        <v>289</v>
      </c>
      <c r="Y634" s="387" t="s">
        <v>289</v>
      </c>
      <c r="Z634" s="391" t="s">
        <v>289</v>
      </c>
      <c r="AA634" s="391" t="s">
        <v>289</v>
      </c>
      <c r="AB634" s="391" t="s">
        <v>289</v>
      </c>
      <c r="AC634" s="391" t="s">
        <v>289</v>
      </c>
      <c r="AD634" s="395" t="s">
        <v>289</v>
      </c>
      <c r="AE634" s="395"/>
      <c r="AF634" s="395"/>
      <c r="AG634" s="395"/>
      <c r="AH634" s="395"/>
    </row>
    <row r="635" ht="30.75" customHeight="1">
      <c r="A635" s="373" t="str">
        <f t="shared" si="1"/>
        <v/>
      </c>
      <c r="B635" s="421" t="s">
        <v>289</v>
      </c>
      <c r="C635" s="406"/>
      <c r="D635" s="406"/>
      <c r="E635" s="406"/>
      <c r="F635" s="395" t="s">
        <v>289</v>
      </c>
      <c r="G635" s="406"/>
      <c r="H635" s="406"/>
      <c r="I635" s="378" t="s">
        <v>289</v>
      </c>
      <c r="J635" s="379" t="s">
        <v>289</v>
      </c>
      <c r="K635" s="407"/>
      <c r="L635" s="378" t="s">
        <v>289</v>
      </c>
      <c r="M635" s="378" t="s">
        <v>289</v>
      </c>
      <c r="N635" s="378" t="s">
        <v>289</v>
      </c>
      <c r="O635" s="409"/>
      <c r="P635" s="387" t="s">
        <v>289</v>
      </c>
      <c r="Q635" s="383"/>
      <c r="R635" s="383"/>
      <c r="S635" s="383"/>
      <c r="T635" s="410"/>
      <c r="U635" s="406"/>
      <c r="V635" s="386"/>
      <c r="W635" s="387" t="s">
        <v>289</v>
      </c>
      <c r="X635" s="378" t="s">
        <v>289</v>
      </c>
      <c r="Y635" s="387" t="s">
        <v>289</v>
      </c>
      <c r="Z635" s="391" t="s">
        <v>289</v>
      </c>
      <c r="AA635" s="391" t="s">
        <v>289</v>
      </c>
      <c r="AB635" s="391" t="s">
        <v>289</v>
      </c>
      <c r="AC635" s="391" t="s">
        <v>289</v>
      </c>
      <c r="AD635" s="395" t="s">
        <v>289</v>
      </c>
      <c r="AE635" s="395"/>
      <c r="AF635" s="395"/>
      <c r="AG635" s="395"/>
      <c r="AH635" s="395"/>
    </row>
    <row r="636" ht="30.75" customHeight="1">
      <c r="A636" s="373" t="str">
        <f t="shared" si="1"/>
        <v/>
      </c>
      <c r="B636" s="421" t="s">
        <v>289</v>
      </c>
      <c r="C636" s="406"/>
      <c r="D636" s="406"/>
      <c r="E636" s="406"/>
      <c r="F636" s="395" t="s">
        <v>289</v>
      </c>
      <c r="G636" s="406"/>
      <c r="H636" s="406"/>
      <c r="I636" s="378" t="s">
        <v>289</v>
      </c>
      <c r="J636" s="379" t="s">
        <v>289</v>
      </c>
      <c r="K636" s="407"/>
      <c r="L636" s="378" t="s">
        <v>289</v>
      </c>
      <c r="M636" s="378" t="s">
        <v>289</v>
      </c>
      <c r="N636" s="378" t="s">
        <v>289</v>
      </c>
      <c r="O636" s="409"/>
      <c r="P636" s="387" t="s">
        <v>289</v>
      </c>
      <c r="Q636" s="383"/>
      <c r="R636" s="383"/>
      <c r="S636" s="383"/>
      <c r="T636" s="410"/>
      <c r="U636" s="406"/>
      <c r="V636" s="386"/>
      <c r="W636" s="387" t="s">
        <v>289</v>
      </c>
      <c r="X636" s="378" t="s">
        <v>289</v>
      </c>
      <c r="Y636" s="387" t="s">
        <v>289</v>
      </c>
      <c r="Z636" s="391" t="s">
        <v>289</v>
      </c>
      <c r="AA636" s="391" t="s">
        <v>289</v>
      </c>
      <c r="AB636" s="391" t="s">
        <v>289</v>
      </c>
      <c r="AC636" s="391" t="s">
        <v>289</v>
      </c>
      <c r="AD636" s="395" t="s">
        <v>289</v>
      </c>
      <c r="AE636" s="395"/>
      <c r="AF636" s="395"/>
      <c r="AG636" s="395"/>
      <c r="AH636" s="395"/>
    </row>
    <row r="637" ht="30.75" customHeight="1">
      <c r="A637" s="373" t="str">
        <f t="shared" si="1"/>
        <v/>
      </c>
      <c r="B637" s="421" t="s">
        <v>289</v>
      </c>
      <c r="C637" s="406"/>
      <c r="D637" s="406"/>
      <c r="E637" s="406"/>
      <c r="F637" s="395" t="s">
        <v>289</v>
      </c>
      <c r="G637" s="406"/>
      <c r="H637" s="406"/>
      <c r="I637" s="378" t="s">
        <v>289</v>
      </c>
      <c r="J637" s="379" t="s">
        <v>289</v>
      </c>
      <c r="K637" s="407"/>
      <c r="L637" s="378" t="s">
        <v>289</v>
      </c>
      <c r="M637" s="378" t="s">
        <v>289</v>
      </c>
      <c r="N637" s="378" t="s">
        <v>289</v>
      </c>
      <c r="O637" s="409"/>
      <c r="P637" s="387" t="s">
        <v>289</v>
      </c>
      <c r="Q637" s="383"/>
      <c r="R637" s="383"/>
      <c r="S637" s="383"/>
      <c r="T637" s="410"/>
      <c r="U637" s="406"/>
      <c r="V637" s="386"/>
      <c r="W637" s="387" t="s">
        <v>289</v>
      </c>
      <c r="X637" s="378" t="s">
        <v>289</v>
      </c>
      <c r="Y637" s="387" t="s">
        <v>289</v>
      </c>
      <c r="Z637" s="391" t="s">
        <v>289</v>
      </c>
      <c r="AA637" s="391" t="s">
        <v>289</v>
      </c>
      <c r="AB637" s="391" t="s">
        <v>289</v>
      </c>
      <c r="AC637" s="391" t="s">
        <v>289</v>
      </c>
      <c r="AD637" s="395" t="s">
        <v>289</v>
      </c>
      <c r="AE637" s="395"/>
      <c r="AF637" s="395"/>
      <c r="AG637" s="395"/>
      <c r="AH637" s="395"/>
    </row>
    <row r="638" ht="30.75" customHeight="1">
      <c r="A638" s="373" t="str">
        <f t="shared" si="1"/>
        <v/>
      </c>
      <c r="B638" s="421" t="s">
        <v>289</v>
      </c>
      <c r="C638" s="406"/>
      <c r="D638" s="406"/>
      <c r="E638" s="406"/>
      <c r="F638" s="395" t="s">
        <v>289</v>
      </c>
      <c r="G638" s="406"/>
      <c r="H638" s="406"/>
      <c r="I638" s="378" t="s">
        <v>289</v>
      </c>
      <c r="J638" s="379" t="s">
        <v>289</v>
      </c>
      <c r="K638" s="407"/>
      <c r="L638" s="378" t="s">
        <v>289</v>
      </c>
      <c r="M638" s="378" t="s">
        <v>289</v>
      </c>
      <c r="N638" s="378" t="s">
        <v>289</v>
      </c>
      <c r="O638" s="409"/>
      <c r="P638" s="387" t="s">
        <v>289</v>
      </c>
      <c r="Q638" s="383"/>
      <c r="R638" s="383"/>
      <c r="S638" s="383"/>
      <c r="T638" s="410"/>
      <c r="U638" s="406"/>
      <c r="V638" s="386"/>
      <c r="W638" s="387" t="s">
        <v>289</v>
      </c>
      <c r="X638" s="378" t="s">
        <v>289</v>
      </c>
      <c r="Y638" s="387" t="s">
        <v>289</v>
      </c>
      <c r="Z638" s="391" t="s">
        <v>289</v>
      </c>
      <c r="AA638" s="391" t="s">
        <v>289</v>
      </c>
      <c r="AB638" s="391" t="s">
        <v>289</v>
      </c>
      <c r="AC638" s="391" t="s">
        <v>289</v>
      </c>
      <c r="AD638" s="395" t="s">
        <v>289</v>
      </c>
      <c r="AE638" s="395"/>
      <c r="AF638" s="395"/>
      <c r="AG638" s="395"/>
      <c r="AH638" s="395"/>
    </row>
    <row r="639" ht="30.75" customHeight="1">
      <c r="A639" s="373" t="str">
        <f t="shared" si="1"/>
        <v/>
      </c>
      <c r="B639" s="421" t="s">
        <v>289</v>
      </c>
      <c r="C639" s="406"/>
      <c r="D639" s="406"/>
      <c r="E639" s="406"/>
      <c r="F639" s="395" t="s">
        <v>289</v>
      </c>
      <c r="G639" s="406"/>
      <c r="H639" s="406"/>
      <c r="I639" s="378" t="s">
        <v>289</v>
      </c>
      <c r="J639" s="379" t="s">
        <v>289</v>
      </c>
      <c r="K639" s="407"/>
      <c r="L639" s="378" t="s">
        <v>289</v>
      </c>
      <c r="M639" s="378" t="s">
        <v>289</v>
      </c>
      <c r="N639" s="378" t="s">
        <v>289</v>
      </c>
      <c r="O639" s="409"/>
      <c r="P639" s="387" t="s">
        <v>289</v>
      </c>
      <c r="Q639" s="383"/>
      <c r="R639" s="383"/>
      <c r="S639" s="383"/>
      <c r="T639" s="410"/>
      <c r="U639" s="406"/>
      <c r="V639" s="386"/>
      <c r="W639" s="387" t="s">
        <v>289</v>
      </c>
      <c r="X639" s="378" t="s">
        <v>289</v>
      </c>
      <c r="Y639" s="387" t="s">
        <v>289</v>
      </c>
      <c r="Z639" s="391" t="s">
        <v>289</v>
      </c>
      <c r="AA639" s="391" t="s">
        <v>289</v>
      </c>
      <c r="AB639" s="391" t="s">
        <v>289</v>
      </c>
      <c r="AC639" s="391" t="s">
        <v>289</v>
      </c>
      <c r="AD639" s="395" t="s">
        <v>289</v>
      </c>
      <c r="AE639" s="395"/>
      <c r="AF639" s="395"/>
      <c r="AG639" s="395"/>
      <c r="AH639" s="395"/>
    </row>
    <row r="640" ht="30.75" customHeight="1">
      <c r="A640" s="373" t="str">
        <f t="shared" si="1"/>
        <v/>
      </c>
      <c r="B640" s="421" t="s">
        <v>289</v>
      </c>
      <c r="C640" s="406"/>
      <c r="D640" s="406"/>
      <c r="E640" s="406"/>
      <c r="F640" s="395" t="s">
        <v>289</v>
      </c>
      <c r="G640" s="406"/>
      <c r="H640" s="406"/>
      <c r="I640" s="378" t="s">
        <v>289</v>
      </c>
      <c r="J640" s="379" t="s">
        <v>289</v>
      </c>
      <c r="K640" s="407"/>
      <c r="L640" s="378" t="s">
        <v>289</v>
      </c>
      <c r="M640" s="378" t="s">
        <v>289</v>
      </c>
      <c r="N640" s="378" t="s">
        <v>289</v>
      </c>
      <c r="O640" s="409"/>
      <c r="P640" s="387" t="s">
        <v>289</v>
      </c>
      <c r="Q640" s="383"/>
      <c r="R640" s="383"/>
      <c r="S640" s="383"/>
      <c r="T640" s="410"/>
      <c r="U640" s="406"/>
      <c r="V640" s="386"/>
      <c r="W640" s="387" t="s">
        <v>289</v>
      </c>
      <c r="X640" s="378" t="s">
        <v>289</v>
      </c>
      <c r="Y640" s="387" t="s">
        <v>289</v>
      </c>
      <c r="Z640" s="391" t="s">
        <v>289</v>
      </c>
      <c r="AA640" s="391" t="s">
        <v>289</v>
      </c>
      <c r="AB640" s="391" t="s">
        <v>289</v>
      </c>
      <c r="AC640" s="391" t="s">
        <v>289</v>
      </c>
      <c r="AD640" s="395" t="s">
        <v>289</v>
      </c>
      <c r="AE640" s="395"/>
      <c r="AF640" s="395"/>
      <c r="AG640" s="395"/>
      <c r="AH640" s="395"/>
    </row>
    <row r="641" ht="30.75" customHeight="1">
      <c r="A641" s="373" t="str">
        <f t="shared" si="1"/>
        <v/>
      </c>
      <c r="B641" s="421" t="s">
        <v>289</v>
      </c>
      <c r="C641" s="406"/>
      <c r="D641" s="406"/>
      <c r="E641" s="406"/>
      <c r="F641" s="395" t="s">
        <v>289</v>
      </c>
      <c r="G641" s="406"/>
      <c r="H641" s="406"/>
      <c r="I641" s="378" t="s">
        <v>289</v>
      </c>
      <c r="J641" s="379" t="s">
        <v>289</v>
      </c>
      <c r="K641" s="407"/>
      <c r="L641" s="378" t="s">
        <v>289</v>
      </c>
      <c r="M641" s="378" t="s">
        <v>289</v>
      </c>
      <c r="N641" s="378" t="s">
        <v>289</v>
      </c>
      <c r="O641" s="409"/>
      <c r="P641" s="387" t="s">
        <v>289</v>
      </c>
      <c r="Q641" s="383"/>
      <c r="R641" s="383"/>
      <c r="S641" s="383"/>
      <c r="T641" s="410"/>
      <c r="U641" s="406"/>
      <c r="V641" s="386"/>
      <c r="W641" s="387" t="s">
        <v>289</v>
      </c>
      <c r="X641" s="378" t="s">
        <v>289</v>
      </c>
      <c r="Y641" s="387" t="s">
        <v>289</v>
      </c>
      <c r="Z641" s="391" t="s">
        <v>289</v>
      </c>
      <c r="AA641" s="391" t="s">
        <v>289</v>
      </c>
      <c r="AB641" s="391" t="s">
        <v>289</v>
      </c>
      <c r="AC641" s="391" t="s">
        <v>289</v>
      </c>
      <c r="AD641" s="395" t="s">
        <v>289</v>
      </c>
      <c r="AE641" s="395"/>
      <c r="AF641" s="395"/>
      <c r="AG641" s="395"/>
      <c r="AH641" s="395"/>
    </row>
    <row r="642" ht="30.75" customHeight="1">
      <c r="A642" s="373" t="str">
        <f t="shared" si="1"/>
        <v/>
      </c>
      <c r="B642" s="421" t="s">
        <v>289</v>
      </c>
      <c r="C642" s="406"/>
      <c r="D642" s="406"/>
      <c r="E642" s="406"/>
      <c r="F642" s="395" t="s">
        <v>289</v>
      </c>
      <c r="G642" s="406"/>
      <c r="H642" s="406"/>
      <c r="I642" s="378" t="s">
        <v>289</v>
      </c>
      <c r="J642" s="379" t="s">
        <v>289</v>
      </c>
      <c r="K642" s="407"/>
      <c r="L642" s="378" t="s">
        <v>289</v>
      </c>
      <c r="M642" s="378" t="s">
        <v>289</v>
      </c>
      <c r="N642" s="378" t="s">
        <v>289</v>
      </c>
      <c r="O642" s="409"/>
      <c r="P642" s="387" t="s">
        <v>289</v>
      </c>
      <c r="Q642" s="383"/>
      <c r="R642" s="383"/>
      <c r="S642" s="383"/>
      <c r="T642" s="410"/>
      <c r="U642" s="406"/>
      <c r="V642" s="386"/>
      <c r="W642" s="387" t="s">
        <v>289</v>
      </c>
      <c r="X642" s="378" t="s">
        <v>289</v>
      </c>
      <c r="Y642" s="387" t="s">
        <v>289</v>
      </c>
      <c r="Z642" s="391" t="s">
        <v>289</v>
      </c>
      <c r="AA642" s="391" t="s">
        <v>289</v>
      </c>
      <c r="AB642" s="391" t="s">
        <v>289</v>
      </c>
      <c r="AC642" s="391" t="s">
        <v>289</v>
      </c>
      <c r="AD642" s="395" t="s">
        <v>289</v>
      </c>
      <c r="AE642" s="395"/>
      <c r="AF642" s="395"/>
      <c r="AG642" s="395"/>
      <c r="AH642" s="395"/>
    </row>
    <row r="643" ht="30.75" customHeight="1">
      <c r="A643" s="373" t="str">
        <f t="shared" si="1"/>
        <v/>
      </c>
      <c r="B643" s="421" t="s">
        <v>289</v>
      </c>
      <c r="C643" s="406"/>
      <c r="D643" s="406"/>
      <c r="E643" s="406"/>
      <c r="F643" s="395" t="s">
        <v>289</v>
      </c>
      <c r="G643" s="406"/>
      <c r="H643" s="406"/>
      <c r="I643" s="378" t="s">
        <v>289</v>
      </c>
      <c r="J643" s="379" t="s">
        <v>289</v>
      </c>
      <c r="K643" s="407"/>
      <c r="L643" s="378" t="s">
        <v>289</v>
      </c>
      <c r="M643" s="378" t="s">
        <v>289</v>
      </c>
      <c r="N643" s="378" t="s">
        <v>289</v>
      </c>
      <c r="O643" s="409"/>
      <c r="P643" s="387" t="s">
        <v>289</v>
      </c>
      <c r="Q643" s="383"/>
      <c r="R643" s="383"/>
      <c r="S643" s="383"/>
      <c r="T643" s="410"/>
      <c r="U643" s="406"/>
      <c r="V643" s="386"/>
      <c r="W643" s="387" t="s">
        <v>289</v>
      </c>
      <c r="X643" s="378" t="s">
        <v>289</v>
      </c>
      <c r="Y643" s="387" t="s">
        <v>289</v>
      </c>
      <c r="Z643" s="391" t="s">
        <v>289</v>
      </c>
      <c r="AA643" s="391" t="s">
        <v>289</v>
      </c>
      <c r="AB643" s="391" t="s">
        <v>289</v>
      </c>
      <c r="AC643" s="391" t="s">
        <v>289</v>
      </c>
      <c r="AD643" s="395" t="s">
        <v>289</v>
      </c>
      <c r="AE643" s="395"/>
      <c r="AF643" s="395"/>
      <c r="AG643" s="395"/>
      <c r="AH643" s="395"/>
    </row>
    <row r="644" ht="30.75" customHeight="1">
      <c r="A644" s="373" t="str">
        <f t="shared" si="1"/>
        <v/>
      </c>
      <c r="B644" s="421" t="s">
        <v>289</v>
      </c>
      <c r="C644" s="406"/>
      <c r="D644" s="406"/>
      <c r="E644" s="406"/>
      <c r="F644" s="395" t="s">
        <v>289</v>
      </c>
      <c r="G644" s="406"/>
      <c r="H644" s="406"/>
      <c r="I644" s="378" t="s">
        <v>289</v>
      </c>
      <c r="J644" s="379" t="s">
        <v>289</v>
      </c>
      <c r="K644" s="407"/>
      <c r="L644" s="378" t="s">
        <v>289</v>
      </c>
      <c r="M644" s="378" t="s">
        <v>289</v>
      </c>
      <c r="N644" s="378" t="s">
        <v>289</v>
      </c>
      <c r="O644" s="409"/>
      <c r="P644" s="387" t="s">
        <v>289</v>
      </c>
      <c r="Q644" s="383"/>
      <c r="R644" s="383"/>
      <c r="S644" s="383"/>
      <c r="T644" s="410"/>
      <c r="U644" s="406"/>
      <c r="V644" s="386"/>
      <c r="W644" s="387" t="s">
        <v>289</v>
      </c>
      <c r="X644" s="378" t="s">
        <v>289</v>
      </c>
      <c r="Y644" s="387" t="s">
        <v>289</v>
      </c>
      <c r="Z644" s="391" t="s">
        <v>289</v>
      </c>
      <c r="AA644" s="391" t="s">
        <v>289</v>
      </c>
      <c r="AB644" s="391" t="s">
        <v>289</v>
      </c>
      <c r="AC644" s="391" t="s">
        <v>289</v>
      </c>
      <c r="AD644" s="395" t="s">
        <v>289</v>
      </c>
      <c r="AE644" s="395"/>
      <c r="AF644" s="395"/>
      <c r="AG644" s="395"/>
      <c r="AH644" s="395"/>
    </row>
    <row r="645" ht="30.75" customHeight="1">
      <c r="A645" s="373" t="str">
        <f t="shared" si="1"/>
        <v/>
      </c>
      <c r="B645" s="421" t="s">
        <v>289</v>
      </c>
      <c r="C645" s="406"/>
      <c r="D645" s="406"/>
      <c r="E645" s="406"/>
      <c r="F645" s="395" t="s">
        <v>289</v>
      </c>
      <c r="G645" s="406"/>
      <c r="H645" s="406"/>
      <c r="I645" s="378" t="s">
        <v>289</v>
      </c>
      <c r="J645" s="379" t="s">
        <v>289</v>
      </c>
      <c r="K645" s="407"/>
      <c r="L645" s="378" t="s">
        <v>289</v>
      </c>
      <c r="M645" s="378" t="s">
        <v>289</v>
      </c>
      <c r="N645" s="378" t="s">
        <v>289</v>
      </c>
      <c r="O645" s="409"/>
      <c r="P645" s="387" t="s">
        <v>289</v>
      </c>
      <c r="Q645" s="383"/>
      <c r="R645" s="383"/>
      <c r="S645" s="383"/>
      <c r="T645" s="410"/>
      <c r="U645" s="406"/>
      <c r="V645" s="386"/>
      <c r="W645" s="387" t="s">
        <v>289</v>
      </c>
      <c r="X645" s="378" t="s">
        <v>289</v>
      </c>
      <c r="Y645" s="387" t="s">
        <v>289</v>
      </c>
      <c r="Z645" s="391" t="s">
        <v>289</v>
      </c>
      <c r="AA645" s="391" t="s">
        <v>289</v>
      </c>
      <c r="AB645" s="391" t="s">
        <v>289</v>
      </c>
      <c r="AC645" s="391" t="s">
        <v>289</v>
      </c>
      <c r="AD645" s="395" t="s">
        <v>289</v>
      </c>
      <c r="AE645" s="395"/>
      <c r="AF645" s="395"/>
      <c r="AG645" s="395"/>
      <c r="AH645" s="395"/>
    </row>
    <row r="646" ht="30.75" customHeight="1">
      <c r="A646" s="373" t="str">
        <f t="shared" si="1"/>
        <v/>
      </c>
      <c r="B646" s="421" t="s">
        <v>289</v>
      </c>
      <c r="C646" s="406"/>
      <c r="D646" s="406"/>
      <c r="E646" s="406"/>
      <c r="F646" s="395" t="s">
        <v>289</v>
      </c>
      <c r="G646" s="406"/>
      <c r="H646" s="406"/>
      <c r="I646" s="378" t="s">
        <v>289</v>
      </c>
      <c r="J646" s="379" t="s">
        <v>289</v>
      </c>
      <c r="K646" s="407"/>
      <c r="L646" s="378" t="s">
        <v>289</v>
      </c>
      <c r="M646" s="378" t="s">
        <v>289</v>
      </c>
      <c r="N646" s="378" t="s">
        <v>289</v>
      </c>
      <c r="O646" s="409"/>
      <c r="P646" s="387" t="s">
        <v>289</v>
      </c>
      <c r="Q646" s="383"/>
      <c r="R646" s="383"/>
      <c r="S646" s="383"/>
      <c r="T646" s="410"/>
      <c r="U646" s="406"/>
      <c r="V646" s="386"/>
      <c r="W646" s="387" t="s">
        <v>289</v>
      </c>
      <c r="X646" s="378" t="s">
        <v>289</v>
      </c>
      <c r="Y646" s="387" t="s">
        <v>289</v>
      </c>
      <c r="Z646" s="391" t="s">
        <v>289</v>
      </c>
      <c r="AA646" s="391" t="s">
        <v>289</v>
      </c>
      <c r="AB646" s="391" t="s">
        <v>289</v>
      </c>
      <c r="AC646" s="391" t="s">
        <v>289</v>
      </c>
      <c r="AD646" s="395" t="s">
        <v>289</v>
      </c>
      <c r="AE646" s="395"/>
      <c r="AF646" s="395"/>
      <c r="AG646" s="395"/>
      <c r="AH646" s="395"/>
    </row>
    <row r="647" ht="30.75" customHeight="1">
      <c r="A647" s="373" t="str">
        <f t="shared" si="1"/>
        <v/>
      </c>
      <c r="B647" s="421" t="s">
        <v>289</v>
      </c>
      <c r="C647" s="406"/>
      <c r="D647" s="406"/>
      <c r="E647" s="406"/>
      <c r="F647" s="395" t="s">
        <v>289</v>
      </c>
      <c r="G647" s="406"/>
      <c r="H647" s="406"/>
      <c r="I647" s="378" t="s">
        <v>289</v>
      </c>
      <c r="J647" s="379" t="s">
        <v>289</v>
      </c>
      <c r="K647" s="407"/>
      <c r="L647" s="378" t="s">
        <v>289</v>
      </c>
      <c r="M647" s="378" t="s">
        <v>289</v>
      </c>
      <c r="N647" s="378" t="s">
        <v>289</v>
      </c>
      <c r="O647" s="409"/>
      <c r="P647" s="387" t="s">
        <v>289</v>
      </c>
      <c r="Q647" s="383"/>
      <c r="R647" s="383"/>
      <c r="S647" s="383"/>
      <c r="T647" s="410"/>
      <c r="U647" s="406"/>
      <c r="V647" s="386"/>
      <c r="W647" s="387" t="s">
        <v>289</v>
      </c>
      <c r="X647" s="378" t="s">
        <v>289</v>
      </c>
      <c r="Y647" s="387" t="s">
        <v>289</v>
      </c>
      <c r="Z647" s="391" t="s">
        <v>289</v>
      </c>
      <c r="AA647" s="391" t="s">
        <v>289</v>
      </c>
      <c r="AB647" s="391" t="s">
        <v>289</v>
      </c>
      <c r="AC647" s="391" t="s">
        <v>289</v>
      </c>
      <c r="AD647" s="395" t="s">
        <v>289</v>
      </c>
      <c r="AE647" s="395"/>
      <c r="AF647" s="395"/>
      <c r="AG647" s="395"/>
      <c r="AH647" s="395"/>
    </row>
    <row r="648" ht="30.75" customHeight="1">
      <c r="A648" s="373" t="str">
        <f t="shared" si="1"/>
        <v/>
      </c>
      <c r="B648" s="421" t="s">
        <v>289</v>
      </c>
      <c r="C648" s="406"/>
      <c r="D648" s="406"/>
      <c r="E648" s="406"/>
      <c r="F648" s="395" t="s">
        <v>289</v>
      </c>
      <c r="G648" s="406"/>
      <c r="H648" s="406"/>
      <c r="I648" s="378" t="s">
        <v>289</v>
      </c>
      <c r="J648" s="379" t="s">
        <v>289</v>
      </c>
      <c r="K648" s="407"/>
      <c r="L648" s="378" t="s">
        <v>289</v>
      </c>
      <c r="M648" s="378" t="s">
        <v>289</v>
      </c>
      <c r="N648" s="378" t="s">
        <v>289</v>
      </c>
      <c r="O648" s="409"/>
      <c r="P648" s="387" t="s">
        <v>289</v>
      </c>
      <c r="Q648" s="383"/>
      <c r="R648" s="383"/>
      <c r="S648" s="383"/>
      <c r="T648" s="410"/>
      <c r="U648" s="406"/>
      <c r="V648" s="386"/>
      <c r="W648" s="387" t="s">
        <v>289</v>
      </c>
      <c r="X648" s="378" t="s">
        <v>289</v>
      </c>
      <c r="Y648" s="387" t="s">
        <v>289</v>
      </c>
      <c r="Z648" s="391" t="s">
        <v>289</v>
      </c>
      <c r="AA648" s="391" t="s">
        <v>289</v>
      </c>
      <c r="AB648" s="391" t="s">
        <v>289</v>
      </c>
      <c r="AC648" s="391" t="s">
        <v>289</v>
      </c>
      <c r="AD648" s="395" t="s">
        <v>289</v>
      </c>
      <c r="AE648" s="395"/>
      <c r="AF648" s="395"/>
      <c r="AG648" s="395"/>
      <c r="AH648" s="395"/>
    </row>
    <row r="649" ht="30.75" customHeight="1">
      <c r="A649" s="373" t="str">
        <f t="shared" si="1"/>
        <v/>
      </c>
      <c r="B649" s="421" t="s">
        <v>289</v>
      </c>
      <c r="C649" s="406"/>
      <c r="D649" s="406"/>
      <c r="E649" s="406"/>
      <c r="F649" s="395" t="s">
        <v>289</v>
      </c>
      <c r="G649" s="406"/>
      <c r="H649" s="406"/>
      <c r="I649" s="378" t="s">
        <v>289</v>
      </c>
      <c r="J649" s="379" t="s">
        <v>289</v>
      </c>
      <c r="K649" s="407"/>
      <c r="L649" s="378" t="s">
        <v>289</v>
      </c>
      <c r="M649" s="378" t="s">
        <v>289</v>
      </c>
      <c r="N649" s="378" t="s">
        <v>289</v>
      </c>
      <c r="O649" s="409"/>
      <c r="P649" s="387" t="s">
        <v>289</v>
      </c>
      <c r="Q649" s="383"/>
      <c r="R649" s="383"/>
      <c r="S649" s="383"/>
      <c r="T649" s="410"/>
      <c r="U649" s="406"/>
      <c r="V649" s="386"/>
      <c r="W649" s="387" t="s">
        <v>289</v>
      </c>
      <c r="X649" s="378" t="s">
        <v>289</v>
      </c>
      <c r="Y649" s="387" t="s">
        <v>289</v>
      </c>
      <c r="Z649" s="391" t="s">
        <v>289</v>
      </c>
      <c r="AA649" s="391" t="s">
        <v>289</v>
      </c>
      <c r="AB649" s="391" t="s">
        <v>289</v>
      </c>
      <c r="AC649" s="391" t="s">
        <v>289</v>
      </c>
      <c r="AD649" s="395" t="s">
        <v>289</v>
      </c>
      <c r="AE649" s="395"/>
      <c r="AF649" s="395"/>
      <c r="AG649" s="395"/>
      <c r="AH649" s="395"/>
    </row>
    <row r="650" ht="30.75" customHeight="1">
      <c r="A650" s="373" t="str">
        <f t="shared" si="1"/>
        <v/>
      </c>
      <c r="B650" s="421" t="s">
        <v>289</v>
      </c>
      <c r="C650" s="406"/>
      <c r="D650" s="406"/>
      <c r="E650" s="406"/>
      <c r="F650" s="395" t="s">
        <v>289</v>
      </c>
      <c r="G650" s="406"/>
      <c r="H650" s="406"/>
      <c r="I650" s="378" t="s">
        <v>289</v>
      </c>
      <c r="J650" s="379" t="s">
        <v>289</v>
      </c>
      <c r="K650" s="407"/>
      <c r="L650" s="378" t="s">
        <v>289</v>
      </c>
      <c r="M650" s="378" t="s">
        <v>289</v>
      </c>
      <c r="N650" s="378" t="s">
        <v>289</v>
      </c>
      <c r="O650" s="409"/>
      <c r="P650" s="387" t="s">
        <v>289</v>
      </c>
      <c r="Q650" s="383"/>
      <c r="R650" s="383"/>
      <c r="S650" s="383"/>
      <c r="T650" s="410"/>
      <c r="U650" s="406"/>
      <c r="V650" s="386"/>
      <c r="W650" s="387" t="s">
        <v>289</v>
      </c>
      <c r="X650" s="378" t="s">
        <v>289</v>
      </c>
      <c r="Y650" s="387" t="s">
        <v>289</v>
      </c>
      <c r="Z650" s="391" t="s">
        <v>289</v>
      </c>
      <c r="AA650" s="391" t="s">
        <v>289</v>
      </c>
      <c r="AB650" s="391" t="s">
        <v>289</v>
      </c>
      <c r="AC650" s="391" t="s">
        <v>289</v>
      </c>
      <c r="AD650" s="395" t="s">
        <v>289</v>
      </c>
      <c r="AE650" s="395"/>
      <c r="AF650" s="395"/>
      <c r="AG650" s="395"/>
      <c r="AH650" s="395"/>
    </row>
    <row r="651" ht="30.75" customHeight="1">
      <c r="A651" s="373" t="str">
        <f t="shared" si="1"/>
        <v/>
      </c>
      <c r="B651" s="421" t="s">
        <v>289</v>
      </c>
      <c r="C651" s="406"/>
      <c r="D651" s="406"/>
      <c r="E651" s="406"/>
      <c r="F651" s="395" t="s">
        <v>289</v>
      </c>
      <c r="G651" s="406"/>
      <c r="H651" s="406"/>
      <c r="I651" s="378" t="s">
        <v>289</v>
      </c>
      <c r="J651" s="379" t="s">
        <v>289</v>
      </c>
      <c r="K651" s="407"/>
      <c r="L651" s="378" t="s">
        <v>289</v>
      </c>
      <c r="M651" s="378" t="s">
        <v>289</v>
      </c>
      <c r="N651" s="378" t="s">
        <v>289</v>
      </c>
      <c r="O651" s="409"/>
      <c r="P651" s="387" t="s">
        <v>289</v>
      </c>
      <c r="Q651" s="383"/>
      <c r="R651" s="383"/>
      <c r="S651" s="383"/>
      <c r="T651" s="410"/>
      <c r="U651" s="406"/>
      <c r="V651" s="386"/>
      <c r="W651" s="387" t="s">
        <v>289</v>
      </c>
      <c r="X651" s="378" t="s">
        <v>289</v>
      </c>
      <c r="Y651" s="387" t="s">
        <v>289</v>
      </c>
      <c r="Z651" s="391" t="s">
        <v>289</v>
      </c>
      <c r="AA651" s="391" t="s">
        <v>289</v>
      </c>
      <c r="AB651" s="391" t="s">
        <v>289</v>
      </c>
      <c r="AC651" s="391" t="s">
        <v>289</v>
      </c>
      <c r="AD651" s="395" t="s">
        <v>289</v>
      </c>
      <c r="AE651" s="395"/>
      <c r="AF651" s="395"/>
      <c r="AG651" s="395"/>
      <c r="AH651" s="395"/>
    </row>
    <row r="652" ht="30.75" customHeight="1">
      <c r="A652" s="373" t="str">
        <f t="shared" si="1"/>
        <v/>
      </c>
      <c r="B652" s="421" t="s">
        <v>289</v>
      </c>
      <c r="C652" s="406"/>
      <c r="D652" s="406"/>
      <c r="E652" s="406"/>
      <c r="F652" s="395" t="s">
        <v>289</v>
      </c>
      <c r="G652" s="406"/>
      <c r="H652" s="406"/>
      <c r="I652" s="378" t="s">
        <v>289</v>
      </c>
      <c r="J652" s="379" t="s">
        <v>289</v>
      </c>
      <c r="K652" s="407"/>
      <c r="L652" s="378" t="s">
        <v>289</v>
      </c>
      <c r="M652" s="378" t="s">
        <v>289</v>
      </c>
      <c r="N652" s="378" t="s">
        <v>289</v>
      </c>
      <c r="O652" s="409"/>
      <c r="P652" s="387" t="s">
        <v>289</v>
      </c>
      <c r="Q652" s="383"/>
      <c r="R652" s="383"/>
      <c r="S652" s="383"/>
      <c r="T652" s="410"/>
      <c r="U652" s="406"/>
      <c r="V652" s="386"/>
      <c r="W652" s="387" t="s">
        <v>289</v>
      </c>
      <c r="X652" s="378" t="s">
        <v>289</v>
      </c>
      <c r="Y652" s="387" t="s">
        <v>289</v>
      </c>
      <c r="Z652" s="391" t="s">
        <v>289</v>
      </c>
      <c r="AA652" s="391" t="s">
        <v>289</v>
      </c>
      <c r="AB652" s="391" t="s">
        <v>289</v>
      </c>
      <c r="AC652" s="391" t="s">
        <v>289</v>
      </c>
      <c r="AD652" s="395" t="s">
        <v>289</v>
      </c>
      <c r="AE652" s="395"/>
      <c r="AF652" s="395"/>
      <c r="AG652" s="395"/>
      <c r="AH652" s="395"/>
    </row>
    <row r="653" ht="30.75" customHeight="1">
      <c r="A653" s="373" t="str">
        <f t="shared" si="1"/>
        <v/>
      </c>
      <c r="B653" s="421" t="s">
        <v>289</v>
      </c>
      <c r="C653" s="406"/>
      <c r="D653" s="406"/>
      <c r="E653" s="406"/>
      <c r="F653" s="395" t="s">
        <v>289</v>
      </c>
      <c r="G653" s="406"/>
      <c r="H653" s="406"/>
      <c r="I653" s="378" t="s">
        <v>289</v>
      </c>
      <c r="J653" s="379" t="s">
        <v>289</v>
      </c>
      <c r="K653" s="407"/>
      <c r="L653" s="378" t="s">
        <v>289</v>
      </c>
      <c r="M653" s="378" t="s">
        <v>289</v>
      </c>
      <c r="N653" s="378" t="s">
        <v>289</v>
      </c>
      <c r="O653" s="409"/>
      <c r="P653" s="387" t="s">
        <v>289</v>
      </c>
      <c r="Q653" s="383"/>
      <c r="R653" s="383"/>
      <c r="S653" s="383"/>
      <c r="T653" s="410"/>
      <c r="U653" s="406"/>
      <c r="V653" s="386"/>
      <c r="W653" s="387" t="s">
        <v>289</v>
      </c>
      <c r="X653" s="378" t="s">
        <v>289</v>
      </c>
      <c r="Y653" s="387" t="s">
        <v>289</v>
      </c>
      <c r="Z653" s="391" t="s">
        <v>289</v>
      </c>
      <c r="AA653" s="391" t="s">
        <v>289</v>
      </c>
      <c r="AB653" s="391" t="s">
        <v>289</v>
      </c>
      <c r="AC653" s="391" t="s">
        <v>289</v>
      </c>
      <c r="AD653" s="395" t="s">
        <v>289</v>
      </c>
      <c r="AE653" s="395"/>
      <c r="AF653" s="395"/>
      <c r="AG653" s="395"/>
      <c r="AH653" s="395"/>
    </row>
    <row r="654" ht="30.75" customHeight="1">
      <c r="A654" s="373" t="str">
        <f t="shared" si="1"/>
        <v/>
      </c>
      <c r="B654" s="421" t="s">
        <v>289</v>
      </c>
      <c r="C654" s="406"/>
      <c r="D654" s="406"/>
      <c r="E654" s="406"/>
      <c r="F654" s="395" t="s">
        <v>289</v>
      </c>
      <c r="G654" s="406"/>
      <c r="H654" s="406"/>
      <c r="I654" s="378" t="s">
        <v>289</v>
      </c>
      <c r="J654" s="379" t="s">
        <v>289</v>
      </c>
      <c r="K654" s="407"/>
      <c r="L654" s="378" t="s">
        <v>289</v>
      </c>
      <c r="M654" s="378" t="s">
        <v>289</v>
      </c>
      <c r="N654" s="378" t="s">
        <v>289</v>
      </c>
      <c r="O654" s="409"/>
      <c r="P654" s="387" t="s">
        <v>289</v>
      </c>
      <c r="Q654" s="383"/>
      <c r="R654" s="383"/>
      <c r="S654" s="383"/>
      <c r="T654" s="410"/>
      <c r="U654" s="406"/>
      <c r="V654" s="386"/>
      <c r="W654" s="387" t="s">
        <v>289</v>
      </c>
      <c r="X654" s="378" t="s">
        <v>289</v>
      </c>
      <c r="Y654" s="387" t="s">
        <v>289</v>
      </c>
      <c r="Z654" s="391" t="s">
        <v>289</v>
      </c>
      <c r="AA654" s="391" t="s">
        <v>289</v>
      </c>
      <c r="AB654" s="391" t="s">
        <v>289</v>
      </c>
      <c r="AC654" s="391" t="s">
        <v>289</v>
      </c>
      <c r="AD654" s="395" t="s">
        <v>289</v>
      </c>
      <c r="AE654" s="395"/>
      <c r="AF654" s="395"/>
      <c r="AG654" s="395"/>
      <c r="AH654" s="395"/>
    </row>
    <row r="655" ht="30.75" customHeight="1">
      <c r="A655" s="373" t="str">
        <f t="shared" si="1"/>
        <v/>
      </c>
      <c r="B655" s="421" t="s">
        <v>289</v>
      </c>
      <c r="C655" s="406"/>
      <c r="D655" s="406"/>
      <c r="E655" s="406"/>
      <c r="F655" s="395" t="s">
        <v>289</v>
      </c>
      <c r="G655" s="406"/>
      <c r="H655" s="406"/>
      <c r="I655" s="378" t="s">
        <v>289</v>
      </c>
      <c r="J655" s="379" t="s">
        <v>289</v>
      </c>
      <c r="K655" s="407"/>
      <c r="L655" s="378" t="s">
        <v>289</v>
      </c>
      <c r="M655" s="378" t="s">
        <v>289</v>
      </c>
      <c r="N655" s="378" t="s">
        <v>289</v>
      </c>
      <c r="O655" s="409"/>
      <c r="P655" s="387" t="s">
        <v>289</v>
      </c>
      <c r="Q655" s="383"/>
      <c r="R655" s="383"/>
      <c r="S655" s="383"/>
      <c r="T655" s="410"/>
      <c r="U655" s="406"/>
      <c r="V655" s="386"/>
      <c r="W655" s="387" t="s">
        <v>289</v>
      </c>
      <c r="X655" s="378" t="s">
        <v>289</v>
      </c>
      <c r="Y655" s="387" t="s">
        <v>289</v>
      </c>
      <c r="Z655" s="391" t="s">
        <v>289</v>
      </c>
      <c r="AA655" s="391" t="s">
        <v>289</v>
      </c>
      <c r="AB655" s="391" t="s">
        <v>289</v>
      </c>
      <c r="AC655" s="391" t="s">
        <v>289</v>
      </c>
      <c r="AD655" s="395" t="s">
        <v>289</v>
      </c>
      <c r="AE655" s="395"/>
      <c r="AF655" s="395"/>
      <c r="AG655" s="395"/>
      <c r="AH655" s="395"/>
    </row>
    <row r="656" ht="30.75" customHeight="1">
      <c r="A656" s="373" t="str">
        <f t="shared" si="1"/>
        <v/>
      </c>
      <c r="B656" s="421" t="s">
        <v>289</v>
      </c>
      <c r="C656" s="406"/>
      <c r="D656" s="406"/>
      <c r="E656" s="406"/>
      <c r="F656" s="395" t="s">
        <v>289</v>
      </c>
      <c r="G656" s="406"/>
      <c r="H656" s="406"/>
      <c r="I656" s="378" t="s">
        <v>289</v>
      </c>
      <c r="J656" s="379" t="s">
        <v>289</v>
      </c>
      <c r="K656" s="407"/>
      <c r="L656" s="378" t="s">
        <v>289</v>
      </c>
      <c r="M656" s="378" t="s">
        <v>289</v>
      </c>
      <c r="N656" s="378" t="s">
        <v>289</v>
      </c>
      <c r="O656" s="409"/>
      <c r="P656" s="387" t="s">
        <v>289</v>
      </c>
      <c r="Q656" s="383"/>
      <c r="R656" s="383"/>
      <c r="S656" s="383"/>
      <c r="T656" s="410"/>
      <c r="U656" s="406"/>
      <c r="V656" s="386"/>
      <c r="W656" s="387" t="s">
        <v>289</v>
      </c>
      <c r="X656" s="378" t="s">
        <v>289</v>
      </c>
      <c r="Y656" s="387" t="s">
        <v>289</v>
      </c>
      <c r="Z656" s="391" t="s">
        <v>289</v>
      </c>
      <c r="AA656" s="391" t="s">
        <v>289</v>
      </c>
      <c r="AB656" s="391" t="s">
        <v>289</v>
      </c>
      <c r="AC656" s="391" t="s">
        <v>289</v>
      </c>
      <c r="AD656" s="395" t="s">
        <v>289</v>
      </c>
      <c r="AE656" s="395"/>
      <c r="AF656" s="395"/>
      <c r="AG656" s="395"/>
      <c r="AH656" s="395"/>
    </row>
    <row r="657" ht="30.75" customHeight="1">
      <c r="A657" s="373" t="str">
        <f t="shared" si="1"/>
        <v/>
      </c>
      <c r="B657" s="421" t="s">
        <v>289</v>
      </c>
      <c r="C657" s="406"/>
      <c r="D657" s="406"/>
      <c r="E657" s="406"/>
      <c r="F657" s="395" t="s">
        <v>289</v>
      </c>
      <c r="G657" s="406"/>
      <c r="H657" s="406"/>
      <c r="I657" s="378" t="s">
        <v>289</v>
      </c>
      <c r="J657" s="379" t="s">
        <v>289</v>
      </c>
      <c r="K657" s="407"/>
      <c r="L657" s="378" t="s">
        <v>289</v>
      </c>
      <c r="M657" s="378" t="s">
        <v>289</v>
      </c>
      <c r="N657" s="378" t="s">
        <v>289</v>
      </c>
      <c r="O657" s="409"/>
      <c r="P657" s="387" t="s">
        <v>289</v>
      </c>
      <c r="Q657" s="383"/>
      <c r="R657" s="383"/>
      <c r="S657" s="383"/>
      <c r="T657" s="410"/>
      <c r="U657" s="406"/>
      <c r="V657" s="386"/>
      <c r="W657" s="387" t="s">
        <v>289</v>
      </c>
      <c r="X657" s="378" t="s">
        <v>289</v>
      </c>
      <c r="Y657" s="387" t="s">
        <v>289</v>
      </c>
      <c r="Z657" s="391" t="s">
        <v>289</v>
      </c>
      <c r="AA657" s="391" t="s">
        <v>289</v>
      </c>
      <c r="AB657" s="391" t="s">
        <v>289</v>
      </c>
      <c r="AC657" s="391" t="s">
        <v>289</v>
      </c>
      <c r="AD657" s="395" t="s">
        <v>289</v>
      </c>
      <c r="AE657" s="395"/>
      <c r="AF657" s="395"/>
      <c r="AG657" s="395"/>
      <c r="AH657" s="395"/>
    </row>
    <row r="658" ht="30.75" customHeight="1">
      <c r="A658" s="373" t="str">
        <f t="shared" si="1"/>
        <v/>
      </c>
      <c r="B658" s="421" t="s">
        <v>289</v>
      </c>
      <c r="C658" s="406"/>
      <c r="D658" s="406"/>
      <c r="E658" s="406"/>
      <c r="F658" s="395" t="s">
        <v>289</v>
      </c>
      <c r="G658" s="406"/>
      <c r="H658" s="406"/>
      <c r="I658" s="378" t="s">
        <v>289</v>
      </c>
      <c r="J658" s="379" t="s">
        <v>289</v>
      </c>
      <c r="K658" s="407"/>
      <c r="L658" s="378" t="s">
        <v>289</v>
      </c>
      <c r="M658" s="378" t="s">
        <v>289</v>
      </c>
      <c r="N658" s="378" t="s">
        <v>289</v>
      </c>
      <c r="O658" s="409"/>
      <c r="P658" s="387" t="s">
        <v>289</v>
      </c>
      <c r="Q658" s="383"/>
      <c r="R658" s="383"/>
      <c r="S658" s="383"/>
      <c r="T658" s="410"/>
      <c r="U658" s="406"/>
      <c r="V658" s="386"/>
      <c r="W658" s="387" t="s">
        <v>289</v>
      </c>
      <c r="X658" s="378" t="s">
        <v>289</v>
      </c>
      <c r="Y658" s="387" t="s">
        <v>289</v>
      </c>
      <c r="Z658" s="391" t="s">
        <v>289</v>
      </c>
      <c r="AA658" s="391" t="s">
        <v>289</v>
      </c>
      <c r="AB658" s="391" t="s">
        <v>289</v>
      </c>
      <c r="AC658" s="391" t="s">
        <v>289</v>
      </c>
      <c r="AD658" s="395" t="s">
        <v>289</v>
      </c>
      <c r="AE658" s="395"/>
      <c r="AF658" s="395"/>
      <c r="AG658" s="395"/>
      <c r="AH658" s="395"/>
    </row>
    <row r="659" ht="30.75" customHeight="1">
      <c r="A659" s="373" t="str">
        <f t="shared" si="1"/>
        <v/>
      </c>
      <c r="B659" s="421" t="s">
        <v>289</v>
      </c>
      <c r="C659" s="406"/>
      <c r="D659" s="406"/>
      <c r="E659" s="406"/>
      <c r="F659" s="395" t="s">
        <v>289</v>
      </c>
      <c r="G659" s="406"/>
      <c r="H659" s="406"/>
      <c r="I659" s="378" t="s">
        <v>289</v>
      </c>
      <c r="J659" s="379" t="s">
        <v>289</v>
      </c>
      <c r="K659" s="407"/>
      <c r="L659" s="378" t="s">
        <v>289</v>
      </c>
      <c r="M659" s="378" t="s">
        <v>289</v>
      </c>
      <c r="N659" s="378" t="s">
        <v>289</v>
      </c>
      <c r="O659" s="409"/>
      <c r="P659" s="387" t="s">
        <v>289</v>
      </c>
      <c r="Q659" s="383"/>
      <c r="R659" s="383"/>
      <c r="S659" s="383"/>
      <c r="T659" s="410"/>
      <c r="U659" s="406"/>
      <c r="V659" s="386"/>
      <c r="W659" s="387" t="s">
        <v>289</v>
      </c>
      <c r="X659" s="378" t="s">
        <v>289</v>
      </c>
      <c r="Y659" s="387" t="s">
        <v>289</v>
      </c>
      <c r="Z659" s="391" t="s">
        <v>289</v>
      </c>
      <c r="AA659" s="391" t="s">
        <v>289</v>
      </c>
      <c r="AB659" s="391" t="s">
        <v>289</v>
      </c>
      <c r="AC659" s="391" t="s">
        <v>289</v>
      </c>
      <c r="AD659" s="395" t="s">
        <v>289</v>
      </c>
      <c r="AE659" s="395"/>
      <c r="AF659" s="395"/>
      <c r="AG659" s="395"/>
      <c r="AH659" s="395"/>
    </row>
    <row r="660" ht="30.75" customHeight="1">
      <c r="A660" s="373" t="str">
        <f t="shared" si="1"/>
        <v/>
      </c>
      <c r="B660" s="421" t="s">
        <v>289</v>
      </c>
      <c r="C660" s="406"/>
      <c r="D660" s="406"/>
      <c r="E660" s="406"/>
      <c r="F660" s="395" t="s">
        <v>289</v>
      </c>
      <c r="G660" s="406"/>
      <c r="H660" s="406"/>
      <c r="I660" s="378" t="s">
        <v>289</v>
      </c>
      <c r="J660" s="379" t="s">
        <v>289</v>
      </c>
      <c r="K660" s="407"/>
      <c r="L660" s="378" t="s">
        <v>289</v>
      </c>
      <c r="M660" s="378" t="s">
        <v>289</v>
      </c>
      <c r="N660" s="378" t="s">
        <v>289</v>
      </c>
      <c r="O660" s="409"/>
      <c r="P660" s="387" t="s">
        <v>289</v>
      </c>
      <c r="Q660" s="383"/>
      <c r="R660" s="383"/>
      <c r="S660" s="383"/>
      <c r="T660" s="410"/>
      <c r="U660" s="406"/>
      <c r="V660" s="386"/>
      <c r="W660" s="387" t="s">
        <v>289</v>
      </c>
      <c r="X660" s="378" t="s">
        <v>289</v>
      </c>
      <c r="Y660" s="387" t="s">
        <v>289</v>
      </c>
      <c r="Z660" s="391" t="s">
        <v>289</v>
      </c>
      <c r="AA660" s="391" t="s">
        <v>289</v>
      </c>
      <c r="AB660" s="391" t="s">
        <v>289</v>
      </c>
      <c r="AC660" s="391" t="s">
        <v>289</v>
      </c>
      <c r="AD660" s="395" t="s">
        <v>289</v>
      </c>
      <c r="AE660" s="395"/>
      <c r="AF660" s="395"/>
      <c r="AG660" s="395"/>
      <c r="AH660" s="395"/>
    </row>
    <row r="661" ht="30.75" customHeight="1">
      <c r="A661" s="373" t="str">
        <f t="shared" si="1"/>
        <v/>
      </c>
      <c r="B661" s="421" t="s">
        <v>289</v>
      </c>
      <c r="C661" s="406"/>
      <c r="D661" s="406"/>
      <c r="E661" s="406"/>
      <c r="F661" s="395" t="s">
        <v>289</v>
      </c>
      <c r="G661" s="406"/>
      <c r="H661" s="406"/>
      <c r="I661" s="378" t="s">
        <v>289</v>
      </c>
      <c r="J661" s="379" t="s">
        <v>289</v>
      </c>
      <c r="K661" s="407"/>
      <c r="L661" s="378" t="s">
        <v>289</v>
      </c>
      <c r="M661" s="378" t="s">
        <v>289</v>
      </c>
      <c r="N661" s="378" t="s">
        <v>289</v>
      </c>
      <c r="O661" s="409"/>
      <c r="P661" s="387" t="s">
        <v>289</v>
      </c>
      <c r="Q661" s="383"/>
      <c r="R661" s="383"/>
      <c r="S661" s="383"/>
      <c r="T661" s="410"/>
      <c r="U661" s="406"/>
      <c r="V661" s="386"/>
      <c r="W661" s="387" t="s">
        <v>289</v>
      </c>
      <c r="X661" s="378" t="s">
        <v>289</v>
      </c>
      <c r="Y661" s="387" t="s">
        <v>289</v>
      </c>
      <c r="Z661" s="391" t="s">
        <v>289</v>
      </c>
      <c r="AA661" s="391" t="s">
        <v>289</v>
      </c>
      <c r="AB661" s="391" t="s">
        <v>289</v>
      </c>
      <c r="AC661" s="391" t="s">
        <v>289</v>
      </c>
      <c r="AD661" s="395" t="s">
        <v>289</v>
      </c>
      <c r="AE661" s="395"/>
      <c r="AF661" s="395"/>
      <c r="AG661" s="395"/>
      <c r="AH661" s="395"/>
    </row>
    <row r="662" ht="30.75" customHeight="1">
      <c r="A662" s="373" t="str">
        <f t="shared" si="1"/>
        <v/>
      </c>
      <c r="B662" s="421" t="s">
        <v>289</v>
      </c>
      <c r="C662" s="406"/>
      <c r="D662" s="406"/>
      <c r="E662" s="406"/>
      <c r="F662" s="395" t="s">
        <v>289</v>
      </c>
      <c r="G662" s="406"/>
      <c r="H662" s="406"/>
      <c r="I662" s="378" t="s">
        <v>289</v>
      </c>
      <c r="J662" s="379" t="s">
        <v>289</v>
      </c>
      <c r="K662" s="407"/>
      <c r="L662" s="378" t="s">
        <v>289</v>
      </c>
      <c r="M662" s="378" t="s">
        <v>289</v>
      </c>
      <c r="N662" s="378" t="s">
        <v>289</v>
      </c>
      <c r="O662" s="409"/>
      <c r="P662" s="387" t="s">
        <v>289</v>
      </c>
      <c r="Q662" s="383"/>
      <c r="R662" s="383"/>
      <c r="S662" s="383"/>
      <c r="T662" s="410"/>
      <c r="U662" s="406"/>
      <c r="V662" s="386"/>
      <c r="W662" s="387" t="s">
        <v>289</v>
      </c>
      <c r="X662" s="378" t="s">
        <v>289</v>
      </c>
      <c r="Y662" s="387" t="s">
        <v>289</v>
      </c>
      <c r="Z662" s="391" t="s">
        <v>289</v>
      </c>
      <c r="AA662" s="391" t="s">
        <v>289</v>
      </c>
      <c r="AB662" s="391" t="s">
        <v>289</v>
      </c>
      <c r="AC662" s="391" t="s">
        <v>289</v>
      </c>
      <c r="AD662" s="395" t="s">
        <v>289</v>
      </c>
      <c r="AE662" s="395"/>
      <c r="AF662" s="395"/>
      <c r="AG662" s="395"/>
      <c r="AH662" s="395"/>
    </row>
    <row r="663" ht="30.75" customHeight="1">
      <c r="A663" s="373" t="str">
        <f t="shared" si="1"/>
        <v/>
      </c>
      <c r="B663" s="421" t="s">
        <v>289</v>
      </c>
      <c r="C663" s="406"/>
      <c r="D663" s="406"/>
      <c r="E663" s="406"/>
      <c r="F663" s="395" t="s">
        <v>289</v>
      </c>
      <c r="G663" s="406"/>
      <c r="H663" s="406"/>
      <c r="I663" s="378" t="s">
        <v>289</v>
      </c>
      <c r="J663" s="379" t="s">
        <v>289</v>
      </c>
      <c r="K663" s="407"/>
      <c r="L663" s="378" t="s">
        <v>289</v>
      </c>
      <c r="M663" s="378" t="s">
        <v>289</v>
      </c>
      <c r="N663" s="378" t="s">
        <v>289</v>
      </c>
      <c r="O663" s="409"/>
      <c r="P663" s="387" t="s">
        <v>289</v>
      </c>
      <c r="Q663" s="383"/>
      <c r="R663" s="383"/>
      <c r="S663" s="383"/>
      <c r="T663" s="410"/>
      <c r="U663" s="406"/>
      <c r="V663" s="386"/>
      <c r="W663" s="387" t="s">
        <v>289</v>
      </c>
      <c r="X663" s="378" t="s">
        <v>289</v>
      </c>
      <c r="Y663" s="387" t="s">
        <v>289</v>
      </c>
      <c r="Z663" s="391" t="s">
        <v>289</v>
      </c>
      <c r="AA663" s="391" t="s">
        <v>289</v>
      </c>
      <c r="AB663" s="391" t="s">
        <v>289</v>
      </c>
      <c r="AC663" s="391" t="s">
        <v>289</v>
      </c>
      <c r="AD663" s="395" t="s">
        <v>289</v>
      </c>
      <c r="AE663" s="395"/>
      <c r="AF663" s="395"/>
      <c r="AG663" s="395"/>
      <c r="AH663" s="395"/>
    </row>
    <row r="664" ht="30.75" customHeight="1">
      <c r="A664" s="373" t="str">
        <f t="shared" si="1"/>
        <v/>
      </c>
      <c r="B664" s="421" t="s">
        <v>289</v>
      </c>
      <c r="C664" s="406"/>
      <c r="D664" s="406"/>
      <c r="E664" s="406"/>
      <c r="F664" s="395" t="s">
        <v>289</v>
      </c>
      <c r="G664" s="406"/>
      <c r="H664" s="406"/>
      <c r="I664" s="378" t="s">
        <v>289</v>
      </c>
      <c r="J664" s="379" t="s">
        <v>289</v>
      </c>
      <c r="K664" s="407"/>
      <c r="L664" s="378" t="s">
        <v>289</v>
      </c>
      <c r="M664" s="378" t="s">
        <v>289</v>
      </c>
      <c r="N664" s="378" t="s">
        <v>289</v>
      </c>
      <c r="O664" s="409"/>
      <c r="P664" s="387" t="s">
        <v>289</v>
      </c>
      <c r="Q664" s="383"/>
      <c r="R664" s="383"/>
      <c r="S664" s="383"/>
      <c r="T664" s="410"/>
      <c r="U664" s="406"/>
      <c r="V664" s="386"/>
      <c r="W664" s="387" t="s">
        <v>289</v>
      </c>
      <c r="X664" s="378" t="s">
        <v>289</v>
      </c>
      <c r="Y664" s="387" t="s">
        <v>289</v>
      </c>
      <c r="Z664" s="391" t="s">
        <v>289</v>
      </c>
      <c r="AA664" s="391" t="s">
        <v>289</v>
      </c>
      <c r="AB664" s="391" t="s">
        <v>289</v>
      </c>
      <c r="AC664" s="391" t="s">
        <v>289</v>
      </c>
      <c r="AD664" s="395" t="s">
        <v>289</v>
      </c>
      <c r="AE664" s="395"/>
      <c r="AF664" s="395"/>
      <c r="AG664" s="395"/>
      <c r="AH664" s="395"/>
    </row>
    <row r="665" ht="30.75" customHeight="1">
      <c r="A665" s="373" t="str">
        <f t="shared" si="1"/>
        <v/>
      </c>
      <c r="B665" s="421" t="s">
        <v>289</v>
      </c>
      <c r="C665" s="406"/>
      <c r="D665" s="406"/>
      <c r="E665" s="406"/>
      <c r="F665" s="395" t="s">
        <v>289</v>
      </c>
      <c r="G665" s="406"/>
      <c r="H665" s="406"/>
      <c r="I665" s="378" t="s">
        <v>289</v>
      </c>
      <c r="J665" s="379" t="s">
        <v>289</v>
      </c>
      <c r="K665" s="407"/>
      <c r="L665" s="378" t="s">
        <v>289</v>
      </c>
      <c r="M665" s="378" t="s">
        <v>289</v>
      </c>
      <c r="N665" s="378" t="s">
        <v>289</v>
      </c>
      <c r="O665" s="409"/>
      <c r="P665" s="387" t="s">
        <v>289</v>
      </c>
      <c r="Q665" s="383"/>
      <c r="R665" s="383"/>
      <c r="S665" s="383"/>
      <c r="T665" s="410"/>
      <c r="U665" s="406"/>
      <c r="V665" s="386"/>
      <c r="W665" s="387" t="s">
        <v>289</v>
      </c>
      <c r="X665" s="378" t="s">
        <v>289</v>
      </c>
      <c r="Y665" s="387" t="s">
        <v>289</v>
      </c>
      <c r="Z665" s="391" t="s">
        <v>289</v>
      </c>
      <c r="AA665" s="391" t="s">
        <v>289</v>
      </c>
      <c r="AB665" s="391" t="s">
        <v>289</v>
      </c>
      <c r="AC665" s="391" t="s">
        <v>289</v>
      </c>
      <c r="AD665" s="395" t="s">
        <v>289</v>
      </c>
      <c r="AE665" s="395"/>
      <c r="AF665" s="395"/>
      <c r="AG665" s="395"/>
      <c r="AH665" s="395"/>
    </row>
    <row r="666" ht="30.75" customHeight="1">
      <c r="A666" s="373" t="str">
        <f t="shared" si="1"/>
        <v/>
      </c>
      <c r="B666" s="421" t="s">
        <v>289</v>
      </c>
      <c r="C666" s="406"/>
      <c r="D666" s="406"/>
      <c r="E666" s="406"/>
      <c r="F666" s="395" t="s">
        <v>289</v>
      </c>
      <c r="G666" s="406"/>
      <c r="H666" s="406"/>
      <c r="I666" s="378" t="s">
        <v>289</v>
      </c>
      <c r="J666" s="379" t="s">
        <v>289</v>
      </c>
      <c r="K666" s="407"/>
      <c r="L666" s="378" t="s">
        <v>289</v>
      </c>
      <c r="M666" s="378" t="s">
        <v>289</v>
      </c>
      <c r="N666" s="378" t="s">
        <v>289</v>
      </c>
      <c r="O666" s="409"/>
      <c r="P666" s="387" t="s">
        <v>289</v>
      </c>
      <c r="Q666" s="383"/>
      <c r="R666" s="383"/>
      <c r="S666" s="383"/>
      <c r="T666" s="410"/>
      <c r="U666" s="406"/>
      <c r="V666" s="386"/>
      <c r="W666" s="387" t="s">
        <v>289</v>
      </c>
      <c r="X666" s="378" t="s">
        <v>289</v>
      </c>
      <c r="Y666" s="387" t="s">
        <v>289</v>
      </c>
      <c r="Z666" s="391" t="s">
        <v>289</v>
      </c>
      <c r="AA666" s="391" t="s">
        <v>289</v>
      </c>
      <c r="AB666" s="391" t="s">
        <v>289</v>
      </c>
      <c r="AC666" s="391" t="s">
        <v>289</v>
      </c>
      <c r="AD666" s="395" t="s">
        <v>289</v>
      </c>
      <c r="AE666" s="395"/>
      <c r="AF666" s="395"/>
      <c r="AG666" s="395"/>
      <c r="AH666" s="395"/>
    </row>
    <row r="667" ht="30.75" customHeight="1">
      <c r="A667" s="373" t="str">
        <f t="shared" si="1"/>
        <v/>
      </c>
      <c r="B667" s="421" t="s">
        <v>289</v>
      </c>
      <c r="C667" s="406"/>
      <c r="D667" s="406"/>
      <c r="E667" s="406"/>
      <c r="F667" s="395" t="s">
        <v>289</v>
      </c>
      <c r="G667" s="406"/>
      <c r="H667" s="406"/>
      <c r="I667" s="378" t="s">
        <v>289</v>
      </c>
      <c r="J667" s="379" t="s">
        <v>289</v>
      </c>
      <c r="K667" s="407"/>
      <c r="L667" s="378" t="s">
        <v>289</v>
      </c>
      <c r="M667" s="378" t="s">
        <v>289</v>
      </c>
      <c r="N667" s="378" t="s">
        <v>289</v>
      </c>
      <c r="O667" s="409"/>
      <c r="P667" s="387" t="s">
        <v>289</v>
      </c>
      <c r="Q667" s="383"/>
      <c r="R667" s="383"/>
      <c r="S667" s="383"/>
      <c r="T667" s="410"/>
      <c r="U667" s="406"/>
      <c r="V667" s="386"/>
      <c r="W667" s="387" t="s">
        <v>289</v>
      </c>
      <c r="X667" s="378" t="s">
        <v>289</v>
      </c>
      <c r="Y667" s="387" t="s">
        <v>289</v>
      </c>
      <c r="Z667" s="391" t="s">
        <v>289</v>
      </c>
      <c r="AA667" s="391" t="s">
        <v>289</v>
      </c>
      <c r="AB667" s="391" t="s">
        <v>289</v>
      </c>
      <c r="AC667" s="391" t="s">
        <v>289</v>
      </c>
      <c r="AD667" s="395" t="s">
        <v>289</v>
      </c>
      <c r="AE667" s="395"/>
      <c r="AF667" s="395"/>
      <c r="AG667" s="395"/>
      <c r="AH667" s="395"/>
    </row>
    <row r="668" ht="30.75" customHeight="1">
      <c r="A668" s="373" t="str">
        <f t="shared" si="1"/>
        <v/>
      </c>
      <c r="B668" s="421" t="s">
        <v>289</v>
      </c>
      <c r="C668" s="406"/>
      <c r="D668" s="406"/>
      <c r="E668" s="406"/>
      <c r="F668" s="395" t="s">
        <v>289</v>
      </c>
      <c r="G668" s="406"/>
      <c r="H668" s="406"/>
      <c r="I668" s="378" t="s">
        <v>289</v>
      </c>
      <c r="J668" s="379" t="s">
        <v>289</v>
      </c>
      <c r="K668" s="407"/>
      <c r="L668" s="378" t="s">
        <v>289</v>
      </c>
      <c r="M668" s="378" t="s">
        <v>289</v>
      </c>
      <c r="N668" s="378" t="s">
        <v>289</v>
      </c>
      <c r="O668" s="409"/>
      <c r="P668" s="387" t="s">
        <v>289</v>
      </c>
      <c r="Q668" s="383"/>
      <c r="R668" s="383"/>
      <c r="S668" s="383"/>
      <c r="T668" s="410"/>
      <c r="U668" s="406"/>
      <c r="V668" s="386"/>
      <c r="W668" s="387" t="s">
        <v>289</v>
      </c>
      <c r="X668" s="378" t="s">
        <v>289</v>
      </c>
      <c r="Y668" s="387" t="s">
        <v>289</v>
      </c>
      <c r="Z668" s="391" t="s">
        <v>289</v>
      </c>
      <c r="AA668" s="391" t="s">
        <v>289</v>
      </c>
      <c r="AB668" s="391" t="s">
        <v>289</v>
      </c>
      <c r="AC668" s="391" t="s">
        <v>289</v>
      </c>
      <c r="AD668" s="395" t="s">
        <v>289</v>
      </c>
      <c r="AE668" s="395"/>
      <c r="AF668" s="395"/>
      <c r="AG668" s="395"/>
      <c r="AH668" s="395"/>
    </row>
    <row r="669" ht="30.75" customHeight="1">
      <c r="A669" s="373" t="str">
        <f t="shared" si="1"/>
        <v/>
      </c>
      <c r="B669" s="421" t="s">
        <v>289</v>
      </c>
      <c r="C669" s="406"/>
      <c r="D669" s="406"/>
      <c r="E669" s="406"/>
      <c r="F669" s="395" t="s">
        <v>289</v>
      </c>
      <c r="G669" s="406"/>
      <c r="H669" s="406"/>
      <c r="I669" s="378" t="s">
        <v>289</v>
      </c>
      <c r="J669" s="379" t="s">
        <v>289</v>
      </c>
      <c r="K669" s="407"/>
      <c r="L669" s="378" t="s">
        <v>289</v>
      </c>
      <c r="M669" s="378" t="s">
        <v>289</v>
      </c>
      <c r="N669" s="378" t="s">
        <v>289</v>
      </c>
      <c r="O669" s="409"/>
      <c r="P669" s="387" t="s">
        <v>289</v>
      </c>
      <c r="Q669" s="383"/>
      <c r="R669" s="383"/>
      <c r="S669" s="383"/>
      <c r="T669" s="410"/>
      <c r="U669" s="406"/>
      <c r="V669" s="386"/>
      <c r="W669" s="387" t="s">
        <v>289</v>
      </c>
      <c r="X669" s="378" t="s">
        <v>289</v>
      </c>
      <c r="Y669" s="387" t="s">
        <v>289</v>
      </c>
      <c r="Z669" s="391" t="s">
        <v>289</v>
      </c>
      <c r="AA669" s="391" t="s">
        <v>289</v>
      </c>
      <c r="AB669" s="391" t="s">
        <v>289</v>
      </c>
      <c r="AC669" s="391" t="s">
        <v>289</v>
      </c>
      <c r="AD669" s="395" t="s">
        <v>289</v>
      </c>
      <c r="AE669" s="395"/>
      <c r="AF669" s="395"/>
      <c r="AG669" s="395"/>
      <c r="AH669" s="395"/>
    </row>
    <row r="670" ht="30.75" customHeight="1">
      <c r="A670" s="373" t="str">
        <f t="shared" si="1"/>
        <v/>
      </c>
      <c r="B670" s="421" t="s">
        <v>289</v>
      </c>
      <c r="C670" s="406"/>
      <c r="D670" s="406"/>
      <c r="E670" s="406"/>
      <c r="F670" s="395" t="s">
        <v>289</v>
      </c>
      <c r="G670" s="406"/>
      <c r="H670" s="406"/>
      <c r="I670" s="378" t="s">
        <v>289</v>
      </c>
      <c r="J670" s="379" t="s">
        <v>289</v>
      </c>
      <c r="K670" s="407"/>
      <c r="L670" s="378" t="s">
        <v>289</v>
      </c>
      <c r="M670" s="378" t="s">
        <v>289</v>
      </c>
      <c r="N670" s="378" t="s">
        <v>289</v>
      </c>
      <c r="O670" s="409"/>
      <c r="P670" s="387" t="s">
        <v>289</v>
      </c>
      <c r="Q670" s="383"/>
      <c r="R670" s="383"/>
      <c r="S670" s="383"/>
      <c r="T670" s="410"/>
      <c r="U670" s="406"/>
      <c r="V670" s="386"/>
      <c r="W670" s="387" t="s">
        <v>289</v>
      </c>
      <c r="X670" s="378" t="s">
        <v>289</v>
      </c>
      <c r="Y670" s="387" t="s">
        <v>289</v>
      </c>
      <c r="Z670" s="391" t="s">
        <v>289</v>
      </c>
      <c r="AA670" s="391" t="s">
        <v>289</v>
      </c>
      <c r="AB670" s="391" t="s">
        <v>289</v>
      </c>
      <c r="AC670" s="391" t="s">
        <v>289</v>
      </c>
      <c r="AD670" s="395" t="s">
        <v>289</v>
      </c>
      <c r="AE670" s="395"/>
      <c r="AF670" s="395"/>
      <c r="AG670" s="395"/>
      <c r="AH670" s="395"/>
    </row>
    <row r="671" ht="30.75" customHeight="1">
      <c r="A671" s="373" t="str">
        <f t="shared" si="1"/>
        <v/>
      </c>
      <c r="B671" s="421" t="s">
        <v>289</v>
      </c>
      <c r="C671" s="406"/>
      <c r="D671" s="406"/>
      <c r="E671" s="406"/>
      <c r="F671" s="395" t="s">
        <v>289</v>
      </c>
      <c r="G671" s="406"/>
      <c r="H671" s="406"/>
      <c r="I671" s="378" t="s">
        <v>289</v>
      </c>
      <c r="J671" s="379" t="s">
        <v>289</v>
      </c>
      <c r="K671" s="407"/>
      <c r="L671" s="378" t="s">
        <v>289</v>
      </c>
      <c r="M671" s="378" t="s">
        <v>289</v>
      </c>
      <c r="N671" s="378" t="s">
        <v>289</v>
      </c>
      <c r="O671" s="409"/>
      <c r="P671" s="387" t="s">
        <v>289</v>
      </c>
      <c r="Q671" s="383"/>
      <c r="R671" s="383"/>
      <c r="S671" s="383"/>
      <c r="T671" s="410"/>
      <c r="U671" s="406"/>
      <c r="V671" s="386"/>
      <c r="W671" s="387" t="s">
        <v>289</v>
      </c>
      <c r="X671" s="378" t="s">
        <v>289</v>
      </c>
      <c r="Y671" s="387" t="s">
        <v>289</v>
      </c>
      <c r="Z671" s="391" t="s">
        <v>289</v>
      </c>
      <c r="AA671" s="391" t="s">
        <v>289</v>
      </c>
      <c r="AB671" s="391" t="s">
        <v>289</v>
      </c>
      <c r="AC671" s="391" t="s">
        <v>289</v>
      </c>
      <c r="AD671" s="395" t="s">
        <v>289</v>
      </c>
      <c r="AE671" s="395"/>
      <c r="AF671" s="395"/>
      <c r="AG671" s="395"/>
      <c r="AH671" s="395"/>
    </row>
    <row r="672" ht="30.75" customHeight="1">
      <c r="A672" s="373" t="str">
        <f t="shared" si="1"/>
        <v/>
      </c>
      <c r="B672" s="421" t="s">
        <v>289</v>
      </c>
      <c r="C672" s="406"/>
      <c r="D672" s="406"/>
      <c r="E672" s="406"/>
      <c r="F672" s="395" t="s">
        <v>289</v>
      </c>
      <c r="G672" s="406"/>
      <c r="H672" s="406"/>
      <c r="I672" s="378" t="s">
        <v>289</v>
      </c>
      <c r="J672" s="379" t="s">
        <v>289</v>
      </c>
      <c r="K672" s="407"/>
      <c r="L672" s="378" t="s">
        <v>289</v>
      </c>
      <c r="M672" s="378" t="s">
        <v>289</v>
      </c>
      <c r="N672" s="378" t="s">
        <v>289</v>
      </c>
      <c r="O672" s="409"/>
      <c r="P672" s="387" t="s">
        <v>289</v>
      </c>
      <c r="Q672" s="383"/>
      <c r="R672" s="383"/>
      <c r="S672" s="383"/>
      <c r="T672" s="410"/>
      <c r="U672" s="406"/>
      <c r="V672" s="386"/>
      <c r="W672" s="387" t="s">
        <v>289</v>
      </c>
      <c r="X672" s="378" t="s">
        <v>289</v>
      </c>
      <c r="Y672" s="387" t="s">
        <v>289</v>
      </c>
      <c r="Z672" s="391" t="s">
        <v>289</v>
      </c>
      <c r="AA672" s="391" t="s">
        <v>289</v>
      </c>
      <c r="AB672" s="391" t="s">
        <v>289</v>
      </c>
      <c r="AC672" s="391" t="s">
        <v>289</v>
      </c>
      <c r="AD672" s="395" t="s">
        <v>289</v>
      </c>
      <c r="AE672" s="395"/>
      <c r="AF672" s="395"/>
      <c r="AG672" s="395"/>
      <c r="AH672" s="395"/>
    </row>
    <row r="673" ht="30.75" customHeight="1">
      <c r="A673" s="373" t="str">
        <f t="shared" si="1"/>
        <v/>
      </c>
      <c r="B673" s="421" t="s">
        <v>289</v>
      </c>
      <c r="C673" s="406"/>
      <c r="D673" s="406"/>
      <c r="E673" s="406"/>
      <c r="F673" s="395" t="s">
        <v>289</v>
      </c>
      <c r="G673" s="406"/>
      <c r="H673" s="406"/>
      <c r="I673" s="378" t="s">
        <v>289</v>
      </c>
      <c r="J673" s="379" t="s">
        <v>289</v>
      </c>
      <c r="K673" s="407"/>
      <c r="L673" s="378" t="s">
        <v>289</v>
      </c>
      <c r="M673" s="378" t="s">
        <v>289</v>
      </c>
      <c r="N673" s="378" t="s">
        <v>289</v>
      </c>
      <c r="O673" s="409"/>
      <c r="P673" s="387" t="s">
        <v>289</v>
      </c>
      <c r="Q673" s="383"/>
      <c r="R673" s="383"/>
      <c r="S673" s="383"/>
      <c r="T673" s="410"/>
      <c r="U673" s="406"/>
      <c r="V673" s="386"/>
      <c r="W673" s="387" t="s">
        <v>289</v>
      </c>
      <c r="X673" s="378" t="s">
        <v>289</v>
      </c>
      <c r="Y673" s="387" t="s">
        <v>289</v>
      </c>
      <c r="Z673" s="391" t="s">
        <v>289</v>
      </c>
      <c r="AA673" s="391" t="s">
        <v>289</v>
      </c>
      <c r="AB673" s="391" t="s">
        <v>289</v>
      </c>
      <c r="AC673" s="391" t="s">
        <v>289</v>
      </c>
      <c r="AD673" s="395" t="s">
        <v>289</v>
      </c>
      <c r="AE673" s="395"/>
      <c r="AF673" s="395"/>
      <c r="AG673" s="395"/>
      <c r="AH673" s="395"/>
    </row>
    <row r="674" ht="30.75" customHeight="1">
      <c r="A674" s="373" t="str">
        <f t="shared" si="1"/>
        <v/>
      </c>
      <c r="B674" s="421" t="s">
        <v>289</v>
      </c>
      <c r="C674" s="406"/>
      <c r="D674" s="406"/>
      <c r="E674" s="406"/>
      <c r="F674" s="395" t="s">
        <v>289</v>
      </c>
      <c r="G674" s="406"/>
      <c r="H674" s="406"/>
      <c r="I674" s="378" t="s">
        <v>289</v>
      </c>
      <c r="J674" s="379" t="s">
        <v>289</v>
      </c>
      <c r="K674" s="407"/>
      <c r="L674" s="378" t="s">
        <v>289</v>
      </c>
      <c r="M674" s="378" t="s">
        <v>289</v>
      </c>
      <c r="N674" s="378" t="s">
        <v>289</v>
      </c>
      <c r="O674" s="409"/>
      <c r="P674" s="387" t="s">
        <v>289</v>
      </c>
      <c r="Q674" s="383"/>
      <c r="R674" s="383"/>
      <c r="S674" s="383"/>
      <c r="T674" s="410"/>
      <c r="U674" s="406"/>
      <c r="V674" s="386"/>
      <c r="W674" s="387" t="s">
        <v>289</v>
      </c>
      <c r="X674" s="378" t="s">
        <v>289</v>
      </c>
      <c r="Y674" s="387" t="s">
        <v>289</v>
      </c>
      <c r="Z674" s="391" t="s">
        <v>289</v>
      </c>
      <c r="AA674" s="391" t="s">
        <v>289</v>
      </c>
      <c r="AB674" s="391" t="s">
        <v>289</v>
      </c>
      <c r="AC674" s="391" t="s">
        <v>289</v>
      </c>
      <c r="AD674" s="395" t="s">
        <v>289</v>
      </c>
      <c r="AE674" s="395"/>
      <c r="AF674" s="395"/>
      <c r="AG674" s="395"/>
      <c r="AH674" s="395"/>
    </row>
    <row r="675" ht="30.75" customHeight="1">
      <c r="A675" s="373" t="str">
        <f t="shared" si="1"/>
        <v/>
      </c>
      <c r="B675" s="421" t="s">
        <v>289</v>
      </c>
      <c r="C675" s="406"/>
      <c r="D675" s="406"/>
      <c r="E675" s="406"/>
      <c r="F675" s="395" t="s">
        <v>289</v>
      </c>
      <c r="G675" s="406"/>
      <c r="H675" s="406"/>
      <c r="I675" s="378" t="s">
        <v>289</v>
      </c>
      <c r="J675" s="379" t="s">
        <v>289</v>
      </c>
      <c r="K675" s="407"/>
      <c r="L675" s="378" t="s">
        <v>289</v>
      </c>
      <c r="M675" s="378" t="s">
        <v>289</v>
      </c>
      <c r="N675" s="378" t="s">
        <v>289</v>
      </c>
      <c r="O675" s="409"/>
      <c r="P675" s="387" t="s">
        <v>289</v>
      </c>
      <c r="Q675" s="383"/>
      <c r="R675" s="383"/>
      <c r="S675" s="383"/>
      <c r="T675" s="410"/>
      <c r="U675" s="406"/>
      <c r="V675" s="386"/>
      <c r="W675" s="387" t="s">
        <v>289</v>
      </c>
      <c r="X675" s="378" t="s">
        <v>289</v>
      </c>
      <c r="Y675" s="387" t="s">
        <v>289</v>
      </c>
      <c r="Z675" s="391" t="s">
        <v>289</v>
      </c>
      <c r="AA675" s="391" t="s">
        <v>289</v>
      </c>
      <c r="AB675" s="391" t="s">
        <v>289</v>
      </c>
      <c r="AC675" s="391" t="s">
        <v>289</v>
      </c>
      <c r="AD675" s="395" t="s">
        <v>289</v>
      </c>
      <c r="AE675" s="395"/>
      <c r="AF675" s="395"/>
      <c r="AG675" s="395"/>
      <c r="AH675" s="395"/>
    </row>
    <row r="676" ht="30.75" customHeight="1">
      <c r="A676" s="373" t="str">
        <f t="shared" si="1"/>
        <v/>
      </c>
      <c r="B676" s="421" t="s">
        <v>289</v>
      </c>
      <c r="C676" s="406"/>
      <c r="D676" s="406"/>
      <c r="E676" s="406"/>
      <c r="F676" s="395" t="s">
        <v>289</v>
      </c>
      <c r="G676" s="406"/>
      <c r="H676" s="406"/>
      <c r="I676" s="378" t="s">
        <v>289</v>
      </c>
      <c r="J676" s="379" t="s">
        <v>289</v>
      </c>
      <c r="K676" s="407"/>
      <c r="L676" s="378" t="s">
        <v>289</v>
      </c>
      <c r="M676" s="378" t="s">
        <v>289</v>
      </c>
      <c r="N676" s="378" t="s">
        <v>289</v>
      </c>
      <c r="O676" s="409"/>
      <c r="P676" s="387" t="s">
        <v>289</v>
      </c>
      <c r="Q676" s="383"/>
      <c r="R676" s="383"/>
      <c r="S676" s="383"/>
      <c r="T676" s="410"/>
      <c r="U676" s="406"/>
      <c r="V676" s="386"/>
      <c r="W676" s="387" t="s">
        <v>289</v>
      </c>
      <c r="X676" s="378" t="s">
        <v>289</v>
      </c>
      <c r="Y676" s="387" t="s">
        <v>289</v>
      </c>
      <c r="Z676" s="391" t="s">
        <v>289</v>
      </c>
      <c r="AA676" s="391" t="s">
        <v>289</v>
      </c>
      <c r="AB676" s="391" t="s">
        <v>289</v>
      </c>
      <c r="AC676" s="391" t="s">
        <v>289</v>
      </c>
      <c r="AD676" s="395" t="s">
        <v>289</v>
      </c>
      <c r="AE676" s="395"/>
      <c r="AF676" s="395"/>
      <c r="AG676" s="395"/>
      <c r="AH676" s="395"/>
    </row>
    <row r="677" ht="30.75" customHeight="1">
      <c r="A677" s="373" t="str">
        <f t="shared" si="1"/>
        <v/>
      </c>
      <c r="B677" s="421" t="s">
        <v>289</v>
      </c>
      <c r="C677" s="406"/>
      <c r="D677" s="406"/>
      <c r="E677" s="406"/>
      <c r="F677" s="395" t="s">
        <v>289</v>
      </c>
      <c r="G677" s="406"/>
      <c r="H677" s="406"/>
      <c r="I677" s="378" t="s">
        <v>289</v>
      </c>
      <c r="J677" s="379" t="s">
        <v>289</v>
      </c>
      <c r="K677" s="407"/>
      <c r="L677" s="378" t="s">
        <v>289</v>
      </c>
      <c r="M677" s="378" t="s">
        <v>289</v>
      </c>
      <c r="N677" s="378" t="s">
        <v>289</v>
      </c>
      <c r="O677" s="409"/>
      <c r="P677" s="387" t="s">
        <v>289</v>
      </c>
      <c r="Q677" s="383"/>
      <c r="R677" s="383"/>
      <c r="S677" s="383"/>
      <c r="T677" s="410"/>
      <c r="U677" s="406"/>
      <c r="V677" s="386"/>
      <c r="W677" s="387" t="s">
        <v>289</v>
      </c>
      <c r="X677" s="378" t="s">
        <v>289</v>
      </c>
      <c r="Y677" s="387" t="s">
        <v>289</v>
      </c>
      <c r="Z677" s="391" t="s">
        <v>289</v>
      </c>
      <c r="AA677" s="391" t="s">
        <v>289</v>
      </c>
      <c r="AB677" s="391" t="s">
        <v>289</v>
      </c>
      <c r="AC677" s="391" t="s">
        <v>289</v>
      </c>
      <c r="AD677" s="395" t="s">
        <v>289</v>
      </c>
      <c r="AE677" s="395"/>
      <c r="AF677" s="395"/>
      <c r="AG677" s="395"/>
      <c r="AH677" s="395"/>
    </row>
    <row r="678" ht="30.75" customHeight="1">
      <c r="A678" s="373" t="str">
        <f t="shared" si="1"/>
        <v/>
      </c>
      <c r="B678" s="421" t="s">
        <v>289</v>
      </c>
      <c r="C678" s="406"/>
      <c r="D678" s="406"/>
      <c r="E678" s="406"/>
      <c r="F678" s="395" t="s">
        <v>289</v>
      </c>
      <c r="G678" s="406"/>
      <c r="H678" s="406"/>
      <c r="I678" s="378" t="s">
        <v>289</v>
      </c>
      <c r="J678" s="379" t="s">
        <v>289</v>
      </c>
      <c r="K678" s="407"/>
      <c r="L678" s="378" t="s">
        <v>289</v>
      </c>
      <c r="M678" s="378" t="s">
        <v>289</v>
      </c>
      <c r="N678" s="378" t="s">
        <v>289</v>
      </c>
      <c r="O678" s="409"/>
      <c r="P678" s="387" t="s">
        <v>289</v>
      </c>
      <c r="Q678" s="383"/>
      <c r="R678" s="383"/>
      <c r="S678" s="383"/>
      <c r="T678" s="410"/>
      <c r="U678" s="406"/>
      <c r="V678" s="386"/>
      <c r="W678" s="387" t="s">
        <v>289</v>
      </c>
      <c r="X678" s="378" t="s">
        <v>289</v>
      </c>
      <c r="Y678" s="387" t="s">
        <v>289</v>
      </c>
      <c r="Z678" s="391" t="s">
        <v>289</v>
      </c>
      <c r="AA678" s="391" t="s">
        <v>289</v>
      </c>
      <c r="AB678" s="391" t="s">
        <v>289</v>
      </c>
      <c r="AC678" s="391" t="s">
        <v>289</v>
      </c>
      <c r="AD678" s="395" t="s">
        <v>289</v>
      </c>
      <c r="AE678" s="395"/>
      <c r="AF678" s="395"/>
      <c r="AG678" s="395"/>
      <c r="AH678" s="395"/>
    </row>
    <row r="679" ht="30.75" customHeight="1">
      <c r="A679" s="373" t="str">
        <f t="shared" si="1"/>
        <v/>
      </c>
      <c r="B679" s="421" t="s">
        <v>289</v>
      </c>
      <c r="C679" s="406"/>
      <c r="D679" s="406"/>
      <c r="E679" s="406"/>
      <c r="F679" s="395" t="s">
        <v>289</v>
      </c>
      <c r="G679" s="406"/>
      <c r="H679" s="406"/>
      <c r="I679" s="378" t="s">
        <v>289</v>
      </c>
      <c r="J679" s="379" t="s">
        <v>289</v>
      </c>
      <c r="K679" s="407"/>
      <c r="L679" s="378" t="s">
        <v>289</v>
      </c>
      <c r="M679" s="378" t="s">
        <v>289</v>
      </c>
      <c r="N679" s="378" t="s">
        <v>289</v>
      </c>
      <c r="O679" s="409"/>
      <c r="P679" s="387" t="s">
        <v>289</v>
      </c>
      <c r="Q679" s="383"/>
      <c r="R679" s="383"/>
      <c r="S679" s="383"/>
      <c r="T679" s="410"/>
      <c r="U679" s="406"/>
      <c r="V679" s="386"/>
      <c r="W679" s="387" t="s">
        <v>289</v>
      </c>
      <c r="X679" s="378" t="s">
        <v>289</v>
      </c>
      <c r="Y679" s="387" t="s">
        <v>289</v>
      </c>
      <c r="Z679" s="391" t="s">
        <v>289</v>
      </c>
      <c r="AA679" s="391" t="s">
        <v>289</v>
      </c>
      <c r="AB679" s="391" t="s">
        <v>289</v>
      </c>
      <c r="AC679" s="391" t="s">
        <v>289</v>
      </c>
      <c r="AD679" s="395" t="s">
        <v>289</v>
      </c>
      <c r="AE679" s="395"/>
      <c r="AF679" s="395"/>
      <c r="AG679" s="395"/>
      <c r="AH679" s="395"/>
    </row>
    <row r="680" ht="30.75" customHeight="1">
      <c r="A680" s="373" t="str">
        <f t="shared" si="1"/>
        <v/>
      </c>
      <c r="B680" s="421" t="s">
        <v>289</v>
      </c>
      <c r="C680" s="406"/>
      <c r="D680" s="406"/>
      <c r="E680" s="406"/>
      <c r="F680" s="395" t="s">
        <v>289</v>
      </c>
      <c r="G680" s="406"/>
      <c r="H680" s="406"/>
      <c r="I680" s="378" t="s">
        <v>289</v>
      </c>
      <c r="J680" s="379" t="s">
        <v>289</v>
      </c>
      <c r="K680" s="407"/>
      <c r="L680" s="378" t="s">
        <v>289</v>
      </c>
      <c r="M680" s="378" t="s">
        <v>289</v>
      </c>
      <c r="N680" s="378" t="s">
        <v>289</v>
      </c>
      <c r="O680" s="409"/>
      <c r="P680" s="387" t="s">
        <v>289</v>
      </c>
      <c r="Q680" s="383"/>
      <c r="R680" s="383"/>
      <c r="S680" s="383"/>
      <c r="T680" s="410"/>
      <c r="U680" s="406"/>
      <c r="V680" s="386"/>
      <c r="W680" s="387" t="s">
        <v>289</v>
      </c>
      <c r="X680" s="378" t="s">
        <v>289</v>
      </c>
      <c r="Y680" s="387" t="s">
        <v>289</v>
      </c>
      <c r="Z680" s="391" t="s">
        <v>289</v>
      </c>
      <c r="AA680" s="391" t="s">
        <v>289</v>
      </c>
      <c r="AB680" s="391" t="s">
        <v>289</v>
      </c>
      <c r="AC680" s="391" t="s">
        <v>289</v>
      </c>
      <c r="AD680" s="395" t="s">
        <v>289</v>
      </c>
      <c r="AE680" s="395"/>
      <c r="AF680" s="395"/>
      <c r="AG680" s="395"/>
      <c r="AH680" s="395"/>
    </row>
    <row r="681" ht="30.75" customHeight="1">
      <c r="A681" s="373" t="str">
        <f t="shared" si="1"/>
        <v/>
      </c>
      <c r="B681" s="421" t="s">
        <v>289</v>
      </c>
      <c r="C681" s="406"/>
      <c r="D681" s="406"/>
      <c r="E681" s="406"/>
      <c r="F681" s="395" t="s">
        <v>289</v>
      </c>
      <c r="G681" s="406"/>
      <c r="H681" s="406"/>
      <c r="I681" s="378" t="s">
        <v>289</v>
      </c>
      <c r="J681" s="379" t="s">
        <v>289</v>
      </c>
      <c r="K681" s="407"/>
      <c r="L681" s="378" t="s">
        <v>289</v>
      </c>
      <c r="M681" s="378" t="s">
        <v>289</v>
      </c>
      <c r="N681" s="378" t="s">
        <v>289</v>
      </c>
      <c r="O681" s="409"/>
      <c r="P681" s="387" t="s">
        <v>289</v>
      </c>
      <c r="Q681" s="383"/>
      <c r="R681" s="383"/>
      <c r="S681" s="383"/>
      <c r="T681" s="410"/>
      <c r="U681" s="406"/>
      <c r="V681" s="386"/>
      <c r="W681" s="387" t="s">
        <v>289</v>
      </c>
      <c r="X681" s="378" t="s">
        <v>289</v>
      </c>
      <c r="Y681" s="387" t="s">
        <v>289</v>
      </c>
      <c r="Z681" s="391" t="s">
        <v>289</v>
      </c>
      <c r="AA681" s="391" t="s">
        <v>289</v>
      </c>
      <c r="AB681" s="391" t="s">
        <v>289</v>
      </c>
      <c r="AC681" s="391" t="s">
        <v>289</v>
      </c>
      <c r="AD681" s="395" t="s">
        <v>289</v>
      </c>
      <c r="AE681" s="395"/>
      <c r="AF681" s="395"/>
      <c r="AG681" s="395"/>
      <c r="AH681" s="395"/>
    </row>
    <row r="682" ht="30.75" customHeight="1">
      <c r="A682" s="373" t="str">
        <f t="shared" si="1"/>
        <v/>
      </c>
      <c r="B682" s="421" t="s">
        <v>289</v>
      </c>
      <c r="C682" s="406"/>
      <c r="D682" s="406"/>
      <c r="E682" s="406"/>
      <c r="F682" s="395" t="s">
        <v>289</v>
      </c>
      <c r="G682" s="406"/>
      <c r="H682" s="406"/>
      <c r="I682" s="378" t="s">
        <v>289</v>
      </c>
      <c r="J682" s="379" t="s">
        <v>289</v>
      </c>
      <c r="K682" s="407"/>
      <c r="L682" s="378" t="s">
        <v>289</v>
      </c>
      <c r="M682" s="378" t="s">
        <v>289</v>
      </c>
      <c r="N682" s="378" t="s">
        <v>289</v>
      </c>
      <c r="O682" s="409"/>
      <c r="P682" s="387" t="s">
        <v>289</v>
      </c>
      <c r="Q682" s="383"/>
      <c r="R682" s="383"/>
      <c r="S682" s="383"/>
      <c r="T682" s="410"/>
      <c r="U682" s="406"/>
      <c r="V682" s="386"/>
      <c r="W682" s="387" t="s">
        <v>289</v>
      </c>
      <c r="X682" s="378" t="s">
        <v>289</v>
      </c>
      <c r="Y682" s="387" t="s">
        <v>289</v>
      </c>
      <c r="Z682" s="391" t="s">
        <v>289</v>
      </c>
      <c r="AA682" s="391" t="s">
        <v>289</v>
      </c>
      <c r="AB682" s="391" t="s">
        <v>289</v>
      </c>
      <c r="AC682" s="391" t="s">
        <v>289</v>
      </c>
      <c r="AD682" s="395" t="s">
        <v>289</v>
      </c>
      <c r="AE682" s="395"/>
      <c r="AF682" s="395"/>
      <c r="AG682" s="395"/>
      <c r="AH682" s="395"/>
    </row>
    <row r="683" ht="30.75" customHeight="1">
      <c r="A683" s="373" t="str">
        <f t="shared" si="1"/>
        <v/>
      </c>
      <c r="B683" s="421" t="s">
        <v>289</v>
      </c>
      <c r="C683" s="406"/>
      <c r="D683" s="406"/>
      <c r="E683" s="406"/>
      <c r="F683" s="395" t="s">
        <v>289</v>
      </c>
      <c r="G683" s="406"/>
      <c r="H683" s="406"/>
      <c r="I683" s="378" t="s">
        <v>289</v>
      </c>
      <c r="J683" s="379" t="s">
        <v>289</v>
      </c>
      <c r="K683" s="407"/>
      <c r="L683" s="378" t="s">
        <v>289</v>
      </c>
      <c r="M683" s="378" t="s">
        <v>289</v>
      </c>
      <c r="N683" s="378" t="s">
        <v>289</v>
      </c>
      <c r="O683" s="409"/>
      <c r="P683" s="387" t="s">
        <v>289</v>
      </c>
      <c r="Q683" s="383"/>
      <c r="R683" s="383"/>
      <c r="S683" s="383"/>
      <c r="T683" s="410"/>
      <c r="U683" s="406"/>
      <c r="V683" s="386"/>
      <c r="W683" s="387" t="s">
        <v>289</v>
      </c>
      <c r="X683" s="378" t="s">
        <v>289</v>
      </c>
      <c r="Y683" s="387" t="s">
        <v>289</v>
      </c>
      <c r="Z683" s="391" t="s">
        <v>289</v>
      </c>
      <c r="AA683" s="391" t="s">
        <v>289</v>
      </c>
      <c r="AB683" s="391" t="s">
        <v>289</v>
      </c>
      <c r="AC683" s="391" t="s">
        <v>289</v>
      </c>
      <c r="AD683" s="395" t="s">
        <v>289</v>
      </c>
      <c r="AE683" s="395"/>
      <c r="AF683" s="395"/>
      <c r="AG683" s="395"/>
      <c r="AH683" s="395"/>
    </row>
    <row r="684" ht="30.75" customHeight="1">
      <c r="A684" s="373" t="str">
        <f t="shared" si="1"/>
        <v/>
      </c>
      <c r="B684" s="421" t="s">
        <v>289</v>
      </c>
      <c r="C684" s="406"/>
      <c r="D684" s="406"/>
      <c r="E684" s="406"/>
      <c r="F684" s="395" t="s">
        <v>289</v>
      </c>
      <c r="G684" s="406"/>
      <c r="H684" s="406"/>
      <c r="I684" s="378" t="s">
        <v>289</v>
      </c>
      <c r="J684" s="379" t="s">
        <v>289</v>
      </c>
      <c r="K684" s="407"/>
      <c r="L684" s="378" t="s">
        <v>289</v>
      </c>
      <c r="M684" s="378" t="s">
        <v>289</v>
      </c>
      <c r="N684" s="378" t="s">
        <v>289</v>
      </c>
      <c r="O684" s="409"/>
      <c r="P684" s="387" t="s">
        <v>289</v>
      </c>
      <c r="Q684" s="383"/>
      <c r="R684" s="383"/>
      <c r="S684" s="383"/>
      <c r="T684" s="410"/>
      <c r="U684" s="406"/>
      <c r="V684" s="386"/>
      <c r="W684" s="387" t="s">
        <v>289</v>
      </c>
      <c r="X684" s="378" t="s">
        <v>289</v>
      </c>
      <c r="Y684" s="387" t="s">
        <v>289</v>
      </c>
      <c r="Z684" s="391" t="s">
        <v>289</v>
      </c>
      <c r="AA684" s="391" t="s">
        <v>289</v>
      </c>
      <c r="AB684" s="391" t="s">
        <v>289</v>
      </c>
      <c r="AC684" s="391" t="s">
        <v>289</v>
      </c>
      <c r="AD684" s="395" t="s">
        <v>289</v>
      </c>
      <c r="AE684" s="395"/>
      <c r="AF684" s="395"/>
      <c r="AG684" s="395"/>
      <c r="AH684" s="395"/>
    </row>
    <row r="685" ht="30.75" customHeight="1">
      <c r="A685" s="373" t="str">
        <f t="shared" si="1"/>
        <v/>
      </c>
      <c r="B685" s="421" t="s">
        <v>289</v>
      </c>
      <c r="C685" s="406"/>
      <c r="D685" s="406"/>
      <c r="E685" s="406"/>
      <c r="F685" s="395" t="s">
        <v>289</v>
      </c>
      <c r="G685" s="406"/>
      <c r="H685" s="406"/>
      <c r="I685" s="378" t="s">
        <v>289</v>
      </c>
      <c r="J685" s="379" t="s">
        <v>289</v>
      </c>
      <c r="K685" s="407"/>
      <c r="L685" s="378" t="s">
        <v>289</v>
      </c>
      <c r="M685" s="378" t="s">
        <v>289</v>
      </c>
      <c r="N685" s="378" t="s">
        <v>289</v>
      </c>
      <c r="O685" s="409"/>
      <c r="P685" s="387" t="s">
        <v>289</v>
      </c>
      <c r="Q685" s="383"/>
      <c r="R685" s="383"/>
      <c r="S685" s="383"/>
      <c r="T685" s="410"/>
      <c r="U685" s="406"/>
      <c r="V685" s="386"/>
      <c r="W685" s="387" t="s">
        <v>289</v>
      </c>
      <c r="X685" s="378" t="s">
        <v>289</v>
      </c>
      <c r="Y685" s="387" t="s">
        <v>289</v>
      </c>
      <c r="Z685" s="391" t="s">
        <v>289</v>
      </c>
      <c r="AA685" s="391" t="s">
        <v>289</v>
      </c>
      <c r="AB685" s="391" t="s">
        <v>289</v>
      </c>
      <c r="AC685" s="391" t="s">
        <v>289</v>
      </c>
      <c r="AD685" s="395" t="s">
        <v>289</v>
      </c>
      <c r="AE685" s="395"/>
      <c r="AF685" s="395"/>
      <c r="AG685" s="395"/>
      <c r="AH685" s="395"/>
    </row>
    <row r="686" ht="30.75" customHeight="1">
      <c r="A686" s="373" t="str">
        <f t="shared" si="1"/>
        <v/>
      </c>
      <c r="B686" s="421" t="s">
        <v>289</v>
      </c>
      <c r="C686" s="406"/>
      <c r="D686" s="406"/>
      <c r="E686" s="406"/>
      <c r="F686" s="395" t="s">
        <v>289</v>
      </c>
      <c r="G686" s="406"/>
      <c r="H686" s="406"/>
      <c r="I686" s="378" t="s">
        <v>289</v>
      </c>
      <c r="J686" s="379" t="s">
        <v>289</v>
      </c>
      <c r="K686" s="407"/>
      <c r="L686" s="378" t="s">
        <v>289</v>
      </c>
      <c r="M686" s="378" t="s">
        <v>289</v>
      </c>
      <c r="N686" s="378" t="s">
        <v>289</v>
      </c>
      <c r="O686" s="409"/>
      <c r="P686" s="387" t="s">
        <v>289</v>
      </c>
      <c r="Q686" s="383"/>
      <c r="R686" s="383"/>
      <c r="S686" s="383"/>
      <c r="T686" s="410"/>
      <c r="U686" s="406"/>
      <c r="V686" s="386"/>
      <c r="W686" s="387" t="s">
        <v>289</v>
      </c>
      <c r="X686" s="378" t="s">
        <v>289</v>
      </c>
      <c r="Y686" s="387" t="s">
        <v>289</v>
      </c>
      <c r="Z686" s="391" t="s">
        <v>289</v>
      </c>
      <c r="AA686" s="391" t="s">
        <v>289</v>
      </c>
      <c r="AB686" s="391" t="s">
        <v>289</v>
      </c>
      <c r="AC686" s="391" t="s">
        <v>289</v>
      </c>
      <c r="AD686" s="395" t="s">
        <v>289</v>
      </c>
      <c r="AE686" s="395"/>
      <c r="AF686" s="395"/>
      <c r="AG686" s="395"/>
      <c r="AH686" s="395"/>
    </row>
    <row r="687" ht="30.75" customHeight="1">
      <c r="A687" s="373" t="str">
        <f t="shared" si="1"/>
        <v/>
      </c>
      <c r="B687" s="421" t="s">
        <v>289</v>
      </c>
      <c r="C687" s="406"/>
      <c r="D687" s="406"/>
      <c r="E687" s="406"/>
      <c r="F687" s="395" t="s">
        <v>289</v>
      </c>
      <c r="G687" s="406"/>
      <c r="H687" s="406"/>
      <c r="I687" s="378" t="s">
        <v>289</v>
      </c>
      <c r="J687" s="379" t="s">
        <v>289</v>
      </c>
      <c r="K687" s="407"/>
      <c r="L687" s="378" t="s">
        <v>289</v>
      </c>
      <c r="M687" s="378" t="s">
        <v>289</v>
      </c>
      <c r="N687" s="378" t="s">
        <v>289</v>
      </c>
      <c r="O687" s="409"/>
      <c r="P687" s="387" t="s">
        <v>289</v>
      </c>
      <c r="Q687" s="383"/>
      <c r="R687" s="383"/>
      <c r="S687" s="383"/>
      <c r="T687" s="410"/>
      <c r="U687" s="406"/>
      <c r="V687" s="386"/>
      <c r="W687" s="387" t="s">
        <v>289</v>
      </c>
      <c r="X687" s="378" t="s">
        <v>289</v>
      </c>
      <c r="Y687" s="387" t="s">
        <v>289</v>
      </c>
      <c r="Z687" s="391" t="s">
        <v>289</v>
      </c>
      <c r="AA687" s="391" t="s">
        <v>289</v>
      </c>
      <c r="AB687" s="391" t="s">
        <v>289</v>
      </c>
      <c r="AC687" s="391" t="s">
        <v>289</v>
      </c>
      <c r="AD687" s="395" t="s">
        <v>289</v>
      </c>
      <c r="AE687" s="395"/>
      <c r="AF687" s="395"/>
      <c r="AG687" s="395"/>
      <c r="AH687" s="395"/>
    </row>
    <row r="688" ht="30.75" customHeight="1">
      <c r="A688" s="373" t="str">
        <f t="shared" si="1"/>
        <v/>
      </c>
      <c r="B688" s="421" t="s">
        <v>289</v>
      </c>
      <c r="C688" s="406"/>
      <c r="D688" s="406"/>
      <c r="E688" s="406"/>
      <c r="F688" s="395" t="s">
        <v>289</v>
      </c>
      <c r="G688" s="406"/>
      <c r="H688" s="406"/>
      <c r="I688" s="378" t="s">
        <v>289</v>
      </c>
      <c r="J688" s="379" t="s">
        <v>289</v>
      </c>
      <c r="K688" s="407"/>
      <c r="L688" s="378" t="s">
        <v>289</v>
      </c>
      <c r="M688" s="378" t="s">
        <v>289</v>
      </c>
      <c r="N688" s="378" t="s">
        <v>289</v>
      </c>
      <c r="O688" s="409"/>
      <c r="P688" s="387" t="s">
        <v>289</v>
      </c>
      <c r="Q688" s="383"/>
      <c r="R688" s="383"/>
      <c r="S688" s="383"/>
      <c r="T688" s="410"/>
      <c r="U688" s="406"/>
      <c r="V688" s="386"/>
      <c r="W688" s="387" t="s">
        <v>289</v>
      </c>
      <c r="X688" s="378" t="s">
        <v>289</v>
      </c>
      <c r="Y688" s="387" t="s">
        <v>289</v>
      </c>
      <c r="Z688" s="391" t="s">
        <v>289</v>
      </c>
      <c r="AA688" s="391" t="s">
        <v>289</v>
      </c>
      <c r="AB688" s="391" t="s">
        <v>289</v>
      </c>
      <c r="AC688" s="391" t="s">
        <v>289</v>
      </c>
      <c r="AD688" s="395" t="s">
        <v>289</v>
      </c>
      <c r="AE688" s="395"/>
      <c r="AF688" s="395"/>
      <c r="AG688" s="395"/>
      <c r="AH688" s="395"/>
    </row>
    <row r="689" ht="30.75" customHeight="1">
      <c r="A689" s="373" t="str">
        <f t="shared" si="1"/>
        <v/>
      </c>
      <c r="B689" s="421" t="s">
        <v>289</v>
      </c>
      <c r="C689" s="406"/>
      <c r="D689" s="406"/>
      <c r="E689" s="406"/>
      <c r="F689" s="395" t="s">
        <v>289</v>
      </c>
      <c r="G689" s="406"/>
      <c r="H689" s="406"/>
      <c r="I689" s="378" t="s">
        <v>289</v>
      </c>
      <c r="J689" s="379" t="s">
        <v>289</v>
      </c>
      <c r="K689" s="407"/>
      <c r="L689" s="378" t="s">
        <v>289</v>
      </c>
      <c r="M689" s="378" t="s">
        <v>289</v>
      </c>
      <c r="N689" s="378" t="s">
        <v>289</v>
      </c>
      <c r="O689" s="409"/>
      <c r="P689" s="387" t="s">
        <v>289</v>
      </c>
      <c r="Q689" s="383"/>
      <c r="R689" s="383"/>
      <c r="S689" s="383"/>
      <c r="T689" s="410"/>
      <c r="U689" s="406"/>
      <c r="V689" s="386"/>
      <c r="W689" s="387" t="s">
        <v>289</v>
      </c>
      <c r="X689" s="378" t="s">
        <v>289</v>
      </c>
      <c r="Y689" s="387" t="s">
        <v>289</v>
      </c>
      <c r="Z689" s="391" t="s">
        <v>289</v>
      </c>
      <c r="AA689" s="391" t="s">
        <v>289</v>
      </c>
      <c r="AB689" s="391" t="s">
        <v>289</v>
      </c>
      <c r="AC689" s="391" t="s">
        <v>289</v>
      </c>
      <c r="AD689" s="395" t="s">
        <v>289</v>
      </c>
      <c r="AE689" s="395"/>
      <c r="AF689" s="395"/>
      <c r="AG689" s="395"/>
      <c r="AH689" s="395"/>
    </row>
    <row r="690" ht="30.75" customHeight="1">
      <c r="A690" s="373" t="str">
        <f t="shared" si="1"/>
        <v/>
      </c>
      <c r="B690" s="421" t="s">
        <v>289</v>
      </c>
      <c r="C690" s="406"/>
      <c r="D690" s="406"/>
      <c r="E690" s="406"/>
      <c r="F690" s="395" t="s">
        <v>289</v>
      </c>
      <c r="G690" s="406"/>
      <c r="H690" s="406"/>
      <c r="I690" s="378" t="s">
        <v>289</v>
      </c>
      <c r="J690" s="379" t="s">
        <v>289</v>
      </c>
      <c r="K690" s="407"/>
      <c r="L690" s="378" t="s">
        <v>289</v>
      </c>
      <c r="M690" s="378" t="s">
        <v>289</v>
      </c>
      <c r="N690" s="378" t="s">
        <v>289</v>
      </c>
      <c r="O690" s="409"/>
      <c r="P690" s="387" t="s">
        <v>289</v>
      </c>
      <c r="Q690" s="383"/>
      <c r="R690" s="383"/>
      <c r="S690" s="383"/>
      <c r="T690" s="410"/>
      <c r="U690" s="406"/>
      <c r="V690" s="386"/>
      <c r="W690" s="387" t="s">
        <v>289</v>
      </c>
      <c r="X690" s="378" t="s">
        <v>289</v>
      </c>
      <c r="Y690" s="387" t="s">
        <v>289</v>
      </c>
      <c r="Z690" s="391" t="s">
        <v>289</v>
      </c>
      <c r="AA690" s="391" t="s">
        <v>289</v>
      </c>
      <c r="AB690" s="391" t="s">
        <v>289</v>
      </c>
      <c r="AC690" s="391" t="s">
        <v>289</v>
      </c>
      <c r="AD690" s="395" t="s">
        <v>289</v>
      </c>
      <c r="AE690" s="395"/>
      <c r="AF690" s="395"/>
      <c r="AG690" s="395"/>
      <c r="AH690" s="395"/>
    </row>
    <row r="691" ht="30.75" customHeight="1">
      <c r="A691" s="373" t="str">
        <f t="shared" si="1"/>
        <v/>
      </c>
      <c r="B691" s="421" t="s">
        <v>289</v>
      </c>
      <c r="C691" s="406"/>
      <c r="D691" s="406"/>
      <c r="E691" s="406"/>
      <c r="F691" s="395" t="s">
        <v>289</v>
      </c>
      <c r="G691" s="406"/>
      <c r="H691" s="406"/>
      <c r="I691" s="378" t="s">
        <v>289</v>
      </c>
      <c r="J691" s="379" t="s">
        <v>289</v>
      </c>
      <c r="K691" s="407"/>
      <c r="L691" s="378" t="s">
        <v>289</v>
      </c>
      <c r="M691" s="378" t="s">
        <v>289</v>
      </c>
      <c r="N691" s="378" t="s">
        <v>289</v>
      </c>
      <c r="O691" s="409"/>
      <c r="P691" s="387" t="s">
        <v>289</v>
      </c>
      <c r="Q691" s="383"/>
      <c r="R691" s="383"/>
      <c r="S691" s="383"/>
      <c r="T691" s="410"/>
      <c r="U691" s="406"/>
      <c r="V691" s="386"/>
      <c r="W691" s="387" t="s">
        <v>289</v>
      </c>
      <c r="X691" s="378" t="s">
        <v>289</v>
      </c>
      <c r="Y691" s="387" t="s">
        <v>289</v>
      </c>
      <c r="Z691" s="391" t="s">
        <v>289</v>
      </c>
      <c r="AA691" s="391" t="s">
        <v>289</v>
      </c>
      <c r="AB691" s="391" t="s">
        <v>289</v>
      </c>
      <c r="AC691" s="391" t="s">
        <v>289</v>
      </c>
      <c r="AD691" s="395" t="s">
        <v>289</v>
      </c>
      <c r="AE691" s="395"/>
      <c r="AF691" s="395"/>
      <c r="AG691" s="395"/>
      <c r="AH691" s="395"/>
    </row>
    <row r="692" ht="30.75" customHeight="1">
      <c r="A692" s="373" t="str">
        <f t="shared" si="1"/>
        <v/>
      </c>
      <c r="B692" s="421" t="s">
        <v>289</v>
      </c>
      <c r="C692" s="406"/>
      <c r="D692" s="406"/>
      <c r="E692" s="406"/>
      <c r="F692" s="395" t="s">
        <v>289</v>
      </c>
      <c r="G692" s="406"/>
      <c r="H692" s="406"/>
      <c r="I692" s="378" t="s">
        <v>289</v>
      </c>
      <c r="J692" s="379" t="s">
        <v>289</v>
      </c>
      <c r="K692" s="407"/>
      <c r="L692" s="378" t="s">
        <v>289</v>
      </c>
      <c r="M692" s="378" t="s">
        <v>289</v>
      </c>
      <c r="N692" s="378" t="s">
        <v>289</v>
      </c>
      <c r="O692" s="409"/>
      <c r="P692" s="387" t="s">
        <v>289</v>
      </c>
      <c r="Q692" s="383"/>
      <c r="R692" s="383"/>
      <c r="S692" s="383"/>
      <c r="T692" s="410"/>
      <c r="U692" s="406"/>
      <c r="V692" s="386"/>
      <c r="W692" s="387" t="s">
        <v>289</v>
      </c>
      <c r="X692" s="378" t="s">
        <v>289</v>
      </c>
      <c r="Y692" s="387" t="s">
        <v>289</v>
      </c>
      <c r="Z692" s="391" t="s">
        <v>289</v>
      </c>
      <c r="AA692" s="391" t="s">
        <v>289</v>
      </c>
      <c r="AB692" s="391" t="s">
        <v>289</v>
      </c>
      <c r="AC692" s="391" t="s">
        <v>289</v>
      </c>
      <c r="AD692" s="395" t="s">
        <v>289</v>
      </c>
      <c r="AE692" s="395"/>
      <c r="AF692" s="395"/>
      <c r="AG692" s="395"/>
      <c r="AH692" s="395"/>
    </row>
    <row r="693" ht="30.75" customHeight="1">
      <c r="A693" s="373" t="str">
        <f t="shared" si="1"/>
        <v/>
      </c>
      <c r="B693" s="421" t="s">
        <v>289</v>
      </c>
      <c r="C693" s="406"/>
      <c r="D693" s="406"/>
      <c r="E693" s="406"/>
      <c r="F693" s="395" t="s">
        <v>289</v>
      </c>
      <c r="G693" s="406"/>
      <c r="H693" s="406"/>
      <c r="I693" s="378" t="s">
        <v>289</v>
      </c>
      <c r="J693" s="379" t="s">
        <v>289</v>
      </c>
      <c r="K693" s="407"/>
      <c r="L693" s="378" t="s">
        <v>289</v>
      </c>
      <c r="M693" s="378" t="s">
        <v>289</v>
      </c>
      <c r="N693" s="378" t="s">
        <v>289</v>
      </c>
      <c r="O693" s="409"/>
      <c r="P693" s="387" t="s">
        <v>289</v>
      </c>
      <c r="Q693" s="383"/>
      <c r="R693" s="383"/>
      <c r="S693" s="383"/>
      <c r="T693" s="410"/>
      <c r="U693" s="406"/>
      <c r="V693" s="386"/>
      <c r="W693" s="387" t="s">
        <v>289</v>
      </c>
      <c r="X693" s="378" t="s">
        <v>289</v>
      </c>
      <c r="Y693" s="387" t="s">
        <v>289</v>
      </c>
      <c r="Z693" s="391" t="s">
        <v>289</v>
      </c>
      <c r="AA693" s="391" t="s">
        <v>289</v>
      </c>
      <c r="AB693" s="391" t="s">
        <v>289</v>
      </c>
      <c r="AC693" s="391" t="s">
        <v>289</v>
      </c>
      <c r="AD693" s="395" t="s">
        <v>289</v>
      </c>
      <c r="AE693" s="395"/>
      <c r="AF693" s="395"/>
      <c r="AG693" s="395"/>
      <c r="AH693" s="395"/>
    </row>
    <row r="694" ht="30.75" customHeight="1">
      <c r="A694" s="373" t="str">
        <f t="shared" si="1"/>
        <v/>
      </c>
      <c r="B694" s="421" t="s">
        <v>289</v>
      </c>
      <c r="C694" s="406"/>
      <c r="D694" s="406"/>
      <c r="E694" s="406"/>
      <c r="F694" s="395" t="s">
        <v>289</v>
      </c>
      <c r="G694" s="406"/>
      <c r="H694" s="406"/>
      <c r="I694" s="378" t="s">
        <v>289</v>
      </c>
      <c r="J694" s="379" t="s">
        <v>289</v>
      </c>
      <c r="K694" s="407"/>
      <c r="L694" s="378" t="s">
        <v>289</v>
      </c>
      <c r="M694" s="378" t="s">
        <v>289</v>
      </c>
      <c r="N694" s="378" t="s">
        <v>289</v>
      </c>
      <c r="O694" s="409"/>
      <c r="P694" s="387" t="s">
        <v>289</v>
      </c>
      <c r="Q694" s="383"/>
      <c r="R694" s="383"/>
      <c r="S694" s="383"/>
      <c r="T694" s="410"/>
      <c r="U694" s="406"/>
      <c r="V694" s="386"/>
      <c r="W694" s="387" t="s">
        <v>289</v>
      </c>
      <c r="X694" s="378" t="s">
        <v>289</v>
      </c>
      <c r="Y694" s="387" t="s">
        <v>289</v>
      </c>
      <c r="Z694" s="391" t="s">
        <v>289</v>
      </c>
      <c r="AA694" s="391" t="s">
        <v>289</v>
      </c>
      <c r="AB694" s="391" t="s">
        <v>289</v>
      </c>
      <c r="AC694" s="391" t="s">
        <v>289</v>
      </c>
      <c r="AD694" s="395" t="s">
        <v>289</v>
      </c>
      <c r="AE694" s="395"/>
      <c r="AF694" s="395"/>
      <c r="AG694" s="395"/>
      <c r="AH694" s="395"/>
    </row>
    <row r="695" ht="30.75" customHeight="1">
      <c r="A695" s="373" t="str">
        <f t="shared" si="1"/>
        <v/>
      </c>
      <c r="B695" s="421" t="s">
        <v>289</v>
      </c>
      <c r="C695" s="406"/>
      <c r="D695" s="406"/>
      <c r="E695" s="406"/>
      <c r="F695" s="395" t="s">
        <v>289</v>
      </c>
      <c r="G695" s="406"/>
      <c r="H695" s="406"/>
      <c r="I695" s="378" t="s">
        <v>289</v>
      </c>
      <c r="J695" s="379" t="s">
        <v>289</v>
      </c>
      <c r="K695" s="407"/>
      <c r="L695" s="378" t="s">
        <v>289</v>
      </c>
      <c r="M695" s="378" t="s">
        <v>289</v>
      </c>
      <c r="N695" s="378" t="s">
        <v>289</v>
      </c>
      <c r="O695" s="409"/>
      <c r="P695" s="387" t="s">
        <v>289</v>
      </c>
      <c r="Q695" s="383"/>
      <c r="R695" s="383"/>
      <c r="S695" s="383"/>
      <c r="T695" s="410"/>
      <c r="U695" s="406"/>
      <c r="V695" s="386"/>
      <c r="W695" s="387" t="s">
        <v>289</v>
      </c>
      <c r="X695" s="378" t="s">
        <v>289</v>
      </c>
      <c r="Y695" s="387" t="s">
        <v>289</v>
      </c>
      <c r="Z695" s="391" t="s">
        <v>289</v>
      </c>
      <c r="AA695" s="391" t="s">
        <v>289</v>
      </c>
      <c r="AB695" s="391" t="s">
        <v>289</v>
      </c>
      <c r="AC695" s="391" t="s">
        <v>289</v>
      </c>
      <c r="AD695" s="395" t="s">
        <v>289</v>
      </c>
      <c r="AE695" s="395"/>
      <c r="AF695" s="395"/>
      <c r="AG695" s="395"/>
      <c r="AH695" s="395"/>
    </row>
    <row r="696" ht="30.75" customHeight="1">
      <c r="A696" s="373" t="str">
        <f t="shared" si="1"/>
        <v/>
      </c>
      <c r="B696" s="421" t="s">
        <v>289</v>
      </c>
      <c r="C696" s="406"/>
      <c r="D696" s="406"/>
      <c r="E696" s="406"/>
      <c r="F696" s="395" t="s">
        <v>289</v>
      </c>
      <c r="G696" s="406"/>
      <c r="H696" s="406"/>
      <c r="I696" s="378" t="s">
        <v>289</v>
      </c>
      <c r="J696" s="379" t="s">
        <v>289</v>
      </c>
      <c r="K696" s="407"/>
      <c r="L696" s="378" t="s">
        <v>289</v>
      </c>
      <c r="M696" s="378" t="s">
        <v>289</v>
      </c>
      <c r="N696" s="378" t="s">
        <v>289</v>
      </c>
      <c r="O696" s="409"/>
      <c r="P696" s="387" t="s">
        <v>289</v>
      </c>
      <c r="Q696" s="383"/>
      <c r="R696" s="383"/>
      <c r="S696" s="383"/>
      <c r="T696" s="410"/>
      <c r="U696" s="406"/>
      <c r="V696" s="386"/>
      <c r="W696" s="387" t="s">
        <v>289</v>
      </c>
      <c r="X696" s="378" t="s">
        <v>289</v>
      </c>
      <c r="Y696" s="387" t="s">
        <v>289</v>
      </c>
      <c r="Z696" s="391" t="s">
        <v>289</v>
      </c>
      <c r="AA696" s="391" t="s">
        <v>289</v>
      </c>
      <c r="AB696" s="391" t="s">
        <v>289</v>
      </c>
      <c r="AC696" s="391" t="s">
        <v>289</v>
      </c>
      <c r="AD696" s="395" t="s">
        <v>289</v>
      </c>
      <c r="AE696" s="395"/>
      <c r="AF696" s="395"/>
      <c r="AG696" s="395"/>
      <c r="AH696" s="395"/>
    </row>
    <row r="697" ht="30.75" customHeight="1">
      <c r="A697" s="373" t="str">
        <f t="shared" si="1"/>
        <v/>
      </c>
      <c r="B697" s="421" t="s">
        <v>289</v>
      </c>
      <c r="C697" s="406"/>
      <c r="D697" s="406"/>
      <c r="E697" s="406"/>
      <c r="F697" s="395" t="s">
        <v>289</v>
      </c>
      <c r="G697" s="406"/>
      <c r="H697" s="406"/>
      <c r="I697" s="378" t="s">
        <v>289</v>
      </c>
      <c r="J697" s="379" t="s">
        <v>289</v>
      </c>
      <c r="K697" s="407"/>
      <c r="L697" s="378" t="s">
        <v>289</v>
      </c>
      <c r="M697" s="378" t="s">
        <v>289</v>
      </c>
      <c r="N697" s="378" t="s">
        <v>289</v>
      </c>
      <c r="O697" s="409"/>
      <c r="P697" s="387" t="s">
        <v>289</v>
      </c>
      <c r="Q697" s="383"/>
      <c r="R697" s="383"/>
      <c r="S697" s="383"/>
      <c r="T697" s="410"/>
      <c r="U697" s="406"/>
      <c r="V697" s="386"/>
      <c r="W697" s="387" t="s">
        <v>289</v>
      </c>
      <c r="X697" s="378" t="s">
        <v>289</v>
      </c>
      <c r="Y697" s="387" t="s">
        <v>289</v>
      </c>
      <c r="Z697" s="391" t="s">
        <v>289</v>
      </c>
      <c r="AA697" s="391" t="s">
        <v>289</v>
      </c>
      <c r="AB697" s="391" t="s">
        <v>289</v>
      </c>
      <c r="AC697" s="391" t="s">
        <v>289</v>
      </c>
      <c r="AD697" s="395" t="s">
        <v>289</v>
      </c>
      <c r="AE697" s="395"/>
      <c r="AF697" s="395"/>
      <c r="AG697" s="395"/>
      <c r="AH697" s="395"/>
    </row>
    <row r="698" ht="30.75" customHeight="1">
      <c r="A698" s="373" t="str">
        <f t="shared" si="1"/>
        <v/>
      </c>
      <c r="B698" s="421" t="s">
        <v>289</v>
      </c>
      <c r="C698" s="406"/>
      <c r="D698" s="406"/>
      <c r="E698" s="406"/>
      <c r="F698" s="395" t="s">
        <v>289</v>
      </c>
      <c r="G698" s="406"/>
      <c r="H698" s="406"/>
      <c r="I698" s="378" t="s">
        <v>289</v>
      </c>
      <c r="J698" s="379" t="s">
        <v>289</v>
      </c>
      <c r="K698" s="407"/>
      <c r="L698" s="378" t="s">
        <v>289</v>
      </c>
      <c r="M698" s="378" t="s">
        <v>289</v>
      </c>
      <c r="N698" s="378" t="s">
        <v>289</v>
      </c>
      <c r="O698" s="409"/>
      <c r="P698" s="387" t="s">
        <v>289</v>
      </c>
      <c r="Q698" s="383"/>
      <c r="R698" s="383"/>
      <c r="S698" s="383"/>
      <c r="T698" s="410"/>
      <c r="U698" s="406"/>
      <c r="V698" s="386"/>
      <c r="W698" s="387" t="s">
        <v>289</v>
      </c>
      <c r="X698" s="378" t="s">
        <v>289</v>
      </c>
      <c r="Y698" s="387" t="s">
        <v>289</v>
      </c>
      <c r="Z698" s="391" t="s">
        <v>289</v>
      </c>
      <c r="AA698" s="391" t="s">
        <v>289</v>
      </c>
      <c r="AB698" s="391" t="s">
        <v>289</v>
      </c>
      <c r="AC698" s="391" t="s">
        <v>289</v>
      </c>
      <c r="AD698" s="395" t="s">
        <v>289</v>
      </c>
      <c r="AE698" s="395"/>
      <c r="AF698" s="395"/>
      <c r="AG698" s="395"/>
      <c r="AH698" s="395"/>
    </row>
    <row r="699" ht="30.75" customHeight="1">
      <c r="A699" s="373" t="str">
        <f t="shared" si="1"/>
        <v/>
      </c>
      <c r="B699" s="421" t="s">
        <v>289</v>
      </c>
      <c r="C699" s="406"/>
      <c r="D699" s="406"/>
      <c r="E699" s="406"/>
      <c r="F699" s="395" t="s">
        <v>289</v>
      </c>
      <c r="G699" s="406"/>
      <c r="H699" s="406"/>
      <c r="I699" s="378" t="s">
        <v>289</v>
      </c>
      <c r="J699" s="379" t="s">
        <v>289</v>
      </c>
      <c r="K699" s="407"/>
      <c r="L699" s="378" t="s">
        <v>289</v>
      </c>
      <c r="M699" s="378" t="s">
        <v>289</v>
      </c>
      <c r="N699" s="378" t="s">
        <v>289</v>
      </c>
      <c r="O699" s="409"/>
      <c r="P699" s="387" t="s">
        <v>289</v>
      </c>
      <c r="Q699" s="383"/>
      <c r="R699" s="383"/>
      <c r="S699" s="383"/>
      <c r="T699" s="410"/>
      <c r="U699" s="406"/>
      <c r="V699" s="386"/>
      <c r="W699" s="387" t="s">
        <v>289</v>
      </c>
      <c r="X699" s="378" t="s">
        <v>289</v>
      </c>
      <c r="Y699" s="387" t="s">
        <v>289</v>
      </c>
      <c r="Z699" s="391" t="s">
        <v>289</v>
      </c>
      <c r="AA699" s="391" t="s">
        <v>289</v>
      </c>
      <c r="AB699" s="391" t="s">
        <v>289</v>
      </c>
      <c r="AC699" s="391" t="s">
        <v>289</v>
      </c>
      <c r="AD699" s="395" t="s">
        <v>289</v>
      </c>
      <c r="AE699" s="395"/>
      <c r="AF699" s="395"/>
      <c r="AG699" s="395"/>
      <c r="AH699" s="395"/>
    </row>
    <row r="700" ht="30.75" customHeight="1">
      <c r="A700" s="373" t="str">
        <f t="shared" si="1"/>
        <v/>
      </c>
      <c r="B700" s="421" t="s">
        <v>289</v>
      </c>
      <c r="C700" s="406"/>
      <c r="D700" s="406"/>
      <c r="E700" s="406"/>
      <c r="F700" s="395" t="s">
        <v>289</v>
      </c>
      <c r="G700" s="406"/>
      <c r="H700" s="406"/>
      <c r="I700" s="378" t="s">
        <v>289</v>
      </c>
      <c r="J700" s="379" t="s">
        <v>289</v>
      </c>
      <c r="K700" s="407"/>
      <c r="L700" s="378" t="s">
        <v>289</v>
      </c>
      <c r="M700" s="378" t="s">
        <v>289</v>
      </c>
      <c r="N700" s="378" t="s">
        <v>289</v>
      </c>
      <c r="O700" s="409"/>
      <c r="P700" s="387" t="s">
        <v>289</v>
      </c>
      <c r="Q700" s="383"/>
      <c r="R700" s="383"/>
      <c r="S700" s="383"/>
      <c r="T700" s="410"/>
      <c r="U700" s="406"/>
      <c r="V700" s="386"/>
      <c r="W700" s="387" t="s">
        <v>289</v>
      </c>
      <c r="X700" s="378" t="s">
        <v>289</v>
      </c>
      <c r="Y700" s="387" t="s">
        <v>289</v>
      </c>
      <c r="Z700" s="391" t="s">
        <v>289</v>
      </c>
      <c r="AA700" s="391" t="s">
        <v>289</v>
      </c>
      <c r="AB700" s="391" t="s">
        <v>289</v>
      </c>
      <c r="AC700" s="391" t="s">
        <v>289</v>
      </c>
      <c r="AD700" s="395" t="s">
        <v>289</v>
      </c>
      <c r="AE700" s="395"/>
      <c r="AF700" s="395"/>
      <c r="AG700" s="395"/>
      <c r="AH700" s="395"/>
    </row>
    <row r="701" ht="30.75" customHeight="1">
      <c r="A701" s="373" t="str">
        <f t="shared" si="1"/>
        <v/>
      </c>
      <c r="B701" s="421" t="s">
        <v>289</v>
      </c>
      <c r="C701" s="406"/>
      <c r="D701" s="406"/>
      <c r="E701" s="406"/>
      <c r="F701" s="395" t="s">
        <v>289</v>
      </c>
      <c r="G701" s="406"/>
      <c r="H701" s="406"/>
      <c r="I701" s="378" t="s">
        <v>289</v>
      </c>
      <c r="J701" s="379" t="s">
        <v>289</v>
      </c>
      <c r="K701" s="407"/>
      <c r="L701" s="378" t="s">
        <v>289</v>
      </c>
      <c r="M701" s="378" t="s">
        <v>289</v>
      </c>
      <c r="N701" s="378" t="s">
        <v>289</v>
      </c>
      <c r="O701" s="409"/>
      <c r="P701" s="387" t="s">
        <v>289</v>
      </c>
      <c r="Q701" s="383"/>
      <c r="R701" s="383"/>
      <c r="S701" s="383"/>
      <c r="T701" s="410"/>
      <c r="U701" s="406"/>
      <c r="V701" s="386"/>
      <c r="W701" s="387" t="s">
        <v>289</v>
      </c>
      <c r="X701" s="378" t="s">
        <v>289</v>
      </c>
      <c r="Y701" s="387" t="s">
        <v>289</v>
      </c>
      <c r="Z701" s="391" t="s">
        <v>289</v>
      </c>
      <c r="AA701" s="391" t="s">
        <v>289</v>
      </c>
      <c r="AB701" s="391" t="s">
        <v>289</v>
      </c>
      <c r="AC701" s="391" t="s">
        <v>289</v>
      </c>
      <c r="AD701" s="395" t="s">
        <v>289</v>
      </c>
      <c r="AE701" s="395"/>
      <c r="AF701" s="395"/>
      <c r="AG701" s="395"/>
      <c r="AH701" s="395"/>
    </row>
    <row r="702" ht="30.75" customHeight="1">
      <c r="A702" s="373" t="str">
        <f t="shared" si="1"/>
        <v/>
      </c>
      <c r="B702" s="421" t="s">
        <v>289</v>
      </c>
      <c r="C702" s="406"/>
      <c r="D702" s="406"/>
      <c r="E702" s="406"/>
      <c r="F702" s="395" t="s">
        <v>289</v>
      </c>
      <c r="G702" s="406"/>
      <c r="H702" s="406"/>
      <c r="I702" s="378" t="s">
        <v>289</v>
      </c>
      <c r="J702" s="379" t="s">
        <v>289</v>
      </c>
      <c r="K702" s="407"/>
      <c r="L702" s="378" t="s">
        <v>289</v>
      </c>
      <c r="M702" s="378" t="s">
        <v>289</v>
      </c>
      <c r="N702" s="378" t="s">
        <v>289</v>
      </c>
      <c r="O702" s="409"/>
      <c r="P702" s="387" t="s">
        <v>289</v>
      </c>
      <c r="Q702" s="383"/>
      <c r="R702" s="383"/>
      <c r="S702" s="383"/>
      <c r="T702" s="410"/>
      <c r="U702" s="406"/>
      <c r="V702" s="386"/>
      <c r="W702" s="387" t="s">
        <v>289</v>
      </c>
      <c r="X702" s="378" t="s">
        <v>289</v>
      </c>
      <c r="Y702" s="387" t="s">
        <v>289</v>
      </c>
      <c r="Z702" s="391" t="s">
        <v>289</v>
      </c>
      <c r="AA702" s="391" t="s">
        <v>289</v>
      </c>
      <c r="AB702" s="391" t="s">
        <v>289</v>
      </c>
      <c r="AC702" s="391" t="s">
        <v>289</v>
      </c>
      <c r="AD702" s="395" t="s">
        <v>289</v>
      </c>
      <c r="AE702" s="395"/>
      <c r="AF702" s="395"/>
      <c r="AG702" s="395"/>
      <c r="AH702" s="395"/>
    </row>
    <row r="703" ht="30.75" customHeight="1">
      <c r="A703" s="373" t="str">
        <f t="shared" si="1"/>
        <v/>
      </c>
      <c r="B703" s="421" t="s">
        <v>289</v>
      </c>
      <c r="C703" s="406"/>
      <c r="D703" s="406"/>
      <c r="E703" s="406"/>
      <c r="F703" s="395" t="s">
        <v>289</v>
      </c>
      <c r="G703" s="406"/>
      <c r="H703" s="406"/>
      <c r="I703" s="378" t="s">
        <v>289</v>
      </c>
      <c r="J703" s="379" t="s">
        <v>289</v>
      </c>
      <c r="K703" s="407"/>
      <c r="L703" s="378" t="s">
        <v>289</v>
      </c>
      <c r="M703" s="378" t="s">
        <v>289</v>
      </c>
      <c r="N703" s="378" t="s">
        <v>289</v>
      </c>
      <c r="O703" s="409"/>
      <c r="P703" s="387" t="s">
        <v>289</v>
      </c>
      <c r="Q703" s="383"/>
      <c r="R703" s="383"/>
      <c r="S703" s="383"/>
      <c r="T703" s="410"/>
      <c r="U703" s="406"/>
      <c r="V703" s="386"/>
      <c r="W703" s="387" t="s">
        <v>289</v>
      </c>
      <c r="X703" s="378" t="s">
        <v>289</v>
      </c>
      <c r="Y703" s="387" t="s">
        <v>289</v>
      </c>
      <c r="Z703" s="391" t="s">
        <v>289</v>
      </c>
      <c r="AA703" s="391" t="s">
        <v>289</v>
      </c>
      <c r="AB703" s="391" t="s">
        <v>289</v>
      </c>
      <c r="AC703" s="391" t="s">
        <v>289</v>
      </c>
      <c r="AD703" s="395" t="s">
        <v>289</v>
      </c>
      <c r="AE703" s="395"/>
      <c r="AF703" s="395"/>
      <c r="AG703" s="395"/>
      <c r="AH703" s="395"/>
    </row>
    <row r="704" ht="30.75" customHeight="1">
      <c r="A704" s="373" t="str">
        <f t="shared" si="1"/>
        <v/>
      </c>
      <c r="B704" s="421" t="s">
        <v>289</v>
      </c>
      <c r="C704" s="406"/>
      <c r="D704" s="406"/>
      <c r="E704" s="406"/>
      <c r="F704" s="395" t="s">
        <v>289</v>
      </c>
      <c r="G704" s="406"/>
      <c r="H704" s="406"/>
      <c r="I704" s="378" t="s">
        <v>289</v>
      </c>
      <c r="J704" s="379" t="s">
        <v>289</v>
      </c>
      <c r="K704" s="407"/>
      <c r="L704" s="378" t="s">
        <v>289</v>
      </c>
      <c r="M704" s="378" t="s">
        <v>289</v>
      </c>
      <c r="N704" s="378" t="s">
        <v>289</v>
      </c>
      <c r="O704" s="409"/>
      <c r="P704" s="387" t="s">
        <v>289</v>
      </c>
      <c r="Q704" s="383"/>
      <c r="R704" s="383"/>
      <c r="S704" s="383"/>
      <c r="T704" s="410"/>
      <c r="U704" s="406"/>
      <c r="V704" s="386"/>
      <c r="W704" s="387" t="s">
        <v>289</v>
      </c>
      <c r="X704" s="378" t="s">
        <v>289</v>
      </c>
      <c r="Y704" s="387" t="s">
        <v>289</v>
      </c>
      <c r="Z704" s="391" t="s">
        <v>289</v>
      </c>
      <c r="AA704" s="391" t="s">
        <v>289</v>
      </c>
      <c r="AB704" s="391" t="s">
        <v>289</v>
      </c>
      <c r="AC704" s="391" t="s">
        <v>289</v>
      </c>
      <c r="AD704" s="395" t="s">
        <v>289</v>
      </c>
      <c r="AE704" s="395"/>
      <c r="AF704" s="395"/>
      <c r="AG704" s="395"/>
      <c r="AH704" s="395"/>
    </row>
    <row r="705" ht="30.75" customHeight="1">
      <c r="A705" s="373" t="str">
        <f t="shared" si="1"/>
        <v/>
      </c>
      <c r="B705" s="421" t="s">
        <v>289</v>
      </c>
      <c r="C705" s="406"/>
      <c r="D705" s="406"/>
      <c r="E705" s="406"/>
      <c r="F705" s="395" t="s">
        <v>289</v>
      </c>
      <c r="G705" s="406"/>
      <c r="H705" s="406"/>
      <c r="I705" s="378" t="s">
        <v>289</v>
      </c>
      <c r="J705" s="379" t="s">
        <v>289</v>
      </c>
      <c r="K705" s="407"/>
      <c r="L705" s="378" t="s">
        <v>289</v>
      </c>
      <c r="M705" s="378" t="s">
        <v>289</v>
      </c>
      <c r="N705" s="378" t="s">
        <v>289</v>
      </c>
      <c r="O705" s="409"/>
      <c r="P705" s="387" t="s">
        <v>289</v>
      </c>
      <c r="Q705" s="383"/>
      <c r="R705" s="383"/>
      <c r="S705" s="383"/>
      <c r="T705" s="410"/>
      <c r="U705" s="406"/>
      <c r="V705" s="386"/>
      <c r="W705" s="387" t="s">
        <v>289</v>
      </c>
      <c r="X705" s="378" t="s">
        <v>289</v>
      </c>
      <c r="Y705" s="387" t="s">
        <v>289</v>
      </c>
      <c r="Z705" s="391" t="s">
        <v>289</v>
      </c>
      <c r="AA705" s="391" t="s">
        <v>289</v>
      </c>
      <c r="AB705" s="391" t="s">
        <v>289</v>
      </c>
      <c r="AC705" s="391" t="s">
        <v>289</v>
      </c>
      <c r="AD705" s="395" t="s">
        <v>289</v>
      </c>
      <c r="AE705" s="395"/>
      <c r="AF705" s="395"/>
      <c r="AG705" s="395"/>
      <c r="AH705" s="395"/>
    </row>
    <row r="706" ht="30.75" customHeight="1">
      <c r="A706" s="373" t="str">
        <f t="shared" si="1"/>
        <v/>
      </c>
      <c r="B706" s="421" t="s">
        <v>289</v>
      </c>
      <c r="C706" s="406"/>
      <c r="D706" s="406"/>
      <c r="E706" s="406"/>
      <c r="F706" s="395" t="s">
        <v>289</v>
      </c>
      <c r="G706" s="406"/>
      <c r="H706" s="406"/>
      <c r="I706" s="378" t="s">
        <v>289</v>
      </c>
      <c r="J706" s="379" t="s">
        <v>289</v>
      </c>
      <c r="K706" s="407"/>
      <c r="L706" s="378" t="s">
        <v>289</v>
      </c>
      <c r="M706" s="378" t="s">
        <v>289</v>
      </c>
      <c r="N706" s="378" t="s">
        <v>289</v>
      </c>
      <c r="O706" s="409"/>
      <c r="P706" s="387" t="s">
        <v>289</v>
      </c>
      <c r="Q706" s="383"/>
      <c r="R706" s="383"/>
      <c r="S706" s="383"/>
      <c r="T706" s="410"/>
      <c r="U706" s="406"/>
      <c r="V706" s="386"/>
      <c r="W706" s="387" t="s">
        <v>289</v>
      </c>
      <c r="X706" s="378" t="s">
        <v>289</v>
      </c>
      <c r="Y706" s="387" t="s">
        <v>289</v>
      </c>
      <c r="Z706" s="391" t="s">
        <v>289</v>
      </c>
      <c r="AA706" s="391" t="s">
        <v>289</v>
      </c>
      <c r="AB706" s="391" t="s">
        <v>289</v>
      </c>
      <c r="AC706" s="391" t="s">
        <v>289</v>
      </c>
      <c r="AD706" s="395" t="s">
        <v>289</v>
      </c>
      <c r="AE706" s="395"/>
      <c r="AF706" s="395"/>
      <c r="AG706" s="395"/>
      <c r="AH706" s="395"/>
    </row>
    <row r="707" ht="30.75" customHeight="1">
      <c r="A707" s="373" t="str">
        <f t="shared" si="1"/>
        <v/>
      </c>
      <c r="B707" s="421" t="s">
        <v>289</v>
      </c>
      <c r="C707" s="406"/>
      <c r="D707" s="406"/>
      <c r="E707" s="406"/>
      <c r="F707" s="395" t="s">
        <v>289</v>
      </c>
      <c r="G707" s="406"/>
      <c r="H707" s="406"/>
      <c r="I707" s="378" t="s">
        <v>289</v>
      </c>
      <c r="J707" s="379" t="s">
        <v>289</v>
      </c>
      <c r="K707" s="407"/>
      <c r="L707" s="378" t="s">
        <v>289</v>
      </c>
      <c r="M707" s="378" t="s">
        <v>289</v>
      </c>
      <c r="N707" s="378" t="s">
        <v>289</v>
      </c>
      <c r="O707" s="409"/>
      <c r="P707" s="387" t="s">
        <v>289</v>
      </c>
      <c r="Q707" s="383"/>
      <c r="R707" s="383"/>
      <c r="S707" s="383"/>
      <c r="T707" s="410"/>
      <c r="U707" s="406"/>
      <c r="V707" s="386"/>
      <c r="W707" s="387" t="s">
        <v>289</v>
      </c>
      <c r="X707" s="378" t="s">
        <v>289</v>
      </c>
      <c r="Y707" s="387" t="s">
        <v>289</v>
      </c>
      <c r="Z707" s="391" t="s">
        <v>289</v>
      </c>
      <c r="AA707" s="391" t="s">
        <v>289</v>
      </c>
      <c r="AB707" s="391" t="s">
        <v>289</v>
      </c>
      <c r="AC707" s="391" t="s">
        <v>289</v>
      </c>
      <c r="AD707" s="395" t="s">
        <v>289</v>
      </c>
      <c r="AE707" s="395"/>
      <c r="AF707" s="395"/>
      <c r="AG707" s="395"/>
      <c r="AH707" s="395"/>
    </row>
    <row r="708" ht="30.75" customHeight="1">
      <c r="A708" s="373" t="str">
        <f t="shared" si="1"/>
        <v/>
      </c>
      <c r="B708" s="421" t="s">
        <v>289</v>
      </c>
      <c r="C708" s="406"/>
      <c r="D708" s="406"/>
      <c r="E708" s="406"/>
      <c r="F708" s="395" t="s">
        <v>289</v>
      </c>
      <c r="G708" s="406"/>
      <c r="H708" s="406"/>
      <c r="I708" s="378" t="s">
        <v>289</v>
      </c>
      <c r="J708" s="379" t="s">
        <v>289</v>
      </c>
      <c r="K708" s="407"/>
      <c r="L708" s="378" t="s">
        <v>289</v>
      </c>
      <c r="M708" s="378" t="s">
        <v>289</v>
      </c>
      <c r="N708" s="378" t="s">
        <v>289</v>
      </c>
      <c r="O708" s="409"/>
      <c r="P708" s="387" t="s">
        <v>289</v>
      </c>
      <c r="Q708" s="383"/>
      <c r="R708" s="383"/>
      <c r="S708" s="383"/>
      <c r="T708" s="410"/>
      <c r="U708" s="406"/>
      <c r="V708" s="386"/>
      <c r="W708" s="387" t="s">
        <v>289</v>
      </c>
      <c r="X708" s="378" t="s">
        <v>289</v>
      </c>
      <c r="Y708" s="387" t="s">
        <v>289</v>
      </c>
      <c r="Z708" s="391" t="s">
        <v>289</v>
      </c>
      <c r="AA708" s="391" t="s">
        <v>289</v>
      </c>
      <c r="AB708" s="391" t="s">
        <v>289</v>
      </c>
      <c r="AC708" s="391" t="s">
        <v>289</v>
      </c>
      <c r="AD708" s="395" t="s">
        <v>289</v>
      </c>
      <c r="AE708" s="395"/>
      <c r="AF708" s="395"/>
      <c r="AG708" s="395"/>
      <c r="AH708" s="395"/>
    </row>
    <row r="709" ht="30.75" customHeight="1">
      <c r="A709" s="373" t="str">
        <f t="shared" si="1"/>
        <v/>
      </c>
      <c r="B709" s="421" t="s">
        <v>289</v>
      </c>
      <c r="C709" s="406"/>
      <c r="D709" s="406"/>
      <c r="E709" s="406"/>
      <c r="F709" s="395" t="s">
        <v>289</v>
      </c>
      <c r="G709" s="406"/>
      <c r="H709" s="406"/>
      <c r="I709" s="378" t="s">
        <v>289</v>
      </c>
      <c r="J709" s="379" t="s">
        <v>289</v>
      </c>
      <c r="K709" s="407"/>
      <c r="L709" s="378" t="s">
        <v>289</v>
      </c>
      <c r="M709" s="378" t="s">
        <v>289</v>
      </c>
      <c r="N709" s="378" t="s">
        <v>289</v>
      </c>
      <c r="O709" s="409"/>
      <c r="P709" s="387" t="s">
        <v>289</v>
      </c>
      <c r="Q709" s="383"/>
      <c r="R709" s="383"/>
      <c r="S709" s="383"/>
      <c r="T709" s="410"/>
      <c r="U709" s="406"/>
      <c r="V709" s="386"/>
      <c r="W709" s="387" t="s">
        <v>289</v>
      </c>
      <c r="X709" s="378" t="s">
        <v>289</v>
      </c>
      <c r="Y709" s="387" t="s">
        <v>289</v>
      </c>
      <c r="Z709" s="391" t="s">
        <v>289</v>
      </c>
      <c r="AA709" s="391" t="s">
        <v>289</v>
      </c>
      <c r="AB709" s="391" t="s">
        <v>289</v>
      </c>
      <c r="AC709" s="391" t="s">
        <v>289</v>
      </c>
      <c r="AD709" s="395" t="s">
        <v>289</v>
      </c>
      <c r="AE709" s="395"/>
      <c r="AF709" s="395"/>
      <c r="AG709" s="395"/>
      <c r="AH709" s="395"/>
    </row>
    <row r="710" ht="30.75" customHeight="1">
      <c r="A710" s="373" t="str">
        <f t="shared" si="1"/>
        <v/>
      </c>
      <c r="B710" s="421" t="s">
        <v>289</v>
      </c>
      <c r="C710" s="406"/>
      <c r="D710" s="406"/>
      <c r="E710" s="406"/>
      <c r="F710" s="395" t="s">
        <v>289</v>
      </c>
      <c r="G710" s="406"/>
      <c r="H710" s="406"/>
      <c r="I710" s="378" t="s">
        <v>289</v>
      </c>
      <c r="J710" s="379" t="s">
        <v>289</v>
      </c>
      <c r="K710" s="407"/>
      <c r="L710" s="378" t="s">
        <v>289</v>
      </c>
      <c r="M710" s="378" t="s">
        <v>289</v>
      </c>
      <c r="N710" s="378" t="s">
        <v>289</v>
      </c>
      <c r="O710" s="409"/>
      <c r="P710" s="387" t="s">
        <v>289</v>
      </c>
      <c r="Q710" s="383"/>
      <c r="R710" s="383"/>
      <c r="S710" s="383"/>
      <c r="T710" s="410"/>
      <c r="U710" s="406"/>
      <c r="V710" s="386"/>
      <c r="W710" s="387" t="s">
        <v>289</v>
      </c>
      <c r="X710" s="378" t="s">
        <v>289</v>
      </c>
      <c r="Y710" s="387" t="s">
        <v>289</v>
      </c>
      <c r="Z710" s="391" t="s">
        <v>289</v>
      </c>
      <c r="AA710" s="391" t="s">
        <v>289</v>
      </c>
      <c r="AB710" s="391" t="s">
        <v>289</v>
      </c>
      <c r="AC710" s="391" t="s">
        <v>289</v>
      </c>
      <c r="AD710" s="395" t="s">
        <v>289</v>
      </c>
      <c r="AE710" s="395"/>
      <c r="AF710" s="395"/>
      <c r="AG710" s="395"/>
      <c r="AH710" s="395"/>
    </row>
    <row r="711" ht="30.75" customHeight="1">
      <c r="A711" s="373" t="str">
        <f t="shared" si="1"/>
        <v/>
      </c>
      <c r="B711" s="421" t="s">
        <v>289</v>
      </c>
      <c r="C711" s="406"/>
      <c r="D711" s="406"/>
      <c r="E711" s="406"/>
      <c r="F711" s="395" t="s">
        <v>289</v>
      </c>
      <c r="G711" s="406"/>
      <c r="H711" s="406"/>
      <c r="I711" s="378" t="s">
        <v>289</v>
      </c>
      <c r="J711" s="379" t="s">
        <v>289</v>
      </c>
      <c r="K711" s="407"/>
      <c r="L711" s="378" t="s">
        <v>289</v>
      </c>
      <c r="M711" s="378" t="s">
        <v>289</v>
      </c>
      <c r="N711" s="378" t="s">
        <v>289</v>
      </c>
      <c r="O711" s="409"/>
      <c r="P711" s="387" t="s">
        <v>289</v>
      </c>
      <c r="Q711" s="383"/>
      <c r="R711" s="383"/>
      <c r="S711" s="383"/>
      <c r="T711" s="410"/>
      <c r="U711" s="406"/>
      <c r="V711" s="386"/>
      <c r="W711" s="387" t="s">
        <v>289</v>
      </c>
      <c r="X711" s="378" t="s">
        <v>289</v>
      </c>
      <c r="Y711" s="387" t="s">
        <v>289</v>
      </c>
      <c r="Z711" s="391" t="s">
        <v>289</v>
      </c>
      <c r="AA711" s="391" t="s">
        <v>289</v>
      </c>
      <c r="AB711" s="391" t="s">
        <v>289</v>
      </c>
      <c r="AC711" s="391" t="s">
        <v>289</v>
      </c>
      <c r="AD711" s="395" t="s">
        <v>289</v>
      </c>
      <c r="AE711" s="395"/>
      <c r="AF711" s="395"/>
      <c r="AG711" s="395"/>
      <c r="AH711" s="395"/>
    </row>
    <row r="712" ht="30.75" customHeight="1">
      <c r="A712" s="373" t="str">
        <f t="shared" si="1"/>
        <v/>
      </c>
      <c r="B712" s="421" t="s">
        <v>289</v>
      </c>
      <c r="C712" s="406"/>
      <c r="D712" s="406"/>
      <c r="E712" s="406"/>
      <c r="F712" s="395" t="s">
        <v>289</v>
      </c>
      <c r="G712" s="406"/>
      <c r="H712" s="406"/>
      <c r="I712" s="378" t="s">
        <v>289</v>
      </c>
      <c r="J712" s="379" t="s">
        <v>289</v>
      </c>
      <c r="K712" s="407"/>
      <c r="L712" s="378" t="s">
        <v>289</v>
      </c>
      <c r="M712" s="378" t="s">
        <v>289</v>
      </c>
      <c r="N712" s="378" t="s">
        <v>289</v>
      </c>
      <c r="O712" s="409"/>
      <c r="P712" s="387" t="s">
        <v>289</v>
      </c>
      <c r="Q712" s="383"/>
      <c r="R712" s="383"/>
      <c r="S712" s="383"/>
      <c r="T712" s="410"/>
      <c r="U712" s="406"/>
      <c r="V712" s="386"/>
      <c r="W712" s="387" t="s">
        <v>289</v>
      </c>
      <c r="X712" s="378" t="s">
        <v>289</v>
      </c>
      <c r="Y712" s="387" t="s">
        <v>289</v>
      </c>
      <c r="Z712" s="391" t="s">
        <v>289</v>
      </c>
      <c r="AA712" s="391" t="s">
        <v>289</v>
      </c>
      <c r="AB712" s="391" t="s">
        <v>289</v>
      </c>
      <c r="AC712" s="391" t="s">
        <v>289</v>
      </c>
      <c r="AD712" s="395" t="s">
        <v>289</v>
      </c>
      <c r="AE712" s="395"/>
      <c r="AF712" s="395"/>
      <c r="AG712" s="395"/>
      <c r="AH712" s="395"/>
    </row>
    <row r="713" ht="30.75" customHeight="1">
      <c r="A713" s="373" t="str">
        <f t="shared" si="1"/>
        <v/>
      </c>
      <c r="B713" s="421" t="s">
        <v>289</v>
      </c>
      <c r="C713" s="406"/>
      <c r="D713" s="406"/>
      <c r="E713" s="406"/>
      <c r="F713" s="395" t="s">
        <v>289</v>
      </c>
      <c r="G713" s="406"/>
      <c r="H713" s="406"/>
      <c r="I713" s="378" t="s">
        <v>289</v>
      </c>
      <c r="J713" s="379" t="s">
        <v>289</v>
      </c>
      <c r="K713" s="407"/>
      <c r="L713" s="378" t="s">
        <v>289</v>
      </c>
      <c r="M713" s="378" t="s">
        <v>289</v>
      </c>
      <c r="N713" s="378" t="s">
        <v>289</v>
      </c>
      <c r="O713" s="409"/>
      <c r="P713" s="387" t="s">
        <v>289</v>
      </c>
      <c r="Q713" s="383"/>
      <c r="R713" s="383"/>
      <c r="S713" s="383"/>
      <c r="T713" s="410"/>
      <c r="U713" s="406"/>
      <c r="V713" s="386"/>
      <c r="W713" s="387" t="s">
        <v>289</v>
      </c>
      <c r="X713" s="378" t="s">
        <v>289</v>
      </c>
      <c r="Y713" s="387" t="s">
        <v>289</v>
      </c>
      <c r="Z713" s="391" t="s">
        <v>289</v>
      </c>
      <c r="AA713" s="391" t="s">
        <v>289</v>
      </c>
      <c r="AB713" s="391" t="s">
        <v>289</v>
      </c>
      <c r="AC713" s="391" t="s">
        <v>289</v>
      </c>
      <c r="AD713" s="395" t="s">
        <v>289</v>
      </c>
      <c r="AE713" s="395"/>
      <c r="AF713" s="395"/>
      <c r="AG713" s="395"/>
      <c r="AH713" s="395"/>
    </row>
    <row r="714" ht="30.75" customHeight="1">
      <c r="A714" s="373" t="str">
        <f t="shared" si="1"/>
        <v/>
      </c>
      <c r="B714" s="421" t="s">
        <v>289</v>
      </c>
      <c r="C714" s="406"/>
      <c r="D714" s="406"/>
      <c r="E714" s="406"/>
      <c r="F714" s="395" t="s">
        <v>289</v>
      </c>
      <c r="G714" s="406"/>
      <c r="H714" s="406"/>
      <c r="I714" s="378" t="s">
        <v>289</v>
      </c>
      <c r="J714" s="379" t="s">
        <v>289</v>
      </c>
      <c r="K714" s="407"/>
      <c r="L714" s="378" t="s">
        <v>289</v>
      </c>
      <c r="M714" s="378" t="s">
        <v>289</v>
      </c>
      <c r="N714" s="378" t="s">
        <v>289</v>
      </c>
      <c r="O714" s="409"/>
      <c r="P714" s="387" t="s">
        <v>289</v>
      </c>
      <c r="Q714" s="383"/>
      <c r="R714" s="383"/>
      <c r="S714" s="383"/>
      <c r="T714" s="410"/>
      <c r="U714" s="406"/>
      <c r="V714" s="386"/>
      <c r="W714" s="387" t="s">
        <v>289</v>
      </c>
      <c r="X714" s="378" t="s">
        <v>289</v>
      </c>
      <c r="Y714" s="387" t="s">
        <v>289</v>
      </c>
      <c r="Z714" s="391" t="s">
        <v>289</v>
      </c>
      <c r="AA714" s="391" t="s">
        <v>289</v>
      </c>
      <c r="AB714" s="391" t="s">
        <v>289</v>
      </c>
      <c r="AC714" s="391" t="s">
        <v>289</v>
      </c>
      <c r="AD714" s="395" t="s">
        <v>289</v>
      </c>
      <c r="AE714" s="395"/>
      <c r="AF714" s="395"/>
      <c r="AG714" s="395"/>
      <c r="AH714" s="395"/>
    </row>
    <row r="715" ht="30.75" customHeight="1">
      <c r="A715" s="373" t="str">
        <f t="shared" si="1"/>
        <v/>
      </c>
      <c r="B715" s="421" t="s">
        <v>289</v>
      </c>
      <c r="C715" s="406"/>
      <c r="D715" s="406"/>
      <c r="E715" s="406"/>
      <c r="F715" s="395" t="s">
        <v>289</v>
      </c>
      <c r="G715" s="406"/>
      <c r="H715" s="406"/>
      <c r="I715" s="378" t="s">
        <v>289</v>
      </c>
      <c r="J715" s="379" t="s">
        <v>289</v>
      </c>
      <c r="K715" s="407"/>
      <c r="L715" s="378" t="s">
        <v>289</v>
      </c>
      <c r="M715" s="378" t="s">
        <v>289</v>
      </c>
      <c r="N715" s="378" t="s">
        <v>289</v>
      </c>
      <c r="O715" s="409"/>
      <c r="P715" s="387" t="s">
        <v>289</v>
      </c>
      <c r="Q715" s="383"/>
      <c r="R715" s="383"/>
      <c r="S715" s="383"/>
      <c r="T715" s="410"/>
      <c r="U715" s="406"/>
      <c r="V715" s="386"/>
      <c r="W715" s="387" t="s">
        <v>289</v>
      </c>
      <c r="X715" s="378" t="s">
        <v>289</v>
      </c>
      <c r="Y715" s="387" t="s">
        <v>289</v>
      </c>
      <c r="Z715" s="391" t="s">
        <v>289</v>
      </c>
      <c r="AA715" s="391" t="s">
        <v>289</v>
      </c>
      <c r="AB715" s="391" t="s">
        <v>289</v>
      </c>
      <c r="AC715" s="391" t="s">
        <v>289</v>
      </c>
      <c r="AD715" s="395" t="s">
        <v>289</v>
      </c>
      <c r="AE715" s="395"/>
      <c r="AF715" s="395"/>
      <c r="AG715" s="395"/>
      <c r="AH715" s="395"/>
    </row>
    <row r="716" ht="30.75" customHeight="1">
      <c r="A716" s="373" t="str">
        <f t="shared" si="1"/>
        <v/>
      </c>
      <c r="B716" s="421" t="s">
        <v>289</v>
      </c>
      <c r="C716" s="406"/>
      <c r="D716" s="406"/>
      <c r="E716" s="406"/>
      <c r="F716" s="395" t="s">
        <v>289</v>
      </c>
      <c r="G716" s="406"/>
      <c r="H716" s="406"/>
      <c r="I716" s="378" t="s">
        <v>289</v>
      </c>
      <c r="J716" s="379" t="s">
        <v>289</v>
      </c>
      <c r="K716" s="407"/>
      <c r="L716" s="378" t="s">
        <v>289</v>
      </c>
      <c r="M716" s="378" t="s">
        <v>289</v>
      </c>
      <c r="N716" s="378" t="s">
        <v>289</v>
      </c>
      <c r="O716" s="409"/>
      <c r="P716" s="387" t="s">
        <v>289</v>
      </c>
      <c r="Q716" s="383"/>
      <c r="R716" s="383"/>
      <c r="S716" s="383"/>
      <c r="T716" s="410"/>
      <c r="U716" s="406"/>
      <c r="V716" s="386"/>
      <c r="W716" s="387" t="s">
        <v>289</v>
      </c>
      <c r="X716" s="378" t="s">
        <v>289</v>
      </c>
      <c r="Y716" s="387" t="s">
        <v>289</v>
      </c>
      <c r="Z716" s="391" t="s">
        <v>289</v>
      </c>
      <c r="AA716" s="391" t="s">
        <v>289</v>
      </c>
      <c r="AB716" s="391" t="s">
        <v>289</v>
      </c>
      <c r="AC716" s="391" t="s">
        <v>289</v>
      </c>
      <c r="AD716" s="395" t="s">
        <v>289</v>
      </c>
      <c r="AE716" s="395"/>
      <c r="AF716" s="395"/>
      <c r="AG716" s="395"/>
      <c r="AH716" s="395"/>
    </row>
    <row r="717" ht="30.75" customHeight="1">
      <c r="A717" s="373" t="str">
        <f t="shared" si="1"/>
        <v/>
      </c>
      <c r="B717" s="421" t="s">
        <v>289</v>
      </c>
      <c r="C717" s="406"/>
      <c r="D717" s="406"/>
      <c r="E717" s="406"/>
      <c r="F717" s="395" t="s">
        <v>289</v>
      </c>
      <c r="G717" s="406"/>
      <c r="H717" s="406"/>
      <c r="I717" s="378" t="s">
        <v>289</v>
      </c>
      <c r="J717" s="379" t="s">
        <v>289</v>
      </c>
      <c r="K717" s="407"/>
      <c r="L717" s="378" t="s">
        <v>289</v>
      </c>
      <c r="M717" s="378" t="s">
        <v>289</v>
      </c>
      <c r="N717" s="378" t="s">
        <v>289</v>
      </c>
      <c r="O717" s="409"/>
      <c r="P717" s="387" t="s">
        <v>289</v>
      </c>
      <c r="Q717" s="383"/>
      <c r="R717" s="383"/>
      <c r="S717" s="383"/>
      <c r="T717" s="410"/>
      <c r="U717" s="406"/>
      <c r="V717" s="386"/>
      <c r="W717" s="387" t="s">
        <v>289</v>
      </c>
      <c r="X717" s="378" t="s">
        <v>289</v>
      </c>
      <c r="Y717" s="387" t="s">
        <v>289</v>
      </c>
      <c r="Z717" s="391" t="s">
        <v>289</v>
      </c>
      <c r="AA717" s="391" t="s">
        <v>289</v>
      </c>
      <c r="AB717" s="391" t="s">
        <v>289</v>
      </c>
      <c r="AC717" s="391" t="s">
        <v>289</v>
      </c>
      <c r="AD717" s="395" t="s">
        <v>289</v>
      </c>
      <c r="AE717" s="395"/>
      <c r="AF717" s="395"/>
      <c r="AG717" s="395"/>
      <c r="AH717" s="395"/>
    </row>
    <row r="718" ht="30.75" customHeight="1">
      <c r="A718" s="373" t="str">
        <f t="shared" si="1"/>
        <v/>
      </c>
      <c r="B718" s="421" t="s">
        <v>289</v>
      </c>
      <c r="C718" s="406"/>
      <c r="D718" s="406"/>
      <c r="E718" s="406"/>
      <c r="F718" s="395" t="s">
        <v>289</v>
      </c>
      <c r="G718" s="406"/>
      <c r="H718" s="406"/>
      <c r="I718" s="378" t="s">
        <v>289</v>
      </c>
      <c r="J718" s="379" t="s">
        <v>289</v>
      </c>
      <c r="K718" s="407"/>
      <c r="L718" s="378" t="s">
        <v>289</v>
      </c>
      <c r="M718" s="378" t="s">
        <v>289</v>
      </c>
      <c r="N718" s="378" t="s">
        <v>289</v>
      </c>
      <c r="O718" s="409"/>
      <c r="P718" s="387" t="s">
        <v>289</v>
      </c>
      <c r="Q718" s="383"/>
      <c r="R718" s="383"/>
      <c r="S718" s="383"/>
      <c r="T718" s="410"/>
      <c r="U718" s="406"/>
      <c r="V718" s="386"/>
      <c r="W718" s="387" t="s">
        <v>289</v>
      </c>
      <c r="X718" s="378" t="s">
        <v>289</v>
      </c>
      <c r="Y718" s="387" t="s">
        <v>289</v>
      </c>
      <c r="Z718" s="391" t="s">
        <v>289</v>
      </c>
      <c r="AA718" s="391" t="s">
        <v>289</v>
      </c>
      <c r="AB718" s="391" t="s">
        <v>289</v>
      </c>
      <c r="AC718" s="391" t="s">
        <v>289</v>
      </c>
      <c r="AD718" s="395" t="s">
        <v>289</v>
      </c>
      <c r="AE718" s="395"/>
      <c r="AF718" s="395"/>
      <c r="AG718" s="395"/>
      <c r="AH718" s="395"/>
    </row>
    <row r="719" ht="30.75" customHeight="1">
      <c r="A719" s="373" t="str">
        <f t="shared" si="1"/>
        <v/>
      </c>
      <c r="B719" s="421" t="s">
        <v>289</v>
      </c>
      <c r="C719" s="406"/>
      <c r="D719" s="406"/>
      <c r="E719" s="406"/>
      <c r="F719" s="395" t="s">
        <v>289</v>
      </c>
      <c r="G719" s="406"/>
      <c r="H719" s="406"/>
      <c r="I719" s="378" t="s">
        <v>289</v>
      </c>
      <c r="J719" s="379" t="s">
        <v>289</v>
      </c>
      <c r="K719" s="407"/>
      <c r="L719" s="378" t="s">
        <v>289</v>
      </c>
      <c r="M719" s="378" t="s">
        <v>289</v>
      </c>
      <c r="N719" s="378" t="s">
        <v>289</v>
      </c>
      <c r="O719" s="409"/>
      <c r="P719" s="387" t="s">
        <v>289</v>
      </c>
      <c r="Q719" s="383"/>
      <c r="R719" s="383"/>
      <c r="S719" s="383"/>
      <c r="T719" s="410"/>
      <c r="U719" s="406"/>
      <c r="V719" s="386"/>
      <c r="W719" s="387" t="s">
        <v>289</v>
      </c>
      <c r="X719" s="378" t="s">
        <v>289</v>
      </c>
      <c r="Y719" s="387" t="s">
        <v>289</v>
      </c>
      <c r="Z719" s="391" t="s">
        <v>289</v>
      </c>
      <c r="AA719" s="391" t="s">
        <v>289</v>
      </c>
      <c r="AB719" s="391" t="s">
        <v>289</v>
      </c>
      <c r="AC719" s="391" t="s">
        <v>289</v>
      </c>
      <c r="AD719" s="395" t="s">
        <v>289</v>
      </c>
      <c r="AE719" s="395"/>
      <c r="AF719" s="395"/>
      <c r="AG719" s="395"/>
      <c r="AH719" s="395"/>
    </row>
    <row r="720" ht="30.75" customHeight="1">
      <c r="A720" s="373" t="str">
        <f t="shared" si="1"/>
        <v/>
      </c>
      <c r="B720" s="421" t="s">
        <v>289</v>
      </c>
      <c r="C720" s="406"/>
      <c r="D720" s="406"/>
      <c r="E720" s="406"/>
      <c r="F720" s="395" t="s">
        <v>289</v>
      </c>
      <c r="G720" s="406"/>
      <c r="H720" s="406"/>
      <c r="I720" s="378" t="s">
        <v>289</v>
      </c>
      <c r="J720" s="379" t="s">
        <v>289</v>
      </c>
      <c r="K720" s="407"/>
      <c r="L720" s="378" t="s">
        <v>289</v>
      </c>
      <c r="M720" s="378" t="s">
        <v>289</v>
      </c>
      <c r="N720" s="378" t="s">
        <v>289</v>
      </c>
      <c r="O720" s="409"/>
      <c r="P720" s="387" t="s">
        <v>289</v>
      </c>
      <c r="Q720" s="383"/>
      <c r="R720" s="383"/>
      <c r="S720" s="383"/>
      <c r="T720" s="410"/>
      <c r="U720" s="406"/>
      <c r="V720" s="386"/>
      <c r="W720" s="387" t="s">
        <v>289</v>
      </c>
      <c r="X720" s="378" t="s">
        <v>289</v>
      </c>
      <c r="Y720" s="387" t="s">
        <v>289</v>
      </c>
      <c r="Z720" s="391" t="s">
        <v>289</v>
      </c>
      <c r="AA720" s="391" t="s">
        <v>289</v>
      </c>
      <c r="AB720" s="391" t="s">
        <v>289</v>
      </c>
      <c r="AC720" s="391" t="s">
        <v>289</v>
      </c>
      <c r="AD720" s="395" t="s">
        <v>289</v>
      </c>
      <c r="AE720" s="395"/>
      <c r="AF720" s="395"/>
      <c r="AG720" s="395"/>
      <c r="AH720" s="395"/>
    </row>
    <row r="721" ht="30.75" customHeight="1">
      <c r="A721" s="373" t="str">
        <f t="shared" si="1"/>
        <v/>
      </c>
      <c r="B721" s="421" t="s">
        <v>289</v>
      </c>
      <c r="C721" s="406"/>
      <c r="D721" s="406"/>
      <c r="E721" s="406"/>
      <c r="F721" s="395" t="s">
        <v>289</v>
      </c>
      <c r="G721" s="406"/>
      <c r="H721" s="406"/>
      <c r="I721" s="378" t="s">
        <v>289</v>
      </c>
      <c r="J721" s="379" t="s">
        <v>289</v>
      </c>
      <c r="K721" s="407"/>
      <c r="L721" s="378" t="s">
        <v>289</v>
      </c>
      <c r="M721" s="378" t="s">
        <v>289</v>
      </c>
      <c r="N721" s="378" t="s">
        <v>289</v>
      </c>
      <c r="O721" s="409"/>
      <c r="P721" s="387" t="s">
        <v>289</v>
      </c>
      <c r="Q721" s="383"/>
      <c r="R721" s="383"/>
      <c r="S721" s="383"/>
      <c r="T721" s="410"/>
      <c r="U721" s="406"/>
      <c r="V721" s="386"/>
      <c r="W721" s="387" t="s">
        <v>289</v>
      </c>
      <c r="X721" s="378" t="s">
        <v>289</v>
      </c>
      <c r="Y721" s="387" t="s">
        <v>289</v>
      </c>
      <c r="Z721" s="391" t="s">
        <v>289</v>
      </c>
      <c r="AA721" s="391" t="s">
        <v>289</v>
      </c>
      <c r="AB721" s="391" t="s">
        <v>289</v>
      </c>
      <c r="AC721" s="391" t="s">
        <v>289</v>
      </c>
      <c r="AD721" s="395" t="s">
        <v>289</v>
      </c>
      <c r="AE721" s="395"/>
      <c r="AF721" s="395"/>
      <c r="AG721" s="395"/>
      <c r="AH721" s="395"/>
    </row>
    <row r="722" ht="30.75" customHeight="1">
      <c r="A722" s="373" t="str">
        <f t="shared" si="1"/>
        <v/>
      </c>
      <c r="B722" s="421" t="s">
        <v>289</v>
      </c>
      <c r="C722" s="406"/>
      <c r="D722" s="406"/>
      <c r="E722" s="406"/>
      <c r="F722" s="395" t="s">
        <v>289</v>
      </c>
      <c r="G722" s="406"/>
      <c r="H722" s="406"/>
      <c r="I722" s="378" t="s">
        <v>289</v>
      </c>
      <c r="J722" s="379" t="s">
        <v>289</v>
      </c>
      <c r="K722" s="407"/>
      <c r="L722" s="378" t="s">
        <v>289</v>
      </c>
      <c r="M722" s="378" t="s">
        <v>289</v>
      </c>
      <c r="N722" s="378" t="s">
        <v>289</v>
      </c>
      <c r="O722" s="409"/>
      <c r="P722" s="387" t="s">
        <v>289</v>
      </c>
      <c r="Q722" s="383"/>
      <c r="R722" s="383"/>
      <c r="S722" s="383"/>
      <c r="T722" s="410"/>
      <c r="U722" s="406"/>
      <c r="V722" s="386"/>
      <c r="W722" s="387" t="s">
        <v>289</v>
      </c>
      <c r="X722" s="378" t="s">
        <v>289</v>
      </c>
      <c r="Y722" s="387" t="s">
        <v>289</v>
      </c>
      <c r="Z722" s="391" t="s">
        <v>289</v>
      </c>
      <c r="AA722" s="391" t="s">
        <v>289</v>
      </c>
      <c r="AB722" s="391" t="s">
        <v>289</v>
      </c>
      <c r="AC722" s="391" t="s">
        <v>289</v>
      </c>
      <c r="AD722" s="395" t="s">
        <v>289</v>
      </c>
      <c r="AE722" s="395"/>
      <c r="AF722" s="395"/>
      <c r="AG722" s="395"/>
      <c r="AH722" s="395"/>
    </row>
    <row r="723" ht="30.75" customHeight="1">
      <c r="A723" s="373" t="str">
        <f t="shared" si="1"/>
        <v/>
      </c>
      <c r="B723" s="421" t="s">
        <v>289</v>
      </c>
      <c r="C723" s="406"/>
      <c r="D723" s="406"/>
      <c r="E723" s="406"/>
      <c r="F723" s="395" t="s">
        <v>289</v>
      </c>
      <c r="G723" s="406"/>
      <c r="H723" s="406"/>
      <c r="I723" s="378" t="s">
        <v>289</v>
      </c>
      <c r="J723" s="379" t="s">
        <v>289</v>
      </c>
      <c r="K723" s="407"/>
      <c r="L723" s="378" t="s">
        <v>289</v>
      </c>
      <c r="M723" s="378" t="s">
        <v>289</v>
      </c>
      <c r="N723" s="378" t="s">
        <v>289</v>
      </c>
      <c r="O723" s="409"/>
      <c r="P723" s="387" t="s">
        <v>289</v>
      </c>
      <c r="Q723" s="383"/>
      <c r="R723" s="383"/>
      <c r="S723" s="383"/>
      <c r="T723" s="410"/>
      <c r="U723" s="406"/>
      <c r="V723" s="386"/>
      <c r="W723" s="387" t="s">
        <v>289</v>
      </c>
      <c r="X723" s="378" t="s">
        <v>289</v>
      </c>
      <c r="Y723" s="387" t="s">
        <v>289</v>
      </c>
      <c r="Z723" s="391" t="s">
        <v>289</v>
      </c>
      <c r="AA723" s="391" t="s">
        <v>289</v>
      </c>
      <c r="AB723" s="391" t="s">
        <v>289</v>
      </c>
      <c r="AC723" s="391" t="s">
        <v>289</v>
      </c>
      <c r="AD723" s="395" t="s">
        <v>289</v>
      </c>
      <c r="AE723" s="395"/>
      <c r="AF723" s="395"/>
      <c r="AG723" s="395"/>
      <c r="AH723" s="395"/>
    </row>
    <row r="724" ht="30.75" customHeight="1">
      <c r="A724" s="373" t="str">
        <f t="shared" si="1"/>
        <v/>
      </c>
      <c r="B724" s="421" t="s">
        <v>289</v>
      </c>
      <c r="C724" s="406"/>
      <c r="D724" s="406"/>
      <c r="E724" s="406"/>
      <c r="F724" s="395" t="s">
        <v>289</v>
      </c>
      <c r="G724" s="406"/>
      <c r="H724" s="406"/>
      <c r="I724" s="378" t="s">
        <v>289</v>
      </c>
      <c r="J724" s="379" t="s">
        <v>289</v>
      </c>
      <c r="K724" s="407"/>
      <c r="L724" s="378" t="s">
        <v>289</v>
      </c>
      <c r="M724" s="378" t="s">
        <v>289</v>
      </c>
      <c r="N724" s="378" t="s">
        <v>289</v>
      </c>
      <c r="O724" s="409"/>
      <c r="P724" s="387" t="s">
        <v>289</v>
      </c>
      <c r="Q724" s="383"/>
      <c r="R724" s="383"/>
      <c r="S724" s="383"/>
      <c r="T724" s="410"/>
      <c r="U724" s="406"/>
      <c r="V724" s="386"/>
      <c r="W724" s="387" t="s">
        <v>289</v>
      </c>
      <c r="X724" s="378" t="s">
        <v>289</v>
      </c>
      <c r="Y724" s="387" t="s">
        <v>289</v>
      </c>
      <c r="Z724" s="391" t="s">
        <v>289</v>
      </c>
      <c r="AA724" s="391" t="s">
        <v>289</v>
      </c>
      <c r="AB724" s="391" t="s">
        <v>289</v>
      </c>
      <c r="AC724" s="391" t="s">
        <v>289</v>
      </c>
      <c r="AD724" s="395" t="s">
        <v>289</v>
      </c>
      <c r="AE724" s="395"/>
      <c r="AF724" s="395"/>
      <c r="AG724" s="395"/>
      <c r="AH724" s="395"/>
    </row>
    <row r="725" ht="30.75" customHeight="1">
      <c r="A725" s="373" t="str">
        <f t="shared" si="1"/>
        <v/>
      </c>
      <c r="B725" s="421" t="s">
        <v>289</v>
      </c>
      <c r="C725" s="406"/>
      <c r="D725" s="406"/>
      <c r="E725" s="406"/>
      <c r="F725" s="395" t="s">
        <v>289</v>
      </c>
      <c r="G725" s="406"/>
      <c r="H725" s="406"/>
      <c r="I725" s="378" t="s">
        <v>289</v>
      </c>
      <c r="J725" s="379" t="s">
        <v>289</v>
      </c>
      <c r="K725" s="407"/>
      <c r="L725" s="378" t="s">
        <v>289</v>
      </c>
      <c r="M725" s="378" t="s">
        <v>289</v>
      </c>
      <c r="N725" s="378" t="s">
        <v>289</v>
      </c>
      <c r="O725" s="409"/>
      <c r="P725" s="387" t="s">
        <v>289</v>
      </c>
      <c r="Q725" s="383"/>
      <c r="R725" s="383"/>
      <c r="S725" s="383"/>
      <c r="T725" s="410"/>
      <c r="U725" s="406"/>
      <c r="V725" s="386"/>
      <c r="W725" s="387" t="s">
        <v>289</v>
      </c>
      <c r="X725" s="378" t="s">
        <v>289</v>
      </c>
      <c r="Y725" s="387" t="s">
        <v>289</v>
      </c>
      <c r="Z725" s="391" t="s">
        <v>289</v>
      </c>
      <c r="AA725" s="391" t="s">
        <v>289</v>
      </c>
      <c r="AB725" s="391" t="s">
        <v>289</v>
      </c>
      <c r="AC725" s="391" t="s">
        <v>289</v>
      </c>
      <c r="AD725" s="395" t="s">
        <v>289</v>
      </c>
      <c r="AE725" s="395"/>
      <c r="AF725" s="395"/>
      <c r="AG725" s="395"/>
      <c r="AH725" s="395"/>
    </row>
    <row r="726" ht="30.75" customHeight="1">
      <c r="A726" s="373" t="str">
        <f t="shared" si="1"/>
        <v/>
      </c>
      <c r="B726" s="421" t="s">
        <v>289</v>
      </c>
      <c r="C726" s="406"/>
      <c r="D726" s="406"/>
      <c r="E726" s="406"/>
      <c r="F726" s="395" t="s">
        <v>289</v>
      </c>
      <c r="G726" s="406"/>
      <c r="H726" s="406"/>
      <c r="I726" s="378" t="s">
        <v>289</v>
      </c>
      <c r="J726" s="379" t="s">
        <v>289</v>
      </c>
      <c r="K726" s="407"/>
      <c r="L726" s="378" t="s">
        <v>289</v>
      </c>
      <c r="M726" s="378" t="s">
        <v>289</v>
      </c>
      <c r="N726" s="378" t="s">
        <v>289</v>
      </c>
      <c r="O726" s="409"/>
      <c r="P726" s="387" t="s">
        <v>289</v>
      </c>
      <c r="Q726" s="383"/>
      <c r="R726" s="383"/>
      <c r="S726" s="383"/>
      <c r="T726" s="410"/>
      <c r="U726" s="406"/>
      <c r="V726" s="386"/>
      <c r="W726" s="387" t="s">
        <v>289</v>
      </c>
      <c r="X726" s="378" t="s">
        <v>289</v>
      </c>
      <c r="Y726" s="387" t="s">
        <v>289</v>
      </c>
      <c r="Z726" s="391" t="s">
        <v>289</v>
      </c>
      <c r="AA726" s="391" t="s">
        <v>289</v>
      </c>
      <c r="AB726" s="391" t="s">
        <v>289</v>
      </c>
      <c r="AC726" s="391" t="s">
        <v>289</v>
      </c>
      <c r="AD726" s="395" t="s">
        <v>289</v>
      </c>
      <c r="AE726" s="395"/>
      <c r="AF726" s="395"/>
      <c r="AG726" s="395"/>
      <c r="AH726" s="395"/>
    </row>
    <row r="727" ht="30.75" customHeight="1">
      <c r="A727" s="373" t="str">
        <f t="shared" si="1"/>
        <v/>
      </c>
      <c r="B727" s="421" t="s">
        <v>289</v>
      </c>
      <c r="C727" s="406"/>
      <c r="D727" s="406"/>
      <c r="E727" s="406"/>
      <c r="F727" s="395" t="s">
        <v>289</v>
      </c>
      <c r="G727" s="406"/>
      <c r="H727" s="406"/>
      <c r="I727" s="378" t="s">
        <v>289</v>
      </c>
      <c r="J727" s="379" t="s">
        <v>289</v>
      </c>
      <c r="K727" s="407"/>
      <c r="L727" s="378" t="s">
        <v>289</v>
      </c>
      <c r="M727" s="378" t="s">
        <v>289</v>
      </c>
      <c r="N727" s="378" t="s">
        <v>289</v>
      </c>
      <c r="O727" s="409"/>
      <c r="P727" s="387" t="s">
        <v>289</v>
      </c>
      <c r="Q727" s="383"/>
      <c r="R727" s="383"/>
      <c r="S727" s="383"/>
      <c r="T727" s="410"/>
      <c r="U727" s="406"/>
      <c r="V727" s="386"/>
      <c r="W727" s="387" t="s">
        <v>289</v>
      </c>
      <c r="X727" s="378" t="s">
        <v>289</v>
      </c>
      <c r="Y727" s="387" t="s">
        <v>289</v>
      </c>
      <c r="Z727" s="391" t="s">
        <v>289</v>
      </c>
      <c r="AA727" s="391" t="s">
        <v>289</v>
      </c>
      <c r="AB727" s="391" t="s">
        <v>289</v>
      </c>
      <c r="AC727" s="391" t="s">
        <v>289</v>
      </c>
      <c r="AD727" s="395" t="s">
        <v>289</v>
      </c>
      <c r="AE727" s="395"/>
      <c r="AF727" s="395"/>
      <c r="AG727" s="395"/>
      <c r="AH727" s="395"/>
    </row>
    <row r="728" ht="30.75" customHeight="1">
      <c r="A728" s="373" t="str">
        <f t="shared" si="1"/>
        <v/>
      </c>
      <c r="B728" s="421" t="s">
        <v>289</v>
      </c>
      <c r="C728" s="406"/>
      <c r="D728" s="406"/>
      <c r="E728" s="406"/>
      <c r="F728" s="395" t="s">
        <v>289</v>
      </c>
      <c r="G728" s="406"/>
      <c r="H728" s="406"/>
      <c r="I728" s="378" t="s">
        <v>289</v>
      </c>
      <c r="J728" s="379" t="s">
        <v>289</v>
      </c>
      <c r="K728" s="407"/>
      <c r="L728" s="378" t="s">
        <v>289</v>
      </c>
      <c r="M728" s="378" t="s">
        <v>289</v>
      </c>
      <c r="N728" s="378" t="s">
        <v>289</v>
      </c>
      <c r="O728" s="409"/>
      <c r="P728" s="387" t="s">
        <v>289</v>
      </c>
      <c r="Q728" s="383"/>
      <c r="R728" s="383"/>
      <c r="S728" s="383"/>
      <c r="T728" s="410"/>
      <c r="U728" s="406"/>
      <c r="V728" s="386"/>
      <c r="W728" s="387" t="s">
        <v>289</v>
      </c>
      <c r="X728" s="378" t="s">
        <v>289</v>
      </c>
      <c r="Y728" s="387" t="s">
        <v>289</v>
      </c>
      <c r="Z728" s="391" t="s">
        <v>289</v>
      </c>
      <c r="AA728" s="391" t="s">
        <v>289</v>
      </c>
      <c r="AB728" s="391" t="s">
        <v>289</v>
      </c>
      <c r="AC728" s="391" t="s">
        <v>289</v>
      </c>
      <c r="AD728" s="395" t="s">
        <v>289</v>
      </c>
      <c r="AE728" s="395"/>
      <c r="AF728" s="395"/>
      <c r="AG728" s="395"/>
      <c r="AH728" s="395"/>
    </row>
    <row r="729" ht="30.75" customHeight="1">
      <c r="A729" s="373" t="str">
        <f t="shared" si="1"/>
        <v/>
      </c>
      <c r="B729" s="421" t="s">
        <v>289</v>
      </c>
      <c r="C729" s="406"/>
      <c r="D729" s="406"/>
      <c r="E729" s="406"/>
      <c r="F729" s="395" t="s">
        <v>289</v>
      </c>
      <c r="G729" s="406"/>
      <c r="H729" s="406"/>
      <c r="I729" s="378" t="s">
        <v>289</v>
      </c>
      <c r="J729" s="379" t="s">
        <v>289</v>
      </c>
      <c r="K729" s="407"/>
      <c r="L729" s="378" t="s">
        <v>289</v>
      </c>
      <c r="M729" s="378" t="s">
        <v>289</v>
      </c>
      <c r="N729" s="378" t="s">
        <v>289</v>
      </c>
      <c r="O729" s="409"/>
      <c r="P729" s="387" t="s">
        <v>289</v>
      </c>
      <c r="Q729" s="383"/>
      <c r="R729" s="383"/>
      <c r="S729" s="383"/>
      <c r="T729" s="410"/>
      <c r="U729" s="406"/>
      <c r="V729" s="386"/>
      <c r="W729" s="387" t="s">
        <v>289</v>
      </c>
      <c r="X729" s="378" t="s">
        <v>289</v>
      </c>
      <c r="Y729" s="387" t="s">
        <v>289</v>
      </c>
      <c r="Z729" s="391" t="s">
        <v>289</v>
      </c>
      <c r="AA729" s="391" t="s">
        <v>289</v>
      </c>
      <c r="AB729" s="391" t="s">
        <v>289</v>
      </c>
      <c r="AC729" s="391" t="s">
        <v>289</v>
      </c>
      <c r="AD729" s="395" t="s">
        <v>289</v>
      </c>
      <c r="AE729" s="395"/>
      <c r="AF729" s="395"/>
      <c r="AG729" s="395"/>
      <c r="AH729" s="395"/>
    </row>
    <row r="730" ht="30.75" customHeight="1">
      <c r="A730" s="373" t="str">
        <f t="shared" si="1"/>
        <v/>
      </c>
      <c r="B730" s="421" t="s">
        <v>289</v>
      </c>
      <c r="C730" s="406"/>
      <c r="D730" s="406"/>
      <c r="E730" s="406"/>
      <c r="F730" s="395" t="s">
        <v>289</v>
      </c>
      <c r="G730" s="406"/>
      <c r="H730" s="406"/>
      <c r="I730" s="378" t="s">
        <v>289</v>
      </c>
      <c r="J730" s="379" t="s">
        <v>289</v>
      </c>
      <c r="K730" s="407"/>
      <c r="L730" s="378" t="s">
        <v>289</v>
      </c>
      <c r="M730" s="378" t="s">
        <v>289</v>
      </c>
      <c r="N730" s="378" t="s">
        <v>289</v>
      </c>
      <c r="O730" s="409"/>
      <c r="P730" s="387" t="s">
        <v>289</v>
      </c>
      <c r="Q730" s="383"/>
      <c r="R730" s="383"/>
      <c r="S730" s="383"/>
      <c r="T730" s="410"/>
      <c r="U730" s="406"/>
      <c r="V730" s="386"/>
      <c r="W730" s="387" t="s">
        <v>289</v>
      </c>
      <c r="X730" s="378" t="s">
        <v>289</v>
      </c>
      <c r="Y730" s="387" t="s">
        <v>289</v>
      </c>
      <c r="Z730" s="391" t="s">
        <v>289</v>
      </c>
      <c r="AA730" s="391" t="s">
        <v>289</v>
      </c>
      <c r="AB730" s="391" t="s">
        <v>289</v>
      </c>
      <c r="AC730" s="391" t="s">
        <v>289</v>
      </c>
      <c r="AD730" s="395" t="s">
        <v>289</v>
      </c>
      <c r="AE730" s="395"/>
      <c r="AF730" s="395"/>
      <c r="AG730" s="395"/>
      <c r="AH730" s="395"/>
    </row>
    <row r="731" ht="30.75" customHeight="1">
      <c r="A731" s="373" t="str">
        <f t="shared" si="1"/>
        <v/>
      </c>
      <c r="B731" s="421" t="s">
        <v>289</v>
      </c>
      <c r="C731" s="406"/>
      <c r="D731" s="406"/>
      <c r="E731" s="406"/>
      <c r="F731" s="395" t="s">
        <v>289</v>
      </c>
      <c r="G731" s="406"/>
      <c r="H731" s="406"/>
      <c r="I731" s="378" t="s">
        <v>289</v>
      </c>
      <c r="J731" s="379" t="s">
        <v>289</v>
      </c>
      <c r="K731" s="407"/>
      <c r="L731" s="378" t="s">
        <v>289</v>
      </c>
      <c r="M731" s="378" t="s">
        <v>289</v>
      </c>
      <c r="N731" s="378" t="s">
        <v>289</v>
      </c>
      <c r="O731" s="409"/>
      <c r="P731" s="387" t="s">
        <v>289</v>
      </c>
      <c r="Q731" s="383"/>
      <c r="R731" s="383"/>
      <c r="S731" s="383"/>
      <c r="T731" s="410"/>
      <c r="U731" s="406"/>
      <c r="V731" s="386"/>
      <c r="W731" s="387" t="s">
        <v>289</v>
      </c>
      <c r="X731" s="378" t="s">
        <v>289</v>
      </c>
      <c r="Y731" s="387" t="s">
        <v>289</v>
      </c>
      <c r="Z731" s="391" t="s">
        <v>289</v>
      </c>
      <c r="AA731" s="391" t="s">
        <v>289</v>
      </c>
      <c r="AB731" s="391" t="s">
        <v>289</v>
      </c>
      <c r="AC731" s="391" t="s">
        <v>289</v>
      </c>
      <c r="AD731" s="395" t="s">
        <v>289</v>
      </c>
      <c r="AE731" s="395"/>
      <c r="AF731" s="395"/>
      <c r="AG731" s="395"/>
      <c r="AH731" s="395"/>
    </row>
    <row r="732" ht="30.75" customHeight="1">
      <c r="A732" s="373" t="str">
        <f t="shared" si="1"/>
        <v/>
      </c>
      <c r="B732" s="421" t="s">
        <v>289</v>
      </c>
      <c r="C732" s="406"/>
      <c r="D732" s="406"/>
      <c r="E732" s="406"/>
      <c r="F732" s="395" t="s">
        <v>289</v>
      </c>
      <c r="G732" s="406"/>
      <c r="H732" s="406"/>
      <c r="I732" s="378" t="s">
        <v>289</v>
      </c>
      <c r="J732" s="379" t="s">
        <v>289</v>
      </c>
      <c r="K732" s="407"/>
      <c r="L732" s="378" t="s">
        <v>289</v>
      </c>
      <c r="M732" s="378" t="s">
        <v>289</v>
      </c>
      <c r="N732" s="378" t="s">
        <v>289</v>
      </c>
      <c r="O732" s="409"/>
      <c r="P732" s="387" t="s">
        <v>289</v>
      </c>
      <c r="Q732" s="383"/>
      <c r="R732" s="383"/>
      <c r="S732" s="383"/>
      <c r="T732" s="410"/>
      <c r="U732" s="406"/>
      <c r="V732" s="386"/>
      <c r="W732" s="387" t="s">
        <v>289</v>
      </c>
      <c r="X732" s="378" t="s">
        <v>289</v>
      </c>
      <c r="Y732" s="387" t="s">
        <v>289</v>
      </c>
      <c r="Z732" s="391" t="s">
        <v>289</v>
      </c>
      <c r="AA732" s="391" t="s">
        <v>289</v>
      </c>
      <c r="AB732" s="391" t="s">
        <v>289</v>
      </c>
      <c r="AC732" s="391" t="s">
        <v>289</v>
      </c>
      <c r="AD732" s="395" t="s">
        <v>289</v>
      </c>
      <c r="AE732" s="395"/>
      <c r="AF732" s="395"/>
      <c r="AG732" s="395"/>
      <c r="AH732" s="395"/>
    </row>
    <row r="733" ht="30.75" customHeight="1">
      <c r="A733" s="373" t="str">
        <f t="shared" si="1"/>
        <v/>
      </c>
      <c r="B733" s="421" t="s">
        <v>289</v>
      </c>
      <c r="C733" s="406"/>
      <c r="D733" s="406"/>
      <c r="E733" s="406"/>
      <c r="F733" s="395" t="s">
        <v>289</v>
      </c>
      <c r="G733" s="406"/>
      <c r="H733" s="406"/>
      <c r="I733" s="378" t="s">
        <v>289</v>
      </c>
      <c r="J733" s="379" t="s">
        <v>289</v>
      </c>
      <c r="K733" s="407"/>
      <c r="L733" s="378" t="s">
        <v>289</v>
      </c>
      <c r="M733" s="378" t="s">
        <v>289</v>
      </c>
      <c r="N733" s="378" t="s">
        <v>289</v>
      </c>
      <c r="O733" s="409"/>
      <c r="P733" s="387" t="s">
        <v>289</v>
      </c>
      <c r="Q733" s="383"/>
      <c r="R733" s="383"/>
      <c r="S733" s="383"/>
      <c r="T733" s="410"/>
      <c r="U733" s="406"/>
      <c r="V733" s="386"/>
      <c r="W733" s="387" t="s">
        <v>289</v>
      </c>
      <c r="X733" s="378" t="s">
        <v>289</v>
      </c>
      <c r="Y733" s="387" t="s">
        <v>289</v>
      </c>
      <c r="Z733" s="391" t="s">
        <v>289</v>
      </c>
      <c r="AA733" s="391" t="s">
        <v>289</v>
      </c>
      <c r="AB733" s="391" t="s">
        <v>289</v>
      </c>
      <c r="AC733" s="391" t="s">
        <v>289</v>
      </c>
      <c r="AD733" s="395" t="s">
        <v>289</v>
      </c>
      <c r="AE733" s="395"/>
      <c r="AF733" s="395"/>
      <c r="AG733" s="395"/>
      <c r="AH733" s="395"/>
    </row>
    <row r="734" ht="30.75" customHeight="1">
      <c r="A734" s="373" t="str">
        <f t="shared" si="1"/>
        <v/>
      </c>
      <c r="B734" s="421" t="s">
        <v>289</v>
      </c>
      <c r="C734" s="406"/>
      <c r="D734" s="406"/>
      <c r="E734" s="406"/>
      <c r="F734" s="395" t="s">
        <v>289</v>
      </c>
      <c r="G734" s="406"/>
      <c r="H734" s="406"/>
      <c r="I734" s="378" t="s">
        <v>289</v>
      </c>
      <c r="J734" s="379" t="s">
        <v>289</v>
      </c>
      <c r="K734" s="407"/>
      <c r="L734" s="378" t="s">
        <v>289</v>
      </c>
      <c r="M734" s="378" t="s">
        <v>289</v>
      </c>
      <c r="N734" s="378" t="s">
        <v>289</v>
      </c>
      <c r="O734" s="409"/>
      <c r="P734" s="387" t="s">
        <v>289</v>
      </c>
      <c r="Q734" s="383"/>
      <c r="R734" s="383"/>
      <c r="S734" s="383"/>
      <c r="T734" s="410"/>
      <c r="U734" s="406"/>
      <c r="V734" s="386"/>
      <c r="W734" s="387" t="s">
        <v>289</v>
      </c>
      <c r="X734" s="378" t="s">
        <v>289</v>
      </c>
      <c r="Y734" s="387" t="s">
        <v>289</v>
      </c>
      <c r="Z734" s="391" t="s">
        <v>289</v>
      </c>
      <c r="AA734" s="391" t="s">
        <v>289</v>
      </c>
      <c r="AB734" s="391" t="s">
        <v>289</v>
      </c>
      <c r="AC734" s="391" t="s">
        <v>289</v>
      </c>
      <c r="AD734" s="395" t="s">
        <v>289</v>
      </c>
      <c r="AE734" s="395"/>
      <c r="AF734" s="395"/>
      <c r="AG734" s="395"/>
      <c r="AH734" s="395"/>
    </row>
    <row r="735" ht="30.75" customHeight="1">
      <c r="A735" s="373" t="str">
        <f t="shared" si="1"/>
        <v/>
      </c>
      <c r="B735" s="421" t="s">
        <v>289</v>
      </c>
      <c r="C735" s="406"/>
      <c r="D735" s="406"/>
      <c r="E735" s="406"/>
      <c r="F735" s="395" t="s">
        <v>289</v>
      </c>
      <c r="G735" s="406"/>
      <c r="H735" s="406"/>
      <c r="I735" s="378" t="s">
        <v>289</v>
      </c>
      <c r="J735" s="379" t="s">
        <v>289</v>
      </c>
      <c r="K735" s="407"/>
      <c r="L735" s="378" t="s">
        <v>289</v>
      </c>
      <c r="M735" s="378" t="s">
        <v>289</v>
      </c>
      <c r="N735" s="378" t="s">
        <v>289</v>
      </c>
      <c r="O735" s="409"/>
      <c r="P735" s="387" t="s">
        <v>289</v>
      </c>
      <c r="Q735" s="383"/>
      <c r="R735" s="383"/>
      <c r="S735" s="383"/>
      <c r="T735" s="410"/>
      <c r="U735" s="406"/>
      <c r="V735" s="386"/>
      <c r="W735" s="387" t="s">
        <v>289</v>
      </c>
      <c r="X735" s="378" t="s">
        <v>289</v>
      </c>
      <c r="Y735" s="387" t="s">
        <v>289</v>
      </c>
      <c r="Z735" s="391" t="s">
        <v>289</v>
      </c>
      <c r="AA735" s="391" t="s">
        <v>289</v>
      </c>
      <c r="AB735" s="391" t="s">
        <v>289</v>
      </c>
      <c r="AC735" s="391" t="s">
        <v>289</v>
      </c>
      <c r="AD735" s="395" t="s">
        <v>289</v>
      </c>
      <c r="AE735" s="395"/>
      <c r="AF735" s="395"/>
      <c r="AG735" s="395"/>
      <c r="AH735" s="395"/>
    </row>
    <row r="736" ht="30.75" customHeight="1">
      <c r="A736" s="373" t="str">
        <f t="shared" si="1"/>
        <v/>
      </c>
      <c r="B736" s="421" t="s">
        <v>289</v>
      </c>
      <c r="C736" s="406"/>
      <c r="D736" s="406"/>
      <c r="E736" s="406"/>
      <c r="F736" s="395" t="s">
        <v>289</v>
      </c>
      <c r="G736" s="406"/>
      <c r="H736" s="406"/>
      <c r="I736" s="378" t="s">
        <v>289</v>
      </c>
      <c r="J736" s="379" t="s">
        <v>289</v>
      </c>
      <c r="K736" s="407"/>
      <c r="L736" s="378" t="s">
        <v>289</v>
      </c>
      <c r="M736" s="378" t="s">
        <v>289</v>
      </c>
      <c r="N736" s="378" t="s">
        <v>289</v>
      </c>
      <c r="O736" s="409"/>
      <c r="P736" s="387" t="s">
        <v>289</v>
      </c>
      <c r="Q736" s="383"/>
      <c r="R736" s="383"/>
      <c r="S736" s="383"/>
      <c r="T736" s="410"/>
      <c r="U736" s="406"/>
      <c r="V736" s="386"/>
      <c r="W736" s="387" t="s">
        <v>289</v>
      </c>
      <c r="X736" s="378" t="s">
        <v>289</v>
      </c>
      <c r="Y736" s="387" t="s">
        <v>289</v>
      </c>
      <c r="Z736" s="391" t="s">
        <v>289</v>
      </c>
      <c r="AA736" s="391" t="s">
        <v>289</v>
      </c>
      <c r="AB736" s="391" t="s">
        <v>289</v>
      </c>
      <c r="AC736" s="391" t="s">
        <v>289</v>
      </c>
      <c r="AD736" s="395" t="s">
        <v>289</v>
      </c>
      <c r="AE736" s="395"/>
      <c r="AF736" s="395"/>
      <c r="AG736" s="395"/>
      <c r="AH736" s="395"/>
    </row>
    <row r="737" ht="30.75" customHeight="1">
      <c r="A737" s="373" t="str">
        <f t="shared" si="1"/>
        <v/>
      </c>
      <c r="B737" s="421" t="s">
        <v>289</v>
      </c>
      <c r="C737" s="406"/>
      <c r="D737" s="406"/>
      <c r="E737" s="406"/>
      <c r="F737" s="395" t="s">
        <v>289</v>
      </c>
      <c r="G737" s="406"/>
      <c r="H737" s="406"/>
      <c r="I737" s="378" t="s">
        <v>289</v>
      </c>
      <c r="J737" s="379" t="s">
        <v>289</v>
      </c>
      <c r="K737" s="407"/>
      <c r="L737" s="378" t="s">
        <v>289</v>
      </c>
      <c r="M737" s="378" t="s">
        <v>289</v>
      </c>
      <c r="N737" s="378" t="s">
        <v>289</v>
      </c>
      <c r="O737" s="409"/>
      <c r="P737" s="387" t="s">
        <v>289</v>
      </c>
      <c r="Q737" s="383"/>
      <c r="R737" s="383"/>
      <c r="S737" s="383"/>
      <c r="T737" s="410"/>
      <c r="U737" s="406"/>
      <c r="V737" s="386"/>
      <c r="W737" s="387" t="s">
        <v>289</v>
      </c>
      <c r="X737" s="378" t="s">
        <v>289</v>
      </c>
      <c r="Y737" s="387" t="s">
        <v>289</v>
      </c>
      <c r="Z737" s="391" t="s">
        <v>289</v>
      </c>
      <c r="AA737" s="391" t="s">
        <v>289</v>
      </c>
      <c r="AB737" s="391" t="s">
        <v>289</v>
      </c>
      <c r="AC737" s="391" t="s">
        <v>289</v>
      </c>
      <c r="AD737" s="395" t="s">
        <v>289</v>
      </c>
      <c r="AE737" s="395"/>
      <c r="AF737" s="395"/>
      <c r="AG737" s="395"/>
      <c r="AH737" s="395"/>
    </row>
    <row r="738" ht="30.75" customHeight="1">
      <c r="A738" s="373" t="str">
        <f t="shared" si="1"/>
        <v/>
      </c>
      <c r="B738" s="421" t="s">
        <v>289</v>
      </c>
      <c r="C738" s="406"/>
      <c r="D738" s="406"/>
      <c r="E738" s="406"/>
      <c r="F738" s="395" t="s">
        <v>289</v>
      </c>
      <c r="G738" s="406"/>
      <c r="H738" s="406"/>
      <c r="I738" s="378" t="s">
        <v>289</v>
      </c>
      <c r="J738" s="379" t="s">
        <v>289</v>
      </c>
      <c r="K738" s="407"/>
      <c r="L738" s="378" t="s">
        <v>289</v>
      </c>
      <c r="M738" s="378" t="s">
        <v>289</v>
      </c>
      <c r="N738" s="378" t="s">
        <v>289</v>
      </c>
      <c r="O738" s="409"/>
      <c r="P738" s="387" t="s">
        <v>289</v>
      </c>
      <c r="Q738" s="383"/>
      <c r="R738" s="383"/>
      <c r="S738" s="383"/>
      <c r="T738" s="410"/>
      <c r="U738" s="406"/>
      <c r="V738" s="386"/>
      <c r="W738" s="387" t="s">
        <v>289</v>
      </c>
      <c r="X738" s="378" t="s">
        <v>289</v>
      </c>
      <c r="Y738" s="387" t="s">
        <v>289</v>
      </c>
      <c r="Z738" s="391" t="s">
        <v>289</v>
      </c>
      <c r="AA738" s="391" t="s">
        <v>289</v>
      </c>
      <c r="AB738" s="391" t="s">
        <v>289</v>
      </c>
      <c r="AC738" s="391" t="s">
        <v>289</v>
      </c>
      <c r="AD738" s="395" t="s">
        <v>289</v>
      </c>
      <c r="AE738" s="395"/>
      <c r="AF738" s="395"/>
      <c r="AG738" s="395"/>
      <c r="AH738" s="395"/>
    </row>
    <row r="739" ht="30.75" customHeight="1">
      <c r="A739" s="373" t="str">
        <f t="shared" si="1"/>
        <v/>
      </c>
      <c r="B739" s="421" t="s">
        <v>289</v>
      </c>
      <c r="C739" s="406"/>
      <c r="D739" s="406"/>
      <c r="E739" s="406"/>
      <c r="F739" s="395" t="s">
        <v>289</v>
      </c>
      <c r="G739" s="406"/>
      <c r="H739" s="406"/>
      <c r="I739" s="378" t="s">
        <v>289</v>
      </c>
      <c r="J739" s="379" t="s">
        <v>289</v>
      </c>
      <c r="K739" s="407"/>
      <c r="L739" s="378" t="s">
        <v>289</v>
      </c>
      <c r="M739" s="378" t="s">
        <v>289</v>
      </c>
      <c r="N739" s="378" t="s">
        <v>289</v>
      </c>
      <c r="O739" s="409"/>
      <c r="P739" s="387" t="s">
        <v>289</v>
      </c>
      <c r="Q739" s="383"/>
      <c r="R739" s="383"/>
      <c r="S739" s="383"/>
      <c r="T739" s="410"/>
      <c r="U739" s="406"/>
      <c r="V739" s="386"/>
      <c r="W739" s="387" t="s">
        <v>289</v>
      </c>
      <c r="X739" s="378" t="s">
        <v>289</v>
      </c>
      <c r="Y739" s="387" t="s">
        <v>289</v>
      </c>
      <c r="Z739" s="391" t="s">
        <v>289</v>
      </c>
      <c r="AA739" s="391" t="s">
        <v>289</v>
      </c>
      <c r="AB739" s="391" t="s">
        <v>289</v>
      </c>
      <c r="AC739" s="391" t="s">
        <v>289</v>
      </c>
      <c r="AD739" s="395" t="s">
        <v>289</v>
      </c>
      <c r="AE739" s="395"/>
      <c r="AF739" s="395"/>
      <c r="AG739" s="395"/>
      <c r="AH739" s="395"/>
    </row>
    <row r="740" ht="30.75" customHeight="1">
      <c r="A740" s="373" t="str">
        <f t="shared" si="1"/>
        <v/>
      </c>
      <c r="B740" s="421" t="s">
        <v>289</v>
      </c>
      <c r="C740" s="406"/>
      <c r="D740" s="406"/>
      <c r="E740" s="406"/>
      <c r="F740" s="395" t="s">
        <v>289</v>
      </c>
      <c r="G740" s="406"/>
      <c r="H740" s="406"/>
      <c r="I740" s="378" t="s">
        <v>289</v>
      </c>
      <c r="J740" s="379" t="s">
        <v>289</v>
      </c>
      <c r="K740" s="407"/>
      <c r="L740" s="378" t="s">
        <v>289</v>
      </c>
      <c r="M740" s="378" t="s">
        <v>289</v>
      </c>
      <c r="N740" s="378" t="s">
        <v>289</v>
      </c>
      <c r="O740" s="409"/>
      <c r="P740" s="387" t="s">
        <v>289</v>
      </c>
      <c r="Q740" s="383"/>
      <c r="R740" s="383"/>
      <c r="S740" s="383"/>
      <c r="T740" s="410"/>
      <c r="U740" s="406"/>
      <c r="V740" s="386"/>
      <c r="W740" s="387" t="s">
        <v>289</v>
      </c>
      <c r="X740" s="378" t="s">
        <v>289</v>
      </c>
      <c r="Y740" s="387" t="s">
        <v>289</v>
      </c>
      <c r="Z740" s="391" t="s">
        <v>289</v>
      </c>
      <c r="AA740" s="391" t="s">
        <v>289</v>
      </c>
      <c r="AB740" s="391" t="s">
        <v>289</v>
      </c>
      <c r="AC740" s="391" t="s">
        <v>289</v>
      </c>
      <c r="AD740" s="395" t="s">
        <v>289</v>
      </c>
      <c r="AE740" s="395"/>
      <c r="AF740" s="395"/>
      <c r="AG740" s="395"/>
      <c r="AH740" s="395"/>
    </row>
    <row r="741" ht="30.75" customHeight="1">
      <c r="A741" s="373" t="str">
        <f t="shared" si="1"/>
        <v/>
      </c>
      <c r="B741" s="421" t="s">
        <v>289</v>
      </c>
      <c r="C741" s="406"/>
      <c r="D741" s="406"/>
      <c r="E741" s="406"/>
      <c r="F741" s="395" t="s">
        <v>289</v>
      </c>
      <c r="G741" s="406"/>
      <c r="H741" s="406"/>
      <c r="I741" s="378" t="s">
        <v>289</v>
      </c>
      <c r="J741" s="379" t="s">
        <v>289</v>
      </c>
      <c r="K741" s="407"/>
      <c r="L741" s="378" t="s">
        <v>289</v>
      </c>
      <c r="M741" s="378" t="s">
        <v>289</v>
      </c>
      <c r="N741" s="378" t="s">
        <v>289</v>
      </c>
      <c r="O741" s="409"/>
      <c r="P741" s="387" t="s">
        <v>289</v>
      </c>
      <c r="Q741" s="383"/>
      <c r="R741" s="383"/>
      <c r="S741" s="383"/>
      <c r="T741" s="410"/>
      <c r="U741" s="406"/>
      <c r="V741" s="386"/>
      <c r="W741" s="387" t="s">
        <v>289</v>
      </c>
      <c r="X741" s="378" t="s">
        <v>289</v>
      </c>
      <c r="Y741" s="387" t="s">
        <v>289</v>
      </c>
      <c r="Z741" s="391" t="s">
        <v>289</v>
      </c>
      <c r="AA741" s="391" t="s">
        <v>289</v>
      </c>
      <c r="AB741" s="391" t="s">
        <v>289</v>
      </c>
      <c r="AC741" s="391" t="s">
        <v>289</v>
      </c>
      <c r="AD741" s="395" t="s">
        <v>289</v>
      </c>
      <c r="AE741" s="395"/>
      <c r="AF741" s="395"/>
      <c r="AG741" s="395"/>
      <c r="AH741" s="395"/>
    </row>
    <row r="742" ht="30.75" customHeight="1">
      <c r="A742" s="373" t="str">
        <f t="shared" si="1"/>
        <v/>
      </c>
      <c r="B742" s="421" t="s">
        <v>289</v>
      </c>
      <c r="C742" s="406"/>
      <c r="D742" s="406"/>
      <c r="E742" s="406"/>
      <c r="F742" s="395" t="s">
        <v>289</v>
      </c>
      <c r="G742" s="406"/>
      <c r="H742" s="406"/>
      <c r="I742" s="378" t="s">
        <v>289</v>
      </c>
      <c r="J742" s="379" t="s">
        <v>289</v>
      </c>
      <c r="K742" s="407"/>
      <c r="L742" s="378" t="s">
        <v>289</v>
      </c>
      <c r="M742" s="378" t="s">
        <v>289</v>
      </c>
      <c r="N742" s="378" t="s">
        <v>289</v>
      </c>
      <c r="O742" s="409"/>
      <c r="P742" s="387" t="s">
        <v>289</v>
      </c>
      <c r="Q742" s="383"/>
      <c r="R742" s="383"/>
      <c r="S742" s="383"/>
      <c r="T742" s="410"/>
      <c r="U742" s="406"/>
      <c r="V742" s="386"/>
      <c r="W742" s="387" t="s">
        <v>289</v>
      </c>
      <c r="X742" s="378" t="s">
        <v>289</v>
      </c>
      <c r="Y742" s="387" t="s">
        <v>289</v>
      </c>
      <c r="Z742" s="391" t="s">
        <v>289</v>
      </c>
      <c r="AA742" s="391" t="s">
        <v>289</v>
      </c>
      <c r="AB742" s="391" t="s">
        <v>289</v>
      </c>
      <c r="AC742" s="391" t="s">
        <v>289</v>
      </c>
      <c r="AD742" s="395" t="s">
        <v>289</v>
      </c>
      <c r="AE742" s="395"/>
      <c r="AF742" s="395"/>
      <c r="AG742" s="395"/>
      <c r="AH742" s="395"/>
    </row>
    <row r="743" ht="30.75" customHeight="1">
      <c r="A743" s="373" t="str">
        <f t="shared" si="1"/>
        <v/>
      </c>
      <c r="B743" s="421" t="s">
        <v>289</v>
      </c>
      <c r="C743" s="406"/>
      <c r="D743" s="406"/>
      <c r="E743" s="406"/>
      <c r="F743" s="395" t="s">
        <v>289</v>
      </c>
      <c r="G743" s="406"/>
      <c r="H743" s="406"/>
      <c r="I743" s="378" t="s">
        <v>289</v>
      </c>
      <c r="J743" s="379" t="s">
        <v>289</v>
      </c>
      <c r="K743" s="407"/>
      <c r="L743" s="378" t="s">
        <v>289</v>
      </c>
      <c r="M743" s="378" t="s">
        <v>289</v>
      </c>
      <c r="N743" s="378" t="s">
        <v>289</v>
      </c>
      <c r="O743" s="409"/>
      <c r="P743" s="387" t="s">
        <v>289</v>
      </c>
      <c r="Q743" s="383"/>
      <c r="R743" s="383"/>
      <c r="S743" s="383"/>
      <c r="T743" s="410"/>
      <c r="U743" s="406"/>
      <c r="V743" s="386"/>
      <c r="W743" s="387" t="s">
        <v>289</v>
      </c>
      <c r="X743" s="378" t="s">
        <v>289</v>
      </c>
      <c r="Y743" s="387" t="s">
        <v>289</v>
      </c>
      <c r="Z743" s="391" t="s">
        <v>289</v>
      </c>
      <c r="AA743" s="391" t="s">
        <v>289</v>
      </c>
      <c r="AB743" s="391" t="s">
        <v>289</v>
      </c>
      <c r="AC743" s="391" t="s">
        <v>289</v>
      </c>
      <c r="AD743" s="395" t="s">
        <v>289</v>
      </c>
      <c r="AE743" s="395"/>
      <c r="AF743" s="395"/>
      <c r="AG743" s="395"/>
      <c r="AH743" s="395"/>
    </row>
    <row r="744" ht="30.75" customHeight="1">
      <c r="A744" s="373" t="str">
        <f t="shared" si="1"/>
        <v/>
      </c>
      <c r="B744" s="421" t="s">
        <v>289</v>
      </c>
      <c r="C744" s="406"/>
      <c r="D744" s="406"/>
      <c r="E744" s="406"/>
      <c r="F744" s="395" t="s">
        <v>289</v>
      </c>
      <c r="G744" s="406"/>
      <c r="H744" s="406"/>
      <c r="I744" s="378" t="s">
        <v>289</v>
      </c>
      <c r="J744" s="379" t="s">
        <v>289</v>
      </c>
      <c r="K744" s="407"/>
      <c r="L744" s="378" t="s">
        <v>289</v>
      </c>
      <c r="M744" s="378" t="s">
        <v>289</v>
      </c>
      <c r="N744" s="378" t="s">
        <v>289</v>
      </c>
      <c r="O744" s="409"/>
      <c r="P744" s="387" t="s">
        <v>289</v>
      </c>
      <c r="Q744" s="383"/>
      <c r="R744" s="383"/>
      <c r="S744" s="383"/>
      <c r="T744" s="410"/>
      <c r="U744" s="406"/>
      <c r="V744" s="386"/>
      <c r="W744" s="387" t="s">
        <v>289</v>
      </c>
      <c r="X744" s="378" t="s">
        <v>289</v>
      </c>
      <c r="Y744" s="387" t="s">
        <v>289</v>
      </c>
      <c r="Z744" s="391" t="s">
        <v>289</v>
      </c>
      <c r="AA744" s="391" t="s">
        <v>289</v>
      </c>
      <c r="AB744" s="391" t="s">
        <v>289</v>
      </c>
      <c r="AC744" s="391" t="s">
        <v>289</v>
      </c>
      <c r="AD744" s="395" t="s">
        <v>289</v>
      </c>
      <c r="AE744" s="395"/>
      <c r="AF744" s="395"/>
      <c r="AG744" s="395"/>
      <c r="AH744" s="395"/>
    </row>
    <row r="745" ht="30.75" customHeight="1">
      <c r="A745" s="373" t="str">
        <f t="shared" si="1"/>
        <v/>
      </c>
      <c r="B745" s="421" t="s">
        <v>289</v>
      </c>
      <c r="C745" s="406"/>
      <c r="D745" s="406"/>
      <c r="E745" s="406"/>
      <c r="F745" s="395" t="s">
        <v>289</v>
      </c>
      <c r="G745" s="406"/>
      <c r="H745" s="406"/>
      <c r="I745" s="378" t="s">
        <v>289</v>
      </c>
      <c r="J745" s="379" t="s">
        <v>289</v>
      </c>
      <c r="K745" s="407"/>
      <c r="L745" s="378" t="s">
        <v>289</v>
      </c>
      <c r="M745" s="378" t="s">
        <v>289</v>
      </c>
      <c r="N745" s="378" t="s">
        <v>289</v>
      </c>
      <c r="O745" s="409"/>
      <c r="P745" s="387" t="s">
        <v>289</v>
      </c>
      <c r="Q745" s="383"/>
      <c r="R745" s="383"/>
      <c r="S745" s="383"/>
      <c r="T745" s="410"/>
      <c r="U745" s="406"/>
      <c r="V745" s="386"/>
      <c r="W745" s="387" t="s">
        <v>289</v>
      </c>
      <c r="X745" s="378" t="s">
        <v>289</v>
      </c>
      <c r="Y745" s="387" t="s">
        <v>289</v>
      </c>
      <c r="Z745" s="391" t="s">
        <v>289</v>
      </c>
      <c r="AA745" s="391" t="s">
        <v>289</v>
      </c>
      <c r="AB745" s="391" t="s">
        <v>289</v>
      </c>
      <c r="AC745" s="391" t="s">
        <v>289</v>
      </c>
      <c r="AD745" s="395" t="s">
        <v>289</v>
      </c>
      <c r="AE745" s="395"/>
      <c r="AF745" s="395"/>
      <c r="AG745" s="395"/>
      <c r="AH745" s="395"/>
    </row>
    <row r="746" ht="30.75" customHeight="1">
      <c r="A746" s="373" t="str">
        <f t="shared" si="1"/>
        <v/>
      </c>
      <c r="B746" s="421" t="s">
        <v>289</v>
      </c>
      <c r="C746" s="406"/>
      <c r="D746" s="406"/>
      <c r="E746" s="406"/>
      <c r="F746" s="395" t="s">
        <v>289</v>
      </c>
      <c r="G746" s="406"/>
      <c r="H746" s="406"/>
      <c r="I746" s="378" t="s">
        <v>289</v>
      </c>
      <c r="J746" s="379" t="s">
        <v>289</v>
      </c>
      <c r="K746" s="407"/>
      <c r="L746" s="378" t="s">
        <v>289</v>
      </c>
      <c r="M746" s="378" t="s">
        <v>289</v>
      </c>
      <c r="N746" s="378" t="s">
        <v>289</v>
      </c>
      <c r="O746" s="409"/>
      <c r="P746" s="387" t="s">
        <v>289</v>
      </c>
      <c r="Q746" s="383"/>
      <c r="R746" s="383"/>
      <c r="S746" s="383"/>
      <c r="T746" s="410"/>
      <c r="U746" s="406"/>
      <c r="V746" s="386"/>
      <c r="W746" s="387" t="s">
        <v>289</v>
      </c>
      <c r="X746" s="378" t="s">
        <v>289</v>
      </c>
      <c r="Y746" s="387" t="s">
        <v>289</v>
      </c>
      <c r="Z746" s="391" t="s">
        <v>289</v>
      </c>
      <c r="AA746" s="391" t="s">
        <v>289</v>
      </c>
      <c r="AB746" s="391" t="s">
        <v>289</v>
      </c>
      <c r="AC746" s="391" t="s">
        <v>289</v>
      </c>
      <c r="AD746" s="395" t="s">
        <v>289</v>
      </c>
      <c r="AE746" s="395"/>
      <c r="AF746" s="395"/>
      <c r="AG746" s="395"/>
      <c r="AH746" s="395"/>
    </row>
    <row r="747" ht="30.75" customHeight="1">
      <c r="A747" s="373" t="str">
        <f t="shared" si="1"/>
        <v/>
      </c>
      <c r="B747" s="421" t="s">
        <v>289</v>
      </c>
      <c r="C747" s="406"/>
      <c r="D747" s="406"/>
      <c r="E747" s="406"/>
      <c r="F747" s="395" t="s">
        <v>289</v>
      </c>
      <c r="G747" s="406"/>
      <c r="H747" s="406"/>
      <c r="I747" s="378" t="s">
        <v>289</v>
      </c>
      <c r="J747" s="379" t="s">
        <v>289</v>
      </c>
      <c r="K747" s="407"/>
      <c r="L747" s="378" t="s">
        <v>289</v>
      </c>
      <c r="M747" s="378" t="s">
        <v>289</v>
      </c>
      <c r="N747" s="378" t="s">
        <v>289</v>
      </c>
      <c r="O747" s="409"/>
      <c r="P747" s="387" t="s">
        <v>289</v>
      </c>
      <c r="Q747" s="383"/>
      <c r="R747" s="383"/>
      <c r="S747" s="383"/>
      <c r="T747" s="410"/>
      <c r="U747" s="406"/>
      <c r="V747" s="386"/>
      <c r="W747" s="387" t="s">
        <v>289</v>
      </c>
      <c r="X747" s="378" t="s">
        <v>289</v>
      </c>
      <c r="Y747" s="387" t="s">
        <v>289</v>
      </c>
      <c r="Z747" s="391" t="s">
        <v>289</v>
      </c>
      <c r="AA747" s="391" t="s">
        <v>289</v>
      </c>
      <c r="AB747" s="391" t="s">
        <v>289</v>
      </c>
      <c r="AC747" s="391" t="s">
        <v>289</v>
      </c>
      <c r="AD747" s="395" t="s">
        <v>289</v>
      </c>
      <c r="AE747" s="395"/>
      <c r="AF747" s="395"/>
      <c r="AG747" s="395"/>
      <c r="AH747" s="395"/>
    </row>
    <row r="748" ht="30.75" customHeight="1">
      <c r="A748" s="373" t="str">
        <f t="shared" si="1"/>
        <v/>
      </c>
      <c r="B748" s="421" t="s">
        <v>289</v>
      </c>
      <c r="C748" s="406"/>
      <c r="D748" s="406"/>
      <c r="E748" s="406"/>
      <c r="F748" s="395" t="s">
        <v>289</v>
      </c>
      <c r="G748" s="406"/>
      <c r="H748" s="406"/>
      <c r="I748" s="378" t="s">
        <v>289</v>
      </c>
      <c r="J748" s="379" t="s">
        <v>289</v>
      </c>
      <c r="K748" s="407"/>
      <c r="L748" s="378" t="s">
        <v>289</v>
      </c>
      <c r="M748" s="378" t="s">
        <v>289</v>
      </c>
      <c r="N748" s="378" t="s">
        <v>289</v>
      </c>
      <c r="O748" s="409"/>
      <c r="P748" s="387" t="s">
        <v>289</v>
      </c>
      <c r="Q748" s="383"/>
      <c r="R748" s="383"/>
      <c r="S748" s="383"/>
      <c r="T748" s="410"/>
      <c r="U748" s="406"/>
      <c r="V748" s="386"/>
      <c r="W748" s="387" t="s">
        <v>289</v>
      </c>
      <c r="X748" s="378" t="s">
        <v>289</v>
      </c>
      <c r="Y748" s="387" t="s">
        <v>289</v>
      </c>
      <c r="Z748" s="391" t="s">
        <v>289</v>
      </c>
      <c r="AA748" s="391" t="s">
        <v>289</v>
      </c>
      <c r="AB748" s="391" t="s">
        <v>289</v>
      </c>
      <c r="AC748" s="391" t="s">
        <v>289</v>
      </c>
      <c r="AD748" s="395" t="s">
        <v>289</v>
      </c>
      <c r="AE748" s="395"/>
      <c r="AF748" s="395"/>
      <c r="AG748" s="395"/>
      <c r="AH748" s="395"/>
    </row>
    <row r="749" ht="30.75" customHeight="1">
      <c r="A749" s="373" t="str">
        <f t="shared" si="1"/>
        <v/>
      </c>
      <c r="B749" s="421" t="s">
        <v>289</v>
      </c>
      <c r="C749" s="406"/>
      <c r="D749" s="406"/>
      <c r="E749" s="406"/>
      <c r="F749" s="395" t="s">
        <v>289</v>
      </c>
      <c r="G749" s="406"/>
      <c r="H749" s="406"/>
      <c r="I749" s="378" t="s">
        <v>289</v>
      </c>
      <c r="J749" s="379" t="s">
        <v>289</v>
      </c>
      <c r="K749" s="407"/>
      <c r="L749" s="378" t="s">
        <v>289</v>
      </c>
      <c r="M749" s="378" t="s">
        <v>289</v>
      </c>
      <c r="N749" s="378" t="s">
        <v>289</v>
      </c>
      <c r="O749" s="409"/>
      <c r="P749" s="387" t="s">
        <v>289</v>
      </c>
      <c r="Q749" s="383"/>
      <c r="R749" s="383"/>
      <c r="S749" s="383"/>
      <c r="T749" s="410"/>
      <c r="U749" s="406"/>
      <c r="V749" s="386"/>
      <c r="W749" s="387" t="s">
        <v>289</v>
      </c>
      <c r="X749" s="378" t="s">
        <v>289</v>
      </c>
      <c r="Y749" s="387" t="s">
        <v>289</v>
      </c>
      <c r="Z749" s="391" t="s">
        <v>289</v>
      </c>
      <c r="AA749" s="391" t="s">
        <v>289</v>
      </c>
      <c r="AB749" s="391" t="s">
        <v>289</v>
      </c>
      <c r="AC749" s="391" t="s">
        <v>289</v>
      </c>
      <c r="AD749" s="395" t="s">
        <v>289</v>
      </c>
      <c r="AE749" s="395"/>
      <c r="AF749" s="395"/>
      <c r="AG749" s="395"/>
      <c r="AH749" s="395"/>
    </row>
    <row r="750" ht="30.75" customHeight="1">
      <c r="A750" s="373" t="str">
        <f t="shared" si="1"/>
        <v/>
      </c>
      <c r="B750" s="421" t="s">
        <v>289</v>
      </c>
      <c r="C750" s="406"/>
      <c r="D750" s="406"/>
      <c r="E750" s="406"/>
      <c r="F750" s="395" t="s">
        <v>289</v>
      </c>
      <c r="G750" s="406"/>
      <c r="H750" s="406"/>
      <c r="I750" s="378" t="s">
        <v>289</v>
      </c>
      <c r="J750" s="379" t="s">
        <v>289</v>
      </c>
      <c r="K750" s="407"/>
      <c r="L750" s="378" t="s">
        <v>289</v>
      </c>
      <c r="M750" s="378" t="s">
        <v>289</v>
      </c>
      <c r="N750" s="378" t="s">
        <v>289</v>
      </c>
      <c r="O750" s="409"/>
      <c r="P750" s="387" t="s">
        <v>289</v>
      </c>
      <c r="Q750" s="383"/>
      <c r="R750" s="383"/>
      <c r="S750" s="383"/>
      <c r="T750" s="410"/>
      <c r="U750" s="406"/>
      <c r="V750" s="386"/>
      <c r="W750" s="387" t="s">
        <v>289</v>
      </c>
      <c r="X750" s="378" t="s">
        <v>289</v>
      </c>
      <c r="Y750" s="387" t="s">
        <v>289</v>
      </c>
      <c r="Z750" s="391" t="s">
        <v>289</v>
      </c>
      <c r="AA750" s="391" t="s">
        <v>289</v>
      </c>
      <c r="AB750" s="391" t="s">
        <v>289</v>
      </c>
      <c r="AC750" s="391" t="s">
        <v>289</v>
      </c>
      <c r="AD750" s="395" t="s">
        <v>289</v>
      </c>
      <c r="AE750" s="395"/>
      <c r="AF750" s="395"/>
      <c r="AG750" s="395"/>
      <c r="AH750" s="395"/>
    </row>
    <row r="751" ht="30.75" customHeight="1">
      <c r="A751" s="373" t="str">
        <f t="shared" si="1"/>
        <v/>
      </c>
      <c r="B751" s="421" t="s">
        <v>289</v>
      </c>
      <c r="C751" s="406"/>
      <c r="D751" s="406"/>
      <c r="E751" s="406"/>
      <c r="F751" s="395" t="s">
        <v>289</v>
      </c>
      <c r="G751" s="406"/>
      <c r="H751" s="406"/>
      <c r="I751" s="378" t="s">
        <v>289</v>
      </c>
      <c r="J751" s="379" t="s">
        <v>289</v>
      </c>
      <c r="K751" s="407"/>
      <c r="L751" s="378" t="s">
        <v>289</v>
      </c>
      <c r="M751" s="378" t="s">
        <v>289</v>
      </c>
      <c r="N751" s="378" t="s">
        <v>289</v>
      </c>
      <c r="O751" s="409"/>
      <c r="P751" s="387" t="s">
        <v>289</v>
      </c>
      <c r="Q751" s="383"/>
      <c r="R751" s="383"/>
      <c r="S751" s="383"/>
      <c r="T751" s="410"/>
      <c r="U751" s="406"/>
      <c r="V751" s="386"/>
      <c r="W751" s="387" t="s">
        <v>289</v>
      </c>
      <c r="X751" s="378" t="s">
        <v>289</v>
      </c>
      <c r="Y751" s="387" t="s">
        <v>289</v>
      </c>
      <c r="Z751" s="391" t="s">
        <v>289</v>
      </c>
      <c r="AA751" s="391" t="s">
        <v>289</v>
      </c>
      <c r="AB751" s="391" t="s">
        <v>289</v>
      </c>
      <c r="AC751" s="391" t="s">
        <v>289</v>
      </c>
      <c r="AD751" s="395" t="s">
        <v>289</v>
      </c>
      <c r="AE751" s="395"/>
      <c r="AF751" s="395"/>
      <c r="AG751" s="395"/>
      <c r="AH751" s="395"/>
    </row>
    <row r="752" ht="30.75" customHeight="1">
      <c r="A752" s="373" t="str">
        <f t="shared" si="1"/>
        <v/>
      </c>
      <c r="B752" s="421" t="s">
        <v>289</v>
      </c>
      <c r="C752" s="406"/>
      <c r="D752" s="406"/>
      <c r="E752" s="406"/>
      <c r="F752" s="395" t="s">
        <v>289</v>
      </c>
      <c r="G752" s="406"/>
      <c r="H752" s="406"/>
      <c r="I752" s="378" t="s">
        <v>289</v>
      </c>
      <c r="J752" s="379" t="s">
        <v>289</v>
      </c>
      <c r="K752" s="407"/>
      <c r="L752" s="378" t="s">
        <v>289</v>
      </c>
      <c r="M752" s="378" t="s">
        <v>289</v>
      </c>
      <c r="N752" s="378" t="s">
        <v>289</v>
      </c>
      <c r="O752" s="409"/>
      <c r="P752" s="387" t="s">
        <v>289</v>
      </c>
      <c r="Q752" s="383"/>
      <c r="R752" s="383"/>
      <c r="S752" s="383"/>
      <c r="T752" s="410"/>
      <c r="U752" s="406"/>
      <c r="V752" s="386"/>
      <c r="W752" s="387" t="s">
        <v>289</v>
      </c>
      <c r="X752" s="378" t="s">
        <v>289</v>
      </c>
      <c r="Y752" s="387" t="s">
        <v>289</v>
      </c>
      <c r="Z752" s="391" t="s">
        <v>289</v>
      </c>
      <c r="AA752" s="391" t="s">
        <v>289</v>
      </c>
      <c r="AB752" s="391" t="s">
        <v>289</v>
      </c>
      <c r="AC752" s="391" t="s">
        <v>289</v>
      </c>
      <c r="AD752" s="395" t="s">
        <v>289</v>
      </c>
      <c r="AE752" s="395"/>
      <c r="AF752" s="395"/>
      <c r="AG752" s="395"/>
      <c r="AH752" s="395"/>
    </row>
    <row r="753" ht="30.75" customHeight="1">
      <c r="A753" s="373" t="str">
        <f t="shared" si="1"/>
        <v/>
      </c>
      <c r="B753" s="421" t="s">
        <v>289</v>
      </c>
      <c r="C753" s="406"/>
      <c r="D753" s="406"/>
      <c r="E753" s="406"/>
      <c r="F753" s="395" t="s">
        <v>289</v>
      </c>
      <c r="G753" s="406"/>
      <c r="H753" s="406"/>
      <c r="I753" s="378" t="s">
        <v>289</v>
      </c>
      <c r="J753" s="379" t="s">
        <v>289</v>
      </c>
      <c r="K753" s="407"/>
      <c r="L753" s="378" t="s">
        <v>289</v>
      </c>
      <c r="M753" s="378" t="s">
        <v>289</v>
      </c>
      <c r="N753" s="378" t="s">
        <v>289</v>
      </c>
      <c r="O753" s="409"/>
      <c r="P753" s="387" t="s">
        <v>289</v>
      </c>
      <c r="Q753" s="383"/>
      <c r="R753" s="383"/>
      <c r="S753" s="383"/>
      <c r="T753" s="410"/>
      <c r="U753" s="406"/>
      <c r="V753" s="386"/>
      <c r="W753" s="387" t="s">
        <v>289</v>
      </c>
      <c r="X753" s="378" t="s">
        <v>289</v>
      </c>
      <c r="Y753" s="387" t="s">
        <v>289</v>
      </c>
      <c r="Z753" s="391" t="s">
        <v>289</v>
      </c>
      <c r="AA753" s="391" t="s">
        <v>289</v>
      </c>
      <c r="AB753" s="391" t="s">
        <v>289</v>
      </c>
      <c r="AC753" s="391" t="s">
        <v>289</v>
      </c>
      <c r="AD753" s="395" t="s">
        <v>289</v>
      </c>
      <c r="AE753" s="395"/>
      <c r="AF753" s="395"/>
      <c r="AG753" s="395"/>
      <c r="AH753" s="395"/>
    </row>
    <row r="754" ht="30.75" customHeight="1">
      <c r="A754" s="373" t="str">
        <f t="shared" si="1"/>
        <v/>
      </c>
      <c r="B754" s="421" t="s">
        <v>289</v>
      </c>
      <c r="C754" s="406"/>
      <c r="D754" s="406"/>
      <c r="E754" s="406"/>
      <c r="F754" s="395" t="s">
        <v>289</v>
      </c>
      <c r="G754" s="406"/>
      <c r="H754" s="406"/>
      <c r="I754" s="378" t="s">
        <v>289</v>
      </c>
      <c r="J754" s="379" t="s">
        <v>289</v>
      </c>
      <c r="K754" s="407"/>
      <c r="L754" s="378" t="s">
        <v>289</v>
      </c>
      <c r="M754" s="378" t="s">
        <v>289</v>
      </c>
      <c r="N754" s="378" t="s">
        <v>289</v>
      </c>
      <c r="O754" s="409"/>
      <c r="P754" s="387" t="s">
        <v>289</v>
      </c>
      <c r="Q754" s="383"/>
      <c r="R754" s="383"/>
      <c r="S754" s="383"/>
      <c r="T754" s="410"/>
      <c r="U754" s="406"/>
      <c r="V754" s="386"/>
      <c r="W754" s="387" t="s">
        <v>289</v>
      </c>
      <c r="X754" s="378" t="s">
        <v>289</v>
      </c>
      <c r="Y754" s="387" t="s">
        <v>289</v>
      </c>
      <c r="Z754" s="391" t="s">
        <v>289</v>
      </c>
      <c r="AA754" s="391" t="s">
        <v>289</v>
      </c>
      <c r="AB754" s="391" t="s">
        <v>289</v>
      </c>
      <c r="AC754" s="391" t="s">
        <v>289</v>
      </c>
      <c r="AD754" s="395" t="s">
        <v>289</v>
      </c>
      <c r="AE754" s="395"/>
      <c r="AF754" s="395"/>
      <c r="AG754" s="395"/>
      <c r="AH754" s="395"/>
    </row>
    <row r="755" ht="30.75" customHeight="1">
      <c r="A755" s="373" t="str">
        <f t="shared" si="1"/>
        <v/>
      </c>
      <c r="B755" s="421" t="s">
        <v>289</v>
      </c>
      <c r="C755" s="406"/>
      <c r="D755" s="406"/>
      <c r="E755" s="406"/>
      <c r="F755" s="395" t="s">
        <v>289</v>
      </c>
      <c r="G755" s="406"/>
      <c r="H755" s="406"/>
      <c r="I755" s="378" t="s">
        <v>289</v>
      </c>
      <c r="J755" s="379" t="s">
        <v>289</v>
      </c>
      <c r="K755" s="407"/>
      <c r="L755" s="378" t="s">
        <v>289</v>
      </c>
      <c r="M755" s="378" t="s">
        <v>289</v>
      </c>
      <c r="N755" s="378" t="s">
        <v>289</v>
      </c>
      <c r="O755" s="409"/>
      <c r="P755" s="387" t="s">
        <v>289</v>
      </c>
      <c r="Q755" s="383"/>
      <c r="R755" s="383"/>
      <c r="S755" s="383"/>
      <c r="T755" s="410"/>
      <c r="U755" s="406"/>
      <c r="V755" s="386"/>
      <c r="W755" s="387" t="s">
        <v>289</v>
      </c>
      <c r="X755" s="378" t="s">
        <v>289</v>
      </c>
      <c r="Y755" s="387" t="s">
        <v>289</v>
      </c>
      <c r="Z755" s="391" t="s">
        <v>289</v>
      </c>
      <c r="AA755" s="391" t="s">
        <v>289</v>
      </c>
      <c r="AB755" s="391" t="s">
        <v>289</v>
      </c>
      <c r="AC755" s="391" t="s">
        <v>289</v>
      </c>
      <c r="AD755" s="395" t="s">
        <v>289</v>
      </c>
      <c r="AE755" s="395"/>
      <c r="AF755" s="395"/>
      <c r="AG755" s="395"/>
      <c r="AH755" s="395"/>
    </row>
    <row r="756" ht="30.75" customHeight="1">
      <c r="A756" s="373" t="str">
        <f t="shared" si="1"/>
        <v/>
      </c>
      <c r="B756" s="421" t="s">
        <v>289</v>
      </c>
      <c r="C756" s="406"/>
      <c r="D756" s="406"/>
      <c r="E756" s="406"/>
      <c r="F756" s="395" t="s">
        <v>289</v>
      </c>
      <c r="G756" s="406"/>
      <c r="H756" s="406"/>
      <c r="I756" s="378" t="s">
        <v>289</v>
      </c>
      <c r="J756" s="379" t="s">
        <v>289</v>
      </c>
      <c r="K756" s="407"/>
      <c r="L756" s="378" t="s">
        <v>289</v>
      </c>
      <c r="M756" s="378" t="s">
        <v>289</v>
      </c>
      <c r="N756" s="378" t="s">
        <v>289</v>
      </c>
      <c r="O756" s="409"/>
      <c r="P756" s="387" t="s">
        <v>289</v>
      </c>
      <c r="Q756" s="383"/>
      <c r="R756" s="383"/>
      <c r="S756" s="383"/>
      <c r="T756" s="410"/>
      <c r="U756" s="406"/>
      <c r="V756" s="386"/>
      <c r="W756" s="387" t="s">
        <v>289</v>
      </c>
      <c r="X756" s="378" t="s">
        <v>289</v>
      </c>
      <c r="Y756" s="387" t="s">
        <v>289</v>
      </c>
      <c r="Z756" s="391" t="s">
        <v>289</v>
      </c>
      <c r="AA756" s="391" t="s">
        <v>289</v>
      </c>
      <c r="AB756" s="391" t="s">
        <v>289</v>
      </c>
      <c r="AC756" s="391" t="s">
        <v>289</v>
      </c>
      <c r="AD756" s="395" t="s">
        <v>289</v>
      </c>
      <c r="AE756" s="395"/>
      <c r="AF756" s="395"/>
      <c r="AG756" s="395"/>
      <c r="AH756" s="395"/>
    </row>
    <row r="757" ht="30.75" customHeight="1">
      <c r="A757" s="373" t="str">
        <f t="shared" si="1"/>
        <v/>
      </c>
      <c r="B757" s="421" t="s">
        <v>289</v>
      </c>
      <c r="C757" s="406"/>
      <c r="D757" s="406"/>
      <c r="E757" s="406"/>
      <c r="F757" s="395" t="s">
        <v>289</v>
      </c>
      <c r="G757" s="406"/>
      <c r="H757" s="406"/>
      <c r="I757" s="378" t="s">
        <v>289</v>
      </c>
      <c r="J757" s="379" t="s">
        <v>289</v>
      </c>
      <c r="K757" s="407"/>
      <c r="L757" s="378" t="s">
        <v>289</v>
      </c>
      <c r="M757" s="378" t="s">
        <v>289</v>
      </c>
      <c r="N757" s="378" t="s">
        <v>289</v>
      </c>
      <c r="O757" s="409"/>
      <c r="P757" s="387" t="s">
        <v>289</v>
      </c>
      <c r="Q757" s="383"/>
      <c r="R757" s="383"/>
      <c r="S757" s="383"/>
      <c r="T757" s="410"/>
      <c r="U757" s="406"/>
      <c r="V757" s="386"/>
      <c r="W757" s="387" t="s">
        <v>289</v>
      </c>
      <c r="X757" s="378" t="s">
        <v>289</v>
      </c>
      <c r="Y757" s="387" t="s">
        <v>289</v>
      </c>
      <c r="Z757" s="391" t="s">
        <v>289</v>
      </c>
      <c r="AA757" s="391" t="s">
        <v>289</v>
      </c>
      <c r="AB757" s="391" t="s">
        <v>289</v>
      </c>
      <c r="AC757" s="391" t="s">
        <v>289</v>
      </c>
      <c r="AD757" s="395" t="s">
        <v>289</v>
      </c>
      <c r="AE757" s="395"/>
      <c r="AF757" s="395"/>
      <c r="AG757" s="395"/>
      <c r="AH757" s="395"/>
    </row>
    <row r="758" ht="30.75" customHeight="1">
      <c r="A758" s="373" t="str">
        <f t="shared" si="1"/>
        <v/>
      </c>
      <c r="B758" s="421" t="s">
        <v>289</v>
      </c>
      <c r="C758" s="406"/>
      <c r="D758" s="406"/>
      <c r="E758" s="406"/>
      <c r="F758" s="395" t="s">
        <v>289</v>
      </c>
      <c r="G758" s="406"/>
      <c r="H758" s="406"/>
      <c r="I758" s="378" t="s">
        <v>289</v>
      </c>
      <c r="J758" s="379" t="s">
        <v>289</v>
      </c>
      <c r="K758" s="407"/>
      <c r="L758" s="378" t="s">
        <v>289</v>
      </c>
      <c r="M758" s="378" t="s">
        <v>289</v>
      </c>
      <c r="N758" s="378" t="s">
        <v>289</v>
      </c>
      <c r="O758" s="409"/>
      <c r="P758" s="387" t="s">
        <v>289</v>
      </c>
      <c r="Q758" s="383"/>
      <c r="R758" s="383"/>
      <c r="S758" s="383"/>
      <c r="T758" s="410"/>
      <c r="U758" s="406"/>
      <c r="V758" s="386"/>
      <c r="W758" s="387" t="s">
        <v>289</v>
      </c>
      <c r="X758" s="378" t="s">
        <v>289</v>
      </c>
      <c r="Y758" s="387" t="s">
        <v>289</v>
      </c>
      <c r="Z758" s="391" t="s">
        <v>289</v>
      </c>
      <c r="AA758" s="391" t="s">
        <v>289</v>
      </c>
      <c r="AB758" s="391" t="s">
        <v>289</v>
      </c>
      <c r="AC758" s="391" t="s">
        <v>289</v>
      </c>
      <c r="AD758" s="395" t="s">
        <v>289</v>
      </c>
      <c r="AE758" s="395"/>
      <c r="AF758" s="395"/>
      <c r="AG758" s="395"/>
      <c r="AH758" s="395"/>
    </row>
    <row r="759" ht="30.75" customHeight="1">
      <c r="A759" s="373" t="str">
        <f t="shared" si="1"/>
        <v/>
      </c>
      <c r="B759" s="421" t="s">
        <v>289</v>
      </c>
      <c r="C759" s="406"/>
      <c r="D759" s="406"/>
      <c r="E759" s="406"/>
      <c r="F759" s="395" t="s">
        <v>289</v>
      </c>
      <c r="G759" s="406"/>
      <c r="H759" s="406"/>
      <c r="I759" s="378" t="s">
        <v>289</v>
      </c>
      <c r="J759" s="379" t="s">
        <v>289</v>
      </c>
      <c r="K759" s="407"/>
      <c r="L759" s="378" t="s">
        <v>289</v>
      </c>
      <c r="M759" s="378" t="s">
        <v>289</v>
      </c>
      <c r="N759" s="378" t="s">
        <v>289</v>
      </c>
      <c r="O759" s="409"/>
      <c r="P759" s="387" t="s">
        <v>289</v>
      </c>
      <c r="Q759" s="383"/>
      <c r="R759" s="383"/>
      <c r="S759" s="383"/>
      <c r="T759" s="410"/>
      <c r="U759" s="406"/>
      <c r="V759" s="386"/>
      <c r="W759" s="387" t="s">
        <v>289</v>
      </c>
      <c r="X759" s="378" t="s">
        <v>289</v>
      </c>
      <c r="Y759" s="387" t="s">
        <v>289</v>
      </c>
      <c r="Z759" s="391" t="s">
        <v>289</v>
      </c>
      <c r="AA759" s="391" t="s">
        <v>289</v>
      </c>
      <c r="AB759" s="391" t="s">
        <v>289</v>
      </c>
      <c r="AC759" s="391" t="s">
        <v>289</v>
      </c>
      <c r="AD759" s="395" t="s">
        <v>289</v>
      </c>
      <c r="AE759" s="395"/>
      <c r="AF759" s="395"/>
      <c r="AG759" s="395"/>
      <c r="AH759" s="395"/>
    </row>
    <row r="760" ht="30.75" customHeight="1">
      <c r="A760" s="373" t="str">
        <f t="shared" si="1"/>
        <v/>
      </c>
      <c r="B760" s="421" t="s">
        <v>289</v>
      </c>
      <c r="C760" s="406"/>
      <c r="D760" s="406"/>
      <c r="E760" s="406"/>
      <c r="F760" s="395" t="s">
        <v>289</v>
      </c>
      <c r="G760" s="406"/>
      <c r="H760" s="406"/>
      <c r="I760" s="378" t="s">
        <v>289</v>
      </c>
      <c r="J760" s="379" t="s">
        <v>289</v>
      </c>
      <c r="K760" s="407"/>
      <c r="L760" s="378" t="s">
        <v>289</v>
      </c>
      <c r="M760" s="378" t="s">
        <v>289</v>
      </c>
      <c r="N760" s="378" t="s">
        <v>289</v>
      </c>
      <c r="O760" s="409"/>
      <c r="P760" s="387" t="s">
        <v>289</v>
      </c>
      <c r="Q760" s="383"/>
      <c r="R760" s="383"/>
      <c r="S760" s="383"/>
      <c r="T760" s="410"/>
      <c r="U760" s="406"/>
      <c r="V760" s="386"/>
      <c r="W760" s="387" t="s">
        <v>289</v>
      </c>
      <c r="X760" s="378" t="s">
        <v>289</v>
      </c>
      <c r="Y760" s="387" t="s">
        <v>289</v>
      </c>
      <c r="Z760" s="391" t="s">
        <v>289</v>
      </c>
      <c r="AA760" s="391" t="s">
        <v>289</v>
      </c>
      <c r="AB760" s="391" t="s">
        <v>289</v>
      </c>
      <c r="AC760" s="391" t="s">
        <v>289</v>
      </c>
      <c r="AD760" s="395" t="s">
        <v>289</v>
      </c>
      <c r="AE760" s="395"/>
      <c r="AF760" s="395"/>
      <c r="AG760" s="395"/>
      <c r="AH760" s="395"/>
    </row>
    <row r="761" ht="30.75" customHeight="1">
      <c r="A761" s="373" t="str">
        <f t="shared" si="1"/>
        <v/>
      </c>
      <c r="B761" s="421" t="s">
        <v>289</v>
      </c>
      <c r="C761" s="406"/>
      <c r="D761" s="406"/>
      <c r="E761" s="406"/>
      <c r="F761" s="395" t="s">
        <v>289</v>
      </c>
      <c r="G761" s="406"/>
      <c r="H761" s="406"/>
      <c r="I761" s="378" t="s">
        <v>289</v>
      </c>
      <c r="J761" s="379" t="s">
        <v>289</v>
      </c>
      <c r="K761" s="407"/>
      <c r="L761" s="378" t="s">
        <v>289</v>
      </c>
      <c r="M761" s="378" t="s">
        <v>289</v>
      </c>
      <c r="N761" s="378" t="s">
        <v>289</v>
      </c>
      <c r="O761" s="409"/>
      <c r="P761" s="387" t="s">
        <v>289</v>
      </c>
      <c r="Q761" s="383"/>
      <c r="R761" s="383"/>
      <c r="S761" s="383"/>
      <c r="T761" s="410"/>
      <c r="U761" s="406"/>
      <c r="V761" s="386"/>
      <c r="W761" s="387" t="s">
        <v>289</v>
      </c>
      <c r="X761" s="378" t="s">
        <v>289</v>
      </c>
      <c r="Y761" s="387" t="s">
        <v>289</v>
      </c>
      <c r="Z761" s="391" t="s">
        <v>289</v>
      </c>
      <c r="AA761" s="391" t="s">
        <v>289</v>
      </c>
      <c r="AB761" s="391" t="s">
        <v>289</v>
      </c>
      <c r="AC761" s="391" t="s">
        <v>289</v>
      </c>
      <c r="AD761" s="395" t="s">
        <v>289</v>
      </c>
      <c r="AE761" s="395"/>
      <c r="AF761" s="395"/>
      <c r="AG761" s="395"/>
      <c r="AH761" s="395"/>
    </row>
    <row r="762" ht="30.75" customHeight="1">
      <c r="A762" s="373" t="str">
        <f t="shared" si="1"/>
        <v/>
      </c>
      <c r="B762" s="421" t="s">
        <v>289</v>
      </c>
      <c r="C762" s="406"/>
      <c r="D762" s="406"/>
      <c r="E762" s="406"/>
      <c r="F762" s="395" t="s">
        <v>289</v>
      </c>
      <c r="G762" s="406"/>
      <c r="H762" s="406"/>
      <c r="I762" s="378" t="s">
        <v>289</v>
      </c>
      <c r="J762" s="379" t="s">
        <v>289</v>
      </c>
      <c r="K762" s="407"/>
      <c r="L762" s="378" t="s">
        <v>289</v>
      </c>
      <c r="M762" s="378" t="s">
        <v>289</v>
      </c>
      <c r="N762" s="378" t="s">
        <v>289</v>
      </c>
      <c r="O762" s="409"/>
      <c r="P762" s="387" t="s">
        <v>289</v>
      </c>
      <c r="Q762" s="383"/>
      <c r="R762" s="383"/>
      <c r="S762" s="383"/>
      <c r="T762" s="410"/>
      <c r="U762" s="406"/>
      <c r="V762" s="386"/>
      <c r="W762" s="387" t="s">
        <v>289</v>
      </c>
      <c r="X762" s="378" t="s">
        <v>289</v>
      </c>
      <c r="Y762" s="387" t="s">
        <v>289</v>
      </c>
      <c r="Z762" s="391" t="s">
        <v>289</v>
      </c>
      <c r="AA762" s="391" t="s">
        <v>289</v>
      </c>
      <c r="AB762" s="391" t="s">
        <v>289</v>
      </c>
      <c r="AC762" s="391" t="s">
        <v>289</v>
      </c>
      <c r="AD762" s="395" t="s">
        <v>289</v>
      </c>
      <c r="AE762" s="395"/>
      <c r="AF762" s="395"/>
      <c r="AG762" s="395"/>
      <c r="AH762" s="395"/>
    </row>
    <row r="763" ht="30.75" customHeight="1">
      <c r="A763" s="373" t="str">
        <f t="shared" si="1"/>
        <v/>
      </c>
      <c r="B763" s="421" t="s">
        <v>289</v>
      </c>
      <c r="C763" s="406"/>
      <c r="D763" s="406"/>
      <c r="E763" s="406"/>
      <c r="F763" s="395" t="s">
        <v>289</v>
      </c>
      <c r="G763" s="406"/>
      <c r="H763" s="406"/>
      <c r="I763" s="378" t="s">
        <v>289</v>
      </c>
      <c r="J763" s="379" t="s">
        <v>289</v>
      </c>
      <c r="K763" s="407"/>
      <c r="L763" s="378" t="s">
        <v>289</v>
      </c>
      <c r="M763" s="378" t="s">
        <v>289</v>
      </c>
      <c r="N763" s="378" t="s">
        <v>289</v>
      </c>
      <c r="O763" s="409"/>
      <c r="P763" s="387" t="s">
        <v>289</v>
      </c>
      <c r="Q763" s="383"/>
      <c r="R763" s="383"/>
      <c r="S763" s="383"/>
      <c r="T763" s="410"/>
      <c r="U763" s="406"/>
      <c r="V763" s="386"/>
      <c r="W763" s="387" t="s">
        <v>289</v>
      </c>
      <c r="X763" s="378" t="s">
        <v>289</v>
      </c>
      <c r="Y763" s="387" t="s">
        <v>289</v>
      </c>
      <c r="Z763" s="391" t="s">
        <v>289</v>
      </c>
      <c r="AA763" s="391" t="s">
        <v>289</v>
      </c>
      <c r="AB763" s="391" t="s">
        <v>289</v>
      </c>
      <c r="AC763" s="391" t="s">
        <v>289</v>
      </c>
      <c r="AD763" s="395" t="s">
        <v>289</v>
      </c>
      <c r="AE763" s="395"/>
      <c r="AF763" s="395"/>
      <c r="AG763" s="395"/>
      <c r="AH763" s="395"/>
    </row>
    <row r="764" ht="30.75" customHeight="1">
      <c r="A764" s="373" t="str">
        <f t="shared" si="1"/>
        <v/>
      </c>
      <c r="B764" s="421" t="s">
        <v>289</v>
      </c>
      <c r="C764" s="406"/>
      <c r="D764" s="406"/>
      <c r="E764" s="406"/>
      <c r="F764" s="395" t="s">
        <v>289</v>
      </c>
      <c r="G764" s="406"/>
      <c r="H764" s="406"/>
      <c r="I764" s="378" t="s">
        <v>289</v>
      </c>
      <c r="J764" s="379" t="s">
        <v>289</v>
      </c>
      <c r="K764" s="407"/>
      <c r="L764" s="378" t="s">
        <v>289</v>
      </c>
      <c r="M764" s="378" t="s">
        <v>289</v>
      </c>
      <c r="N764" s="378" t="s">
        <v>289</v>
      </c>
      <c r="O764" s="409"/>
      <c r="P764" s="387" t="s">
        <v>289</v>
      </c>
      <c r="Q764" s="383"/>
      <c r="R764" s="383"/>
      <c r="S764" s="383"/>
      <c r="T764" s="410"/>
      <c r="U764" s="406"/>
      <c r="V764" s="386"/>
      <c r="W764" s="387" t="s">
        <v>289</v>
      </c>
      <c r="X764" s="378" t="s">
        <v>289</v>
      </c>
      <c r="Y764" s="387" t="s">
        <v>289</v>
      </c>
      <c r="Z764" s="391" t="s">
        <v>289</v>
      </c>
      <c r="AA764" s="391" t="s">
        <v>289</v>
      </c>
      <c r="AB764" s="391" t="s">
        <v>289</v>
      </c>
      <c r="AC764" s="391" t="s">
        <v>289</v>
      </c>
      <c r="AD764" s="395" t="s">
        <v>289</v>
      </c>
      <c r="AE764" s="395"/>
      <c r="AF764" s="395"/>
      <c r="AG764" s="395"/>
      <c r="AH764" s="395"/>
    </row>
    <row r="765" ht="30.75" customHeight="1">
      <c r="A765" s="373" t="str">
        <f t="shared" si="1"/>
        <v/>
      </c>
      <c r="B765" s="421" t="s">
        <v>289</v>
      </c>
      <c r="C765" s="406"/>
      <c r="D765" s="406"/>
      <c r="E765" s="406"/>
      <c r="F765" s="395" t="s">
        <v>289</v>
      </c>
      <c r="G765" s="406"/>
      <c r="H765" s="406"/>
      <c r="I765" s="378" t="s">
        <v>289</v>
      </c>
      <c r="J765" s="379" t="s">
        <v>289</v>
      </c>
      <c r="K765" s="407"/>
      <c r="L765" s="378" t="s">
        <v>289</v>
      </c>
      <c r="M765" s="378" t="s">
        <v>289</v>
      </c>
      <c r="N765" s="378" t="s">
        <v>289</v>
      </c>
      <c r="O765" s="409"/>
      <c r="P765" s="387" t="s">
        <v>289</v>
      </c>
      <c r="Q765" s="383"/>
      <c r="R765" s="383"/>
      <c r="S765" s="383"/>
      <c r="T765" s="410"/>
      <c r="U765" s="406"/>
      <c r="V765" s="386"/>
      <c r="W765" s="387" t="s">
        <v>289</v>
      </c>
      <c r="X765" s="378" t="s">
        <v>289</v>
      </c>
      <c r="Y765" s="387" t="s">
        <v>289</v>
      </c>
      <c r="Z765" s="391" t="s">
        <v>289</v>
      </c>
      <c r="AA765" s="391" t="s">
        <v>289</v>
      </c>
      <c r="AB765" s="391" t="s">
        <v>289</v>
      </c>
      <c r="AC765" s="391" t="s">
        <v>289</v>
      </c>
      <c r="AD765" s="395" t="s">
        <v>289</v>
      </c>
      <c r="AE765" s="395"/>
      <c r="AF765" s="395"/>
      <c r="AG765" s="395"/>
      <c r="AH765" s="395"/>
    </row>
    <row r="766" ht="30.75" customHeight="1">
      <c r="A766" s="373" t="str">
        <f t="shared" si="1"/>
        <v/>
      </c>
      <c r="B766" s="421" t="s">
        <v>289</v>
      </c>
      <c r="C766" s="406"/>
      <c r="D766" s="406"/>
      <c r="E766" s="406"/>
      <c r="F766" s="395" t="s">
        <v>289</v>
      </c>
      <c r="G766" s="406"/>
      <c r="H766" s="406"/>
      <c r="I766" s="378" t="s">
        <v>289</v>
      </c>
      <c r="J766" s="379" t="s">
        <v>289</v>
      </c>
      <c r="K766" s="407"/>
      <c r="L766" s="378" t="s">
        <v>289</v>
      </c>
      <c r="M766" s="378" t="s">
        <v>289</v>
      </c>
      <c r="N766" s="378" t="s">
        <v>289</v>
      </c>
      <c r="O766" s="409"/>
      <c r="P766" s="387" t="s">
        <v>289</v>
      </c>
      <c r="Q766" s="383"/>
      <c r="R766" s="383"/>
      <c r="S766" s="383"/>
      <c r="T766" s="410"/>
      <c r="U766" s="406"/>
      <c r="V766" s="386"/>
      <c r="W766" s="387" t="s">
        <v>289</v>
      </c>
      <c r="X766" s="378" t="s">
        <v>289</v>
      </c>
      <c r="Y766" s="387" t="s">
        <v>289</v>
      </c>
      <c r="Z766" s="391" t="s">
        <v>289</v>
      </c>
      <c r="AA766" s="391" t="s">
        <v>289</v>
      </c>
      <c r="AB766" s="391" t="s">
        <v>289</v>
      </c>
      <c r="AC766" s="391" t="s">
        <v>289</v>
      </c>
      <c r="AD766" s="395" t="s">
        <v>289</v>
      </c>
      <c r="AE766" s="395"/>
      <c r="AF766" s="395"/>
      <c r="AG766" s="395"/>
      <c r="AH766" s="395"/>
    </row>
    <row r="767" ht="30.75" customHeight="1">
      <c r="A767" s="373" t="str">
        <f t="shared" si="1"/>
        <v/>
      </c>
      <c r="B767" s="421" t="s">
        <v>289</v>
      </c>
      <c r="C767" s="406"/>
      <c r="D767" s="406"/>
      <c r="E767" s="406"/>
      <c r="F767" s="395" t="s">
        <v>289</v>
      </c>
      <c r="G767" s="406"/>
      <c r="H767" s="406"/>
      <c r="I767" s="378" t="s">
        <v>289</v>
      </c>
      <c r="J767" s="379" t="s">
        <v>289</v>
      </c>
      <c r="K767" s="407"/>
      <c r="L767" s="378" t="s">
        <v>289</v>
      </c>
      <c r="M767" s="378" t="s">
        <v>289</v>
      </c>
      <c r="N767" s="378" t="s">
        <v>289</v>
      </c>
      <c r="O767" s="409"/>
      <c r="P767" s="387" t="s">
        <v>289</v>
      </c>
      <c r="Q767" s="383"/>
      <c r="R767" s="383"/>
      <c r="S767" s="383"/>
      <c r="T767" s="410"/>
      <c r="U767" s="406"/>
      <c r="V767" s="386"/>
      <c r="W767" s="387" t="s">
        <v>289</v>
      </c>
      <c r="X767" s="378" t="s">
        <v>289</v>
      </c>
      <c r="Y767" s="387" t="s">
        <v>289</v>
      </c>
      <c r="Z767" s="391" t="s">
        <v>289</v>
      </c>
      <c r="AA767" s="391" t="s">
        <v>289</v>
      </c>
      <c r="AB767" s="391" t="s">
        <v>289</v>
      </c>
      <c r="AC767" s="391" t="s">
        <v>289</v>
      </c>
      <c r="AD767" s="395" t="s">
        <v>289</v>
      </c>
      <c r="AE767" s="395"/>
      <c r="AF767" s="395"/>
      <c r="AG767" s="395"/>
      <c r="AH767" s="395"/>
    </row>
    <row r="768" ht="30.75" customHeight="1">
      <c r="A768" s="373" t="str">
        <f t="shared" si="1"/>
        <v/>
      </c>
      <c r="B768" s="421" t="s">
        <v>289</v>
      </c>
      <c r="C768" s="406"/>
      <c r="D768" s="406"/>
      <c r="E768" s="406"/>
      <c r="F768" s="395" t="s">
        <v>289</v>
      </c>
      <c r="G768" s="406"/>
      <c r="H768" s="406"/>
      <c r="I768" s="378" t="s">
        <v>289</v>
      </c>
      <c r="J768" s="379" t="s">
        <v>289</v>
      </c>
      <c r="K768" s="407"/>
      <c r="L768" s="378" t="s">
        <v>289</v>
      </c>
      <c r="M768" s="378" t="s">
        <v>289</v>
      </c>
      <c r="N768" s="378" t="s">
        <v>289</v>
      </c>
      <c r="O768" s="409"/>
      <c r="P768" s="387" t="s">
        <v>289</v>
      </c>
      <c r="Q768" s="383"/>
      <c r="R768" s="383"/>
      <c r="S768" s="383"/>
      <c r="T768" s="410"/>
      <c r="U768" s="406"/>
      <c r="V768" s="386"/>
      <c r="W768" s="387" t="s">
        <v>289</v>
      </c>
      <c r="X768" s="378" t="s">
        <v>289</v>
      </c>
      <c r="Y768" s="387" t="s">
        <v>289</v>
      </c>
      <c r="Z768" s="391" t="s">
        <v>289</v>
      </c>
      <c r="AA768" s="391" t="s">
        <v>289</v>
      </c>
      <c r="AB768" s="391" t="s">
        <v>289</v>
      </c>
      <c r="AC768" s="391" t="s">
        <v>289</v>
      </c>
      <c r="AD768" s="395" t="s">
        <v>289</v>
      </c>
      <c r="AE768" s="395"/>
      <c r="AF768" s="395"/>
      <c r="AG768" s="395"/>
      <c r="AH768" s="395"/>
    </row>
    <row r="769" ht="30.75" customHeight="1">
      <c r="A769" s="373" t="str">
        <f t="shared" si="1"/>
        <v/>
      </c>
      <c r="B769" s="421" t="s">
        <v>289</v>
      </c>
      <c r="C769" s="406"/>
      <c r="D769" s="406"/>
      <c r="E769" s="406"/>
      <c r="F769" s="395" t="s">
        <v>289</v>
      </c>
      <c r="G769" s="406"/>
      <c r="H769" s="406"/>
      <c r="I769" s="378" t="s">
        <v>289</v>
      </c>
      <c r="J769" s="379" t="s">
        <v>289</v>
      </c>
      <c r="K769" s="407"/>
      <c r="L769" s="378" t="s">
        <v>289</v>
      </c>
      <c r="M769" s="378" t="s">
        <v>289</v>
      </c>
      <c r="N769" s="378" t="s">
        <v>289</v>
      </c>
      <c r="O769" s="409"/>
      <c r="P769" s="387" t="s">
        <v>289</v>
      </c>
      <c r="Q769" s="383"/>
      <c r="R769" s="383"/>
      <c r="S769" s="383"/>
      <c r="T769" s="410"/>
      <c r="U769" s="406"/>
      <c r="V769" s="386"/>
      <c r="W769" s="387" t="s">
        <v>289</v>
      </c>
      <c r="X769" s="378" t="s">
        <v>289</v>
      </c>
      <c r="Y769" s="387" t="s">
        <v>289</v>
      </c>
      <c r="Z769" s="391" t="s">
        <v>289</v>
      </c>
      <c r="AA769" s="391" t="s">
        <v>289</v>
      </c>
      <c r="AB769" s="391" t="s">
        <v>289</v>
      </c>
      <c r="AC769" s="391" t="s">
        <v>289</v>
      </c>
      <c r="AD769" s="395" t="s">
        <v>289</v>
      </c>
      <c r="AE769" s="395"/>
      <c r="AF769" s="395"/>
      <c r="AG769" s="395"/>
      <c r="AH769" s="395"/>
    </row>
    <row r="770" ht="30.75" customHeight="1">
      <c r="A770" s="373" t="str">
        <f t="shared" si="1"/>
        <v/>
      </c>
      <c r="B770" s="421" t="s">
        <v>289</v>
      </c>
      <c r="C770" s="406"/>
      <c r="D770" s="406"/>
      <c r="E770" s="406"/>
      <c r="F770" s="395" t="s">
        <v>289</v>
      </c>
      <c r="G770" s="406"/>
      <c r="H770" s="406"/>
      <c r="I770" s="378" t="s">
        <v>289</v>
      </c>
      <c r="J770" s="379" t="s">
        <v>289</v>
      </c>
      <c r="K770" s="407"/>
      <c r="L770" s="378" t="s">
        <v>289</v>
      </c>
      <c r="M770" s="378" t="s">
        <v>289</v>
      </c>
      <c r="N770" s="378" t="s">
        <v>289</v>
      </c>
      <c r="O770" s="409"/>
      <c r="P770" s="387" t="s">
        <v>289</v>
      </c>
      <c r="Q770" s="383"/>
      <c r="R770" s="383"/>
      <c r="S770" s="383"/>
      <c r="T770" s="410"/>
      <c r="U770" s="406"/>
      <c r="V770" s="386"/>
      <c r="W770" s="387" t="s">
        <v>289</v>
      </c>
      <c r="X770" s="378" t="s">
        <v>289</v>
      </c>
      <c r="Y770" s="387" t="s">
        <v>289</v>
      </c>
      <c r="Z770" s="391" t="s">
        <v>289</v>
      </c>
      <c r="AA770" s="391" t="s">
        <v>289</v>
      </c>
      <c r="AB770" s="391" t="s">
        <v>289</v>
      </c>
      <c r="AC770" s="391" t="s">
        <v>289</v>
      </c>
      <c r="AD770" s="395" t="s">
        <v>289</v>
      </c>
      <c r="AE770" s="395"/>
      <c r="AF770" s="395"/>
      <c r="AG770" s="395"/>
      <c r="AH770" s="395"/>
    </row>
    <row r="771" ht="30.75" customHeight="1">
      <c r="A771" s="373" t="str">
        <f t="shared" si="1"/>
        <v/>
      </c>
      <c r="B771" s="421" t="s">
        <v>289</v>
      </c>
      <c r="C771" s="406"/>
      <c r="D771" s="406"/>
      <c r="E771" s="406"/>
      <c r="F771" s="395" t="s">
        <v>289</v>
      </c>
      <c r="G771" s="406"/>
      <c r="H771" s="406"/>
      <c r="I771" s="378" t="s">
        <v>289</v>
      </c>
      <c r="J771" s="379" t="s">
        <v>289</v>
      </c>
      <c r="K771" s="407"/>
      <c r="L771" s="378" t="s">
        <v>289</v>
      </c>
      <c r="M771" s="378" t="s">
        <v>289</v>
      </c>
      <c r="N771" s="378" t="s">
        <v>289</v>
      </c>
      <c r="O771" s="409"/>
      <c r="P771" s="387" t="s">
        <v>289</v>
      </c>
      <c r="Q771" s="383"/>
      <c r="R771" s="383"/>
      <c r="S771" s="383"/>
      <c r="T771" s="410"/>
      <c r="U771" s="406"/>
      <c r="V771" s="386"/>
      <c r="W771" s="387" t="s">
        <v>289</v>
      </c>
      <c r="X771" s="378" t="s">
        <v>289</v>
      </c>
      <c r="Y771" s="387" t="s">
        <v>289</v>
      </c>
      <c r="Z771" s="391" t="s">
        <v>289</v>
      </c>
      <c r="AA771" s="391" t="s">
        <v>289</v>
      </c>
      <c r="AB771" s="391" t="s">
        <v>289</v>
      </c>
      <c r="AC771" s="391" t="s">
        <v>289</v>
      </c>
      <c r="AD771" s="395" t="s">
        <v>289</v>
      </c>
      <c r="AE771" s="395"/>
      <c r="AF771" s="395"/>
      <c r="AG771" s="395"/>
      <c r="AH771" s="395"/>
    </row>
    <row r="772" ht="30.75" customHeight="1">
      <c r="A772" s="373" t="str">
        <f t="shared" si="1"/>
        <v/>
      </c>
      <c r="B772" s="421" t="s">
        <v>289</v>
      </c>
      <c r="C772" s="406"/>
      <c r="D772" s="406"/>
      <c r="E772" s="406"/>
      <c r="F772" s="395" t="s">
        <v>289</v>
      </c>
      <c r="G772" s="406"/>
      <c r="H772" s="406"/>
      <c r="I772" s="378" t="s">
        <v>289</v>
      </c>
      <c r="J772" s="379" t="s">
        <v>289</v>
      </c>
      <c r="K772" s="407"/>
      <c r="L772" s="378" t="s">
        <v>289</v>
      </c>
      <c r="M772" s="378" t="s">
        <v>289</v>
      </c>
      <c r="N772" s="378" t="s">
        <v>289</v>
      </c>
      <c r="O772" s="409"/>
      <c r="P772" s="387" t="s">
        <v>289</v>
      </c>
      <c r="Q772" s="383"/>
      <c r="R772" s="383"/>
      <c r="S772" s="383"/>
      <c r="T772" s="410"/>
      <c r="U772" s="406"/>
      <c r="V772" s="386"/>
      <c r="W772" s="387" t="s">
        <v>289</v>
      </c>
      <c r="X772" s="378" t="s">
        <v>289</v>
      </c>
      <c r="Y772" s="387" t="s">
        <v>289</v>
      </c>
      <c r="Z772" s="391" t="s">
        <v>289</v>
      </c>
      <c r="AA772" s="391" t="s">
        <v>289</v>
      </c>
      <c r="AB772" s="391" t="s">
        <v>289</v>
      </c>
      <c r="AC772" s="391" t="s">
        <v>289</v>
      </c>
      <c r="AD772" s="395" t="s">
        <v>289</v>
      </c>
      <c r="AE772" s="395"/>
      <c r="AF772" s="395"/>
      <c r="AG772" s="395"/>
      <c r="AH772" s="395"/>
    </row>
    <row r="773" ht="30.75" customHeight="1">
      <c r="A773" s="373" t="str">
        <f t="shared" si="1"/>
        <v/>
      </c>
      <c r="B773" s="421" t="s">
        <v>289</v>
      </c>
      <c r="C773" s="406"/>
      <c r="D773" s="406"/>
      <c r="E773" s="406"/>
      <c r="F773" s="395" t="s">
        <v>289</v>
      </c>
      <c r="G773" s="406"/>
      <c r="H773" s="406"/>
      <c r="I773" s="378" t="s">
        <v>289</v>
      </c>
      <c r="J773" s="379" t="s">
        <v>289</v>
      </c>
      <c r="K773" s="407"/>
      <c r="L773" s="378" t="s">
        <v>289</v>
      </c>
      <c r="M773" s="378" t="s">
        <v>289</v>
      </c>
      <c r="N773" s="378" t="s">
        <v>289</v>
      </c>
      <c r="O773" s="409"/>
      <c r="P773" s="387" t="s">
        <v>289</v>
      </c>
      <c r="Q773" s="383"/>
      <c r="R773" s="383"/>
      <c r="S773" s="383"/>
      <c r="T773" s="410"/>
      <c r="U773" s="406"/>
      <c r="V773" s="386"/>
      <c r="W773" s="387" t="s">
        <v>289</v>
      </c>
      <c r="X773" s="378" t="s">
        <v>289</v>
      </c>
      <c r="Y773" s="387" t="s">
        <v>289</v>
      </c>
      <c r="Z773" s="391" t="s">
        <v>289</v>
      </c>
      <c r="AA773" s="391" t="s">
        <v>289</v>
      </c>
      <c r="AB773" s="391" t="s">
        <v>289</v>
      </c>
      <c r="AC773" s="391" t="s">
        <v>289</v>
      </c>
      <c r="AD773" s="395" t="s">
        <v>289</v>
      </c>
      <c r="AE773" s="395"/>
      <c r="AF773" s="395"/>
      <c r="AG773" s="395"/>
      <c r="AH773" s="395"/>
    </row>
    <row r="774" ht="30.75" customHeight="1">
      <c r="A774" s="373" t="str">
        <f t="shared" si="1"/>
        <v/>
      </c>
      <c r="B774" s="421" t="s">
        <v>289</v>
      </c>
      <c r="C774" s="406"/>
      <c r="D774" s="406"/>
      <c r="E774" s="406"/>
      <c r="F774" s="395" t="s">
        <v>289</v>
      </c>
      <c r="G774" s="406"/>
      <c r="H774" s="406"/>
      <c r="I774" s="378" t="s">
        <v>289</v>
      </c>
      <c r="J774" s="379" t="s">
        <v>289</v>
      </c>
      <c r="K774" s="407"/>
      <c r="L774" s="378" t="s">
        <v>289</v>
      </c>
      <c r="M774" s="378" t="s">
        <v>289</v>
      </c>
      <c r="N774" s="378" t="s">
        <v>289</v>
      </c>
      <c r="O774" s="409"/>
      <c r="P774" s="387" t="s">
        <v>289</v>
      </c>
      <c r="Q774" s="383"/>
      <c r="R774" s="383"/>
      <c r="S774" s="383"/>
      <c r="T774" s="410"/>
      <c r="U774" s="406"/>
      <c r="V774" s="386"/>
      <c r="W774" s="387" t="s">
        <v>289</v>
      </c>
      <c r="X774" s="378" t="s">
        <v>289</v>
      </c>
      <c r="Y774" s="387" t="s">
        <v>289</v>
      </c>
      <c r="Z774" s="391" t="s">
        <v>289</v>
      </c>
      <c r="AA774" s="391" t="s">
        <v>289</v>
      </c>
      <c r="AB774" s="391" t="s">
        <v>289</v>
      </c>
      <c r="AC774" s="391" t="s">
        <v>289</v>
      </c>
      <c r="AD774" s="395" t="s">
        <v>289</v>
      </c>
      <c r="AE774" s="395"/>
      <c r="AF774" s="395"/>
      <c r="AG774" s="395"/>
      <c r="AH774" s="395"/>
    </row>
    <row r="775" ht="30.75" customHeight="1">
      <c r="A775" s="373" t="str">
        <f t="shared" si="1"/>
        <v/>
      </c>
      <c r="B775" s="421" t="s">
        <v>289</v>
      </c>
      <c r="C775" s="406"/>
      <c r="D775" s="406"/>
      <c r="E775" s="406"/>
      <c r="F775" s="395" t="s">
        <v>289</v>
      </c>
      <c r="G775" s="406"/>
      <c r="H775" s="406"/>
      <c r="I775" s="378" t="s">
        <v>289</v>
      </c>
      <c r="J775" s="379" t="s">
        <v>289</v>
      </c>
      <c r="K775" s="407"/>
      <c r="L775" s="378" t="s">
        <v>289</v>
      </c>
      <c r="M775" s="378" t="s">
        <v>289</v>
      </c>
      <c r="N775" s="378" t="s">
        <v>289</v>
      </c>
      <c r="O775" s="409"/>
      <c r="P775" s="387" t="s">
        <v>289</v>
      </c>
      <c r="Q775" s="383"/>
      <c r="R775" s="383"/>
      <c r="S775" s="383"/>
      <c r="T775" s="410"/>
      <c r="U775" s="406"/>
      <c r="V775" s="386"/>
      <c r="W775" s="387" t="s">
        <v>289</v>
      </c>
      <c r="X775" s="378" t="s">
        <v>289</v>
      </c>
      <c r="Y775" s="387" t="s">
        <v>289</v>
      </c>
      <c r="Z775" s="391" t="s">
        <v>289</v>
      </c>
      <c r="AA775" s="391" t="s">
        <v>289</v>
      </c>
      <c r="AB775" s="391" t="s">
        <v>289</v>
      </c>
      <c r="AC775" s="391" t="s">
        <v>289</v>
      </c>
      <c r="AD775" s="395" t="s">
        <v>289</v>
      </c>
      <c r="AE775" s="395"/>
      <c r="AF775" s="395"/>
      <c r="AG775" s="395"/>
      <c r="AH775" s="395"/>
    </row>
    <row r="776" ht="30.75" customHeight="1">
      <c r="A776" s="373" t="str">
        <f t="shared" si="1"/>
        <v/>
      </c>
      <c r="B776" s="421" t="s">
        <v>289</v>
      </c>
      <c r="C776" s="406"/>
      <c r="D776" s="406"/>
      <c r="E776" s="406"/>
      <c r="F776" s="395" t="s">
        <v>289</v>
      </c>
      <c r="G776" s="406"/>
      <c r="H776" s="406"/>
      <c r="I776" s="378" t="s">
        <v>289</v>
      </c>
      <c r="J776" s="379" t="s">
        <v>289</v>
      </c>
      <c r="K776" s="407"/>
      <c r="L776" s="378" t="s">
        <v>289</v>
      </c>
      <c r="M776" s="378" t="s">
        <v>289</v>
      </c>
      <c r="N776" s="378" t="s">
        <v>289</v>
      </c>
      <c r="O776" s="409"/>
      <c r="P776" s="387" t="s">
        <v>289</v>
      </c>
      <c r="Q776" s="383"/>
      <c r="R776" s="383"/>
      <c r="S776" s="383"/>
      <c r="T776" s="410"/>
      <c r="U776" s="406"/>
      <c r="V776" s="386"/>
      <c r="W776" s="387" t="s">
        <v>289</v>
      </c>
      <c r="X776" s="378" t="s">
        <v>289</v>
      </c>
      <c r="Y776" s="387" t="s">
        <v>289</v>
      </c>
      <c r="Z776" s="391" t="s">
        <v>289</v>
      </c>
      <c r="AA776" s="391" t="s">
        <v>289</v>
      </c>
      <c r="AB776" s="391" t="s">
        <v>289</v>
      </c>
      <c r="AC776" s="391" t="s">
        <v>289</v>
      </c>
      <c r="AD776" s="395" t="s">
        <v>289</v>
      </c>
      <c r="AE776" s="395"/>
      <c r="AF776" s="395"/>
      <c r="AG776" s="395"/>
      <c r="AH776" s="395"/>
    </row>
    <row r="777" ht="30.75" customHeight="1">
      <c r="A777" s="373" t="str">
        <f t="shared" si="1"/>
        <v/>
      </c>
      <c r="B777" s="421" t="s">
        <v>289</v>
      </c>
      <c r="C777" s="406"/>
      <c r="D777" s="406"/>
      <c r="E777" s="406"/>
      <c r="F777" s="395" t="s">
        <v>289</v>
      </c>
      <c r="G777" s="406"/>
      <c r="H777" s="406"/>
      <c r="I777" s="378" t="s">
        <v>289</v>
      </c>
      <c r="J777" s="379" t="s">
        <v>289</v>
      </c>
      <c r="K777" s="407"/>
      <c r="L777" s="378" t="s">
        <v>289</v>
      </c>
      <c r="M777" s="378" t="s">
        <v>289</v>
      </c>
      <c r="N777" s="378" t="s">
        <v>289</v>
      </c>
      <c r="O777" s="409"/>
      <c r="P777" s="387" t="s">
        <v>289</v>
      </c>
      <c r="Q777" s="383"/>
      <c r="R777" s="383"/>
      <c r="S777" s="383"/>
      <c r="T777" s="410"/>
      <c r="U777" s="406"/>
      <c r="V777" s="386"/>
      <c r="W777" s="387" t="s">
        <v>289</v>
      </c>
      <c r="X777" s="378" t="s">
        <v>289</v>
      </c>
      <c r="Y777" s="387" t="s">
        <v>289</v>
      </c>
      <c r="Z777" s="391" t="s">
        <v>289</v>
      </c>
      <c r="AA777" s="391" t="s">
        <v>289</v>
      </c>
      <c r="AB777" s="391" t="s">
        <v>289</v>
      </c>
      <c r="AC777" s="391" t="s">
        <v>289</v>
      </c>
      <c r="AD777" s="395" t="s">
        <v>289</v>
      </c>
      <c r="AE777" s="395"/>
      <c r="AF777" s="395"/>
      <c r="AG777" s="395"/>
      <c r="AH777" s="395"/>
    </row>
    <row r="778" ht="30.75" customHeight="1">
      <c r="A778" s="373" t="str">
        <f t="shared" si="1"/>
        <v/>
      </c>
      <c r="B778" s="421" t="s">
        <v>289</v>
      </c>
      <c r="C778" s="406"/>
      <c r="D778" s="406"/>
      <c r="E778" s="406"/>
      <c r="F778" s="395" t="s">
        <v>289</v>
      </c>
      <c r="G778" s="406"/>
      <c r="H778" s="406"/>
      <c r="I778" s="378" t="s">
        <v>289</v>
      </c>
      <c r="J778" s="379" t="s">
        <v>289</v>
      </c>
      <c r="K778" s="407"/>
      <c r="L778" s="378" t="s">
        <v>289</v>
      </c>
      <c r="M778" s="378" t="s">
        <v>289</v>
      </c>
      <c r="N778" s="378" t="s">
        <v>289</v>
      </c>
      <c r="O778" s="409"/>
      <c r="P778" s="387" t="s">
        <v>289</v>
      </c>
      <c r="Q778" s="383"/>
      <c r="R778" s="383"/>
      <c r="S778" s="383"/>
      <c r="T778" s="410"/>
      <c r="U778" s="406"/>
      <c r="V778" s="386"/>
      <c r="W778" s="387" t="s">
        <v>289</v>
      </c>
      <c r="X778" s="378" t="s">
        <v>289</v>
      </c>
      <c r="Y778" s="387" t="s">
        <v>289</v>
      </c>
      <c r="Z778" s="391" t="s">
        <v>289</v>
      </c>
      <c r="AA778" s="391" t="s">
        <v>289</v>
      </c>
      <c r="AB778" s="391" t="s">
        <v>289</v>
      </c>
      <c r="AC778" s="391" t="s">
        <v>289</v>
      </c>
      <c r="AD778" s="395" t="s">
        <v>289</v>
      </c>
      <c r="AE778" s="395"/>
      <c r="AF778" s="395"/>
      <c r="AG778" s="395"/>
      <c r="AH778" s="395"/>
    </row>
    <row r="779" ht="30.75" customHeight="1">
      <c r="A779" s="373" t="str">
        <f t="shared" si="1"/>
        <v/>
      </c>
      <c r="B779" s="421" t="s">
        <v>289</v>
      </c>
      <c r="C779" s="406"/>
      <c r="D779" s="406"/>
      <c r="E779" s="406"/>
      <c r="F779" s="395" t="s">
        <v>289</v>
      </c>
      <c r="G779" s="406"/>
      <c r="H779" s="406"/>
      <c r="I779" s="378" t="s">
        <v>289</v>
      </c>
      <c r="J779" s="379" t="s">
        <v>289</v>
      </c>
      <c r="K779" s="407"/>
      <c r="L779" s="378" t="s">
        <v>289</v>
      </c>
      <c r="M779" s="378" t="s">
        <v>289</v>
      </c>
      <c r="N779" s="378" t="s">
        <v>289</v>
      </c>
      <c r="O779" s="409"/>
      <c r="P779" s="387" t="s">
        <v>289</v>
      </c>
      <c r="Q779" s="383"/>
      <c r="R779" s="383"/>
      <c r="S779" s="383"/>
      <c r="T779" s="410"/>
      <c r="U779" s="406"/>
      <c r="V779" s="386"/>
      <c r="W779" s="387" t="s">
        <v>289</v>
      </c>
      <c r="X779" s="378" t="s">
        <v>289</v>
      </c>
      <c r="Y779" s="387" t="s">
        <v>289</v>
      </c>
      <c r="Z779" s="391" t="s">
        <v>289</v>
      </c>
      <c r="AA779" s="391" t="s">
        <v>289</v>
      </c>
      <c r="AB779" s="391" t="s">
        <v>289</v>
      </c>
      <c r="AC779" s="391" t="s">
        <v>289</v>
      </c>
      <c r="AD779" s="395" t="s">
        <v>289</v>
      </c>
      <c r="AE779" s="395"/>
      <c r="AF779" s="395"/>
      <c r="AG779" s="395"/>
      <c r="AH779" s="395"/>
    </row>
    <row r="780" ht="30.75" customHeight="1">
      <c r="A780" s="373" t="str">
        <f t="shared" si="1"/>
        <v/>
      </c>
      <c r="B780" s="421" t="s">
        <v>289</v>
      </c>
      <c r="C780" s="406"/>
      <c r="D780" s="406"/>
      <c r="E780" s="406"/>
      <c r="F780" s="395" t="s">
        <v>289</v>
      </c>
      <c r="G780" s="406"/>
      <c r="H780" s="406"/>
      <c r="I780" s="378" t="s">
        <v>289</v>
      </c>
      <c r="J780" s="379" t="s">
        <v>289</v>
      </c>
      <c r="K780" s="407"/>
      <c r="L780" s="378" t="s">
        <v>289</v>
      </c>
      <c r="M780" s="378" t="s">
        <v>289</v>
      </c>
      <c r="N780" s="378" t="s">
        <v>289</v>
      </c>
      <c r="O780" s="409"/>
      <c r="P780" s="387" t="s">
        <v>289</v>
      </c>
      <c r="Q780" s="383"/>
      <c r="R780" s="383"/>
      <c r="S780" s="383"/>
      <c r="T780" s="410"/>
      <c r="U780" s="406"/>
      <c r="V780" s="386"/>
      <c r="W780" s="387" t="s">
        <v>289</v>
      </c>
      <c r="X780" s="378" t="s">
        <v>289</v>
      </c>
      <c r="Y780" s="387" t="s">
        <v>289</v>
      </c>
      <c r="Z780" s="391" t="s">
        <v>289</v>
      </c>
      <c r="AA780" s="391" t="s">
        <v>289</v>
      </c>
      <c r="AB780" s="391" t="s">
        <v>289</v>
      </c>
      <c r="AC780" s="391" t="s">
        <v>289</v>
      </c>
      <c r="AD780" s="395" t="s">
        <v>289</v>
      </c>
      <c r="AE780" s="395"/>
      <c r="AF780" s="395"/>
      <c r="AG780" s="395"/>
      <c r="AH780" s="395"/>
    </row>
    <row r="781" ht="30.75" customHeight="1">
      <c r="A781" s="373" t="str">
        <f t="shared" si="1"/>
        <v/>
      </c>
      <c r="B781" s="421" t="s">
        <v>289</v>
      </c>
      <c r="C781" s="406"/>
      <c r="D781" s="406"/>
      <c r="E781" s="406"/>
      <c r="F781" s="395" t="s">
        <v>289</v>
      </c>
      <c r="G781" s="406"/>
      <c r="H781" s="406"/>
      <c r="I781" s="378" t="s">
        <v>289</v>
      </c>
      <c r="J781" s="379" t="s">
        <v>289</v>
      </c>
      <c r="K781" s="407"/>
      <c r="L781" s="378" t="s">
        <v>289</v>
      </c>
      <c r="M781" s="378" t="s">
        <v>289</v>
      </c>
      <c r="N781" s="378" t="s">
        <v>289</v>
      </c>
      <c r="O781" s="409"/>
      <c r="P781" s="387" t="s">
        <v>289</v>
      </c>
      <c r="Q781" s="383"/>
      <c r="R781" s="383"/>
      <c r="S781" s="383"/>
      <c r="T781" s="410"/>
      <c r="U781" s="406"/>
      <c r="V781" s="386"/>
      <c r="W781" s="387" t="s">
        <v>289</v>
      </c>
      <c r="X781" s="378" t="s">
        <v>289</v>
      </c>
      <c r="Y781" s="387" t="s">
        <v>289</v>
      </c>
      <c r="Z781" s="391" t="s">
        <v>289</v>
      </c>
      <c r="AA781" s="391" t="s">
        <v>289</v>
      </c>
      <c r="AB781" s="391" t="s">
        <v>289</v>
      </c>
      <c r="AC781" s="391" t="s">
        <v>289</v>
      </c>
      <c r="AD781" s="395" t="s">
        <v>289</v>
      </c>
      <c r="AE781" s="395"/>
      <c r="AF781" s="395"/>
      <c r="AG781" s="395"/>
      <c r="AH781" s="395"/>
    </row>
    <row r="782" ht="30.75" customHeight="1">
      <c r="A782" s="373" t="str">
        <f t="shared" si="1"/>
        <v/>
      </c>
      <c r="B782" s="421" t="s">
        <v>289</v>
      </c>
      <c r="C782" s="406"/>
      <c r="D782" s="406"/>
      <c r="E782" s="406"/>
      <c r="F782" s="395" t="s">
        <v>289</v>
      </c>
      <c r="G782" s="406"/>
      <c r="H782" s="406"/>
      <c r="I782" s="378" t="s">
        <v>289</v>
      </c>
      <c r="J782" s="379" t="s">
        <v>289</v>
      </c>
      <c r="K782" s="407"/>
      <c r="L782" s="378" t="s">
        <v>289</v>
      </c>
      <c r="M782" s="378" t="s">
        <v>289</v>
      </c>
      <c r="N782" s="378" t="s">
        <v>289</v>
      </c>
      <c r="O782" s="409"/>
      <c r="P782" s="387" t="s">
        <v>289</v>
      </c>
      <c r="Q782" s="383"/>
      <c r="R782" s="383"/>
      <c r="S782" s="383"/>
      <c r="T782" s="410"/>
      <c r="U782" s="406"/>
      <c r="V782" s="386"/>
      <c r="W782" s="387" t="s">
        <v>289</v>
      </c>
      <c r="X782" s="378" t="s">
        <v>289</v>
      </c>
      <c r="Y782" s="387" t="s">
        <v>289</v>
      </c>
      <c r="Z782" s="391" t="s">
        <v>289</v>
      </c>
      <c r="AA782" s="391" t="s">
        <v>289</v>
      </c>
      <c r="AB782" s="391" t="s">
        <v>289</v>
      </c>
      <c r="AC782" s="391" t="s">
        <v>289</v>
      </c>
      <c r="AD782" s="395" t="s">
        <v>289</v>
      </c>
      <c r="AE782" s="395"/>
      <c r="AF782" s="395"/>
      <c r="AG782" s="395"/>
      <c r="AH782" s="395"/>
    </row>
    <row r="783" ht="30.75" customHeight="1">
      <c r="A783" s="373" t="str">
        <f t="shared" si="1"/>
        <v/>
      </c>
      <c r="B783" s="421" t="s">
        <v>289</v>
      </c>
      <c r="C783" s="406"/>
      <c r="D783" s="406"/>
      <c r="E783" s="406"/>
      <c r="F783" s="395" t="s">
        <v>289</v>
      </c>
      <c r="G783" s="406"/>
      <c r="H783" s="406"/>
      <c r="I783" s="378" t="s">
        <v>289</v>
      </c>
      <c r="J783" s="379" t="s">
        <v>289</v>
      </c>
      <c r="K783" s="407"/>
      <c r="L783" s="378" t="s">
        <v>289</v>
      </c>
      <c r="M783" s="378" t="s">
        <v>289</v>
      </c>
      <c r="N783" s="378" t="s">
        <v>289</v>
      </c>
      <c r="O783" s="409"/>
      <c r="P783" s="387" t="s">
        <v>289</v>
      </c>
      <c r="Q783" s="383"/>
      <c r="R783" s="383"/>
      <c r="S783" s="383"/>
      <c r="T783" s="410"/>
      <c r="U783" s="406"/>
      <c r="V783" s="386"/>
      <c r="W783" s="387" t="s">
        <v>289</v>
      </c>
      <c r="X783" s="378" t="s">
        <v>289</v>
      </c>
      <c r="Y783" s="387" t="s">
        <v>289</v>
      </c>
      <c r="Z783" s="391" t="s">
        <v>289</v>
      </c>
      <c r="AA783" s="391" t="s">
        <v>289</v>
      </c>
      <c r="AB783" s="391" t="s">
        <v>289</v>
      </c>
      <c r="AC783" s="391" t="s">
        <v>289</v>
      </c>
      <c r="AD783" s="395" t="s">
        <v>289</v>
      </c>
      <c r="AE783" s="395"/>
      <c r="AF783" s="395"/>
      <c r="AG783" s="395"/>
      <c r="AH783" s="395"/>
    </row>
    <row r="784" ht="30.75" customHeight="1">
      <c r="A784" s="373" t="str">
        <f t="shared" si="1"/>
        <v/>
      </c>
      <c r="B784" s="421" t="s">
        <v>289</v>
      </c>
      <c r="C784" s="406"/>
      <c r="D784" s="406"/>
      <c r="E784" s="406"/>
      <c r="F784" s="395" t="s">
        <v>289</v>
      </c>
      <c r="G784" s="406"/>
      <c r="H784" s="406"/>
      <c r="I784" s="378" t="s">
        <v>289</v>
      </c>
      <c r="J784" s="379" t="s">
        <v>289</v>
      </c>
      <c r="K784" s="407"/>
      <c r="L784" s="378" t="s">
        <v>289</v>
      </c>
      <c r="M784" s="378" t="s">
        <v>289</v>
      </c>
      <c r="N784" s="378" t="s">
        <v>289</v>
      </c>
      <c r="O784" s="409"/>
      <c r="P784" s="387" t="s">
        <v>289</v>
      </c>
      <c r="Q784" s="383"/>
      <c r="R784" s="383"/>
      <c r="S784" s="383"/>
      <c r="T784" s="410"/>
      <c r="U784" s="406"/>
      <c r="V784" s="386"/>
      <c r="W784" s="387" t="s">
        <v>289</v>
      </c>
      <c r="X784" s="378" t="s">
        <v>289</v>
      </c>
      <c r="Y784" s="387" t="s">
        <v>289</v>
      </c>
      <c r="Z784" s="391" t="s">
        <v>289</v>
      </c>
      <c r="AA784" s="391" t="s">
        <v>289</v>
      </c>
      <c r="AB784" s="391" t="s">
        <v>289</v>
      </c>
      <c r="AC784" s="391" t="s">
        <v>289</v>
      </c>
      <c r="AD784" s="395" t="s">
        <v>289</v>
      </c>
      <c r="AE784" s="395"/>
      <c r="AF784" s="395"/>
      <c r="AG784" s="395"/>
      <c r="AH784" s="395"/>
    </row>
    <row r="785" ht="30.75" customHeight="1">
      <c r="A785" s="373" t="str">
        <f t="shared" si="1"/>
        <v/>
      </c>
      <c r="B785" s="421" t="s">
        <v>289</v>
      </c>
      <c r="C785" s="406"/>
      <c r="D785" s="406"/>
      <c r="E785" s="406"/>
      <c r="F785" s="395" t="s">
        <v>289</v>
      </c>
      <c r="G785" s="406"/>
      <c r="H785" s="406"/>
      <c r="I785" s="378" t="s">
        <v>289</v>
      </c>
      <c r="J785" s="379" t="s">
        <v>289</v>
      </c>
      <c r="K785" s="407"/>
      <c r="L785" s="378" t="s">
        <v>289</v>
      </c>
      <c r="M785" s="378" t="s">
        <v>289</v>
      </c>
      <c r="N785" s="378" t="s">
        <v>289</v>
      </c>
      <c r="O785" s="409"/>
      <c r="P785" s="387" t="s">
        <v>289</v>
      </c>
      <c r="Q785" s="383"/>
      <c r="R785" s="383"/>
      <c r="S785" s="383"/>
      <c r="T785" s="410"/>
      <c r="U785" s="406"/>
      <c r="V785" s="386"/>
      <c r="W785" s="387" t="s">
        <v>289</v>
      </c>
      <c r="X785" s="378" t="s">
        <v>289</v>
      </c>
      <c r="Y785" s="387" t="s">
        <v>289</v>
      </c>
      <c r="Z785" s="391" t="s">
        <v>289</v>
      </c>
      <c r="AA785" s="391" t="s">
        <v>289</v>
      </c>
      <c r="AB785" s="391" t="s">
        <v>289</v>
      </c>
      <c r="AC785" s="391" t="s">
        <v>289</v>
      </c>
      <c r="AD785" s="395" t="s">
        <v>289</v>
      </c>
      <c r="AE785" s="395"/>
      <c r="AF785" s="395"/>
      <c r="AG785" s="395"/>
      <c r="AH785" s="395"/>
    </row>
    <row r="786" ht="30.75" customHeight="1">
      <c r="A786" s="373" t="str">
        <f t="shared" si="1"/>
        <v/>
      </c>
      <c r="B786" s="421" t="s">
        <v>289</v>
      </c>
      <c r="C786" s="406"/>
      <c r="D786" s="406"/>
      <c r="E786" s="406"/>
      <c r="F786" s="395" t="s">
        <v>289</v>
      </c>
      <c r="G786" s="406"/>
      <c r="H786" s="406"/>
      <c r="I786" s="378" t="s">
        <v>289</v>
      </c>
      <c r="J786" s="379" t="s">
        <v>289</v>
      </c>
      <c r="K786" s="407"/>
      <c r="L786" s="378" t="s">
        <v>289</v>
      </c>
      <c r="M786" s="378" t="s">
        <v>289</v>
      </c>
      <c r="N786" s="378" t="s">
        <v>289</v>
      </c>
      <c r="O786" s="409"/>
      <c r="P786" s="387" t="s">
        <v>289</v>
      </c>
      <c r="Q786" s="383"/>
      <c r="R786" s="383"/>
      <c r="S786" s="383"/>
      <c r="T786" s="410"/>
      <c r="U786" s="406"/>
      <c r="V786" s="386"/>
      <c r="W786" s="387" t="s">
        <v>289</v>
      </c>
      <c r="X786" s="378" t="s">
        <v>289</v>
      </c>
      <c r="Y786" s="387" t="s">
        <v>289</v>
      </c>
      <c r="Z786" s="391" t="s">
        <v>289</v>
      </c>
      <c r="AA786" s="391" t="s">
        <v>289</v>
      </c>
      <c r="AB786" s="391" t="s">
        <v>289</v>
      </c>
      <c r="AC786" s="391" t="s">
        <v>289</v>
      </c>
      <c r="AD786" s="395" t="s">
        <v>289</v>
      </c>
      <c r="AE786" s="395"/>
      <c r="AF786" s="395"/>
      <c r="AG786" s="395"/>
      <c r="AH786" s="395"/>
    </row>
    <row r="787" ht="30.75" customHeight="1">
      <c r="A787" s="373" t="str">
        <f t="shared" si="1"/>
        <v/>
      </c>
      <c r="B787" s="421" t="s">
        <v>289</v>
      </c>
      <c r="C787" s="406"/>
      <c r="D787" s="406"/>
      <c r="E787" s="406"/>
      <c r="F787" s="395" t="s">
        <v>289</v>
      </c>
      <c r="G787" s="406"/>
      <c r="H787" s="406"/>
      <c r="I787" s="378" t="s">
        <v>289</v>
      </c>
      <c r="J787" s="379" t="s">
        <v>289</v>
      </c>
      <c r="K787" s="407"/>
      <c r="L787" s="378" t="s">
        <v>289</v>
      </c>
      <c r="M787" s="378" t="s">
        <v>289</v>
      </c>
      <c r="N787" s="378" t="s">
        <v>289</v>
      </c>
      <c r="O787" s="409"/>
      <c r="P787" s="387" t="s">
        <v>289</v>
      </c>
      <c r="Q787" s="383"/>
      <c r="R787" s="383"/>
      <c r="S787" s="383"/>
      <c r="T787" s="410"/>
      <c r="U787" s="406"/>
      <c r="V787" s="386"/>
      <c r="W787" s="387" t="s">
        <v>289</v>
      </c>
      <c r="X787" s="378" t="s">
        <v>289</v>
      </c>
      <c r="Y787" s="387" t="s">
        <v>289</v>
      </c>
      <c r="Z787" s="391" t="s">
        <v>289</v>
      </c>
      <c r="AA787" s="391" t="s">
        <v>289</v>
      </c>
      <c r="AB787" s="391" t="s">
        <v>289</v>
      </c>
      <c r="AC787" s="391" t="s">
        <v>289</v>
      </c>
      <c r="AD787" s="395" t="s">
        <v>289</v>
      </c>
      <c r="AE787" s="395"/>
      <c r="AF787" s="395"/>
      <c r="AG787" s="395"/>
      <c r="AH787" s="395"/>
    </row>
    <row r="788" ht="30.75" customHeight="1">
      <c r="A788" s="373" t="str">
        <f t="shared" si="1"/>
        <v/>
      </c>
      <c r="B788" s="421" t="s">
        <v>289</v>
      </c>
      <c r="C788" s="406"/>
      <c r="D788" s="406"/>
      <c r="E788" s="406"/>
      <c r="F788" s="395" t="s">
        <v>289</v>
      </c>
      <c r="G788" s="406"/>
      <c r="H788" s="406"/>
      <c r="I788" s="378" t="s">
        <v>289</v>
      </c>
      <c r="J788" s="379" t="s">
        <v>289</v>
      </c>
      <c r="K788" s="407"/>
      <c r="L788" s="378" t="s">
        <v>289</v>
      </c>
      <c r="M788" s="378" t="s">
        <v>289</v>
      </c>
      <c r="N788" s="378" t="s">
        <v>289</v>
      </c>
      <c r="O788" s="409"/>
      <c r="P788" s="387" t="s">
        <v>289</v>
      </c>
      <c r="Q788" s="383"/>
      <c r="R788" s="383"/>
      <c r="S788" s="383"/>
      <c r="T788" s="410"/>
      <c r="U788" s="406"/>
      <c r="V788" s="386"/>
      <c r="W788" s="387" t="s">
        <v>289</v>
      </c>
      <c r="X788" s="378" t="s">
        <v>289</v>
      </c>
      <c r="Y788" s="387" t="s">
        <v>289</v>
      </c>
      <c r="Z788" s="391" t="s">
        <v>289</v>
      </c>
      <c r="AA788" s="391" t="s">
        <v>289</v>
      </c>
      <c r="AB788" s="391" t="s">
        <v>289</v>
      </c>
      <c r="AC788" s="391" t="s">
        <v>289</v>
      </c>
      <c r="AD788" s="395" t="s">
        <v>289</v>
      </c>
      <c r="AE788" s="395"/>
      <c r="AF788" s="395"/>
      <c r="AG788" s="395"/>
      <c r="AH788" s="395"/>
    </row>
    <row r="789" ht="30.75" customHeight="1">
      <c r="A789" s="373" t="str">
        <f t="shared" si="1"/>
        <v/>
      </c>
      <c r="B789" s="421" t="s">
        <v>289</v>
      </c>
      <c r="C789" s="406"/>
      <c r="D789" s="406"/>
      <c r="E789" s="406"/>
      <c r="F789" s="395" t="s">
        <v>289</v>
      </c>
      <c r="G789" s="406"/>
      <c r="H789" s="406"/>
      <c r="I789" s="378" t="s">
        <v>289</v>
      </c>
      <c r="J789" s="379" t="s">
        <v>289</v>
      </c>
      <c r="K789" s="407"/>
      <c r="L789" s="378" t="s">
        <v>289</v>
      </c>
      <c r="M789" s="378" t="s">
        <v>289</v>
      </c>
      <c r="N789" s="378" t="s">
        <v>289</v>
      </c>
      <c r="O789" s="409"/>
      <c r="P789" s="387" t="s">
        <v>289</v>
      </c>
      <c r="Q789" s="383"/>
      <c r="R789" s="383"/>
      <c r="S789" s="383"/>
      <c r="T789" s="410"/>
      <c r="U789" s="406"/>
      <c r="V789" s="386"/>
      <c r="W789" s="387" t="s">
        <v>289</v>
      </c>
      <c r="X789" s="378" t="s">
        <v>289</v>
      </c>
      <c r="Y789" s="387" t="s">
        <v>289</v>
      </c>
      <c r="Z789" s="391" t="s">
        <v>289</v>
      </c>
      <c r="AA789" s="391" t="s">
        <v>289</v>
      </c>
      <c r="AB789" s="391" t="s">
        <v>289</v>
      </c>
      <c r="AC789" s="391" t="s">
        <v>289</v>
      </c>
      <c r="AD789" s="395" t="s">
        <v>289</v>
      </c>
      <c r="AE789" s="395"/>
      <c r="AF789" s="395"/>
      <c r="AG789" s="395"/>
      <c r="AH789" s="395"/>
    </row>
    <row r="790" ht="30.75" customHeight="1">
      <c r="A790" s="373" t="str">
        <f t="shared" si="1"/>
        <v/>
      </c>
      <c r="B790" s="421" t="s">
        <v>289</v>
      </c>
      <c r="C790" s="406"/>
      <c r="D790" s="406"/>
      <c r="E790" s="406"/>
      <c r="F790" s="395" t="s">
        <v>289</v>
      </c>
      <c r="G790" s="406"/>
      <c r="H790" s="406"/>
      <c r="I790" s="378" t="s">
        <v>289</v>
      </c>
      <c r="J790" s="379" t="s">
        <v>289</v>
      </c>
      <c r="K790" s="407"/>
      <c r="L790" s="378" t="s">
        <v>289</v>
      </c>
      <c r="M790" s="378" t="s">
        <v>289</v>
      </c>
      <c r="N790" s="378" t="s">
        <v>289</v>
      </c>
      <c r="O790" s="409"/>
      <c r="P790" s="387" t="s">
        <v>289</v>
      </c>
      <c r="Q790" s="383"/>
      <c r="R790" s="383"/>
      <c r="S790" s="383"/>
      <c r="T790" s="410"/>
      <c r="U790" s="406"/>
      <c r="V790" s="386"/>
      <c r="W790" s="387" t="s">
        <v>289</v>
      </c>
      <c r="X790" s="378" t="s">
        <v>289</v>
      </c>
      <c r="Y790" s="387" t="s">
        <v>289</v>
      </c>
      <c r="Z790" s="391" t="s">
        <v>289</v>
      </c>
      <c r="AA790" s="391" t="s">
        <v>289</v>
      </c>
      <c r="AB790" s="391" t="s">
        <v>289</v>
      </c>
      <c r="AC790" s="391" t="s">
        <v>289</v>
      </c>
      <c r="AD790" s="395" t="s">
        <v>289</v>
      </c>
      <c r="AE790" s="395"/>
      <c r="AF790" s="395"/>
      <c r="AG790" s="395"/>
      <c r="AH790" s="395"/>
    </row>
    <row r="791" ht="30.75" customHeight="1">
      <c r="A791" s="373" t="str">
        <f t="shared" si="1"/>
        <v/>
      </c>
      <c r="B791" s="421" t="s">
        <v>289</v>
      </c>
      <c r="C791" s="406"/>
      <c r="D791" s="406"/>
      <c r="E791" s="406"/>
      <c r="F791" s="395" t="s">
        <v>289</v>
      </c>
      <c r="G791" s="406"/>
      <c r="H791" s="406"/>
      <c r="I791" s="378" t="s">
        <v>289</v>
      </c>
      <c r="J791" s="379" t="s">
        <v>289</v>
      </c>
      <c r="K791" s="407"/>
      <c r="L791" s="378" t="s">
        <v>289</v>
      </c>
      <c r="M791" s="378" t="s">
        <v>289</v>
      </c>
      <c r="N791" s="378" t="s">
        <v>289</v>
      </c>
      <c r="O791" s="409"/>
      <c r="P791" s="387" t="s">
        <v>289</v>
      </c>
      <c r="Q791" s="383"/>
      <c r="R791" s="383"/>
      <c r="S791" s="383"/>
      <c r="T791" s="410"/>
      <c r="U791" s="406"/>
      <c r="V791" s="386"/>
      <c r="W791" s="387" t="s">
        <v>289</v>
      </c>
      <c r="X791" s="378" t="s">
        <v>289</v>
      </c>
      <c r="Y791" s="387" t="s">
        <v>289</v>
      </c>
      <c r="Z791" s="391" t="s">
        <v>289</v>
      </c>
      <c r="AA791" s="391" t="s">
        <v>289</v>
      </c>
      <c r="AB791" s="391" t="s">
        <v>289</v>
      </c>
      <c r="AC791" s="391" t="s">
        <v>289</v>
      </c>
      <c r="AD791" s="395" t="s">
        <v>289</v>
      </c>
      <c r="AE791" s="395"/>
      <c r="AF791" s="395"/>
      <c r="AG791" s="395"/>
      <c r="AH791" s="395"/>
    </row>
    <row r="792" ht="30.75" customHeight="1">
      <c r="A792" s="373" t="str">
        <f t="shared" si="1"/>
        <v/>
      </c>
      <c r="B792" s="421" t="s">
        <v>289</v>
      </c>
      <c r="C792" s="406"/>
      <c r="D792" s="406"/>
      <c r="E792" s="406"/>
      <c r="F792" s="395" t="s">
        <v>289</v>
      </c>
      <c r="G792" s="406"/>
      <c r="H792" s="406"/>
      <c r="I792" s="378" t="s">
        <v>289</v>
      </c>
      <c r="J792" s="379" t="s">
        <v>289</v>
      </c>
      <c r="K792" s="407"/>
      <c r="L792" s="378" t="s">
        <v>289</v>
      </c>
      <c r="M792" s="378" t="s">
        <v>289</v>
      </c>
      <c r="N792" s="378" t="s">
        <v>289</v>
      </c>
      <c r="O792" s="409"/>
      <c r="P792" s="387" t="s">
        <v>289</v>
      </c>
      <c r="Q792" s="383"/>
      <c r="R792" s="383"/>
      <c r="S792" s="383"/>
      <c r="T792" s="410"/>
      <c r="U792" s="406"/>
      <c r="V792" s="386"/>
      <c r="W792" s="387" t="s">
        <v>289</v>
      </c>
      <c r="X792" s="378" t="s">
        <v>289</v>
      </c>
      <c r="Y792" s="387" t="s">
        <v>289</v>
      </c>
      <c r="Z792" s="391" t="s">
        <v>289</v>
      </c>
      <c r="AA792" s="391" t="s">
        <v>289</v>
      </c>
      <c r="AB792" s="391" t="s">
        <v>289</v>
      </c>
      <c r="AC792" s="391" t="s">
        <v>289</v>
      </c>
      <c r="AD792" s="395" t="s">
        <v>289</v>
      </c>
      <c r="AE792" s="395"/>
      <c r="AF792" s="395"/>
      <c r="AG792" s="395"/>
      <c r="AH792" s="395"/>
    </row>
    <row r="793" ht="30.75" customHeight="1">
      <c r="A793" s="373" t="str">
        <f t="shared" si="1"/>
        <v/>
      </c>
      <c r="B793" s="421" t="s">
        <v>289</v>
      </c>
      <c r="C793" s="406"/>
      <c r="D793" s="406"/>
      <c r="E793" s="406"/>
      <c r="F793" s="395" t="s">
        <v>289</v>
      </c>
      <c r="G793" s="406"/>
      <c r="H793" s="406"/>
      <c r="I793" s="378" t="s">
        <v>289</v>
      </c>
      <c r="J793" s="379" t="s">
        <v>289</v>
      </c>
      <c r="K793" s="407"/>
      <c r="L793" s="378" t="s">
        <v>289</v>
      </c>
      <c r="M793" s="378" t="s">
        <v>289</v>
      </c>
      <c r="N793" s="378" t="s">
        <v>289</v>
      </c>
      <c r="O793" s="409"/>
      <c r="P793" s="387" t="s">
        <v>289</v>
      </c>
      <c r="Q793" s="383"/>
      <c r="R793" s="383"/>
      <c r="S793" s="383"/>
      <c r="T793" s="410"/>
      <c r="U793" s="406"/>
      <c r="V793" s="386"/>
      <c r="W793" s="387" t="s">
        <v>289</v>
      </c>
      <c r="X793" s="378" t="s">
        <v>289</v>
      </c>
      <c r="Y793" s="387" t="s">
        <v>289</v>
      </c>
      <c r="Z793" s="391" t="s">
        <v>289</v>
      </c>
      <c r="AA793" s="391" t="s">
        <v>289</v>
      </c>
      <c r="AB793" s="391" t="s">
        <v>289</v>
      </c>
      <c r="AC793" s="391" t="s">
        <v>289</v>
      </c>
      <c r="AD793" s="395" t="s">
        <v>289</v>
      </c>
      <c r="AE793" s="395"/>
      <c r="AF793" s="395"/>
      <c r="AG793" s="395"/>
      <c r="AH793" s="395"/>
    </row>
    <row r="794" ht="30.75" customHeight="1">
      <c r="A794" s="373" t="str">
        <f t="shared" si="1"/>
        <v/>
      </c>
      <c r="B794" s="421" t="s">
        <v>289</v>
      </c>
      <c r="C794" s="406"/>
      <c r="D794" s="406"/>
      <c r="E794" s="406"/>
      <c r="F794" s="395" t="s">
        <v>289</v>
      </c>
      <c r="G794" s="406"/>
      <c r="H794" s="406"/>
      <c r="I794" s="378" t="s">
        <v>289</v>
      </c>
      <c r="J794" s="379" t="s">
        <v>289</v>
      </c>
      <c r="K794" s="407"/>
      <c r="L794" s="378" t="s">
        <v>289</v>
      </c>
      <c r="M794" s="378" t="s">
        <v>289</v>
      </c>
      <c r="N794" s="378" t="s">
        <v>289</v>
      </c>
      <c r="O794" s="409"/>
      <c r="P794" s="387" t="s">
        <v>289</v>
      </c>
      <c r="Q794" s="383"/>
      <c r="R794" s="383"/>
      <c r="S794" s="383"/>
      <c r="T794" s="410"/>
      <c r="U794" s="406"/>
      <c r="V794" s="386"/>
      <c r="W794" s="387" t="s">
        <v>289</v>
      </c>
      <c r="X794" s="378" t="s">
        <v>289</v>
      </c>
      <c r="Y794" s="387" t="s">
        <v>289</v>
      </c>
      <c r="Z794" s="391" t="s">
        <v>289</v>
      </c>
      <c r="AA794" s="391" t="s">
        <v>289</v>
      </c>
      <c r="AB794" s="391" t="s">
        <v>289</v>
      </c>
      <c r="AC794" s="391" t="s">
        <v>289</v>
      </c>
      <c r="AD794" s="395" t="s">
        <v>289</v>
      </c>
      <c r="AE794" s="395"/>
      <c r="AF794" s="395"/>
      <c r="AG794" s="395"/>
      <c r="AH794" s="395"/>
    </row>
    <row r="795" ht="30.75" customHeight="1">
      <c r="A795" s="373" t="str">
        <f t="shared" si="1"/>
        <v/>
      </c>
      <c r="B795" s="421" t="s">
        <v>289</v>
      </c>
      <c r="C795" s="406"/>
      <c r="D795" s="406"/>
      <c r="E795" s="406"/>
      <c r="F795" s="395" t="s">
        <v>289</v>
      </c>
      <c r="G795" s="406"/>
      <c r="H795" s="406"/>
      <c r="I795" s="378" t="s">
        <v>289</v>
      </c>
      <c r="J795" s="379" t="s">
        <v>289</v>
      </c>
      <c r="K795" s="407"/>
      <c r="L795" s="378" t="s">
        <v>289</v>
      </c>
      <c r="M795" s="378" t="s">
        <v>289</v>
      </c>
      <c r="N795" s="378" t="s">
        <v>289</v>
      </c>
      <c r="O795" s="409"/>
      <c r="P795" s="387" t="s">
        <v>289</v>
      </c>
      <c r="Q795" s="383"/>
      <c r="R795" s="383"/>
      <c r="S795" s="383"/>
      <c r="T795" s="410"/>
      <c r="U795" s="406"/>
      <c r="V795" s="386"/>
      <c r="W795" s="387" t="s">
        <v>289</v>
      </c>
      <c r="X795" s="378" t="s">
        <v>289</v>
      </c>
      <c r="Y795" s="387" t="s">
        <v>289</v>
      </c>
      <c r="Z795" s="391" t="s">
        <v>289</v>
      </c>
      <c r="AA795" s="391" t="s">
        <v>289</v>
      </c>
      <c r="AB795" s="391" t="s">
        <v>289</v>
      </c>
      <c r="AC795" s="391" t="s">
        <v>289</v>
      </c>
      <c r="AD795" s="395" t="s">
        <v>289</v>
      </c>
      <c r="AE795" s="395"/>
      <c r="AF795" s="395"/>
      <c r="AG795" s="395"/>
      <c r="AH795" s="395"/>
    </row>
    <row r="796" ht="30.75" customHeight="1">
      <c r="A796" s="373" t="str">
        <f t="shared" si="1"/>
        <v/>
      </c>
      <c r="B796" s="421" t="s">
        <v>289</v>
      </c>
      <c r="C796" s="406"/>
      <c r="D796" s="406"/>
      <c r="E796" s="406"/>
      <c r="F796" s="395" t="s">
        <v>289</v>
      </c>
      <c r="G796" s="406"/>
      <c r="H796" s="406"/>
      <c r="I796" s="378" t="s">
        <v>289</v>
      </c>
      <c r="J796" s="379" t="s">
        <v>289</v>
      </c>
      <c r="K796" s="407"/>
      <c r="L796" s="378" t="s">
        <v>289</v>
      </c>
      <c r="M796" s="378" t="s">
        <v>289</v>
      </c>
      <c r="N796" s="378" t="s">
        <v>289</v>
      </c>
      <c r="O796" s="409"/>
      <c r="P796" s="387" t="s">
        <v>289</v>
      </c>
      <c r="Q796" s="383"/>
      <c r="R796" s="383"/>
      <c r="S796" s="383"/>
      <c r="T796" s="410"/>
      <c r="U796" s="406"/>
      <c r="V796" s="386"/>
      <c r="W796" s="387" t="s">
        <v>289</v>
      </c>
      <c r="X796" s="378" t="s">
        <v>289</v>
      </c>
      <c r="Y796" s="387" t="s">
        <v>289</v>
      </c>
      <c r="Z796" s="391" t="s">
        <v>289</v>
      </c>
      <c r="AA796" s="391" t="s">
        <v>289</v>
      </c>
      <c r="AB796" s="391" t="s">
        <v>289</v>
      </c>
      <c r="AC796" s="391" t="s">
        <v>289</v>
      </c>
      <c r="AD796" s="395" t="s">
        <v>289</v>
      </c>
      <c r="AE796" s="395"/>
      <c r="AF796" s="395"/>
      <c r="AG796" s="395"/>
      <c r="AH796" s="395"/>
    </row>
    <row r="797" ht="30.75" customHeight="1">
      <c r="A797" s="373" t="str">
        <f t="shared" si="1"/>
        <v/>
      </c>
      <c r="B797" s="421" t="s">
        <v>289</v>
      </c>
      <c r="C797" s="406"/>
      <c r="D797" s="406"/>
      <c r="E797" s="406"/>
      <c r="F797" s="395" t="s">
        <v>289</v>
      </c>
      <c r="G797" s="406"/>
      <c r="H797" s="406"/>
      <c r="I797" s="378" t="s">
        <v>289</v>
      </c>
      <c r="J797" s="379" t="s">
        <v>289</v>
      </c>
      <c r="K797" s="407"/>
      <c r="L797" s="378" t="s">
        <v>289</v>
      </c>
      <c r="M797" s="378" t="s">
        <v>289</v>
      </c>
      <c r="N797" s="378" t="s">
        <v>289</v>
      </c>
      <c r="O797" s="409"/>
      <c r="P797" s="387" t="s">
        <v>289</v>
      </c>
      <c r="Q797" s="383"/>
      <c r="R797" s="383"/>
      <c r="S797" s="383"/>
      <c r="T797" s="410"/>
      <c r="U797" s="406"/>
      <c r="V797" s="386"/>
      <c r="W797" s="387" t="s">
        <v>289</v>
      </c>
      <c r="X797" s="378" t="s">
        <v>289</v>
      </c>
      <c r="Y797" s="387" t="s">
        <v>289</v>
      </c>
      <c r="Z797" s="391" t="s">
        <v>289</v>
      </c>
      <c r="AA797" s="391" t="s">
        <v>289</v>
      </c>
      <c r="AB797" s="391" t="s">
        <v>289</v>
      </c>
      <c r="AC797" s="391" t="s">
        <v>289</v>
      </c>
      <c r="AD797" s="395" t="s">
        <v>289</v>
      </c>
      <c r="AE797" s="395"/>
      <c r="AF797" s="395"/>
      <c r="AG797" s="395"/>
      <c r="AH797" s="395"/>
    </row>
    <row r="798" ht="30.75" customHeight="1">
      <c r="A798" s="373" t="str">
        <f t="shared" si="1"/>
        <v/>
      </c>
      <c r="B798" s="421" t="s">
        <v>289</v>
      </c>
      <c r="C798" s="406"/>
      <c r="D798" s="406"/>
      <c r="E798" s="406"/>
      <c r="F798" s="395" t="s">
        <v>289</v>
      </c>
      <c r="G798" s="406"/>
      <c r="H798" s="406"/>
      <c r="I798" s="378" t="s">
        <v>289</v>
      </c>
      <c r="J798" s="379" t="s">
        <v>289</v>
      </c>
      <c r="K798" s="407"/>
      <c r="L798" s="378" t="s">
        <v>289</v>
      </c>
      <c r="M798" s="378" t="s">
        <v>289</v>
      </c>
      <c r="N798" s="378" t="s">
        <v>289</v>
      </c>
      <c r="O798" s="409"/>
      <c r="P798" s="387" t="s">
        <v>289</v>
      </c>
      <c r="Q798" s="383"/>
      <c r="R798" s="383"/>
      <c r="S798" s="383"/>
      <c r="T798" s="410"/>
      <c r="U798" s="406"/>
      <c r="V798" s="386"/>
      <c r="W798" s="387" t="s">
        <v>289</v>
      </c>
      <c r="X798" s="378" t="s">
        <v>289</v>
      </c>
      <c r="Y798" s="387" t="s">
        <v>289</v>
      </c>
      <c r="Z798" s="391" t="s">
        <v>289</v>
      </c>
      <c r="AA798" s="391" t="s">
        <v>289</v>
      </c>
      <c r="AB798" s="391" t="s">
        <v>289</v>
      </c>
      <c r="AC798" s="391" t="s">
        <v>289</v>
      </c>
      <c r="AD798" s="395" t="s">
        <v>289</v>
      </c>
      <c r="AE798" s="395"/>
      <c r="AF798" s="395"/>
      <c r="AG798" s="395"/>
      <c r="AH798" s="395"/>
    </row>
    <row r="799" ht="30.75" customHeight="1">
      <c r="A799" s="373" t="str">
        <f t="shared" si="1"/>
        <v/>
      </c>
      <c r="B799" s="421" t="s">
        <v>289</v>
      </c>
      <c r="C799" s="406"/>
      <c r="D799" s="406"/>
      <c r="E799" s="406"/>
      <c r="F799" s="395" t="s">
        <v>289</v>
      </c>
      <c r="G799" s="406"/>
      <c r="H799" s="406"/>
      <c r="I799" s="378" t="s">
        <v>289</v>
      </c>
      <c r="J799" s="379" t="s">
        <v>289</v>
      </c>
      <c r="K799" s="407"/>
      <c r="L799" s="378" t="s">
        <v>289</v>
      </c>
      <c r="M799" s="378" t="s">
        <v>289</v>
      </c>
      <c r="N799" s="378" t="s">
        <v>289</v>
      </c>
      <c r="O799" s="409"/>
      <c r="P799" s="387" t="s">
        <v>289</v>
      </c>
      <c r="Q799" s="383"/>
      <c r="R799" s="383"/>
      <c r="S799" s="383"/>
      <c r="T799" s="410"/>
      <c r="U799" s="406"/>
      <c r="V799" s="386"/>
      <c r="W799" s="387" t="s">
        <v>289</v>
      </c>
      <c r="X799" s="378" t="s">
        <v>289</v>
      </c>
      <c r="Y799" s="387" t="s">
        <v>289</v>
      </c>
      <c r="Z799" s="391" t="s">
        <v>289</v>
      </c>
      <c r="AA799" s="391" t="s">
        <v>289</v>
      </c>
      <c r="AB799" s="391" t="s">
        <v>289</v>
      </c>
      <c r="AC799" s="391" t="s">
        <v>289</v>
      </c>
      <c r="AD799" s="395" t="s">
        <v>289</v>
      </c>
      <c r="AE799" s="395"/>
      <c r="AF799" s="395"/>
      <c r="AG799" s="395"/>
      <c r="AH799" s="395"/>
    </row>
    <row r="800" ht="30.75" customHeight="1">
      <c r="A800" s="373" t="str">
        <f t="shared" si="1"/>
        <v/>
      </c>
      <c r="B800" s="421" t="s">
        <v>289</v>
      </c>
      <c r="C800" s="406"/>
      <c r="D800" s="406"/>
      <c r="E800" s="406"/>
      <c r="F800" s="395" t="s">
        <v>289</v>
      </c>
      <c r="G800" s="406"/>
      <c r="H800" s="406"/>
      <c r="I800" s="378" t="s">
        <v>289</v>
      </c>
      <c r="J800" s="379" t="s">
        <v>289</v>
      </c>
      <c r="K800" s="407"/>
      <c r="L800" s="378" t="s">
        <v>289</v>
      </c>
      <c r="M800" s="378" t="s">
        <v>289</v>
      </c>
      <c r="N800" s="378" t="s">
        <v>289</v>
      </c>
      <c r="O800" s="409"/>
      <c r="P800" s="387" t="s">
        <v>289</v>
      </c>
      <c r="Q800" s="383"/>
      <c r="R800" s="383"/>
      <c r="S800" s="383"/>
      <c r="T800" s="410"/>
      <c r="U800" s="406"/>
      <c r="V800" s="386"/>
      <c r="W800" s="387" t="s">
        <v>289</v>
      </c>
      <c r="X800" s="378" t="s">
        <v>289</v>
      </c>
      <c r="Y800" s="387" t="s">
        <v>289</v>
      </c>
      <c r="Z800" s="391" t="s">
        <v>289</v>
      </c>
      <c r="AA800" s="391" t="s">
        <v>289</v>
      </c>
      <c r="AB800" s="391" t="s">
        <v>289</v>
      </c>
      <c r="AC800" s="391" t="s">
        <v>289</v>
      </c>
      <c r="AD800" s="395" t="s">
        <v>289</v>
      </c>
      <c r="AE800" s="395"/>
      <c r="AF800" s="395"/>
      <c r="AG800" s="395"/>
      <c r="AH800" s="395"/>
    </row>
    <row r="801" ht="30.75" customHeight="1">
      <c r="A801" s="373" t="str">
        <f t="shared" si="1"/>
        <v/>
      </c>
      <c r="B801" s="421" t="s">
        <v>289</v>
      </c>
      <c r="C801" s="406"/>
      <c r="D801" s="406"/>
      <c r="E801" s="406"/>
      <c r="F801" s="395" t="s">
        <v>289</v>
      </c>
      <c r="G801" s="406"/>
      <c r="H801" s="406"/>
      <c r="I801" s="378" t="s">
        <v>289</v>
      </c>
      <c r="J801" s="379" t="s">
        <v>289</v>
      </c>
      <c r="K801" s="407"/>
      <c r="L801" s="378" t="s">
        <v>289</v>
      </c>
      <c r="M801" s="378" t="s">
        <v>289</v>
      </c>
      <c r="N801" s="378" t="s">
        <v>289</v>
      </c>
      <c r="O801" s="409"/>
      <c r="P801" s="387" t="s">
        <v>289</v>
      </c>
      <c r="Q801" s="383"/>
      <c r="R801" s="383"/>
      <c r="S801" s="383"/>
      <c r="T801" s="410"/>
      <c r="U801" s="406"/>
      <c r="V801" s="386"/>
      <c r="W801" s="387" t="s">
        <v>289</v>
      </c>
      <c r="X801" s="378" t="s">
        <v>289</v>
      </c>
      <c r="Y801" s="387" t="s">
        <v>289</v>
      </c>
      <c r="Z801" s="391" t="s">
        <v>289</v>
      </c>
      <c r="AA801" s="391" t="s">
        <v>289</v>
      </c>
      <c r="AB801" s="391" t="s">
        <v>289</v>
      </c>
      <c r="AC801" s="391" t="s">
        <v>289</v>
      </c>
      <c r="AD801" s="395" t="s">
        <v>289</v>
      </c>
      <c r="AE801" s="395"/>
      <c r="AF801" s="395"/>
      <c r="AG801" s="395"/>
      <c r="AH801" s="395"/>
    </row>
    <row r="802" ht="30.75" customHeight="1">
      <c r="A802" s="373" t="str">
        <f t="shared" si="1"/>
        <v/>
      </c>
      <c r="B802" s="421" t="s">
        <v>289</v>
      </c>
      <c r="C802" s="406"/>
      <c r="D802" s="406"/>
      <c r="E802" s="406"/>
      <c r="F802" s="395" t="s">
        <v>289</v>
      </c>
      <c r="G802" s="406"/>
      <c r="H802" s="406"/>
      <c r="I802" s="378" t="s">
        <v>289</v>
      </c>
      <c r="J802" s="379" t="s">
        <v>289</v>
      </c>
      <c r="K802" s="407"/>
      <c r="L802" s="378" t="s">
        <v>289</v>
      </c>
      <c r="M802" s="378" t="s">
        <v>289</v>
      </c>
      <c r="N802" s="378" t="s">
        <v>289</v>
      </c>
      <c r="O802" s="409"/>
      <c r="P802" s="387" t="s">
        <v>289</v>
      </c>
      <c r="Q802" s="383"/>
      <c r="R802" s="383"/>
      <c r="S802" s="383"/>
      <c r="T802" s="410"/>
      <c r="U802" s="406"/>
      <c r="V802" s="386"/>
      <c r="W802" s="387" t="s">
        <v>289</v>
      </c>
      <c r="X802" s="378" t="s">
        <v>289</v>
      </c>
      <c r="Y802" s="387" t="s">
        <v>289</v>
      </c>
      <c r="Z802" s="391" t="s">
        <v>289</v>
      </c>
      <c r="AA802" s="391" t="s">
        <v>289</v>
      </c>
      <c r="AB802" s="391" t="s">
        <v>289</v>
      </c>
      <c r="AC802" s="391" t="s">
        <v>289</v>
      </c>
      <c r="AD802" s="395" t="s">
        <v>289</v>
      </c>
      <c r="AE802" s="395"/>
      <c r="AF802" s="395"/>
      <c r="AG802" s="395"/>
      <c r="AH802" s="395"/>
    </row>
    <row r="803" ht="30.75" customHeight="1">
      <c r="A803" s="373" t="str">
        <f t="shared" si="1"/>
        <v/>
      </c>
      <c r="B803" s="421" t="s">
        <v>289</v>
      </c>
      <c r="C803" s="406"/>
      <c r="D803" s="406"/>
      <c r="E803" s="406"/>
      <c r="F803" s="395" t="s">
        <v>289</v>
      </c>
      <c r="G803" s="406"/>
      <c r="H803" s="406"/>
      <c r="I803" s="378" t="s">
        <v>289</v>
      </c>
      <c r="J803" s="379" t="s">
        <v>289</v>
      </c>
      <c r="K803" s="407"/>
      <c r="L803" s="378" t="s">
        <v>289</v>
      </c>
      <c r="M803" s="378" t="s">
        <v>289</v>
      </c>
      <c r="N803" s="378" t="s">
        <v>289</v>
      </c>
      <c r="O803" s="409"/>
      <c r="P803" s="387" t="s">
        <v>289</v>
      </c>
      <c r="Q803" s="383"/>
      <c r="R803" s="383"/>
      <c r="S803" s="383"/>
      <c r="T803" s="410"/>
      <c r="U803" s="406"/>
      <c r="V803" s="386"/>
      <c r="W803" s="387" t="s">
        <v>289</v>
      </c>
      <c r="X803" s="378" t="s">
        <v>289</v>
      </c>
      <c r="Y803" s="387" t="s">
        <v>289</v>
      </c>
      <c r="Z803" s="391" t="s">
        <v>289</v>
      </c>
      <c r="AA803" s="391" t="s">
        <v>289</v>
      </c>
      <c r="AB803" s="391" t="s">
        <v>289</v>
      </c>
      <c r="AC803" s="391" t="s">
        <v>289</v>
      </c>
      <c r="AD803" s="395" t="s">
        <v>289</v>
      </c>
      <c r="AE803" s="395"/>
      <c r="AF803" s="395"/>
      <c r="AG803" s="395"/>
      <c r="AH803" s="395"/>
    </row>
    <row r="804" ht="30.75" customHeight="1">
      <c r="A804" s="373" t="str">
        <f t="shared" si="1"/>
        <v/>
      </c>
      <c r="B804" s="421" t="s">
        <v>289</v>
      </c>
      <c r="C804" s="406"/>
      <c r="D804" s="406"/>
      <c r="E804" s="406"/>
      <c r="F804" s="395" t="s">
        <v>289</v>
      </c>
      <c r="G804" s="406"/>
      <c r="H804" s="406"/>
      <c r="I804" s="378" t="s">
        <v>289</v>
      </c>
      <c r="J804" s="379" t="s">
        <v>289</v>
      </c>
      <c r="K804" s="407"/>
      <c r="L804" s="378" t="s">
        <v>289</v>
      </c>
      <c r="M804" s="378" t="s">
        <v>289</v>
      </c>
      <c r="N804" s="378" t="s">
        <v>289</v>
      </c>
      <c r="O804" s="409"/>
      <c r="P804" s="387" t="s">
        <v>289</v>
      </c>
      <c r="Q804" s="383"/>
      <c r="R804" s="383"/>
      <c r="S804" s="383"/>
      <c r="T804" s="410"/>
      <c r="U804" s="406"/>
      <c r="V804" s="386"/>
      <c r="W804" s="387" t="s">
        <v>289</v>
      </c>
      <c r="X804" s="378" t="s">
        <v>289</v>
      </c>
      <c r="Y804" s="387" t="s">
        <v>289</v>
      </c>
      <c r="Z804" s="391" t="s">
        <v>289</v>
      </c>
      <c r="AA804" s="391" t="s">
        <v>289</v>
      </c>
      <c r="AB804" s="391" t="s">
        <v>289</v>
      </c>
      <c r="AC804" s="391" t="s">
        <v>289</v>
      </c>
      <c r="AD804" s="395" t="s">
        <v>289</v>
      </c>
      <c r="AE804" s="395"/>
      <c r="AF804" s="395"/>
      <c r="AG804" s="395"/>
      <c r="AH804" s="395"/>
    </row>
    <row r="805" ht="30.75" customHeight="1">
      <c r="A805" s="373" t="str">
        <f t="shared" si="1"/>
        <v/>
      </c>
      <c r="B805" s="421" t="s">
        <v>289</v>
      </c>
      <c r="C805" s="406"/>
      <c r="D805" s="406"/>
      <c r="E805" s="406"/>
      <c r="F805" s="395" t="s">
        <v>289</v>
      </c>
      <c r="G805" s="406"/>
      <c r="H805" s="406"/>
      <c r="I805" s="378" t="s">
        <v>289</v>
      </c>
      <c r="J805" s="379" t="s">
        <v>289</v>
      </c>
      <c r="K805" s="407"/>
      <c r="L805" s="378" t="s">
        <v>289</v>
      </c>
      <c r="M805" s="378" t="s">
        <v>289</v>
      </c>
      <c r="N805" s="378" t="s">
        <v>289</v>
      </c>
      <c r="O805" s="409"/>
      <c r="P805" s="387" t="s">
        <v>289</v>
      </c>
      <c r="Q805" s="383"/>
      <c r="R805" s="383"/>
      <c r="S805" s="383"/>
      <c r="T805" s="410"/>
      <c r="U805" s="406"/>
      <c r="V805" s="386"/>
      <c r="W805" s="387" t="s">
        <v>289</v>
      </c>
      <c r="X805" s="378" t="s">
        <v>289</v>
      </c>
      <c r="Y805" s="387" t="s">
        <v>289</v>
      </c>
      <c r="Z805" s="391" t="s">
        <v>289</v>
      </c>
      <c r="AA805" s="391" t="s">
        <v>289</v>
      </c>
      <c r="AB805" s="391" t="s">
        <v>289</v>
      </c>
      <c r="AC805" s="391" t="s">
        <v>289</v>
      </c>
      <c r="AD805" s="395" t="s">
        <v>289</v>
      </c>
      <c r="AE805" s="395"/>
      <c r="AF805" s="395"/>
      <c r="AG805" s="395"/>
      <c r="AH805" s="395"/>
    </row>
    <row r="806" ht="30.75" customHeight="1">
      <c r="A806" s="373" t="str">
        <f t="shared" si="1"/>
        <v/>
      </c>
      <c r="B806" s="421" t="s">
        <v>289</v>
      </c>
      <c r="C806" s="406"/>
      <c r="D806" s="406"/>
      <c r="E806" s="406"/>
      <c r="F806" s="395" t="s">
        <v>289</v>
      </c>
      <c r="G806" s="406"/>
      <c r="H806" s="406"/>
      <c r="I806" s="378" t="s">
        <v>289</v>
      </c>
      <c r="J806" s="379" t="s">
        <v>289</v>
      </c>
      <c r="K806" s="407"/>
      <c r="L806" s="378" t="s">
        <v>289</v>
      </c>
      <c r="M806" s="378" t="s">
        <v>289</v>
      </c>
      <c r="N806" s="378" t="s">
        <v>289</v>
      </c>
      <c r="O806" s="409"/>
      <c r="P806" s="387" t="s">
        <v>289</v>
      </c>
      <c r="Q806" s="383"/>
      <c r="R806" s="383"/>
      <c r="S806" s="383"/>
      <c r="T806" s="410"/>
      <c r="U806" s="406"/>
      <c r="V806" s="386"/>
      <c r="W806" s="387" t="s">
        <v>289</v>
      </c>
      <c r="X806" s="378" t="s">
        <v>289</v>
      </c>
      <c r="Y806" s="387" t="s">
        <v>289</v>
      </c>
      <c r="Z806" s="391" t="s">
        <v>289</v>
      </c>
      <c r="AA806" s="391" t="s">
        <v>289</v>
      </c>
      <c r="AB806" s="391" t="s">
        <v>289</v>
      </c>
      <c r="AC806" s="391" t="s">
        <v>289</v>
      </c>
      <c r="AD806" s="395" t="s">
        <v>289</v>
      </c>
      <c r="AE806" s="395"/>
      <c r="AF806" s="395"/>
      <c r="AG806" s="395"/>
      <c r="AH806" s="395"/>
    </row>
    <row r="807" ht="30.75" customHeight="1">
      <c r="A807" s="373" t="str">
        <f t="shared" si="1"/>
        <v/>
      </c>
      <c r="B807" s="421" t="s">
        <v>289</v>
      </c>
      <c r="C807" s="406"/>
      <c r="D807" s="406"/>
      <c r="E807" s="406"/>
      <c r="F807" s="395" t="s">
        <v>289</v>
      </c>
      <c r="G807" s="406"/>
      <c r="H807" s="406"/>
      <c r="I807" s="378" t="s">
        <v>289</v>
      </c>
      <c r="J807" s="379" t="s">
        <v>289</v>
      </c>
      <c r="K807" s="407"/>
      <c r="L807" s="378" t="s">
        <v>289</v>
      </c>
      <c r="M807" s="378" t="s">
        <v>289</v>
      </c>
      <c r="N807" s="378" t="s">
        <v>289</v>
      </c>
      <c r="O807" s="409"/>
      <c r="P807" s="387" t="s">
        <v>289</v>
      </c>
      <c r="Q807" s="383"/>
      <c r="R807" s="383"/>
      <c r="S807" s="383"/>
      <c r="T807" s="410"/>
      <c r="U807" s="406"/>
      <c r="V807" s="386"/>
      <c r="W807" s="387" t="s">
        <v>289</v>
      </c>
      <c r="X807" s="378" t="s">
        <v>289</v>
      </c>
      <c r="Y807" s="387" t="s">
        <v>289</v>
      </c>
      <c r="Z807" s="391" t="s">
        <v>289</v>
      </c>
      <c r="AA807" s="391" t="s">
        <v>289</v>
      </c>
      <c r="AB807" s="391" t="s">
        <v>289</v>
      </c>
      <c r="AC807" s="391" t="s">
        <v>289</v>
      </c>
      <c r="AD807" s="395" t="s">
        <v>289</v>
      </c>
      <c r="AE807" s="395"/>
      <c r="AF807" s="395"/>
      <c r="AG807" s="395"/>
      <c r="AH807" s="395"/>
    </row>
    <row r="808" ht="30.75" customHeight="1">
      <c r="A808" s="373" t="str">
        <f t="shared" si="1"/>
        <v/>
      </c>
      <c r="B808" s="421" t="s">
        <v>289</v>
      </c>
      <c r="C808" s="406"/>
      <c r="D808" s="406"/>
      <c r="E808" s="406"/>
      <c r="F808" s="395" t="s">
        <v>289</v>
      </c>
      <c r="G808" s="406"/>
      <c r="H808" s="406"/>
      <c r="I808" s="378" t="s">
        <v>289</v>
      </c>
      <c r="J808" s="379" t="s">
        <v>289</v>
      </c>
      <c r="K808" s="407"/>
      <c r="L808" s="378" t="s">
        <v>289</v>
      </c>
      <c r="M808" s="378" t="s">
        <v>289</v>
      </c>
      <c r="N808" s="378" t="s">
        <v>289</v>
      </c>
      <c r="O808" s="409"/>
      <c r="P808" s="387" t="s">
        <v>289</v>
      </c>
      <c r="Q808" s="383"/>
      <c r="R808" s="383"/>
      <c r="S808" s="383"/>
      <c r="T808" s="410"/>
      <c r="U808" s="406"/>
      <c r="V808" s="386"/>
      <c r="W808" s="387" t="s">
        <v>289</v>
      </c>
      <c r="X808" s="378" t="s">
        <v>289</v>
      </c>
      <c r="Y808" s="387" t="s">
        <v>289</v>
      </c>
      <c r="Z808" s="391" t="s">
        <v>289</v>
      </c>
      <c r="AA808" s="391" t="s">
        <v>289</v>
      </c>
      <c r="AB808" s="391" t="s">
        <v>289</v>
      </c>
      <c r="AC808" s="391" t="s">
        <v>289</v>
      </c>
      <c r="AD808" s="395" t="s">
        <v>289</v>
      </c>
      <c r="AE808" s="395"/>
      <c r="AF808" s="395"/>
      <c r="AG808" s="395"/>
      <c r="AH808" s="395"/>
    </row>
    <row r="809" ht="30.75" customHeight="1">
      <c r="A809" s="373" t="str">
        <f t="shared" si="1"/>
        <v/>
      </c>
      <c r="B809" s="421" t="s">
        <v>289</v>
      </c>
      <c r="C809" s="406"/>
      <c r="D809" s="406"/>
      <c r="E809" s="406"/>
      <c r="F809" s="395" t="s">
        <v>289</v>
      </c>
      <c r="G809" s="406"/>
      <c r="H809" s="406"/>
      <c r="I809" s="378" t="s">
        <v>289</v>
      </c>
      <c r="J809" s="379" t="s">
        <v>289</v>
      </c>
      <c r="K809" s="407"/>
      <c r="L809" s="378" t="s">
        <v>289</v>
      </c>
      <c r="M809" s="378" t="s">
        <v>289</v>
      </c>
      <c r="N809" s="378" t="s">
        <v>289</v>
      </c>
      <c r="O809" s="409"/>
      <c r="P809" s="387" t="s">
        <v>289</v>
      </c>
      <c r="Q809" s="383"/>
      <c r="R809" s="383"/>
      <c r="S809" s="383"/>
      <c r="T809" s="410"/>
      <c r="U809" s="406"/>
      <c r="V809" s="386"/>
      <c r="W809" s="387" t="s">
        <v>289</v>
      </c>
      <c r="X809" s="378" t="s">
        <v>289</v>
      </c>
      <c r="Y809" s="387" t="s">
        <v>289</v>
      </c>
      <c r="Z809" s="391" t="s">
        <v>289</v>
      </c>
      <c r="AA809" s="391" t="s">
        <v>289</v>
      </c>
      <c r="AB809" s="391" t="s">
        <v>289</v>
      </c>
      <c r="AC809" s="391" t="s">
        <v>289</v>
      </c>
      <c r="AD809" s="395" t="s">
        <v>289</v>
      </c>
      <c r="AE809" s="395"/>
      <c r="AF809" s="395"/>
      <c r="AG809" s="395"/>
      <c r="AH809" s="395"/>
    </row>
    <row r="810" ht="30.75" customHeight="1">
      <c r="A810" s="373" t="str">
        <f t="shared" si="1"/>
        <v/>
      </c>
      <c r="B810" s="421" t="s">
        <v>289</v>
      </c>
      <c r="C810" s="406"/>
      <c r="D810" s="406"/>
      <c r="E810" s="406"/>
      <c r="F810" s="395" t="s">
        <v>289</v>
      </c>
      <c r="G810" s="406"/>
      <c r="H810" s="406"/>
      <c r="I810" s="378" t="s">
        <v>289</v>
      </c>
      <c r="J810" s="379" t="s">
        <v>289</v>
      </c>
      <c r="K810" s="407"/>
      <c r="L810" s="378" t="s">
        <v>289</v>
      </c>
      <c r="M810" s="378" t="s">
        <v>289</v>
      </c>
      <c r="N810" s="378" t="s">
        <v>289</v>
      </c>
      <c r="O810" s="409"/>
      <c r="P810" s="387" t="s">
        <v>289</v>
      </c>
      <c r="Q810" s="383"/>
      <c r="R810" s="383"/>
      <c r="S810" s="383"/>
      <c r="T810" s="410"/>
      <c r="U810" s="406"/>
      <c r="V810" s="386"/>
      <c r="W810" s="387" t="s">
        <v>289</v>
      </c>
      <c r="X810" s="378" t="s">
        <v>289</v>
      </c>
      <c r="Y810" s="387" t="s">
        <v>289</v>
      </c>
      <c r="Z810" s="391" t="s">
        <v>289</v>
      </c>
      <c r="AA810" s="391" t="s">
        <v>289</v>
      </c>
      <c r="AB810" s="391" t="s">
        <v>289</v>
      </c>
      <c r="AC810" s="391" t="s">
        <v>289</v>
      </c>
      <c r="AD810" s="395" t="s">
        <v>289</v>
      </c>
      <c r="AE810" s="395"/>
      <c r="AF810" s="395"/>
      <c r="AG810" s="395"/>
      <c r="AH810" s="395"/>
    </row>
    <row r="811" ht="30.75" customHeight="1">
      <c r="A811" s="373" t="str">
        <f t="shared" si="1"/>
        <v/>
      </c>
      <c r="B811" s="421" t="s">
        <v>289</v>
      </c>
      <c r="C811" s="406"/>
      <c r="D811" s="406"/>
      <c r="E811" s="406"/>
      <c r="F811" s="395" t="s">
        <v>289</v>
      </c>
      <c r="G811" s="406"/>
      <c r="H811" s="406"/>
      <c r="I811" s="378" t="s">
        <v>289</v>
      </c>
      <c r="J811" s="379" t="s">
        <v>289</v>
      </c>
      <c r="K811" s="407"/>
      <c r="L811" s="378" t="s">
        <v>289</v>
      </c>
      <c r="M811" s="378" t="s">
        <v>289</v>
      </c>
      <c r="N811" s="378" t="s">
        <v>289</v>
      </c>
      <c r="O811" s="409"/>
      <c r="P811" s="387" t="s">
        <v>289</v>
      </c>
      <c r="Q811" s="383"/>
      <c r="R811" s="383"/>
      <c r="S811" s="383"/>
      <c r="T811" s="410"/>
      <c r="U811" s="406"/>
      <c r="V811" s="386"/>
      <c r="W811" s="387" t="s">
        <v>289</v>
      </c>
      <c r="X811" s="378" t="s">
        <v>289</v>
      </c>
      <c r="Y811" s="387" t="s">
        <v>289</v>
      </c>
      <c r="Z811" s="391" t="s">
        <v>289</v>
      </c>
      <c r="AA811" s="391" t="s">
        <v>289</v>
      </c>
      <c r="AB811" s="391" t="s">
        <v>289</v>
      </c>
      <c r="AC811" s="391" t="s">
        <v>289</v>
      </c>
      <c r="AD811" s="395" t="s">
        <v>289</v>
      </c>
      <c r="AE811" s="395"/>
      <c r="AF811" s="395"/>
      <c r="AG811" s="395"/>
      <c r="AH811" s="395"/>
    </row>
    <row r="812" ht="30.75" customHeight="1">
      <c r="A812" s="373" t="str">
        <f t="shared" si="1"/>
        <v/>
      </c>
      <c r="B812" s="421" t="s">
        <v>289</v>
      </c>
      <c r="C812" s="406"/>
      <c r="D812" s="406"/>
      <c r="E812" s="406"/>
      <c r="F812" s="395" t="s">
        <v>289</v>
      </c>
      <c r="G812" s="406"/>
      <c r="H812" s="406"/>
      <c r="I812" s="378" t="s">
        <v>289</v>
      </c>
      <c r="J812" s="379" t="s">
        <v>289</v>
      </c>
      <c r="K812" s="407"/>
      <c r="L812" s="378" t="s">
        <v>289</v>
      </c>
      <c r="M812" s="378" t="s">
        <v>289</v>
      </c>
      <c r="N812" s="378" t="s">
        <v>289</v>
      </c>
      <c r="O812" s="409"/>
      <c r="P812" s="387" t="s">
        <v>289</v>
      </c>
      <c r="Q812" s="383"/>
      <c r="R812" s="383"/>
      <c r="S812" s="383"/>
      <c r="T812" s="410"/>
      <c r="U812" s="406"/>
      <c r="V812" s="386"/>
      <c r="W812" s="387" t="s">
        <v>289</v>
      </c>
      <c r="X812" s="378" t="s">
        <v>289</v>
      </c>
      <c r="Y812" s="387" t="s">
        <v>289</v>
      </c>
      <c r="Z812" s="391" t="s">
        <v>289</v>
      </c>
      <c r="AA812" s="391" t="s">
        <v>289</v>
      </c>
      <c r="AB812" s="391" t="s">
        <v>289</v>
      </c>
      <c r="AC812" s="391" t="s">
        <v>289</v>
      </c>
      <c r="AD812" s="395" t="s">
        <v>289</v>
      </c>
      <c r="AE812" s="395"/>
      <c r="AF812" s="395"/>
      <c r="AG812" s="395"/>
      <c r="AH812" s="395"/>
    </row>
    <row r="813" ht="30.75" customHeight="1">
      <c r="A813" s="373" t="str">
        <f t="shared" si="1"/>
        <v/>
      </c>
      <c r="B813" s="421" t="s">
        <v>289</v>
      </c>
      <c r="C813" s="406"/>
      <c r="D813" s="406"/>
      <c r="E813" s="406"/>
      <c r="F813" s="395" t="s">
        <v>289</v>
      </c>
      <c r="G813" s="406"/>
      <c r="H813" s="406"/>
      <c r="I813" s="378" t="s">
        <v>289</v>
      </c>
      <c r="J813" s="379" t="s">
        <v>289</v>
      </c>
      <c r="K813" s="407"/>
      <c r="L813" s="378" t="s">
        <v>289</v>
      </c>
      <c r="M813" s="378" t="s">
        <v>289</v>
      </c>
      <c r="N813" s="378" t="s">
        <v>289</v>
      </c>
      <c r="O813" s="409"/>
      <c r="P813" s="387" t="s">
        <v>289</v>
      </c>
      <c r="Q813" s="383"/>
      <c r="R813" s="383"/>
      <c r="S813" s="383"/>
      <c r="T813" s="410"/>
      <c r="U813" s="406"/>
      <c r="V813" s="386"/>
      <c r="W813" s="387" t="s">
        <v>289</v>
      </c>
      <c r="X813" s="378" t="s">
        <v>289</v>
      </c>
      <c r="Y813" s="387" t="s">
        <v>289</v>
      </c>
      <c r="Z813" s="391" t="s">
        <v>289</v>
      </c>
      <c r="AA813" s="391" t="s">
        <v>289</v>
      </c>
      <c r="AB813" s="391" t="s">
        <v>289</v>
      </c>
      <c r="AC813" s="391" t="s">
        <v>289</v>
      </c>
      <c r="AD813" s="395" t="s">
        <v>289</v>
      </c>
      <c r="AE813" s="395"/>
      <c r="AF813" s="395"/>
      <c r="AG813" s="395"/>
      <c r="AH813" s="395"/>
    </row>
    <row r="814" ht="30.75" customHeight="1">
      <c r="A814" s="373" t="str">
        <f t="shared" si="1"/>
        <v/>
      </c>
      <c r="B814" s="421" t="s">
        <v>289</v>
      </c>
      <c r="C814" s="406"/>
      <c r="D814" s="406"/>
      <c r="E814" s="406"/>
      <c r="F814" s="395" t="s">
        <v>289</v>
      </c>
      <c r="G814" s="406"/>
      <c r="H814" s="406"/>
      <c r="I814" s="378" t="s">
        <v>289</v>
      </c>
      <c r="J814" s="379" t="s">
        <v>289</v>
      </c>
      <c r="K814" s="407"/>
      <c r="L814" s="378" t="s">
        <v>289</v>
      </c>
      <c r="M814" s="378" t="s">
        <v>289</v>
      </c>
      <c r="N814" s="378" t="s">
        <v>289</v>
      </c>
      <c r="O814" s="409"/>
      <c r="P814" s="387" t="s">
        <v>289</v>
      </c>
      <c r="Q814" s="383"/>
      <c r="R814" s="383"/>
      <c r="S814" s="383"/>
      <c r="T814" s="410"/>
      <c r="U814" s="406"/>
      <c r="V814" s="386"/>
      <c r="W814" s="387" t="s">
        <v>289</v>
      </c>
      <c r="X814" s="378" t="s">
        <v>289</v>
      </c>
      <c r="Y814" s="387" t="s">
        <v>289</v>
      </c>
      <c r="Z814" s="391" t="s">
        <v>289</v>
      </c>
      <c r="AA814" s="391" t="s">
        <v>289</v>
      </c>
      <c r="AB814" s="391" t="s">
        <v>289</v>
      </c>
      <c r="AC814" s="391" t="s">
        <v>289</v>
      </c>
      <c r="AD814" s="395" t="s">
        <v>289</v>
      </c>
      <c r="AE814" s="395"/>
      <c r="AF814" s="395"/>
      <c r="AG814" s="395"/>
      <c r="AH814" s="395"/>
    </row>
    <row r="815" ht="30.75" customHeight="1">
      <c r="A815" s="373" t="str">
        <f t="shared" si="1"/>
        <v/>
      </c>
      <c r="B815" s="421" t="s">
        <v>289</v>
      </c>
      <c r="C815" s="406"/>
      <c r="D815" s="406"/>
      <c r="E815" s="406"/>
      <c r="F815" s="395" t="s">
        <v>289</v>
      </c>
      <c r="G815" s="406"/>
      <c r="H815" s="406"/>
      <c r="I815" s="378" t="s">
        <v>289</v>
      </c>
      <c r="J815" s="379" t="s">
        <v>289</v>
      </c>
      <c r="K815" s="407"/>
      <c r="L815" s="378" t="s">
        <v>289</v>
      </c>
      <c r="M815" s="378" t="s">
        <v>289</v>
      </c>
      <c r="N815" s="378" t="s">
        <v>289</v>
      </c>
      <c r="O815" s="409"/>
      <c r="P815" s="387" t="s">
        <v>289</v>
      </c>
      <c r="Q815" s="383"/>
      <c r="R815" s="383"/>
      <c r="S815" s="383"/>
      <c r="T815" s="410"/>
      <c r="U815" s="406"/>
      <c r="V815" s="386"/>
      <c r="W815" s="387" t="s">
        <v>289</v>
      </c>
      <c r="X815" s="378" t="s">
        <v>289</v>
      </c>
      <c r="Y815" s="387" t="s">
        <v>289</v>
      </c>
      <c r="Z815" s="391" t="s">
        <v>289</v>
      </c>
      <c r="AA815" s="391" t="s">
        <v>289</v>
      </c>
      <c r="AB815" s="391" t="s">
        <v>289</v>
      </c>
      <c r="AC815" s="391" t="s">
        <v>289</v>
      </c>
      <c r="AD815" s="395" t="s">
        <v>289</v>
      </c>
      <c r="AE815" s="395"/>
      <c r="AF815" s="395"/>
      <c r="AG815" s="395"/>
      <c r="AH815" s="395"/>
    </row>
    <row r="816" ht="30.75" customHeight="1">
      <c r="A816" s="373" t="str">
        <f t="shared" si="1"/>
        <v/>
      </c>
      <c r="B816" s="421" t="s">
        <v>289</v>
      </c>
      <c r="C816" s="406"/>
      <c r="D816" s="406"/>
      <c r="E816" s="406"/>
      <c r="F816" s="395" t="s">
        <v>289</v>
      </c>
      <c r="G816" s="406"/>
      <c r="H816" s="406"/>
      <c r="I816" s="378" t="s">
        <v>289</v>
      </c>
      <c r="J816" s="379" t="s">
        <v>289</v>
      </c>
      <c r="K816" s="407"/>
      <c r="L816" s="378" t="s">
        <v>289</v>
      </c>
      <c r="M816" s="378" t="s">
        <v>289</v>
      </c>
      <c r="N816" s="378" t="s">
        <v>289</v>
      </c>
      <c r="O816" s="409"/>
      <c r="P816" s="387" t="s">
        <v>289</v>
      </c>
      <c r="Q816" s="383"/>
      <c r="R816" s="383"/>
      <c r="S816" s="383"/>
      <c r="T816" s="410"/>
      <c r="U816" s="406"/>
      <c r="V816" s="386"/>
      <c r="W816" s="387" t="s">
        <v>289</v>
      </c>
      <c r="X816" s="378" t="s">
        <v>289</v>
      </c>
      <c r="Y816" s="387" t="s">
        <v>289</v>
      </c>
      <c r="Z816" s="391" t="s">
        <v>289</v>
      </c>
      <c r="AA816" s="391" t="s">
        <v>289</v>
      </c>
      <c r="AB816" s="391" t="s">
        <v>289</v>
      </c>
      <c r="AC816" s="391" t="s">
        <v>289</v>
      </c>
      <c r="AD816" s="395" t="s">
        <v>289</v>
      </c>
      <c r="AE816" s="395"/>
      <c r="AF816" s="395"/>
      <c r="AG816" s="395"/>
      <c r="AH816" s="395"/>
    </row>
    <row r="817" ht="30.75" customHeight="1">
      <c r="A817" s="373" t="str">
        <f t="shared" si="1"/>
        <v/>
      </c>
      <c r="B817" s="421" t="s">
        <v>289</v>
      </c>
      <c r="C817" s="406"/>
      <c r="D817" s="406"/>
      <c r="E817" s="406"/>
      <c r="F817" s="395" t="s">
        <v>289</v>
      </c>
      <c r="G817" s="406"/>
      <c r="H817" s="406"/>
      <c r="I817" s="378" t="s">
        <v>289</v>
      </c>
      <c r="J817" s="379" t="s">
        <v>289</v>
      </c>
      <c r="K817" s="407"/>
      <c r="L817" s="378" t="s">
        <v>289</v>
      </c>
      <c r="M817" s="378" t="s">
        <v>289</v>
      </c>
      <c r="N817" s="378" t="s">
        <v>289</v>
      </c>
      <c r="O817" s="409"/>
      <c r="P817" s="387" t="s">
        <v>289</v>
      </c>
      <c r="Q817" s="383"/>
      <c r="R817" s="383"/>
      <c r="S817" s="383"/>
      <c r="T817" s="410"/>
      <c r="U817" s="406"/>
      <c r="V817" s="386"/>
      <c r="W817" s="387" t="s">
        <v>289</v>
      </c>
      <c r="X817" s="378" t="s">
        <v>289</v>
      </c>
      <c r="Y817" s="387" t="s">
        <v>289</v>
      </c>
      <c r="Z817" s="391" t="s">
        <v>289</v>
      </c>
      <c r="AA817" s="391" t="s">
        <v>289</v>
      </c>
      <c r="AB817" s="391" t="s">
        <v>289</v>
      </c>
      <c r="AC817" s="391" t="s">
        <v>289</v>
      </c>
      <c r="AD817" s="395" t="s">
        <v>289</v>
      </c>
      <c r="AE817" s="395"/>
      <c r="AF817" s="395"/>
      <c r="AG817" s="395"/>
      <c r="AH817" s="395"/>
    </row>
    <row r="818" ht="30.75" customHeight="1">
      <c r="A818" s="373" t="str">
        <f t="shared" si="1"/>
        <v/>
      </c>
      <c r="B818" s="421" t="s">
        <v>289</v>
      </c>
      <c r="C818" s="406"/>
      <c r="D818" s="406"/>
      <c r="E818" s="406"/>
      <c r="F818" s="395" t="s">
        <v>289</v>
      </c>
      <c r="G818" s="406"/>
      <c r="H818" s="406"/>
      <c r="I818" s="378" t="s">
        <v>289</v>
      </c>
      <c r="J818" s="379" t="s">
        <v>289</v>
      </c>
      <c r="K818" s="407"/>
      <c r="L818" s="378" t="s">
        <v>289</v>
      </c>
      <c r="M818" s="378" t="s">
        <v>289</v>
      </c>
      <c r="N818" s="378" t="s">
        <v>289</v>
      </c>
      <c r="O818" s="409"/>
      <c r="P818" s="387" t="s">
        <v>289</v>
      </c>
      <c r="Q818" s="383"/>
      <c r="R818" s="383"/>
      <c r="S818" s="383"/>
      <c r="T818" s="410"/>
      <c r="U818" s="406"/>
      <c r="V818" s="386"/>
      <c r="W818" s="387" t="s">
        <v>289</v>
      </c>
      <c r="X818" s="378" t="s">
        <v>289</v>
      </c>
      <c r="Y818" s="387" t="s">
        <v>289</v>
      </c>
      <c r="Z818" s="391" t="s">
        <v>289</v>
      </c>
      <c r="AA818" s="391" t="s">
        <v>289</v>
      </c>
      <c r="AB818" s="391" t="s">
        <v>289</v>
      </c>
      <c r="AC818" s="391" t="s">
        <v>289</v>
      </c>
      <c r="AD818" s="395" t="s">
        <v>289</v>
      </c>
      <c r="AE818" s="395"/>
      <c r="AF818" s="395"/>
      <c r="AG818" s="395"/>
      <c r="AH818" s="395"/>
    </row>
    <row r="819" ht="30.75" customHeight="1">
      <c r="A819" s="373" t="str">
        <f t="shared" si="1"/>
        <v/>
      </c>
      <c r="B819" s="421" t="s">
        <v>289</v>
      </c>
      <c r="C819" s="406"/>
      <c r="D819" s="406"/>
      <c r="E819" s="406"/>
      <c r="F819" s="395" t="s">
        <v>289</v>
      </c>
      <c r="G819" s="406"/>
      <c r="H819" s="406"/>
      <c r="I819" s="378" t="s">
        <v>289</v>
      </c>
      <c r="J819" s="379" t="s">
        <v>289</v>
      </c>
      <c r="K819" s="407"/>
      <c r="L819" s="378" t="s">
        <v>289</v>
      </c>
      <c r="M819" s="378" t="s">
        <v>289</v>
      </c>
      <c r="N819" s="378" t="s">
        <v>289</v>
      </c>
      <c r="O819" s="409"/>
      <c r="P819" s="387" t="s">
        <v>289</v>
      </c>
      <c r="Q819" s="383"/>
      <c r="R819" s="383"/>
      <c r="S819" s="383"/>
      <c r="T819" s="410"/>
      <c r="U819" s="406"/>
      <c r="V819" s="386"/>
      <c r="W819" s="387" t="s">
        <v>289</v>
      </c>
      <c r="X819" s="378" t="s">
        <v>289</v>
      </c>
      <c r="Y819" s="387" t="s">
        <v>289</v>
      </c>
      <c r="Z819" s="391" t="s">
        <v>289</v>
      </c>
      <c r="AA819" s="391" t="s">
        <v>289</v>
      </c>
      <c r="AB819" s="391" t="s">
        <v>289</v>
      </c>
      <c r="AC819" s="391" t="s">
        <v>289</v>
      </c>
      <c r="AD819" s="395" t="s">
        <v>289</v>
      </c>
      <c r="AE819" s="395"/>
      <c r="AF819" s="395"/>
      <c r="AG819" s="395"/>
      <c r="AH819" s="395"/>
    </row>
    <row r="820" ht="30.75" customHeight="1">
      <c r="A820" s="373" t="str">
        <f t="shared" si="1"/>
        <v/>
      </c>
      <c r="B820" s="421" t="s">
        <v>289</v>
      </c>
      <c r="C820" s="406"/>
      <c r="D820" s="406"/>
      <c r="E820" s="406"/>
      <c r="F820" s="395" t="s">
        <v>289</v>
      </c>
      <c r="G820" s="406"/>
      <c r="H820" s="406"/>
      <c r="I820" s="378" t="s">
        <v>289</v>
      </c>
      <c r="J820" s="379" t="s">
        <v>289</v>
      </c>
      <c r="K820" s="407"/>
      <c r="L820" s="378" t="s">
        <v>289</v>
      </c>
      <c r="M820" s="378" t="s">
        <v>289</v>
      </c>
      <c r="N820" s="378" t="s">
        <v>289</v>
      </c>
      <c r="O820" s="409"/>
      <c r="P820" s="387" t="s">
        <v>289</v>
      </c>
      <c r="Q820" s="383"/>
      <c r="R820" s="383"/>
      <c r="S820" s="383"/>
      <c r="T820" s="410"/>
      <c r="U820" s="406"/>
      <c r="V820" s="386"/>
      <c r="W820" s="387" t="s">
        <v>289</v>
      </c>
      <c r="X820" s="378" t="s">
        <v>289</v>
      </c>
      <c r="Y820" s="387" t="s">
        <v>289</v>
      </c>
      <c r="Z820" s="391" t="s">
        <v>289</v>
      </c>
      <c r="AA820" s="391" t="s">
        <v>289</v>
      </c>
      <c r="AB820" s="391" t="s">
        <v>289</v>
      </c>
      <c r="AC820" s="391" t="s">
        <v>289</v>
      </c>
      <c r="AD820" s="395" t="s">
        <v>289</v>
      </c>
      <c r="AE820" s="395"/>
      <c r="AF820" s="395"/>
      <c r="AG820" s="395"/>
      <c r="AH820" s="395"/>
    </row>
    <row r="821" ht="30.75" customHeight="1">
      <c r="A821" s="373" t="str">
        <f t="shared" si="1"/>
        <v/>
      </c>
      <c r="B821" s="421" t="s">
        <v>289</v>
      </c>
      <c r="C821" s="406"/>
      <c r="D821" s="406"/>
      <c r="E821" s="406"/>
      <c r="F821" s="395" t="s">
        <v>289</v>
      </c>
      <c r="G821" s="406"/>
      <c r="H821" s="406"/>
      <c r="I821" s="378" t="s">
        <v>289</v>
      </c>
      <c r="J821" s="379" t="s">
        <v>289</v>
      </c>
      <c r="K821" s="407"/>
      <c r="L821" s="378" t="s">
        <v>289</v>
      </c>
      <c r="M821" s="378" t="s">
        <v>289</v>
      </c>
      <c r="N821" s="378" t="s">
        <v>289</v>
      </c>
      <c r="O821" s="409"/>
      <c r="P821" s="387" t="s">
        <v>289</v>
      </c>
      <c r="Q821" s="383"/>
      <c r="R821" s="383"/>
      <c r="S821" s="383"/>
      <c r="T821" s="410"/>
      <c r="U821" s="406"/>
      <c r="V821" s="386"/>
      <c r="W821" s="387" t="s">
        <v>289</v>
      </c>
      <c r="X821" s="378" t="s">
        <v>289</v>
      </c>
      <c r="Y821" s="387" t="s">
        <v>289</v>
      </c>
      <c r="Z821" s="391" t="s">
        <v>289</v>
      </c>
      <c r="AA821" s="391" t="s">
        <v>289</v>
      </c>
      <c r="AB821" s="391" t="s">
        <v>289</v>
      </c>
      <c r="AC821" s="391" t="s">
        <v>289</v>
      </c>
      <c r="AD821" s="395" t="s">
        <v>289</v>
      </c>
      <c r="AE821" s="395"/>
      <c r="AF821" s="395"/>
      <c r="AG821" s="395"/>
      <c r="AH821" s="395"/>
    </row>
    <row r="822" ht="30.75" customHeight="1">
      <c r="A822" s="373" t="str">
        <f t="shared" si="1"/>
        <v/>
      </c>
      <c r="B822" s="421" t="s">
        <v>289</v>
      </c>
      <c r="C822" s="406"/>
      <c r="D822" s="406"/>
      <c r="E822" s="406"/>
      <c r="F822" s="395" t="s">
        <v>289</v>
      </c>
      <c r="G822" s="406"/>
      <c r="H822" s="406"/>
      <c r="I822" s="378" t="s">
        <v>289</v>
      </c>
      <c r="J822" s="379" t="s">
        <v>289</v>
      </c>
      <c r="K822" s="407"/>
      <c r="L822" s="378" t="s">
        <v>289</v>
      </c>
      <c r="M822" s="378" t="s">
        <v>289</v>
      </c>
      <c r="N822" s="378" t="s">
        <v>289</v>
      </c>
      <c r="O822" s="409"/>
      <c r="P822" s="387" t="s">
        <v>289</v>
      </c>
      <c r="Q822" s="383"/>
      <c r="R822" s="383"/>
      <c r="S822" s="383"/>
      <c r="T822" s="410"/>
      <c r="U822" s="406"/>
      <c r="V822" s="386"/>
      <c r="W822" s="387" t="s">
        <v>289</v>
      </c>
      <c r="X822" s="378" t="s">
        <v>289</v>
      </c>
      <c r="Y822" s="387" t="s">
        <v>289</v>
      </c>
      <c r="Z822" s="391" t="s">
        <v>289</v>
      </c>
      <c r="AA822" s="391" t="s">
        <v>289</v>
      </c>
      <c r="AB822" s="391" t="s">
        <v>289</v>
      </c>
      <c r="AC822" s="391" t="s">
        <v>289</v>
      </c>
      <c r="AD822" s="395" t="s">
        <v>289</v>
      </c>
      <c r="AE822" s="395"/>
      <c r="AF822" s="395"/>
      <c r="AG822" s="395"/>
      <c r="AH822" s="395"/>
    </row>
    <row r="823" ht="30.75" customHeight="1">
      <c r="A823" s="373" t="str">
        <f t="shared" si="1"/>
        <v/>
      </c>
      <c r="B823" s="421" t="s">
        <v>289</v>
      </c>
      <c r="C823" s="406"/>
      <c r="D823" s="406"/>
      <c r="E823" s="406"/>
      <c r="F823" s="395" t="s">
        <v>289</v>
      </c>
      <c r="G823" s="406"/>
      <c r="H823" s="406"/>
      <c r="I823" s="378" t="s">
        <v>289</v>
      </c>
      <c r="J823" s="379" t="s">
        <v>289</v>
      </c>
      <c r="K823" s="407"/>
      <c r="L823" s="378" t="s">
        <v>289</v>
      </c>
      <c r="M823" s="378" t="s">
        <v>289</v>
      </c>
      <c r="N823" s="378" t="s">
        <v>289</v>
      </c>
      <c r="O823" s="409"/>
      <c r="P823" s="387" t="s">
        <v>289</v>
      </c>
      <c r="Q823" s="383"/>
      <c r="R823" s="383"/>
      <c r="S823" s="383"/>
      <c r="T823" s="410"/>
      <c r="U823" s="406"/>
      <c r="V823" s="386"/>
      <c r="W823" s="387" t="s">
        <v>289</v>
      </c>
      <c r="X823" s="378" t="s">
        <v>289</v>
      </c>
      <c r="Y823" s="387" t="s">
        <v>289</v>
      </c>
      <c r="Z823" s="391" t="s">
        <v>289</v>
      </c>
      <c r="AA823" s="391" t="s">
        <v>289</v>
      </c>
      <c r="AB823" s="391" t="s">
        <v>289</v>
      </c>
      <c r="AC823" s="391" t="s">
        <v>289</v>
      </c>
      <c r="AD823" s="395" t="s">
        <v>289</v>
      </c>
      <c r="AE823" s="395"/>
      <c r="AF823" s="395"/>
      <c r="AG823" s="395"/>
      <c r="AH823" s="395"/>
    </row>
    <row r="824" ht="30.75" customHeight="1">
      <c r="A824" s="373" t="str">
        <f t="shared" si="1"/>
        <v/>
      </c>
      <c r="B824" s="421" t="s">
        <v>289</v>
      </c>
      <c r="C824" s="406"/>
      <c r="D824" s="406"/>
      <c r="E824" s="406"/>
      <c r="F824" s="395" t="s">
        <v>289</v>
      </c>
      <c r="G824" s="406"/>
      <c r="H824" s="406"/>
      <c r="I824" s="378" t="s">
        <v>289</v>
      </c>
      <c r="J824" s="379" t="s">
        <v>289</v>
      </c>
      <c r="K824" s="407"/>
      <c r="L824" s="378" t="s">
        <v>289</v>
      </c>
      <c r="M824" s="378" t="s">
        <v>289</v>
      </c>
      <c r="N824" s="378" t="s">
        <v>289</v>
      </c>
      <c r="O824" s="409"/>
      <c r="P824" s="387" t="s">
        <v>289</v>
      </c>
      <c r="Q824" s="383"/>
      <c r="R824" s="383"/>
      <c r="S824" s="383"/>
      <c r="T824" s="410"/>
      <c r="U824" s="406"/>
      <c r="V824" s="386"/>
      <c r="W824" s="387" t="s">
        <v>289</v>
      </c>
      <c r="X824" s="378" t="s">
        <v>289</v>
      </c>
      <c r="Y824" s="387" t="s">
        <v>289</v>
      </c>
      <c r="Z824" s="391" t="s">
        <v>289</v>
      </c>
      <c r="AA824" s="391" t="s">
        <v>289</v>
      </c>
      <c r="AB824" s="391" t="s">
        <v>289</v>
      </c>
      <c r="AC824" s="391" t="s">
        <v>289</v>
      </c>
      <c r="AD824" s="395" t="s">
        <v>289</v>
      </c>
      <c r="AE824" s="395"/>
      <c r="AF824" s="395"/>
      <c r="AG824" s="395"/>
      <c r="AH824" s="395"/>
    </row>
    <row r="825" ht="30.75" customHeight="1">
      <c r="A825" s="373" t="str">
        <f t="shared" si="1"/>
        <v/>
      </c>
      <c r="B825" s="421" t="s">
        <v>289</v>
      </c>
      <c r="C825" s="406"/>
      <c r="D825" s="406"/>
      <c r="E825" s="406"/>
      <c r="F825" s="395" t="s">
        <v>289</v>
      </c>
      <c r="G825" s="406"/>
      <c r="H825" s="406"/>
      <c r="I825" s="378" t="s">
        <v>289</v>
      </c>
      <c r="J825" s="379" t="s">
        <v>289</v>
      </c>
      <c r="K825" s="407"/>
      <c r="L825" s="378" t="s">
        <v>289</v>
      </c>
      <c r="M825" s="378" t="s">
        <v>289</v>
      </c>
      <c r="N825" s="378" t="s">
        <v>289</v>
      </c>
      <c r="O825" s="409"/>
      <c r="P825" s="387" t="s">
        <v>289</v>
      </c>
      <c r="Q825" s="383"/>
      <c r="R825" s="383"/>
      <c r="S825" s="383"/>
      <c r="T825" s="410"/>
      <c r="U825" s="406"/>
      <c r="V825" s="386"/>
      <c r="W825" s="387" t="s">
        <v>289</v>
      </c>
      <c r="X825" s="378" t="s">
        <v>289</v>
      </c>
      <c r="Y825" s="387" t="s">
        <v>289</v>
      </c>
      <c r="Z825" s="391" t="s">
        <v>289</v>
      </c>
      <c r="AA825" s="391" t="s">
        <v>289</v>
      </c>
      <c r="AB825" s="391" t="s">
        <v>289</v>
      </c>
      <c r="AC825" s="391" t="s">
        <v>289</v>
      </c>
      <c r="AD825" s="395" t="s">
        <v>289</v>
      </c>
      <c r="AE825" s="395"/>
      <c r="AF825" s="395"/>
      <c r="AG825" s="395"/>
      <c r="AH825" s="395"/>
    </row>
    <row r="826" ht="30.75" customHeight="1">
      <c r="A826" s="373" t="str">
        <f t="shared" si="1"/>
        <v/>
      </c>
      <c r="B826" s="421" t="s">
        <v>289</v>
      </c>
      <c r="C826" s="406"/>
      <c r="D826" s="406"/>
      <c r="E826" s="406"/>
      <c r="F826" s="395" t="s">
        <v>289</v>
      </c>
      <c r="G826" s="406"/>
      <c r="H826" s="406"/>
      <c r="I826" s="378" t="s">
        <v>289</v>
      </c>
      <c r="J826" s="379" t="s">
        <v>289</v>
      </c>
      <c r="K826" s="407"/>
      <c r="L826" s="378" t="s">
        <v>289</v>
      </c>
      <c r="M826" s="378" t="s">
        <v>289</v>
      </c>
      <c r="N826" s="378" t="s">
        <v>289</v>
      </c>
      <c r="O826" s="409"/>
      <c r="P826" s="387" t="s">
        <v>289</v>
      </c>
      <c r="Q826" s="383"/>
      <c r="R826" s="383"/>
      <c r="S826" s="383"/>
      <c r="T826" s="410"/>
      <c r="U826" s="406"/>
      <c r="V826" s="386"/>
      <c r="W826" s="387" t="s">
        <v>289</v>
      </c>
      <c r="X826" s="378" t="s">
        <v>289</v>
      </c>
      <c r="Y826" s="387" t="s">
        <v>289</v>
      </c>
      <c r="Z826" s="391" t="s">
        <v>289</v>
      </c>
      <c r="AA826" s="391" t="s">
        <v>289</v>
      </c>
      <c r="AB826" s="391" t="s">
        <v>289</v>
      </c>
      <c r="AC826" s="391" t="s">
        <v>289</v>
      </c>
      <c r="AD826" s="395" t="s">
        <v>289</v>
      </c>
      <c r="AE826" s="395"/>
      <c r="AF826" s="395"/>
      <c r="AG826" s="395"/>
      <c r="AH826" s="395"/>
    </row>
    <row r="827" ht="30.75" customHeight="1">
      <c r="A827" s="373" t="str">
        <f t="shared" si="1"/>
        <v/>
      </c>
      <c r="B827" s="421" t="s">
        <v>289</v>
      </c>
      <c r="C827" s="406"/>
      <c r="D827" s="406"/>
      <c r="E827" s="406"/>
      <c r="F827" s="395" t="s">
        <v>289</v>
      </c>
      <c r="G827" s="406"/>
      <c r="H827" s="406"/>
      <c r="I827" s="378" t="s">
        <v>289</v>
      </c>
      <c r="J827" s="379" t="s">
        <v>289</v>
      </c>
      <c r="K827" s="407"/>
      <c r="L827" s="378" t="s">
        <v>289</v>
      </c>
      <c r="M827" s="378" t="s">
        <v>289</v>
      </c>
      <c r="N827" s="378" t="s">
        <v>289</v>
      </c>
      <c r="O827" s="409"/>
      <c r="P827" s="387" t="s">
        <v>289</v>
      </c>
      <c r="Q827" s="383"/>
      <c r="R827" s="383"/>
      <c r="S827" s="383"/>
      <c r="T827" s="410"/>
      <c r="U827" s="406"/>
      <c r="V827" s="386"/>
      <c r="W827" s="387" t="s">
        <v>289</v>
      </c>
      <c r="X827" s="378" t="s">
        <v>289</v>
      </c>
      <c r="Y827" s="387" t="s">
        <v>289</v>
      </c>
      <c r="Z827" s="391" t="s">
        <v>289</v>
      </c>
      <c r="AA827" s="391" t="s">
        <v>289</v>
      </c>
      <c r="AB827" s="391" t="s">
        <v>289</v>
      </c>
      <c r="AC827" s="391" t="s">
        <v>289</v>
      </c>
      <c r="AD827" s="395" t="s">
        <v>289</v>
      </c>
      <c r="AE827" s="395"/>
      <c r="AF827" s="395"/>
      <c r="AG827" s="395"/>
      <c r="AH827" s="395"/>
    </row>
    <row r="828" ht="30.75" customHeight="1">
      <c r="A828" s="373" t="str">
        <f t="shared" si="1"/>
        <v/>
      </c>
      <c r="B828" s="421" t="s">
        <v>289</v>
      </c>
      <c r="C828" s="406"/>
      <c r="D828" s="406"/>
      <c r="E828" s="406"/>
      <c r="F828" s="395" t="s">
        <v>289</v>
      </c>
      <c r="G828" s="406"/>
      <c r="H828" s="406"/>
      <c r="I828" s="378" t="s">
        <v>289</v>
      </c>
      <c r="J828" s="379" t="s">
        <v>289</v>
      </c>
      <c r="K828" s="407"/>
      <c r="L828" s="378" t="s">
        <v>289</v>
      </c>
      <c r="M828" s="378" t="s">
        <v>289</v>
      </c>
      <c r="N828" s="378" t="s">
        <v>289</v>
      </c>
      <c r="O828" s="409"/>
      <c r="P828" s="387" t="s">
        <v>289</v>
      </c>
      <c r="Q828" s="383"/>
      <c r="R828" s="383"/>
      <c r="S828" s="383"/>
      <c r="T828" s="410"/>
      <c r="U828" s="406"/>
      <c r="V828" s="386"/>
      <c r="W828" s="387" t="s">
        <v>289</v>
      </c>
      <c r="X828" s="378" t="s">
        <v>289</v>
      </c>
      <c r="Y828" s="387" t="s">
        <v>289</v>
      </c>
      <c r="Z828" s="391" t="s">
        <v>289</v>
      </c>
      <c r="AA828" s="391" t="s">
        <v>289</v>
      </c>
      <c r="AB828" s="391" t="s">
        <v>289</v>
      </c>
      <c r="AC828" s="391" t="s">
        <v>289</v>
      </c>
      <c r="AD828" s="395" t="s">
        <v>289</v>
      </c>
      <c r="AE828" s="395"/>
      <c r="AF828" s="395"/>
      <c r="AG828" s="395"/>
      <c r="AH828" s="395"/>
    </row>
    <row r="829" ht="30.75" customHeight="1">
      <c r="A829" s="373" t="str">
        <f t="shared" si="1"/>
        <v/>
      </c>
      <c r="B829" s="421" t="s">
        <v>289</v>
      </c>
      <c r="C829" s="406"/>
      <c r="D829" s="406"/>
      <c r="E829" s="406"/>
      <c r="F829" s="395" t="s">
        <v>289</v>
      </c>
      <c r="G829" s="406"/>
      <c r="H829" s="406"/>
      <c r="I829" s="378" t="s">
        <v>289</v>
      </c>
      <c r="J829" s="379" t="s">
        <v>289</v>
      </c>
      <c r="K829" s="407"/>
      <c r="L829" s="378" t="s">
        <v>289</v>
      </c>
      <c r="M829" s="378" t="s">
        <v>289</v>
      </c>
      <c r="N829" s="378" t="s">
        <v>289</v>
      </c>
      <c r="O829" s="409"/>
      <c r="P829" s="387" t="s">
        <v>289</v>
      </c>
      <c r="Q829" s="383"/>
      <c r="R829" s="383"/>
      <c r="S829" s="383"/>
      <c r="T829" s="410"/>
      <c r="U829" s="406"/>
      <c r="V829" s="386"/>
      <c r="W829" s="387" t="s">
        <v>289</v>
      </c>
      <c r="X829" s="378" t="s">
        <v>289</v>
      </c>
      <c r="Y829" s="387" t="s">
        <v>289</v>
      </c>
      <c r="Z829" s="391" t="s">
        <v>289</v>
      </c>
      <c r="AA829" s="391" t="s">
        <v>289</v>
      </c>
      <c r="AB829" s="391" t="s">
        <v>289</v>
      </c>
      <c r="AC829" s="391" t="s">
        <v>289</v>
      </c>
      <c r="AD829" s="395" t="s">
        <v>289</v>
      </c>
      <c r="AE829" s="395"/>
      <c r="AF829" s="395"/>
      <c r="AG829" s="395"/>
      <c r="AH829" s="395"/>
    </row>
    <row r="830" ht="30.75" customHeight="1">
      <c r="A830" s="373" t="str">
        <f t="shared" si="1"/>
        <v/>
      </c>
      <c r="B830" s="421" t="s">
        <v>289</v>
      </c>
      <c r="C830" s="406"/>
      <c r="D830" s="406"/>
      <c r="E830" s="406"/>
      <c r="F830" s="395" t="s">
        <v>289</v>
      </c>
      <c r="G830" s="406"/>
      <c r="H830" s="406"/>
      <c r="I830" s="378" t="s">
        <v>289</v>
      </c>
      <c r="J830" s="379" t="s">
        <v>289</v>
      </c>
      <c r="K830" s="407"/>
      <c r="L830" s="378" t="s">
        <v>289</v>
      </c>
      <c r="M830" s="378" t="s">
        <v>289</v>
      </c>
      <c r="N830" s="378" t="s">
        <v>289</v>
      </c>
      <c r="O830" s="409"/>
      <c r="P830" s="387" t="s">
        <v>289</v>
      </c>
      <c r="Q830" s="383"/>
      <c r="R830" s="383"/>
      <c r="S830" s="383"/>
      <c r="T830" s="410"/>
      <c r="U830" s="406"/>
      <c r="V830" s="386"/>
      <c r="W830" s="387" t="s">
        <v>289</v>
      </c>
      <c r="X830" s="378" t="s">
        <v>289</v>
      </c>
      <c r="Y830" s="387" t="s">
        <v>289</v>
      </c>
      <c r="Z830" s="391" t="s">
        <v>289</v>
      </c>
      <c r="AA830" s="391" t="s">
        <v>289</v>
      </c>
      <c r="AB830" s="391" t="s">
        <v>289</v>
      </c>
      <c r="AC830" s="391" t="s">
        <v>289</v>
      </c>
      <c r="AD830" s="395" t="s">
        <v>289</v>
      </c>
      <c r="AE830" s="395"/>
      <c r="AF830" s="395"/>
      <c r="AG830" s="395"/>
      <c r="AH830" s="395"/>
    </row>
    <row r="831" ht="30.75" customHeight="1">
      <c r="A831" s="373" t="str">
        <f t="shared" si="1"/>
        <v/>
      </c>
      <c r="B831" s="421" t="s">
        <v>289</v>
      </c>
      <c r="C831" s="406"/>
      <c r="D831" s="406"/>
      <c r="E831" s="406"/>
      <c r="F831" s="395" t="s">
        <v>289</v>
      </c>
      <c r="G831" s="406"/>
      <c r="H831" s="406"/>
      <c r="I831" s="378" t="s">
        <v>289</v>
      </c>
      <c r="J831" s="379" t="s">
        <v>289</v>
      </c>
      <c r="K831" s="407"/>
      <c r="L831" s="378" t="s">
        <v>289</v>
      </c>
      <c r="M831" s="378" t="s">
        <v>289</v>
      </c>
      <c r="N831" s="378" t="s">
        <v>289</v>
      </c>
      <c r="O831" s="409"/>
      <c r="P831" s="387" t="s">
        <v>289</v>
      </c>
      <c r="Q831" s="383"/>
      <c r="R831" s="383"/>
      <c r="S831" s="383"/>
      <c r="T831" s="410"/>
      <c r="U831" s="406"/>
      <c r="V831" s="386"/>
      <c r="W831" s="387" t="s">
        <v>289</v>
      </c>
      <c r="X831" s="378" t="s">
        <v>289</v>
      </c>
      <c r="Y831" s="387" t="s">
        <v>289</v>
      </c>
      <c r="Z831" s="391" t="s">
        <v>289</v>
      </c>
      <c r="AA831" s="391" t="s">
        <v>289</v>
      </c>
      <c r="AB831" s="391" t="s">
        <v>289</v>
      </c>
      <c r="AC831" s="391" t="s">
        <v>289</v>
      </c>
      <c r="AD831" s="395" t="s">
        <v>289</v>
      </c>
      <c r="AE831" s="395"/>
      <c r="AF831" s="395"/>
      <c r="AG831" s="395"/>
      <c r="AH831" s="395"/>
    </row>
    <row r="832" ht="30.75" customHeight="1">
      <c r="A832" s="373" t="str">
        <f t="shared" si="1"/>
        <v/>
      </c>
      <c r="B832" s="421" t="s">
        <v>289</v>
      </c>
      <c r="C832" s="406"/>
      <c r="D832" s="406"/>
      <c r="E832" s="406"/>
      <c r="F832" s="395" t="s">
        <v>289</v>
      </c>
      <c r="G832" s="406"/>
      <c r="H832" s="406"/>
      <c r="I832" s="378" t="s">
        <v>289</v>
      </c>
      <c r="J832" s="379" t="s">
        <v>289</v>
      </c>
      <c r="K832" s="407"/>
      <c r="L832" s="378" t="s">
        <v>289</v>
      </c>
      <c r="M832" s="378" t="s">
        <v>289</v>
      </c>
      <c r="N832" s="378" t="s">
        <v>289</v>
      </c>
      <c r="O832" s="409"/>
      <c r="P832" s="387" t="s">
        <v>289</v>
      </c>
      <c r="Q832" s="383"/>
      <c r="R832" s="383"/>
      <c r="S832" s="383"/>
      <c r="T832" s="410"/>
      <c r="U832" s="406"/>
      <c r="V832" s="386"/>
      <c r="W832" s="387" t="s">
        <v>289</v>
      </c>
      <c r="X832" s="378" t="s">
        <v>289</v>
      </c>
      <c r="Y832" s="387" t="s">
        <v>289</v>
      </c>
      <c r="Z832" s="391" t="s">
        <v>289</v>
      </c>
      <c r="AA832" s="391" t="s">
        <v>289</v>
      </c>
      <c r="AB832" s="391" t="s">
        <v>289</v>
      </c>
      <c r="AC832" s="391" t="s">
        <v>289</v>
      </c>
      <c r="AD832" s="395" t="s">
        <v>289</v>
      </c>
      <c r="AE832" s="395"/>
      <c r="AF832" s="395"/>
      <c r="AG832" s="395"/>
      <c r="AH832" s="395"/>
    </row>
    <row r="833" ht="30.75" customHeight="1">
      <c r="A833" s="373" t="str">
        <f t="shared" si="1"/>
        <v/>
      </c>
      <c r="B833" s="421" t="s">
        <v>289</v>
      </c>
      <c r="C833" s="406"/>
      <c r="D833" s="406"/>
      <c r="E833" s="406"/>
      <c r="F833" s="395" t="s">
        <v>289</v>
      </c>
      <c r="G833" s="406"/>
      <c r="H833" s="406"/>
      <c r="I833" s="378" t="s">
        <v>289</v>
      </c>
      <c r="J833" s="379" t="s">
        <v>289</v>
      </c>
      <c r="K833" s="407"/>
      <c r="L833" s="378" t="s">
        <v>289</v>
      </c>
      <c r="M833" s="378" t="s">
        <v>289</v>
      </c>
      <c r="N833" s="378" t="s">
        <v>289</v>
      </c>
      <c r="O833" s="409"/>
      <c r="P833" s="387" t="s">
        <v>289</v>
      </c>
      <c r="Q833" s="383"/>
      <c r="R833" s="383"/>
      <c r="S833" s="383"/>
      <c r="T833" s="410"/>
      <c r="U833" s="406"/>
      <c r="V833" s="386"/>
      <c r="W833" s="387" t="s">
        <v>289</v>
      </c>
      <c r="X833" s="378" t="s">
        <v>289</v>
      </c>
      <c r="Y833" s="387" t="s">
        <v>289</v>
      </c>
      <c r="Z833" s="391" t="s">
        <v>289</v>
      </c>
      <c r="AA833" s="391" t="s">
        <v>289</v>
      </c>
      <c r="AB833" s="391" t="s">
        <v>289</v>
      </c>
      <c r="AC833" s="391" t="s">
        <v>289</v>
      </c>
      <c r="AD833" s="395" t="s">
        <v>289</v>
      </c>
      <c r="AE833" s="395"/>
      <c r="AF833" s="395"/>
      <c r="AG833" s="395"/>
      <c r="AH833" s="395"/>
    </row>
    <row r="834" ht="30.75" customHeight="1">
      <c r="A834" s="373" t="str">
        <f t="shared" si="1"/>
        <v/>
      </c>
      <c r="B834" s="421" t="s">
        <v>289</v>
      </c>
      <c r="C834" s="406"/>
      <c r="D834" s="406"/>
      <c r="E834" s="406"/>
      <c r="F834" s="395" t="s">
        <v>289</v>
      </c>
      <c r="G834" s="406"/>
      <c r="H834" s="406"/>
      <c r="I834" s="378" t="s">
        <v>289</v>
      </c>
      <c r="J834" s="379" t="s">
        <v>289</v>
      </c>
      <c r="K834" s="407"/>
      <c r="L834" s="378" t="s">
        <v>289</v>
      </c>
      <c r="M834" s="378" t="s">
        <v>289</v>
      </c>
      <c r="N834" s="378" t="s">
        <v>289</v>
      </c>
      <c r="O834" s="409"/>
      <c r="P834" s="387" t="s">
        <v>289</v>
      </c>
      <c r="Q834" s="383"/>
      <c r="R834" s="383"/>
      <c r="S834" s="383"/>
      <c r="T834" s="410"/>
      <c r="U834" s="406"/>
      <c r="V834" s="386"/>
      <c r="W834" s="387" t="s">
        <v>289</v>
      </c>
      <c r="X834" s="378" t="s">
        <v>289</v>
      </c>
      <c r="Y834" s="387" t="s">
        <v>289</v>
      </c>
      <c r="Z834" s="391" t="s">
        <v>289</v>
      </c>
      <c r="AA834" s="391" t="s">
        <v>289</v>
      </c>
      <c r="AB834" s="391" t="s">
        <v>289</v>
      </c>
      <c r="AC834" s="391" t="s">
        <v>289</v>
      </c>
      <c r="AD834" s="395" t="s">
        <v>289</v>
      </c>
      <c r="AE834" s="395"/>
      <c r="AF834" s="395"/>
      <c r="AG834" s="395"/>
      <c r="AH834" s="395"/>
    </row>
    <row r="835" ht="30.75" customHeight="1">
      <c r="A835" s="373" t="str">
        <f t="shared" si="1"/>
        <v/>
      </c>
      <c r="B835" s="421" t="s">
        <v>289</v>
      </c>
      <c r="C835" s="406"/>
      <c r="D835" s="406"/>
      <c r="E835" s="406"/>
      <c r="F835" s="395" t="s">
        <v>289</v>
      </c>
      <c r="G835" s="406"/>
      <c r="H835" s="406"/>
      <c r="I835" s="378" t="s">
        <v>289</v>
      </c>
      <c r="J835" s="379" t="s">
        <v>289</v>
      </c>
      <c r="K835" s="407"/>
      <c r="L835" s="378" t="s">
        <v>289</v>
      </c>
      <c r="M835" s="378" t="s">
        <v>289</v>
      </c>
      <c r="N835" s="378" t="s">
        <v>289</v>
      </c>
      <c r="O835" s="409"/>
      <c r="P835" s="387" t="s">
        <v>289</v>
      </c>
      <c r="Q835" s="383"/>
      <c r="R835" s="383"/>
      <c r="S835" s="383"/>
      <c r="T835" s="410"/>
      <c r="U835" s="406"/>
      <c r="V835" s="386"/>
      <c r="W835" s="387" t="s">
        <v>289</v>
      </c>
      <c r="X835" s="378" t="s">
        <v>289</v>
      </c>
      <c r="Y835" s="387" t="s">
        <v>289</v>
      </c>
      <c r="Z835" s="391" t="s">
        <v>289</v>
      </c>
      <c r="AA835" s="391" t="s">
        <v>289</v>
      </c>
      <c r="AB835" s="391" t="s">
        <v>289</v>
      </c>
      <c r="AC835" s="391" t="s">
        <v>289</v>
      </c>
      <c r="AD835" s="395" t="s">
        <v>289</v>
      </c>
      <c r="AE835" s="395"/>
      <c r="AF835" s="395"/>
      <c r="AG835" s="395"/>
      <c r="AH835" s="395"/>
    </row>
    <row r="836" ht="30.75" customHeight="1">
      <c r="A836" s="373" t="str">
        <f t="shared" si="1"/>
        <v/>
      </c>
      <c r="B836" s="421" t="s">
        <v>289</v>
      </c>
      <c r="C836" s="406"/>
      <c r="D836" s="406"/>
      <c r="E836" s="406"/>
      <c r="F836" s="395" t="s">
        <v>289</v>
      </c>
      <c r="G836" s="406"/>
      <c r="H836" s="406"/>
      <c r="I836" s="378" t="s">
        <v>289</v>
      </c>
      <c r="J836" s="379" t="s">
        <v>289</v>
      </c>
      <c r="K836" s="407"/>
      <c r="L836" s="378" t="s">
        <v>289</v>
      </c>
      <c r="M836" s="378" t="s">
        <v>289</v>
      </c>
      <c r="N836" s="378" t="s">
        <v>289</v>
      </c>
      <c r="O836" s="409"/>
      <c r="P836" s="387" t="s">
        <v>289</v>
      </c>
      <c r="Q836" s="383"/>
      <c r="R836" s="383"/>
      <c r="S836" s="383"/>
      <c r="T836" s="410"/>
      <c r="U836" s="406"/>
      <c r="V836" s="386"/>
      <c r="W836" s="387" t="s">
        <v>289</v>
      </c>
      <c r="X836" s="378" t="s">
        <v>289</v>
      </c>
      <c r="Y836" s="387" t="s">
        <v>289</v>
      </c>
      <c r="Z836" s="391" t="s">
        <v>289</v>
      </c>
      <c r="AA836" s="391" t="s">
        <v>289</v>
      </c>
      <c r="AB836" s="391" t="s">
        <v>289</v>
      </c>
      <c r="AC836" s="391" t="s">
        <v>289</v>
      </c>
      <c r="AD836" s="395" t="s">
        <v>289</v>
      </c>
      <c r="AE836" s="395"/>
      <c r="AF836" s="395"/>
      <c r="AG836" s="395"/>
      <c r="AH836" s="395"/>
    </row>
    <row r="837" ht="30.75" customHeight="1">
      <c r="A837" s="373" t="str">
        <f t="shared" si="1"/>
        <v/>
      </c>
      <c r="B837" s="421" t="s">
        <v>289</v>
      </c>
      <c r="C837" s="406"/>
      <c r="D837" s="406"/>
      <c r="E837" s="406"/>
      <c r="F837" s="395" t="s">
        <v>289</v>
      </c>
      <c r="G837" s="406"/>
      <c r="H837" s="406"/>
      <c r="I837" s="378" t="s">
        <v>289</v>
      </c>
      <c r="J837" s="379" t="s">
        <v>289</v>
      </c>
      <c r="K837" s="407"/>
      <c r="L837" s="378" t="s">
        <v>289</v>
      </c>
      <c r="M837" s="378" t="s">
        <v>289</v>
      </c>
      <c r="N837" s="378" t="s">
        <v>289</v>
      </c>
      <c r="O837" s="409"/>
      <c r="P837" s="387" t="s">
        <v>289</v>
      </c>
      <c r="Q837" s="383"/>
      <c r="R837" s="383"/>
      <c r="S837" s="383"/>
      <c r="T837" s="410"/>
      <c r="U837" s="406"/>
      <c r="V837" s="386"/>
      <c r="W837" s="387" t="s">
        <v>289</v>
      </c>
      <c r="X837" s="378" t="s">
        <v>289</v>
      </c>
      <c r="Y837" s="387" t="s">
        <v>289</v>
      </c>
      <c r="Z837" s="391" t="s">
        <v>289</v>
      </c>
      <c r="AA837" s="391" t="s">
        <v>289</v>
      </c>
      <c r="AB837" s="391" t="s">
        <v>289</v>
      </c>
      <c r="AC837" s="391" t="s">
        <v>289</v>
      </c>
      <c r="AD837" s="395" t="s">
        <v>289</v>
      </c>
      <c r="AE837" s="395"/>
      <c r="AF837" s="395"/>
      <c r="AG837" s="395"/>
      <c r="AH837" s="395"/>
    </row>
    <row r="838" ht="30.75" customHeight="1">
      <c r="A838" s="373" t="str">
        <f t="shared" si="1"/>
        <v/>
      </c>
      <c r="B838" s="421" t="s">
        <v>289</v>
      </c>
      <c r="C838" s="406"/>
      <c r="D838" s="406"/>
      <c r="E838" s="406"/>
      <c r="F838" s="395" t="s">
        <v>289</v>
      </c>
      <c r="G838" s="406"/>
      <c r="H838" s="406"/>
      <c r="I838" s="378" t="s">
        <v>289</v>
      </c>
      <c r="J838" s="379" t="s">
        <v>289</v>
      </c>
      <c r="K838" s="407"/>
      <c r="L838" s="378" t="s">
        <v>289</v>
      </c>
      <c r="M838" s="378" t="s">
        <v>289</v>
      </c>
      <c r="N838" s="378" t="s">
        <v>289</v>
      </c>
      <c r="O838" s="409"/>
      <c r="P838" s="387" t="s">
        <v>289</v>
      </c>
      <c r="Q838" s="383"/>
      <c r="R838" s="383"/>
      <c r="S838" s="383"/>
      <c r="T838" s="410"/>
      <c r="U838" s="406"/>
      <c r="V838" s="386"/>
      <c r="W838" s="387" t="s">
        <v>289</v>
      </c>
      <c r="X838" s="378" t="s">
        <v>289</v>
      </c>
      <c r="Y838" s="387" t="s">
        <v>289</v>
      </c>
      <c r="Z838" s="391" t="s">
        <v>289</v>
      </c>
      <c r="AA838" s="391" t="s">
        <v>289</v>
      </c>
      <c r="AB838" s="391" t="s">
        <v>289</v>
      </c>
      <c r="AC838" s="391" t="s">
        <v>289</v>
      </c>
      <c r="AD838" s="395" t="s">
        <v>289</v>
      </c>
      <c r="AE838" s="395"/>
      <c r="AF838" s="395"/>
      <c r="AG838" s="395"/>
      <c r="AH838" s="395"/>
    </row>
    <row r="839" ht="30.75" customHeight="1">
      <c r="A839" s="373" t="str">
        <f t="shared" si="1"/>
        <v/>
      </c>
      <c r="B839" s="421" t="s">
        <v>289</v>
      </c>
      <c r="C839" s="406"/>
      <c r="D839" s="406"/>
      <c r="E839" s="406"/>
      <c r="F839" s="395" t="s">
        <v>289</v>
      </c>
      <c r="G839" s="406"/>
      <c r="H839" s="406"/>
      <c r="I839" s="378" t="s">
        <v>289</v>
      </c>
      <c r="J839" s="379" t="s">
        <v>289</v>
      </c>
      <c r="K839" s="407"/>
      <c r="L839" s="378" t="s">
        <v>289</v>
      </c>
      <c r="M839" s="378" t="s">
        <v>289</v>
      </c>
      <c r="N839" s="378" t="s">
        <v>289</v>
      </c>
      <c r="O839" s="409"/>
      <c r="P839" s="387" t="s">
        <v>289</v>
      </c>
      <c r="Q839" s="383"/>
      <c r="R839" s="383"/>
      <c r="S839" s="383"/>
      <c r="T839" s="410"/>
      <c r="U839" s="406"/>
      <c r="V839" s="386"/>
      <c r="W839" s="387" t="s">
        <v>289</v>
      </c>
      <c r="X839" s="378" t="s">
        <v>289</v>
      </c>
      <c r="Y839" s="387" t="s">
        <v>289</v>
      </c>
      <c r="Z839" s="391" t="s">
        <v>289</v>
      </c>
      <c r="AA839" s="391" t="s">
        <v>289</v>
      </c>
      <c r="AB839" s="391" t="s">
        <v>289</v>
      </c>
      <c r="AC839" s="391" t="s">
        <v>289</v>
      </c>
      <c r="AD839" s="395" t="s">
        <v>289</v>
      </c>
      <c r="AE839" s="395"/>
      <c r="AF839" s="395"/>
      <c r="AG839" s="395"/>
      <c r="AH839" s="395"/>
    </row>
    <row r="840" ht="30.75" customHeight="1">
      <c r="A840" s="373" t="str">
        <f t="shared" si="1"/>
        <v/>
      </c>
      <c r="B840" s="421" t="s">
        <v>289</v>
      </c>
      <c r="C840" s="406"/>
      <c r="D840" s="406"/>
      <c r="E840" s="406"/>
      <c r="F840" s="395" t="s">
        <v>289</v>
      </c>
      <c r="G840" s="406"/>
      <c r="H840" s="406"/>
      <c r="I840" s="378" t="s">
        <v>289</v>
      </c>
      <c r="J840" s="379" t="s">
        <v>289</v>
      </c>
      <c r="K840" s="407"/>
      <c r="L840" s="378" t="s">
        <v>289</v>
      </c>
      <c r="M840" s="378" t="s">
        <v>289</v>
      </c>
      <c r="N840" s="378" t="s">
        <v>289</v>
      </c>
      <c r="O840" s="409"/>
      <c r="P840" s="387" t="s">
        <v>289</v>
      </c>
      <c r="Q840" s="383"/>
      <c r="R840" s="383"/>
      <c r="S840" s="383"/>
      <c r="T840" s="410"/>
      <c r="U840" s="406"/>
      <c r="V840" s="386"/>
      <c r="W840" s="387" t="s">
        <v>289</v>
      </c>
      <c r="X840" s="378" t="s">
        <v>289</v>
      </c>
      <c r="Y840" s="387" t="s">
        <v>289</v>
      </c>
      <c r="Z840" s="391" t="s">
        <v>289</v>
      </c>
      <c r="AA840" s="391" t="s">
        <v>289</v>
      </c>
      <c r="AB840" s="391" t="s">
        <v>289</v>
      </c>
      <c r="AC840" s="391" t="s">
        <v>289</v>
      </c>
      <c r="AD840" s="395" t="s">
        <v>289</v>
      </c>
      <c r="AE840" s="395"/>
      <c r="AF840" s="395"/>
      <c r="AG840" s="395"/>
      <c r="AH840" s="395"/>
    </row>
    <row r="841" ht="30.75" customHeight="1">
      <c r="A841" s="373" t="str">
        <f t="shared" si="1"/>
        <v/>
      </c>
      <c r="B841" s="421" t="s">
        <v>289</v>
      </c>
      <c r="C841" s="406"/>
      <c r="D841" s="406"/>
      <c r="E841" s="406"/>
      <c r="F841" s="395" t="s">
        <v>289</v>
      </c>
      <c r="G841" s="406"/>
      <c r="H841" s="406"/>
      <c r="I841" s="378" t="s">
        <v>289</v>
      </c>
      <c r="J841" s="379" t="s">
        <v>289</v>
      </c>
      <c r="K841" s="407"/>
      <c r="L841" s="378" t="s">
        <v>289</v>
      </c>
      <c r="M841" s="378" t="s">
        <v>289</v>
      </c>
      <c r="N841" s="378" t="s">
        <v>289</v>
      </c>
      <c r="O841" s="409"/>
      <c r="P841" s="387" t="s">
        <v>289</v>
      </c>
      <c r="Q841" s="383"/>
      <c r="R841" s="383"/>
      <c r="S841" s="383"/>
      <c r="T841" s="410"/>
      <c r="U841" s="406"/>
      <c r="V841" s="386"/>
      <c r="W841" s="387" t="s">
        <v>289</v>
      </c>
      <c r="X841" s="378" t="s">
        <v>289</v>
      </c>
      <c r="Y841" s="387" t="s">
        <v>289</v>
      </c>
      <c r="Z841" s="391" t="s">
        <v>289</v>
      </c>
      <c r="AA841" s="391" t="s">
        <v>289</v>
      </c>
      <c r="AB841" s="391" t="s">
        <v>289</v>
      </c>
      <c r="AC841" s="391" t="s">
        <v>289</v>
      </c>
      <c r="AD841" s="395" t="s">
        <v>289</v>
      </c>
      <c r="AE841" s="395"/>
      <c r="AF841" s="395"/>
      <c r="AG841" s="395"/>
      <c r="AH841" s="395"/>
    </row>
    <row r="842" ht="30.75" customHeight="1">
      <c r="A842" s="373" t="str">
        <f t="shared" si="1"/>
        <v/>
      </c>
      <c r="B842" s="421" t="s">
        <v>289</v>
      </c>
      <c r="C842" s="406"/>
      <c r="D842" s="406"/>
      <c r="E842" s="406"/>
      <c r="F842" s="395" t="s">
        <v>289</v>
      </c>
      <c r="G842" s="406"/>
      <c r="H842" s="406"/>
      <c r="I842" s="378" t="s">
        <v>289</v>
      </c>
      <c r="J842" s="379" t="s">
        <v>289</v>
      </c>
      <c r="K842" s="407"/>
      <c r="L842" s="378" t="s">
        <v>289</v>
      </c>
      <c r="M842" s="378" t="s">
        <v>289</v>
      </c>
      <c r="N842" s="378" t="s">
        <v>289</v>
      </c>
      <c r="O842" s="409"/>
      <c r="P842" s="387" t="s">
        <v>289</v>
      </c>
      <c r="Q842" s="383"/>
      <c r="R842" s="383"/>
      <c r="S842" s="383"/>
      <c r="T842" s="410"/>
      <c r="U842" s="406"/>
      <c r="V842" s="386"/>
      <c r="W842" s="387" t="s">
        <v>289</v>
      </c>
      <c r="X842" s="378" t="s">
        <v>289</v>
      </c>
      <c r="Y842" s="387" t="s">
        <v>289</v>
      </c>
      <c r="Z842" s="391" t="s">
        <v>289</v>
      </c>
      <c r="AA842" s="391" t="s">
        <v>289</v>
      </c>
      <c r="AB842" s="391" t="s">
        <v>289</v>
      </c>
      <c r="AC842" s="391" t="s">
        <v>289</v>
      </c>
      <c r="AD842" s="395" t="s">
        <v>289</v>
      </c>
      <c r="AE842" s="395"/>
      <c r="AF842" s="395"/>
      <c r="AG842" s="395"/>
      <c r="AH842" s="395"/>
    </row>
    <row r="843" ht="30.75" customHeight="1">
      <c r="A843" s="373" t="str">
        <f t="shared" si="1"/>
        <v/>
      </c>
      <c r="B843" s="421" t="s">
        <v>289</v>
      </c>
      <c r="C843" s="406"/>
      <c r="D843" s="406"/>
      <c r="E843" s="406"/>
      <c r="F843" s="395" t="s">
        <v>289</v>
      </c>
      <c r="G843" s="406"/>
      <c r="H843" s="406"/>
      <c r="I843" s="378" t="s">
        <v>289</v>
      </c>
      <c r="J843" s="379" t="s">
        <v>289</v>
      </c>
      <c r="K843" s="407"/>
      <c r="L843" s="378" t="s">
        <v>289</v>
      </c>
      <c r="M843" s="378" t="s">
        <v>289</v>
      </c>
      <c r="N843" s="378" t="s">
        <v>289</v>
      </c>
      <c r="O843" s="409"/>
      <c r="P843" s="387" t="s">
        <v>289</v>
      </c>
      <c r="Q843" s="383"/>
      <c r="R843" s="383"/>
      <c r="S843" s="383"/>
      <c r="T843" s="410"/>
      <c r="U843" s="406"/>
      <c r="V843" s="386"/>
      <c r="W843" s="387" t="s">
        <v>289</v>
      </c>
      <c r="X843" s="378" t="s">
        <v>289</v>
      </c>
      <c r="Y843" s="387" t="s">
        <v>289</v>
      </c>
      <c r="Z843" s="391" t="s">
        <v>289</v>
      </c>
      <c r="AA843" s="391" t="s">
        <v>289</v>
      </c>
      <c r="AB843" s="391" t="s">
        <v>289</v>
      </c>
      <c r="AC843" s="391" t="s">
        <v>289</v>
      </c>
      <c r="AD843" s="395" t="s">
        <v>289</v>
      </c>
      <c r="AE843" s="395"/>
      <c r="AF843" s="395"/>
      <c r="AG843" s="395"/>
      <c r="AH843" s="395"/>
    </row>
    <row r="844" ht="30.75" customHeight="1">
      <c r="A844" s="373" t="str">
        <f t="shared" si="1"/>
        <v/>
      </c>
      <c r="B844" s="421" t="s">
        <v>289</v>
      </c>
      <c r="C844" s="406"/>
      <c r="D844" s="406"/>
      <c r="E844" s="406"/>
      <c r="F844" s="395" t="s">
        <v>289</v>
      </c>
      <c r="G844" s="406"/>
      <c r="H844" s="406"/>
      <c r="I844" s="378" t="s">
        <v>289</v>
      </c>
      <c r="J844" s="379" t="s">
        <v>289</v>
      </c>
      <c r="K844" s="407"/>
      <c r="L844" s="378" t="s">
        <v>289</v>
      </c>
      <c r="M844" s="378" t="s">
        <v>289</v>
      </c>
      <c r="N844" s="378" t="s">
        <v>289</v>
      </c>
      <c r="O844" s="409"/>
      <c r="P844" s="387" t="s">
        <v>289</v>
      </c>
      <c r="Q844" s="383"/>
      <c r="R844" s="383"/>
      <c r="S844" s="383"/>
      <c r="T844" s="410"/>
      <c r="U844" s="406"/>
      <c r="V844" s="386"/>
      <c r="W844" s="387" t="s">
        <v>289</v>
      </c>
      <c r="X844" s="378" t="s">
        <v>289</v>
      </c>
      <c r="Y844" s="387" t="s">
        <v>289</v>
      </c>
      <c r="Z844" s="391" t="s">
        <v>289</v>
      </c>
      <c r="AA844" s="391" t="s">
        <v>289</v>
      </c>
      <c r="AB844" s="391" t="s">
        <v>289</v>
      </c>
      <c r="AC844" s="391" t="s">
        <v>289</v>
      </c>
      <c r="AD844" s="395" t="s">
        <v>289</v>
      </c>
      <c r="AE844" s="395"/>
      <c r="AF844" s="395"/>
      <c r="AG844" s="395"/>
      <c r="AH844" s="395"/>
    </row>
    <row r="845" ht="30.75" customHeight="1">
      <c r="A845" s="373" t="str">
        <f t="shared" si="1"/>
        <v/>
      </c>
      <c r="B845" s="421" t="s">
        <v>289</v>
      </c>
      <c r="C845" s="406"/>
      <c r="D845" s="406"/>
      <c r="E845" s="406"/>
      <c r="F845" s="395" t="s">
        <v>289</v>
      </c>
      <c r="G845" s="406"/>
      <c r="H845" s="406"/>
      <c r="I845" s="378" t="s">
        <v>289</v>
      </c>
      <c r="J845" s="379" t="s">
        <v>289</v>
      </c>
      <c r="K845" s="407"/>
      <c r="L845" s="378" t="s">
        <v>289</v>
      </c>
      <c r="M845" s="378" t="s">
        <v>289</v>
      </c>
      <c r="N845" s="378" t="s">
        <v>289</v>
      </c>
      <c r="O845" s="409"/>
      <c r="P845" s="387" t="s">
        <v>289</v>
      </c>
      <c r="Q845" s="383"/>
      <c r="R845" s="383"/>
      <c r="S845" s="383"/>
      <c r="T845" s="410"/>
      <c r="U845" s="406"/>
      <c r="V845" s="386"/>
      <c r="W845" s="387" t="s">
        <v>289</v>
      </c>
      <c r="X845" s="378" t="s">
        <v>289</v>
      </c>
      <c r="Y845" s="387" t="s">
        <v>289</v>
      </c>
      <c r="Z845" s="391" t="s">
        <v>289</v>
      </c>
      <c r="AA845" s="391" t="s">
        <v>289</v>
      </c>
      <c r="AB845" s="391" t="s">
        <v>289</v>
      </c>
      <c r="AC845" s="391" t="s">
        <v>289</v>
      </c>
      <c r="AD845" s="395" t="s">
        <v>289</v>
      </c>
      <c r="AE845" s="395"/>
      <c r="AF845" s="395"/>
      <c r="AG845" s="395"/>
      <c r="AH845" s="395"/>
    </row>
    <row r="846" ht="30.75" customHeight="1">
      <c r="A846" s="373" t="str">
        <f t="shared" si="1"/>
        <v/>
      </c>
      <c r="B846" s="421" t="s">
        <v>289</v>
      </c>
      <c r="C846" s="406"/>
      <c r="D846" s="406"/>
      <c r="E846" s="406"/>
      <c r="F846" s="395" t="s">
        <v>289</v>
      </c>
      <c r="G846" s="406"/>
      <c r="H846" s="406"/>
      <c r="I846" s="378" t="s">
        <v>289</v>
      </c>
      <c r="J846" s="379" t="s">
        <v>289</v>
      </c>
      <c r="K846" s="407"/>
      <c r="L846" s="378" t="s">
        <v>289</v>
      </c>
      <c r="M846" s="378" t="s">
        <v>289</v>
      </c>
      <c r="N846" s="378" t="s">
        <v>289</v>
      </c>
      <c r="O846" s="409"/>
      <c r="P846" s="387" t="s">
        <v>289</v>
      </c>
      <c r="Q846" s="383"/>
      <c r="R846" s="383"/>
      <c r="S846" s="383"/>
      <c r="T846" s="410"/>
      <c r="U846" s="406"/>
      <c r="V846" s="386"/>
      <c r="W846" s="387" t="s">
        <v>289</v>
      </c>
      <c r="X846" s="378" t="s">
        <v>289</v>
      </c>
      <c r="Y846" s="387" t="s">
        <v>289</v>
      </c>
      <c r="Z846" s="391" t="s">
        <v>289</v>
      </c>
      <c r="AA846" s="391" t="s">
        <v>289</v>
      </c>
      <c r="AB846" s="391" t="s">
        <v>289</v>
      </c>
      <c r="AC846" s="391" t="s">
        <v>289</v>
      </c>
      <c r="AD846" s="395" t="s">
        <v>289</v>
      </c>
      <c r="AE846" s="395"/>
      <c r="AF846" s="395"/>
      <c r="AG846" s="395"/>
      <c r="AH846" s="395"/>
    </row>
    <row r="847" ht="30.75" customHeight="1">
      <c r="A847" s="373" t="str">
        <f t="shared" si="1"/>
        <v/>
      </c>
      <c r="B847" s="421" t="s">
        <v>289</v>
      </c>
      <c r="C847" s="406"/>
      <c r="D847" s="406"/>
      <c r="E847" s="406"/>
      <c r="F847" s="395" t="s">
        <v>289</v>
      </c>
      <c r="G847" s="406"/>
      <c r="H847" s="406"/>
      <c r="I847" s="378" t="s">
        <v>289</v>
      </c>
      <c r="J847" s="379" t="s">
        <v>289</v>
      </c>
      <c r="K847" s="407"/>
      <c r="L847" s="378" t="s">
        <v>289</v>
      </c>
      <c r="M847" s="378" t="s">
        <v>289</v>
      </c>
      <c r="N847" s="378" t="s">
        <v>289</v>
      </c>
      <c r="O847" s="409"/>
      <c r="P847" s="387" t="s">
        <v>289</v>
      </c>
      <c r="Q847" s="383"/>
      <c r="R847" s="383"/>
      <c r="S847" s="383"/>
      <c r="T847" s="410"/>
      <c r="U847" s="406"/>
      <c r="V847" s="386"/>
      <c r="W847" s="387" t="s">
        <v>289</v>
      </c>
      <c r="X847" s="378" t="s">
        <v>289</v>
      </c>
      <c r="Y847" s="387" t="s">
        <v>289</v>
      </c>
      <c r="Z847" s="391" t="s">
        <v>289</v>
      </c>
      <c r="AA847" s="391" t="s">
        <v>289</v>
      </c>
      <c r="AB847" s="391" t="s">
        <v>289</v>
      </c>
      <c r="AC847" s="391" t="s">
        <v>289</v>
      </c>
      <c r="AD847" s="395" t="s">
        <v>289</v>
      </c>
      <c r="AE847" s="395"/>
      <c r="AF847" s="395"/>
      <c r="AG847" s="395"/>
      <c r="AH847" s="395"/>
    </row>
    <row r="848" ht="30.75" customHeight="1">
      <c r="A848" s="373" t="str">
        <f t="shared" si="1"/>
        <v/>
      </c>
      <c r="B848" s="421" t="s">
        <v>289</v>
      </c>
      <c r="C848" s="406"/>
      <c r="D848" s="406"/>
      <c r="E848" s="406"/>
      <c r="F848" s="395" t="s">
        <v>289</v>
      </c>
      <c r="G848" s="406"/>
      <c r="H848" s="406"/>
      <c r="I848" s="378" t="s">
        <v>289</v>
      </c>
      <c r="J848" s="379" t="s">
        <v>289</v>
      </c>
      <c r="K848" s="407"/>
      <c r="L848" s="378" t="s">
        <v>289</v>
      </c>
      <c r="M848" s="378" t="s">
        <v>289</v>
      </c>
      <c r="N848" s="378" t="s">
        <v>289</v>
      </c>
      <c r="O848" s="409"/>
      <c r="P848" s="387" t="s">
        <v>289</v>
      </c>
      <c r="Q848" s="383"/>
      <c r="R848" s="383"/>
      <c r="S848" s="383"/>
      <c r="T848" s="410"/>
      <c r="U848" s="406"/>
      <c r="V848" s="386"/>
      <c r="W848" s="387" t="s">
        <v>289</v>
      </c>
      <c r="X848" s="378" t="s">
        <v>289</v>
      </c>
      <c r="Y848" s="387" t="s">
        <v>289</v>
      </c>
      <c r="Z848" s="391" t="s">
        <v>289</v>
      </c>
      <c r="AA848" s="391" t="s">
        <v>289</v>
      </c>
      <c r="AB848" s="391" t="s">
        <v>289</v>
      </c>
      <c r="AC848" s="391" t="s">
        <v>289</v>
      </c>
      <c r="AD848" s="395" t="s">
        <v>289</v>
      </c>
      <c r="AE848" s="395"/>
      <c r="AF848" s="395"/>
      <c r="AG848" s="395"/>
      <c r="AH848" s="395"/>
    </row>
    <row r="849" ht="30.75" customHeight="1">
      <c r="A849" s="373" t="str">
        <f t="shared" si="1"/>
        <v/>
      </c>
      <c r="B849" s="421" t="s">
        <v>289</v>
      </c>
      <c r="C849" s="406"/>
      <c r="D849" s="406"/>
      <c r="E849" s="406"/>
      <c r="F849" s="395" t="s">
        <v>289</v>
      </c>
      <c r="G849" s="406"/>
      <c r="H849" s="406"/>
      <c r="I849" s="378" t="s">
        <v>289</v>
      </c>
      <c r="J849" s="379" t="s">
        <v>289</v>
      </c>
      <c r="K849" s="407"/>
      <c r="L849" s="378" t="s">
        <v>289</v>
      </c>
      <c r="M849" s="378" t="s">
        <v>289</v>
      </c>
      <c r="N849" s="378" t="s">
        <v>289</v>
      </c>
      <c r="O849" s="409"/>
      <c r="P849" s="387" t="s">
        <v>289</v>
      </c>
      <c r="Q849" s="383"/>
      <c r="R849" s="383"/>
      <c r="S849" s="383"/>
      <c r="T849" s="410"/>
      <c r="U849" s="406"/>
      <c r="V849" s="386"/>
      <c r="W849" s="387" t="s">
        <v>289</v>
      </c>
      <c r="X849" s="378" t="s">
        <v>289</v>
      </c>
      <c r="Y849" s="387" t="s">
        <v>289</v>
      </c>
      <c r="Z849" s="391" t="s">
        <v>289</v>
      </c>
      <c r="AA849" s="391" t="s">
        <v>289</v>
      </c>
      <c r="AB849" s="391" t="s">
        <v>289</v>
      </c>
      <c r="AC849" s="391" t="s">
        <v>289</v>
      </c>
      <c r="AD849" s="395" t="s">
        <v>289</v>
      </c>
      <c r="AE849" s="395"/>
      <c r="AF849" s="395"/>
      <c r="AG849" s="395"/>
      <c r="AH849" s="395"/>
    </row>
    <row r="850" ht="30.75" customHeight="1">
      <c r="A850" s="373" t="str">
        <f t="shared" si="1"/>
        <v/>
      </c>
      <c r="B850" s="421" t="s">
        <v>289</v>
      </c>
      <c r="C850" s="406"/>
      <c r="D850" s="406"/>
      <c r="E850" s="406"/>
      <c r="F850" s="395" t="s">
        <v>289</v>
      </c>
      <c r="G850" s="406"/>
      <c r="H850" s="406"/>
      <c r="I850" s="378" t="s">
        <v>289</v>
      </c>
      <c r="J850" s="379" t="s">
        <v>289</v>
      </c>
      <c r="K850" s="407"/>
      <c r="L850" s="378" t="s">
        <v>289</v>
      </c>
      <c r="M850" s="378" t="s">
        <v>289</v>
      </c>
      <c r="N850" s="378" t="s">
        <v>289</v>
      </c>
      <c r="O850" s="409"/>
      <c r="P850" s="387" t="s">
        <v>289</v>
      </c>
      <c r="Q850" s="383"/>
      <c r="R850" s="383"/>
      <c r="S850" s="383"/>
      <c r="T850" s="410"/>
      <c r="U850" s="406"/>
      <c r="V850" s="386"/>
      <c r="W850" s="387" t="s">
        <v>289</v>
      </c>
      <c r="X850" s="378" t="s">
        <v>289</v>
      </c>
      <c r="Y850" s="387" t="s">
        <v>289</v>
      </c>
      <c r="Z850" s="391" t="s">
        <v>289</v>
      </c>
      <c r="AA850" s="391" t="s">
        <v>289</v>
      </c>
      <c r="AB850" s="391" t="s">
        <v>289</v>
      </c>
      <c r="AC850" s="391" t="s">
        <v>289</v>
      </c>
      <c r="AD850" s="395" t="s">
        <v>289</v>
      </c>
      <c r="AE850" s="395"/>
      <c r="AF850" s="395"/>
      <c r="AG850" s="395"/>
      <c r="AH850" s="395"/>
    </row>
    <row r="851" ht="30.75" customHeight="1">
      <c r="A851" s="373" t="str">
        <f t="shared" si="1"/>
        <v/>
      </c>
      <c r="B851" s="421" t="s">
        <v>289</v>
      </c>
      <c r="C851" s="406"/>
      <c r="D851" s="406"/>
      <c r="E851" s="406"/>
      <c r="F851" s="395" t="s">
        <v>289</v>
      </c>
      <c r="G851" s="406"/>
      <c r="H851" s="406"/>
      <c r="I851" s="378" t="s">
        <v>289</v>
      </c>
      <c r="J851" s="379" t="s">
        <v>289</v>
      </c>
      <c r="K851" s="407"/>
      <c r="L851" s="378" t="s">
        <v>289</v>
      </c>
      <c r="M851" s="378" t="s">
        <v>289</v>
      </c>
      <c r="N851" s="378" t="s">
        <v>289</v>
      </c>
      <c r="O851" s="409"/>
      <c r="P851" s="387" t="s">
        <v>289</v>
      </c>
      <c r="Q851" s="383"/>
      <c r="R851" s="383"/>
      <c r="S851" s="383"/>
      <c r="T851" s="410"/>
      <c r="U851" s="406"/>
      <c r="V851" s="386"/>
      <c r="W851" s="387" t="s">
        <v>289</v>
      </c>
      <c r="X851" s="378" t="s">
        <v>289</v>
      </c>
      <c r="Y851" s="387" t="s">
        <v>289</v>
      </c>
      <c r="Z851" s="391" t="s">
        <v>289</v>
      </c>
      <c r="AA851" s="391" t="s">
        <v>289</v>
      </c>
      <c r="AB851" s="391" t="s">
        <v>289</v>
      </c>
      <c r="AC851" s="391" t="s">
        <v>289</v>
      </c>
      <c r="AD851" s="395" t="s">
        <v>289</v>
      </c>
      <c r="AE851" s="395"/>
      <c r="AF851" s="395"/>
      <c r="AG851" s="395"/>
      <c r="AH851" s="395"/>
    </row>
    <row r="852" ht="30.75" customHeight="1">
      <c r="A852" s="373" t="str">
        <f t="shared" si="1"/>
        <v/>
      </c>
      <c r="B852" s="421" t="s">
        <v>289</v>
      </c>
      <c r="C852" s="406"/>
      <c r="D852" s="406"/>
      <c r="E852" s="406"/>
      <c r="F852" s="395" t="s">
        <v>289</v>
      </c>
      <c r="G852" s="406"/>
      <c r="H852" s="406"/>
      <c r="I852" s="378" t="s">
        <v>289</v>
      </c>
      <c r="J852" s="379" t="s">
        <v>289</v>
      </c>
      <c r="K852" s="407"/>
      <c r="L852" s="378" t="s">
        <v>289</v>
      </c>
      <c r="M852" s="378" t="s">
        <v>289</v>
      </c>
      <c r="N852" s="378" t="s">
        <v>289</v>
      </c>
      <c r="O852" s="409"/>
      <c r="P852" s="387" t="s">
        <v>289</v>
      </c>
      <c r="Q852" s="383"/>
      <c r="R852" s="383"/>
      <c r="S852" s="383"/>
      <c r="T852" s="410"/>
      <c r="U852" s="406"/>
      <c r="V852" s="386"/>
      <c r="W852" s="387" t="s">
        <v>289</v>
      </c>
      <c r="X852" s="378" t="s">
        <v>289</v>
      </c>
      <c r="Y852" s="387" t="s">
        <v>289</v>
      </c>
      <c r="Z852" s="391" t="s">
        <v>289</v>
      </c>
      <c r="AA852" s="391" t="s">
        <v>289</v>
      </c>
      <c r="AB852" s="391" t="s">
        <v>289</v>
      </c>
      <c r="AC852" s="391" t="s">
        <v>289</v>
      </c>
      <c r="AD852" s="395" t="s">
        <v>289</v>
      </c>
      <c r="AE852" s="395"/>
      <c r="AF852" s="395"/>
      <c r="AG852" s="395"/>
      <c r="AH852" s="395"/>
    </row>
    <row r="853" ht="30.75" customHeight="1">
      <c r="A853" s="373" t="str">
        <f t="shared" si="1"/>
        <v/>
      </c>
      <c r="B853" s="421" t="s">
        <v>289</v>
      </c>
      <c r="C853" s="406"/>
      <c r="D853" s="406"/>
      <c r="E853" s="406"/>
      <c r="F853" s="395" t="s">
        <v>289</v>
      </c>
      <c r="G853" s="406"/>
      <c r="H853" s="406"/>
      <c r="I853" s="378" t="s">
        <v>289</v>
      </c>
      <c r="J853" s="379" t="s">
        <v>289</v>
      </c>
      <c r="K853" s="407"/>
      <c r="L853" s="378" t="s">
        <v>289</v>
      </c>
      <c r="M853" s="378" t="s">
        <v>289</v>
      </c>
      <c r="N853" s="378" t="s">
        <v>289</v>
      </c>
      <c r="O853" s="409"/>
      <c r="P853" s="387" t="s">
        <v>289</v>
      </c>
      <c r="Q853" s="383"/>
      <c r="R853" s="383"/>
      <c r="S853" s="383"/>
      <c r="T853" s="410"/>
      <c r="U853" s="406"/>
      <c r="V853" s="386"/>
      <c r="W853" s="387" t="s">
        <v>289</v>
      </c>
      <c r="X853" s="378" t="s">
        <v>289</v>
      </c>
      <c r="Y853" s="387" t="s">
        <v>289</v>
      </c>
      <c r="Z853" s="391" t="s">
        <v>289</v>
      </c>
      <c r="AA853" s="391" t="s">
        <v>289</v>
      </c>
      <c r="AB853" s="391" t="s">
        <v>289</v>
      </c>
      <c r="AC853" s="391" t="s">
        <v>289</v>
      </c>
      <c r="AD853" s="395" t="s">
        <v>289</v>
      </c>
      <c r="AE853" s="395"/>
      <c r="AF853" s="395"/>
      <c r="AG853" s="395"/>
      <c r="AH853" s="395"/>
    </row>
    <row r="854" ht="30.75" customHeight="1">
      <c r="A854" s="373" t="str">
        <f t="shared" si="1"/>
        <v/>
      </c>
      <c r="B854" s="421" t="s">
        <v>289</v>
      </c>
      <c r="C854" s="406"/>
      <c r="D854" s="406"/>
      <c r="E854" s="406"/>
      <c r="F854" s="395" t="s">
        <v>289</v>
      </c>
      <c r="G854" s="406"/>
      <c r="H854" s="406"/>
      <c r="I854" s="378" t="s">
        <v>289</v>
      </c>
      <c r="J854" s="379" t="s">
        <v>289</v>
      </c>
      <c r="K854" s="407"/>
      <c r="L854" s="378" t="s">
        <v>289</v>
      </c>
      <c r="M854" s="378" t="s">
        <v>289</v>
      </c>
      <c r="N854" s="378" t="s">
        <v>289</v>
      </c>
      <c r="O854" s="409"/>
      <c r="P854" s="387" t="s">
        <v>289</v>
      </c>
      <c r="Q854" s="383"/>
      <c r="R854" s="383"/>
      <c r="S854" s="383"/>
      <c r="T854" s="410"/>
      <c r="U854" s="406"/>
      <c r="V854" s="386"/>
      <c r="W854" s="387" t="s">
        <v>289</v>
      </c>
      <c r="X854" s="378" t="s">
        <v>289</v>
      </c>
      <c r="Y854" s="387" t="s">
        <v>289</v>
      </c>
      <c r="Z854" s="391" t="s">
        <v>289</v>
      </c>
      <c r="AA854" s="391" t="s">
        <v>289</v>
      </c>
      <c r="AB854" s="391" t="s">
        <v>289</v>
      </c>
      <c r="AC854" s="391" t="s">
        <v>289</v>
      </c>
      <c r="AD854" s="395" t="s">
        <v>289</v>
      </c>
      <c r="AE854" s="395"/>
      <c r="AF854" s="395"/>
      <c r="AG854" s="395"/>
      <c r="AH854" s="395"/>
    </row>
    <row r="855" ht="30.75" customHeight="1">
      <c r="A855" s="373" t="str">
        <f t="shared" si="1"/>
        <v/>
      </c>
      <c r="B855" s="421" t="s">
        <v>289</v>
      </c>
      <c r="C855" s="406"/>
      <c r="D855" s="406"/>
      <c r="E855" s="406"/>
      <c r="F855" s="395" t="s">
        <v>289</v>
      </c>
      <c r="G855" s="406"/>
      <c r="H855" s="406"/>
      <c r="I855" s="378" t="s">
        <v>289</v>
      </c>
      <c r="J855" s="379" t="s">
        <v>289</v>
      </c>
      <c r="K855" s="407"/>
      <c r="L855" s="378" t="s">
        <v>289</v>
      </c>
      <c r="M855" s="378" t="s">
        <v>289</v>
      </c>
      <c r="N855" s="378" t="s">
        <v>289</v>
      </c>
      <c r="O855" s="409"/>
      <c r="P855" s="387" t="s">
        <v>289</v>
      </c>
      <c r="Q855" s="383"/>
      <c r="R855" s="383"/>
      <c r="S855" s="383"/>
      <c r="T855" s="410"/>
      <c r="U855" s="406"/>
      <c r="V855" s="386"/>
      <c r="W855" s="387" t="s">
        <v>289</v>
      </c>
      <c r="X855" s="378" t="s">
        <v>289</v>
      </c>
      <c r="Y855" s="387" t="s">
        <v>289</v>
      </c>
      <c r="Z855" s="391" t="s">
        <v>289</v>
      </c>
      <c r="AA855" s="391" t="s">
        <v>289</v>
      </c>
      <c r="AB855" s="391" t="s">
        <v>289</v>
      </c>
      <c r="AC855" s="391" t="s">
        <v>289</v>
      </c>
      <c r="AD855" s="395" t="s">
        <v>289</v>
      </c>
      <c r="AE855" s="395"/>
      <c r="AF855" s="395"/>
      <c r="AG855" s="395"/>
      <c r="AH855" s="395"/>
    </row>
    <row r="856" ht="30.75" customHeight="1">
      <c r="A856" s="373" t="str">
        <f t="shared" si="1"/>
        <v/>
      </c>
      <c r="B856" s="421" t="s">
        <v>289</v>
      </c>
      <c r="C856" s="406"/>
      <c r="D856" s="406"/>
      <c r="E856" s="406"/>
      <c r="F856" s="395" t="s">
        <v>289</v>
      </c>
      <c r="G856" s="406"/>
      <c r="H856" s="406"/>
      <c r="I856" s="378" t="s">
        <v>289</v>
      </c>
      <c r="J856" s="379" t="s">
        <v>289</v>
      </c>
      <c r="K856" s="407"/>
      <c r="L856" s="378" t="s">
        <v>289</v>
      </c>
      <c r="M856" s="378" t="s">
        <v>289</v>
      </c>
      <c r="N856" s="378" t="s">
        <v>289</v>
      </c>
      <c r="O856" s="409"/>
      <c r="P856" s="387" t="s">
        <v>289</v>
      </c>
      <c r="Q856" s="383"/>
      <c r="R856" s="383"/>
      <c r="S856" s="383"/>
      <c r="T856" s="410"/>
      <c r="U856" s="406"/>
      <c r="V856" s="386"/>
      <c r="W856" s="387" t="s">
        <v>289</v>
      </c>
      <c r="X856" s="378" t="s">
        <v>289</v>
      </c>
      <c r="Y856" s="387" t="s">
        <v>289</v>
      </c>
      <c r="Z856" s="391" t="s">
        <v>289</v>
      </c>
      <c r="AA856" s="391" t="s">
        <v>289</v>
      </c>
      <c r="AB856" s="391" t="s">
        <v>289</v>
      </c>
      <c r="AC856" s="391" t="s">
        <v>289</v>
      </c>
      <c r="AD856" s="395" t="s">
        <v>289</v>
      </c>
      <c r="AE856" s="395"/>
      <c r="AF856" s="395"/>
      <c r="AG856" s="395"/>
      <c r="AH856" s="395"/>
    </row>
    <row r="857" ht="30.75" customHeight="1">
      <c r="A857" s="373" t="str">
        <f t="shared" si="1"/>
        <v/>
      </c>
      <c r="B857" s="421" t="s">
        <v>289</v>
      </c>
      <c r="C857" s="406"/>
      <c r="D857" s="406"/>
      <c r="E857" s="406"/>
      <c r="F857" s="395" t="s">
        <v>289</v>
      </c>
      <c r="G857" s="406"/>
      <c r="H857" s="406"/>
      <c r="I857" s="378" t="s">
        <v>289</v>
      </c>
      <c r="J857" s="379" t="s">
        <v>289</v>
      </c>
      <c r="K857" s="407"/>
      <c r="L857" s="378" t="s">
        <v>289</v>
      </c>
      <c r="M857" s="378" t="s">
        <v>289</v>
      </c>
      <c r="N857" s="378" t="s">
        <v>289</v>
      </c>
      <c r="O857" s="409"/>
      <c r="P857" s="387" t="s">
        <v>289</v>
      </c>
      <c r="Q857" s="383"/>
      <c r="R857" s="383"/>
      <c r="S857" s="383"/>
      <c r="T857" s="410"/>
      <c r="U857" s="406"/>
      <c r="V857" s="386"/>
      <c r="W857" s="387" t="s">
        <v>289</v>
      </c>
      <c r="X857" s="378" t="s">
        <v>289</v>
      </c>
      <c r="Y857" s="387" t="s">
        <v>289</v>
      </c>
      <c r="Z857" s="391" t="s">
        <v>289</v>
      </c>
      <c r="AA857" s="391" t="s">
        <v>289</v>
      </c>
      <c r="AB857" s="391" t="s">
        <v>289</v>
      </c>
      <c r="AC857" s="391" t="s">
        <v>289</v>
      </c>
      <c r="AD857" s="395" t="s">
        <v>289</v>
      </c>
      <c r="AE857" s="395"/>
      <c r="AF857" s="395"/>
      <c r="AG857" s="395"/>
      <c r="AH857" s="395"/>
    </row>
    <row r="858" ht="30.75" customHeight="1">
      <c r="A858" s="373" t="str">
        <f t="shared" si="1"/>
        <v/>
      </c>
      <c r="B858" s="421" t="s">
        <v>289</v>
      </c>
      <c r="C858" s="406"/>
      <c r="D858" s="406"/>
      <c r="E858" s="406"/>
      <c r="F858" s="395" t="s">
        <v>289</v>
      </c>
      <c r="G858" s="406"/>
      <c r="H858" s="406"/>
      <c r="I858" s="378" t="s">
        <v>289</v>
      </c>
      <c r="J858" s="379" t="s">
        <v>289</v>
      </c>
      <c r="K858" s="407"/>
      <c r="L858" s="378" t="s">
        <v>289</v>
      </c>
      <c r="M858" s="378" t="s">
        <v>289</v>
      </c>
      <c r="N858" s="378" t="s">
        <v>289</v>
      </c>
      <c r="O858" s="409"/>
      <c r="P858" s="387" t="s">
        <v>289</v>
      </c>
      <c r="Q858" s="383"/>
      <c r="R858" s="383"/>
      <c r="S858" s="383"/>
      <c r="T858" s="410"/>
      <c r="U858" s="406"/>
      <c r="V858" s="386"/>
      <c r="W858" s="387" t="s">
        <v>289</v>
      </c>
      <c r="X858" s="378" t="s">
        <v>289</v>
      </c>
      <c r="Y858" s="387" t="s">
        <v>289</v>
      </c>
      <c r="Z858" s="391" t="s">
        <v>289</v>
      </c>
      <c r="AA858" s="391" t="s">
        <v>289</v>
      </c>
      <c r="AB858" s="391" t="s">
        <v>289</v>
      </c>
      <c r="AC858" s="391" t="s">
        <v>289</v>
      </c>
      <c r="AD858" s="395" t="s">
        <v>289</v>
      </c>
      <c r="AE858" s="395"/>
      <c r="AF858" s="395"/>
      <c r="AG858" s="395"/>
      <c r="AH858" s="395"/>
    </row>
    <row r="859" ht="30.75" customHeight="1">
      <c r="A859" s="373" t="str">
        <f t="shared" si="1"/>
        <v/>
      </c>
      <c r="B859" s="421" t="s">
        <v>289</v>
      </c>
      <c r="C859" s="406"/>
      <c r="D859" s="406"/>
      <c r="E859" s="406"/>
      <c r="F859" s="395" t="s">
        <v>289</v>
      </c>
      <c r="G859" s="406"/>
      <c r="H859" s="406"/>
      <c r="I859" s="378" t="s">
        <v>289</v>
      </c>
      <c r="J859" s="379" t="s">
        <v>289</v>
      </c>
      <c r="K859" s="407"/>
      <c r="L859" s="378" t="s">
        <v>289</v>
      </c>
      <c r="M859" s="378" t="s">
        <v>289</v>
      </c>
      <c r="N859" s="378" t="s">
        <v>289</v>
      </c>
      <c r="O859" s="409"/>
      <c r="P859" s="387" t="s">
        <v>289</v>
      </c>
      <c r="Q859" s="383"/>
      <c r="R859" s="383"/>
      <c r="S859" s="383"/>
      <c r="T859" s="410"/>
      <c r="U859" s="406"/>
      <c r="V859" s="386"/>
      <c r="W859" s="387" t="s">
        <v>289</v>
      </c>
      <c r="X859" s="378" t="s">
        <v>289</v>
      </c>
      <c r="Y859" s="387" t="s">
        <v>289</v>
      </c>
      <c r="Z859" s="391" t="s">
        <v>289</v>
      </c>
      <c r="AA859" s="391" t="s">
        <v>289</v>
      </c>
      <c r="AB859" s="391" t="s">
        <v>289</v>
      </c>
      <c r="AC859" s="391" t="s">
        <v>289</v>
      </c>
      <c r="AD859" s="395" t="s">
        <v>289</v>
      </c>
      <c r="AE859" s="395"/>
      <c r="AF859" s="395"/>
      <c r="AG859" s="395"/>
      <c r="AH859" s="395"/>
    </row>
    <row r="860" ht="30.75" customHeight="1">
      <c r="A860" s="373" t="str">
        <f t="shared" si="1"/>
        <v/>
      </c>
      <c r="B860" s="421" t="s">
        <v>289</v>
      </c>
      <c r="C860" s="406"/>
      <c r="D860" s="406"/>
      <c r="E860" s="406"/>
      <c r="F860" s="395" t="s">
        <v>289</v>
      </c>
      <c r="G860" s="406"/>
      <c r="H860" s="406"/>
      <c r="I860" s="378" t="s">
        <v>289</v>
      </c>
      <c r="J860" s="379" t="s">
        <v>289</v>
      </c>
      <c r="K860" s="407"/>
      <c r="L860" s="378" t="s">
        <v>289</v>
      </c>
      <c r="M860" s="378" t="s">
        <v>289</v>
      </c>
      <c r="N860" s="378" t="s">
        <v>289</v>
      </c>
      <c r="O860" s="409"/>
      <c r="P860" s="387" t="s">
        <v>289</v>
      </c>
      <c r="Q860" s="383"/>
      <c r="R860" s="383"/>
      <c r="S860" s="383"/>
      <c r="T860" s="410"/>
      <c r="U860" s="406"/>
      <c r="V860" s="386"/>
      <c r="W860" s="387" t="s">
        <v>289</v>
      </c>
      <c r="X860" s="378" t="s">
        <v>289</v>
      </c>
      <c r="Y860" s="387" t="s">
        <v>289</v>
      </c>
      <c r="Z860" s="391" t="s">
        <v>289</v>
      </c>
      <c r="AA860" s="391" t="s">
        <v>289</v>
      </c>
      <c r="AB860" s="391" t="s">
        <v>289</v>
      </c>
      <c r="AC860" s="391" t="s">
        <v>289</v>
      </c>
      <c r="AD860" s="395" t="s">
        <v>289</v>
      </c>
      <c r="AE860" s="395"/>
      <c r="AF860" s="395"/>
      <c r="AG860" s="395"/>
      <c r="AH860" s="395"/>
    </row>
    <row r="861" ht="30.75" customHeight="1">
      <c r="A861" s="373" t="str">
        <f t="shared" si="1"/>
        <v/>
      </c>
      <c r="B861" s="421" t="s">
        <v>289</v>
      </c>
      <c r="C861" s="406"/>
      <c r="D861" s="406"/>
      <c r="E861" s="406"/>
      <c r="F861" s="395" t="s">
        <v>289</v>
      </c>
      <c r="G861" s="406"/>
      <c r="H861" s="406"/>
      <c r="I861" s="378" t="s">
        <v>289</v>
      </c>
      <c r="J861" s="379" t="s">
        <v>289</v>
      </c>
      <c r="K861" s="407"/>
      <c r="L861" s="378" t="s">
        <v>289</v>
      </c>
      <c r="M861" s="378" t="s">
        <v>289</v>
      </c>
      <c r="N861" s="378" t="s">
        <v>289</v>
      </c>
      <c r="O861" s="409"/>
      <c r="P861" s="387" t="s">
        <v>289</v>
      </c>
      <c r="Q861" s="383"/>
      <c r="R861" s="383"/>
      <c r="S861" s="383"/>
      <c r="T861" s="410"/>
      <c r="U861" s="406"/>
      <c r="V861" s="386"/>
      <c r="W861" s="387" t="s">
        <v>289</v>
      </c>
      <c r="X861" s="378" t="s">
        <v>289</v>
      </c>
      <c r="Y861" s="387" t="s">
        <v>289</v>
      </c>
      <c r="Z861" s="391" t="s">
        <v>289</v>
      </c>
      <c r="AA861" s="391" t="s">
        <v>289</v>
      </c>
      <c r="AB861" s="391" t="s">
        <v>289</v>
      </c>
      <c r="AC861" s="391" t="s">
        <v>289</v>
      </c>
      <c r="AD861" s="395" t="s">
        <v>289</v>
      </c>
      <c r="AE861" s="395"/>
      <c r="AF861" s="395"/>
      <c r="AG861" s="395"/>
      <c r="AH861" s="395"/>
    </row>
    <row r="862" ht="30.75" customHeight="1">
      <c r="A862" s="373" t="str">
        <f t="shared" si="1"/>
        <v/>
      </c>
      <c r="B862" s="421" t="s">
        <v>289</v>
      </c>
      <c r="C862" s="406"/>
      <c r="D862" s="406"/>
      <c r="E862" s="406"/>
      <c r="F862" s="395" t="s">
        <v>289</v>
      </c>
      <c r="G862" s="406"/>
      <c r="H862" s="406"/>
      <c r="I862" s="378" t="s">
        <v>289</v>
      </c>
      <c r="J862" s="379" t="s">
        <v>289</v>
      </c>
      <c r="K862" s="407"/>
      <c r="L862" s="378" t="s">
        <v>289</v>
      </c>
      <c r="M862" s="378" t="s">
        <v>289</v>
      </c>
      <c r="N862" s="378" t="s">
        <v>289</v>
      </c>
      <c r="O862" s="409"/>
      <c r="P862" s="387" t="s">
        <v>289</v>
      </c>
      <c r="Q862" s="383"/>
      <c r="R862" s="383"/>
      <c r="S862" s="383"/>
      <c r="T862" s="410"/>
      <c r="U862" s="406"/>
      <c r="V862" s="386"/>
      <c r="W862" s="387" t="s">
        <v>289</v>
      </c>
      <c r="X862" s="378" t="s">
        <v>289</v>
      </c>
      <c r="Y862" s="387" t="s">
        <v>289</v>
      </c>
      <c r="Z862" s="391" t="s">
        <v>289</v>
      </c>
      <c r="AA862" s="391" t="s">
        <v>289</v>
      </c>
      <c r="AB862" s="391" t="s">
        <v>289</v>
      </c>
      <c r="AC862" s="391" t="s">
        <v>289</v>
      </c>
      <c r="AD862" s="395" t="s">
        <v>289</v>
      </c>
      <c r="AE862" s="395"/>
      <c r="AF862" s="395"/>
      <c r="AG862" s="395"/>
      <c r="AH862" s="395"/>
    </row>
    <row r="863" ht="30.75" customHeight="1">
      <c r="A863" s="373" t="str">
        <f t="shared" si="1"/>
        <v/>
      </c>
      <c r="B863" s="421" t="s">
        <v>289</v>
      </c>
      <c r="C863" s="406"/>
      <c r="D863" s="406"/>
      <c r="E863" s="406"/>
      <c r="F863" s="395" t="s">
        <v>289</v>
      </c>
      <c r="G863" s="406"/>
      <c r="H863" s="406"/>
      <c r="I863" s="378" t="s">
        <v>289</v>
      </c>
      <c r="J863" s="379" t="s">
        <v>289</v>
      </c>
      <c r="K863" s="407"/>
      <c r="L863" s="378" t="s">
        <v>289</v>
      </c>
      <c r="M863" s="378" t="s">
        <v>289</v>
      </c>
      <c r="N863" s="378" t="s">
        <v>289</v>
      </c>
      <c r="O863" s="409"/>
      <c r="P863" s="387" t="s">
        <v>289</v>
      </c>
      <c r="Q863" s="383"/>
      <c r="R863" s="383"/>
      <c r="S863" s="383"/>
      <c r="T863" s="410"/>
      <c r="U863" s="406"/>
      <c r="V863" s="386"/>
      <c r="W863" s="387" t="s">
        <v>289</v>
      </c>
      <c r="X863" s="378" t="s">
        <v>289</v>
      </c>
      <c r="Y863" s="387" t="s">
        <v>289</v>
      </c>
      <c r="Z863" s="391" t="s">
        <v>289</v>
      </c>
      <c r="AA863" s="391" t="s">
        <v>289</v>
      </c>
      <c r="AB863" s="391" t="s">
        <v>289</v>
      </c>
      <c r="AC863" s="391" t="s">
        <v>289</v>
      </c>
      <c r="AD863" s="395" t="s">
        <v>289</v>
      </c>
      <c r="AE863" s="395"/>
      <c r="AF863" s="395"/>
      <c r="AG863" s="395"/>
      <c r="AH863" s="395"/>
    </row>
    <row r="864" ht="30.75" customHeight="1">
      <c r="A864" s="373" t="str">
        <f t="shared" si="1"/>
        <v/>
      </c>
      <c r="B864" s="421" t="s">
        <v>289</v>
      </c>
      <c r="C864" s="406"/>
      <c r="D864" s="406"/>
      <c r="E864" s="406"/>
      <c r="F864" s="395" t="s">
        <v>289</v>
      </c>
      <c r="G864" s="406"/>
      <c r="H864" s="406"/>
      <c r="I864" s="378" t="s">
        <v>289</v>
      </c>
      <c r="J864" s="379" t="s">
        <v>289</v>
      </c>
      <c r="K864" s="407"/>
      <c r="L864" s="378" t="s">
        <v>289</v>
      </c>
      <c r="M864" s="378" t="s">
        <v>289</v>
      </c>
      <c r="N864" s="378" t="s">
        <v>289</v>
      </c>
      <c r="O864" s="409"/>
      <c r="P864" s="387" t="s">
        <v>289</v>
      </c>
      <c r="Q864" s="383"/>
      <c r="R864" s="383"/>
      <c r="S864" s="383"/>
      <c r="T864" s="410"/>
      <c r="U864" s="406"/>
      <c r="V864" s="386"/>
      <c r="W864" s="387" t="s">
        <v>289</v>
      </c>
      <c r="X864" s="378" t="s">
        <v>289</v>
      </c>
      <c r="Y864" s="387" t="s">
        <v>289</v>
      </c>
      <c r="Z864" s="391" t="s">
        <v>289</v>
      </c>
      <c r="AA864" s="391" t="s">
        <v>289</v>
      </c>
      <c r="AB864" s="391" t="s">
        <v>289</v>
      </c>
      <c r="AC864" s="391" t="s">
        <v>289</v>
      </c>
      <c r="AD864" s="395" t="s">
        <v>289</v>
      </c>
      <c r="AE864" s="395"/>
      <c r="AF864" s="395"/>
      <c r="AG864" s="395"/>
      <c r="AH864" s="395"/>
    </row>
    <row r="865" ht="30.75" customHeight="1">
      <c r="A865" s="373" t="str">
        <f t="shared" si="1"/>
        <v/>
      </c>
      <c r="B865" s="421" t="s">
        <v>289</v>
      </c>
      <c r="C865" s="406"/>
      <c r="D865" s="406"/>
      <c r="E865" s="406"/>
      <c r="F865" s="395" t="s">
        <v>289</v>
      </c>
      <c r="G865" s="406"/>
      <c r="H865" s="406"/>
      <c r="I865" s="378" t="s">
        <v>289</v>
      </c>
      <c r="J865" s="379" t="s">
        <v>289</v>
      </c>
      <c r="K865" s="407"/>
      <c r="L865" s="378" t="s">
        <v>289</v>
      </c>
      <c r="M865" s="378" t="s">
        <v>289</v>
      </c>
      <c r="N865" s="378" t="s">
        <v>289</v>
      </c>
      <c r="O865" s="409"/>
      <c r="P865" s="387" t="s">
        <v>289</v>
      </c>
      <c r="Q865" s="383"/>
      <c r="R865" s="383"/>
      <c r="S865" s="383"/>
      <c r="T865" s="410"/>
      <c r="U865" s="406"/>
      <c r="V865" s="386"/>
      <c r="W865" s="387" t="s">
        <v>289</v>
      </c>
      <c r="X865" s="378" t="s">
        <v>289</v>
      </c>
      <c r="Y865" s="387" t="s">
        <v>289</v>
      </c>
      <c r="Z865" s="391" t="s">
        <v>289</v>
      </c>
      <c r="AA865" s="391" t="s">
        <v>289</v>
      </c>
      <c r="AB865" s="391" t="s">
        <v>289</v>
      </c>
      <c r="AC865" s="391" t="s">
        <v>289</v>
      </c>
      <c r="AD865" s="395" t="s">
        <v>289</v>
      </c>
      <c r="AE865" s="395"/>
      <c r="AF865" s="395"/>
      <c r="AG865" s="395"/>
      <c r="AH865" s="395"/>
    </row>
    <row r="866" ht="30.75" customHeight="1">
      <c r="A866" s="373" t="str">
        <f t="shared" si="1"/>
        <v/>
      </c>
      <c r="B866" s="421" t="s">
        <v>289</v>
      </c>
      <c r="C866" s="406"/>
      <c r="D866" s="406"/>
      <c r="E866" s="406"/>
      <c r="F866" s="395" t="s">
        <v>289</v>
      </c>
      <c r="G866" s="406"/>
      <c r="H866" s="406"/>
      <c r="I866" s="378" t="s">
        <v>289</v>
      </c>
      <c r="J866" s="379" t="s">
        <v>289</v>
      </c>
      <c r="K866" s="407"/>
      <c r="L866" s="378" t="s">
        <v>289</v>
      </c>
      <c r="M866" s="378" t="s">
        <v>289</v>
      </c>
      <c r="N866" s="378" t="s">
        <v>289</v>
      </c>
      <c r="O866" s="409"/>
      <c r="P866" s="387" t="s">
        <v>289</v>
      </c>
      <c r="Q866" s="383"/>
      <c r="R866" s="383"/>
      <c r="S866" s="383"/>
      <c r="T866" s="410"/>
      <c r="U866" s="406"/>
      <c r="V866" s="386"/>
      <c r="W866" s="387" t="s">
        <v>289</v>
      </c>
      <c r="X866" s="378" t="s">
        <v>289</v>
      </c>
      <c r="Y866" s="387" t="s">
        <v>289</v>
      </c>
      <c r="Z866" s="391" t="s">
        <v>289</v>
      </c>
      <c r="AA866" s="391" t="s">
        <v>289</v>
      </c>
      <c r="AB866" s="391" t="s">
        <v>289</v>
      </c>
      <c r="AC866" s="391" t="s">
        <v>289</v>
      </c>
      <c r="AD866" s="395" t="s">
        <v>289</v>
      </c>
      <c r="AE866" s="395"/>
      <c r="AF866" s="395"/>
      <c r="AG866" s="395"/>
      <c r="AH866" s="395"/>
    </row>
    <row r="867" ht="30.75" customHeight="1">
      <c r="A867" s="373" t="str">
        <f t="shared" si="1"/>
        <v/>
      </c>
      <c r="B867" s="421" t="s">
        <v>289</v>
      </c>
      <c r="C867" s="406"/>
      <c r="D867" s="406"/>
      <c r="E867" s="406"/>
      <c r="F867" s="395" t="s">
        <v>289</v>
      </c>
      <c r="G867" s="406"/>
      <c r="H867" s="406"/>
      <c r="I867" s="378" t="s">
        <v>289</v>
      </c>
      <c r="J867" s="379" t="s">
        <v>289</v>
      </c>
      <c r="K867" s="407"/>
      <c r="L867" s="378" t="s">
        <v>289</v>
      </c>
      <c r="M867" s="378" t="s">
        <v>289</v>
      </c>
      <c r="N867" s="378" t="s">
        <v>289</v>
      </c>
      <c r="O867" s="409"/>
      <c r="P867" s="387" t="s">
        <v>289</v>
      </c>
      <c r="Q867" s="383"/>
      <c r="R867" s="383"/>
      <c r="S867" s="383"/>
      <c r="T867" s="410"/>
      <c r="U867" s="406"/>
      <c r="V867" s="386"/>
      <c r="W867" s="387" t="s">
        <v>289</v>
      </c>
      <c r="X867" s="378" t="s">
        <v>289</v>
      </c>
      <c r="Y867" s="387" t="s">
        <v>289</v>
      </c>
      <c r="Z867" s="391" t="s">
        <v>289</v>
      </c>
      <c r="AA867" s="391" t="s">
        <v>289</v>
      </c>
      <c r="AB867" s="391" t="s">
        <v>289</v>
      </c>
      <c r="AC867" s="391" t="s">
        <v>289</v>
      </c>
      <c r="AD867" s="395" t="s">
        <v>289</v>
      </c>
      <c r="AE867" s="395"/>
      <c r="AF867" s="395"/>
      <c r="AG867" s="395"/>
      <c r="AH867" s="395"/>
    </row>
    <row r="868" ht="30.75" customHeight="1">
      <c r="A868" s="373" t="str">
        <f t="shared" si="1"/>
        <v/>
      </c>
      <c r="B868" s="421" t="s">
        <v>289</v>
      </c>
      <c r="C868" s="406"/>
      <c r="D868" s="406"/>
      <c r="E868" s="406"/>
      <c r="F868" s="395" t="s">
        <v>289</v>
      </c>
      <c r="G868" s="406"/>
      <c r="H868" s="406"/>
      <c r="I868" s="378" t="s">
        <v>289</v>
      </c>
      <c r="J868" s="379" t="s">
        <v>289</v>
      </c>
      <c r="K868" s="407"/>
      <c r="L868" s="378" t="s">
        <v>289</v>
      </c>
      <c r="M868" s="378" t="s">
        <v>289</v>
      </c>
      <c r="N868" s="378" t="s">
        <v>289</v>
      </c>
      <c r="O868" s="409"/>
      <c r="P868" s="387" t="s">
        <v>289</v>
      </c>
      <c r="Q868" s="383"/>
      <c r="R868" s="383"/>
      <c r="S868" s="383"/>
      <c r="T868" s="410"/>
      <c r="U868" s="406"/>
      <c r="V868" s="386"/>
      <c r="W868" s="387" t="s">
        <v>289</v>
      </c>
      <c r="X868" s="378" t="s">
        <v>289</v>
      </c>
      <c r="Y868" s="387" t="s">
        <v>289</v>
      </c>
      <c r="Z868" s="391" t="s">
        <v>289</v>
      </c>
      <c r="AA868" s="391" t="s">
        <v>289</v>
      </c>
      <c r="AB868" s="391" t="s">
        <v>289</v>
      </c>
      <c r="AC868" s="391" t="s">
        <v>289</v>
      </c>
      <c r="AD868" s="395" t="s">
        <v>289</v>
      </c>
      <c r="AE868" s="395"/>
      <c r="AF868" s="395"/>
      <c r="AG868" s="395"/>
      <c r="AH868" s="395"/>
    </row>
    <row r="869" ht="30.75" customHeight="1">
      <c r="A869" s="373" t="str">
        <f t="shared" si="1"/>
        <v/>
      </c>
      <c r="B869" s="421" t="s">
        <v>289</v>
      </c>
      <c r="C869" s="406"/>
      <c r="D869" s="406"/>
      <c r="E869" s="406"/>
      <c r="F869" s="395" t="s">
        <v>289</v>
      </c>
      <c r="G869" s="406"/>
      <c r="H869" s="406"/>
      <c r="I869" s="378" t="s">
        <v>289</v>
      </c>
      <c r="J869" s="379" t="s">
        <v>289</v>
      </c>
      <c r="K869" s="407"/>
      <c r="L869" s="378" t="s">
        <v>289</v>
      </c>
      <c r="M869" s="378" t="s">
        <v>289</v>
      </c>
      <c r="N869" s="378" t="s">
        <v>289</v>
      </c>
      <c r="O869" s="409"/>
      <c r="P869" s="387" t="s">
        <v>289</v>
      </c>
      <c r="Q869" s="383"/>
      <c r="R869" s="383"/>
      <c r="S869" s="383"/>
      <c r="T869" s="410"/>
      <c r="U869" s="406"/>
      <c r="V869" s="386"/>
      <c r="W869" s="387" t="s">
        <v>289</v>
      </c>
      <c r="X869" s="378" t="s">
        <v>289</v>
      </c>
      <c r="Y869" s="387" t="s">
        <v>289</v>
      </c>
      <c r="Z869" s="391" t="s">
        <v>289</v>
      </c>
      <c r="AA869" s="391" t="s">
        <v>289</v>
      </c>
      <c r="AB869" s="391" t="s">
        <v>289</v>
      </c>
      <c r="AC869" s="391" t="s">
        <v>289</v>
      </c>
      <c r="AD869" s="395" t="s">
        <v>289</v>
      </c>
      <c r="AE869" s="395"/>
      <c r="AF869" s="395"/>
      <c r="AG869" s="395"/>
      <c r="AH869" s="395"/>
    </row>
    <row r="870" ht="30.75" customHeight="1">
      <c r="A870" s="373" t="str">
        <f t="shared" si="1"/>
        <v/>
      </c>
      <c r="B870" s="421" t="s">
        <v>289</v>
      </c>
      <c r="C870" s="406"/>
      <c r="D870" s="406"/>
      <c r="E870" s="406"/>
      <c r="F870" s="395" t="s">
        <v>289</v>
      </c>
      <c r="G870" s="406"/>
      <c r="H870" s="406"/>
      <c r="I870" s="378" t="s">
        <v>289</v>
      </c>
      <c r="J870" s="379" t="s">
        <v>289</v>
      </c>
      <c r="K870" s="407"/>
      <c r="L870" s="378" t="s">
        <v>289</v>
      </c>
      <c r="M870" s="378" t="s">
        <v>289</v>
      </c>
      <c r="N870" s="378" t="s">
        <v>289</v>
      </c>
      <c r="O870" s="409"/>
      <c r="P870" s="387" t="s">
        <v>289</v>
      </c>
      <c r="Q870" s="383"/>
      <c r="R870" s="383"/>
      <c r="S870" s="383"/>
      <c r="T870" s="410"/>
      <c r="U870" s="406"/>
      <c r="V870" s="386"/>
      <c r="W870" s="387" t="s">
        <v>289</v>
      </c>
      <c r="X870" s="378" t="s">
        <v>289</v>
      </c>
      <c r="Y870" s="387" t="s">
        <v>289</v>
      </c>
      <c r="Z870" s="391" t="s">
        <v>289</v>
      </c>
      <c r="AA870" s="391" t="s">
        <v>289</v>
      </c>
      <c r="AB870" s="391" t="s">
        <v>289</v>
      </c>
      <c r="AC870" s="391" t="s">
        <v>289</v>
      </c>
      <c r="AD870" s="395" t="s">
        <v>289</v>
      </c>
      <c r="AE870" s="395"/>
      <c r="AF870" s="395"/>
      <c r="AG870" s="395"/>
      <c r="AH870" s="395"/>
    </row>
    <row r="871" ht="30.75" customHeight="1">
      <c r="A871" s="373" t="str">
        <f t="shared" si="1"/>
        <v/>
      </c>
      <c r="B871" s="421" t="s">
        <v>289</v>
      </c>
      <c r="C871" s="406"/>
      <c r="D871" s="406"/>
      <c r="E871" s="406"/>
      <c r="F871" s="395" t="s">
        <v>289</v>
      </c>
      <c r="G871" s="406"/>
      <c r="H871" s="406"/>
      <c r="I871" s="378" t="s">
        <v>289</v>
      </c>
      <c r="J871" s="379" t="s">
        <v>289</v>
      </c>
      <c r="K871" s="407"/>
      <c r="L871" s="378" t="s">
        <v>289</v>
      </c>
      <c r="M871" s="378" t="s">
        <v>289</v>
      </c>
      <c r="N871" s="378" t="s">
        <v>289</v>
      </c>
      <c r="O871" s="409"/>
      <c r="P871" s="387" t="s">
        <v>289</v>
      </c>
      <c r="Q871" s="383"/>
      <c r="R871" s="383"/>
      <c r="S871" s="383"/>
      <c r="T871" s="410"/>
      <c r="U871" s="406"/>
      <c r="V871" s="386"/>
      <c r="W871" s="387" t="s">
        <v>289</v>
      </c>
      <c r="X871" s="378" t="s">
        <v>289</v>
      </c>
      <c r="Y871" s="387" t="s">
        <v>289</v>
      </c>
      <c r="Z871" s="391" t="s">
        <v>289</v>
      </c>
      <c r="AA871" s="391" t="s">
        <v>289</v>
      </c>
      <c r="AB871" s="391" t="s">
        <v>289</v>
      </c>
      <c r="AC871" s="391" t="s">
        <v>289</v>
      </c>
      <c r="AD871" s="395" t="s">
        <v>289</v>
      </c>
      <c r="AE871" s="395"/>
      <c r="AF871" s="395"/>
      <c r="AG871" s="395"/>
      <c r="AH871" s="395"/>
    </row>
    <row r="872" ht="30.75" customHeight="1">
      <c r="A872" s="373" t="str">
        <f t="shared" si="1"/>
        <v/>
      </c>
      <c r="B872" s="421" t="s">
        <v>289</v>
      </c>
      <c r="C872" s="406"/>
      <c r="D872" s="406"/>
      <c r="E872" s="406"/>
      <c r="F872" s="395" t="s">
        <v>289</v>
      </c>
      <c r="G872" s="406"/>
      <c r="H872" s="406"/>
      <c r="I872" s="378" t="s">
        <v>289</v>
      </c>
      <c r="J872" s="379" t="s">
        <v>289</v>
      </c>
      <c r="K872" s="407"/>
      <c r="L872" s="378" t="s">
        <v>289</v>
      </c>
      <c r="M872" s="378" t="s">
        <v>289</v>
      </c>
      <c r="N872" s="378" t="s">
        <v>289</v>
      </c>
      <c r="O872" s="409"/>
      <c r="P872" s="387" t="s">
        <v>289</v>
      </c>
      <c r="Q872" s="383"/>
      <c r="R872" s="383"/>
      <c r="S872" s="383"/>
      <c r="T872" s="410"/>
      <c r="U872" s="406"/>
      <c r="V872" s="386"/>
      <c r="W872" s="387" t="s">
        <v>289</v>
      </c>
      <c r="X872" s="378" t="s">
        <v>289</v>
      </c>
      <c r="Y872" s="387" t="s">
        <v>289</v>
      </c>
      <c r="Z872" s="391" t="s">
        <v>289</v>
      </c>
      <c r="AA872" s="391" t="s">
        <v>289</v>
      </c>
      <c r="AB872" s="391" t="s">
        <v>289</v>
      </c>
      <c r="AC872" s="391" t="s">
        <v>289</v>
      </c>
      <c r="AD872" s="395" t="s">
        <v>289</v>
      </c>
      <c r="AE872" s="395"/>
      <c r="AF872" s="395"/>
      <c r="AG872" s="395"/>
      <c r="AH872" s="395"/>
    </row>
    <row r="873" ht="30.75" customHeight="1">
      <c r="A873" s="373" t="str">
        <f t="shared" si="1"/>
        <v/>
      </c>
      <c r="B873" s="421" t="s">
        <v>289</v>
      </c>
      <c r="C873" s="406"/>
      <c r="D873" s="406"/>
      <c r="E873" s="406"/>
      <c r="F873" s="395" t="s">
        <v>289</v>
      </c>
      <c r="G873" s="406"/>
      <c r="H873" s="406"/>
      <c r="I873" s="378" t="s">
        <v>289</v>
      </c>
      <c r="J873" s="379" t="s">
        <v>289</v>
      </c>
      <c r="K873" s="407"/>
      <c r="L873" s="378" t="s">
        <v>289</v>
      </c>
      <c r="M873" s="378" t="s">
        <v>289</v>
      </c>
      <c r="N873" s="378" t="s">
        <v>289</v>
      </c>
      <c r="O873" s="409"/>
      <c r="P873" s="387" t="s">
        <v>289</v>
      </c>
      <c r="Q873" s="383"/>
      <c r="R873" s="383"/>
      <c r="S873" s="383"/>
      <c r="T873" s="410"/>
      <c r="U873" s="406"/>
      <c r="V873" s="386"/>
      <c r="W873" s="387" t="s">
        <v>289</v>
      </c>
      <c r="X873" s="378" t="s">
        <v>289</v>
      </c>
      <c r="Y873" s="387" t="s">
        <v>289</v>
      </c>
      <c r="Z873" s="391" t="s">
        <v>289</v>
      </c>
      <c r="AA873" s="391" t="s">
        <v>289</v>
      </c>
      <c r="AB873" s="391" t="s">
        <v>289</v>
      </c>
      <c r="AC873" s="391" t="s">
        <v>289</v>
      </c>
      <c r="AD873" s="395" t="s">
        <v>289</v>
      </c>
      <c r="AE873" s="395"/>
      <c r="AF873" s="395"/>
      <c r="AG873" s="395"/>
      <c r="AH873" s="395"/>
    </row>
    <row r="874" ht="30.75" customHeight="1">
      <c r="A874" s="373" t="str">
        <f t="shared" si="1"/>
        <v/>
      </c>
      <c r="B874" s="421" t="s">
        <v>289</v>
      </c>
      <c r="C874" s="406"/>
      <c r="D874" s="406"/>
      <c r="E874" s="406"/>
      <c r="F874" s="395" t="s">
        <v>289</v>
      </c>
      <c r="G874" s="406"/>
      <c r="H874" s="406"/>
      <c r="I874" s="378" t="s">
        <v>289</v>
      </c>
      <c r="J874" s="379" t="s">
        <v>289</v>
      </c>
      <c r="K874" s="407"/>
      <c r="L874" s="378" t="s">
        <v>289</v>
      </c>
      <c r="M874" s="378" t="s">
        <v>289</v>
      </c>
      <c r="N874" s="378" t="s">
        <v>289</v>
      </c>
      <c r="O874" s="409"/>
      <c r="P874" s="387" t="s">
        <v>289</v>
      </c>
      <c r="Q874" s="383"/>
      <c r="R874" s="383"/>
      <c r="S874" s="383"/>
      <c r="T874" s="410"/>
      <c r="U874" s="406"/>
      <c r="V874" s="386"/>
      <c r="W874" s="387" t="s">
        <v>289</v>
      </c>
      <c r="X874" s="378" t="s">
        <v>289</v>
      </c>
      <c r="Y874" s="387" t="s">
        <v>289</v>
      </c>
      <c r="Z874" s="391" t="s">
        <v>289</v>
      </c>
      <c r="AA874" s="391" t="s">
        <v>289</v>
      </c>
      <c r="AB874" s="391" t="s">
        <v>289</v>
      </c>
      <c r="AC874" s="391" t="s">
        <v>289</v>
      </c>
      <c r="AD874" s="395" t="s">
        <v>289</v>
      </c>
      <c r="AE874" s="395"/>
      <c r="AF874" s="395"/>
      <c r="AG874" s="395"/>
      <c r="AH874" s="395"/>
    </row>
    <row r="875" ht="30.75" customHeight="1">
      <c r="A875" s="373" t="str">
        <f t="shared" si="1"/>
        <v/>
      </c>
      <c r="B875" s="421" t="s">
        <v>289</v>
      </c>
      <c r="C875" s="406"/>
      <c r="D875" s="406"/>
      <c r="E875" s="406"/>
      <c r="F875" s="395" t="s">
        <v>289</v>
      </c>
      <c r="G875" s="406"/>
      <c r="H875" s="406"/>
      <c r="I875" s="378" t="s">
        <v>289</v>
      </c>
      <c r="J875" s="379" t="s">
        <v>289</v>
      </c>
      <c r="K875" s="407"/>
      <c r="L875" s="378" t="s">
        <v>289</v>
      </c>
      <c r="M875" s="378" t="s">
        <v>289</v>
      </c>
      <c r="N875" s="378" t="s">
        <v>289</v>
      </c>
      <c r="O875" s="409"/>
      <c r="P875" s="387" t="s">
        <v>289</v>
      </c>
      <c r="Q875" s="383"/>
      <c r="R875" s="383"/>
      <c r="S875" s="383"/>
      <c r="T875" s="410"/>
      <c r="U875" s="406"/>
      <c r="V875" s="386"/>
      <c r="W875" s="387" t="s">
        <v>289</v>
      </c>
      <c r="X875" s="378" t="s">
        <v>289</v>
      </c>
      <c r="Y875" s="387" t="s">
        <v>289</v>
      </c>
      <c r="Z875" s="391" t="s">
        <v>289</v>
      </c>
      <c r="AA875" s="391" t="s">
        <v>289</v>
      </c>
      <c r="AB875" s="391" t="s">
        <v>289</v>
      </c>
      <c r="AC875" s="391" t="s">
        <v>289</v>
      </c>
      <c r="AD875" s="395" t="s">
        <v>289</v>
      </c>
      <c r="AE875" s="395"/>
      <c r="AF875" s="395"/>
      <c r="AG875" s="395"/>
      <c r="AH875" s="395"/>
    </row>
    <row r="876" ht="30.75" customHeight="1">
      <c r="A876" s="373" t="str">
        <f t="shared" si="1"/>
        <v/>
      </c>
      <c r="B876" s="421" t="s">
        <v>289</v>
      </c>
      <c r="C876" s="406"/>
      <c r="D876" s="406"/>
      <c r="E876" s="406"/>
      <c r="F876" s="395" t="s">
        <v>289</v>
      </c>
      <c r="G876" s="406"/>
      <c r="H876" s="406"/>
      <c r="I876" s="378" t="s">
        <v>289</v>
      </c>
      <c r="J876" s="379" t="s">
        <v>289</v>
      </c>
      <c r="K876" s="407"/>
      <c r="L876" s="378" t="s">
        <v>289</v>
      </c>
      <c r="M876" s="378" t="s">
        <v>289</v>
      </c>
      <c r="N876" s="378" t="s">
        <v>289</v>
      </c>
      <c r="O876" s="409"/>
      <c r="P876" s="387" t="s">
        <v>289</v>
      </c>
      <c r="Q876" s="383"/>
      <c r="R876" s="383"/>
      <c r="S876" s="383"/>
      <c r="T876" s="410"/>
      <c r="U876" s="406"/>
      <c r="V876" s="386"/>
      <c r="W876" s="387" t="s">
        <v>289</v>
      </c>
      <c r="X876" s="378" t="s">
        <v>289</v>
      </c>
      <c r="Y876" s="387" t="s">
        <v>289</v>
      </c>
      <c r="Z876" s="391" t="s">
        <v>289</v>
      </c>
      <c r="AA876" s="391" t="s">
        <v>289</v>
      </c>
      <c r="AB876" s="391" t="s">
        <v>289</v>
      </c>
      <c r="AC876" s="391" t="s">
        <v>289</v>
      </c>
      <c r="AD876" s="395" t="s">
        <v>289</v>
      </c>
      <c r="AE876" s="395"/>
      <c r="AF876" s="395"/>
      <c r="AG876" s="395"/>
      <c r="AH876" s="395"/>
    </row>
    <row r="877" ht="30.75" customHeight="1">
      <c r="A877" s="373" t="str">
        <f t="shared" si="1"/>
        <v/>
      </c>
      <c r="B877" s="421" t="s">
        <v>289</v>
      </c>
      <c r="C877" s="406"/>
      <c r="D877" s="406"/>
      <c r="E877" s="406"/>
      <c r="F877" s="395" t="s">
        <v>289</v>
      </c>
      <c r="G877" s="406"/>
      <c r="H877" s="406"/>
      <c r="I877" s="378" t="s">
        <v>289</v>
      </c>
      <c r="J877" s="379" t="s">
        <v>289</v>
      </c>
      <c r="K877" s="407"/>
      <c r="L877" s="378" t="s">
        <v>289</v>
      </c>
      <c r="M877" s="378" t="s">
        <v>289</v>
      </c>
      <c r="N877" s="378" t="s">
        <v>289</v>
      </c>
      <c r="O877" s="409"/>
      <c r="P877" s="387" t="s">
        <v>289</v>
      </c>
      <c r="Q877" s="383"/>
      <c r="R877" s="383"/>
      <c r="S877" s="383"/>
      <c r="T877" s="410"/>
      <c r="U877" s="406"/>
      <c r="V877" s="386"/>
      <c r="W877" s="387" t="s">
        <v>289</v>
      </c>
      <c r="X877" s="378" t="s">
        <v>289</v>
      </c>
      <c r="Y877" s="387" t="s">
        <v>289</v>
      </c>
      <c r="Z877" s="391" t="s">
        <v>289</v>
      </c>
      <c r="AA877" s="391" t="s">
        <v>289</v>
      </c>
      <c r="AB877" s="391" t="s">
        <v>289</v>
      </c>
      <c r="AC877" s="391" t="s">
        <v>289</v>
      </c>
      <c r="AD877" s="395" t="s">
        <v>289</v>
      </c>
      <c r="AE877" s="395"/>
      <c r="AF877" s="395"/>
      <c r="AG877" s="395"/>
      <c r="AH877" s="395"/>
    </row>
    <row r="878" ht="30.75" customHeight="1">
      <c r="A878" s="373" t="str">
        <f t="shared" si="1"/>
        <v/>
      </c>
      <c r="B878" s="421" t="s">
        <v>289</v>
      </c>
      <c r="C878" s="406"/>
      <c r="D878" s="406"/>
      <c r="E878" s="406"/>
      <c r="F878" s="395" t="s">
        <v>289</v>
      </c>
      <c r="G878" s="406"/>
      <c r="H878" s="406"/>
      <c r="I878" s="378" t="s">
        <v>289</v>
      </c>
      <c r="J878" s="379" t="s">
        <v>289</v>
      </c>
      <c r="K878" s="407"/>
      <c r="L878" s="378" t="s">
        <v>289</v>
      </c>
      <c r="M878" s="378" t="s">
        <v>289</v>
      </c>
      <c r="N878" s="378" t="s">
        <v>289</v>
      </c>
      <c r="O878" s="409"/>
      <c r="P878" s="387" t="s">
        <v>289</v>
      </c>
      <c r="Q878" s="383"/>
      <c r="R878" s="383"/>
      <c r="S878" s="383"/>
      <c r="T878" s="410"/>
      <c r="U878" s="406"/>
      <c r="V878" s="386"/>
      <c r="W878" s="387" t="s">
        <v>289</v>
      </c>
      <c r="X878" s="378" t="s">
        <v>289</v>
      </c>
      <c r="Y878" s="387" t="s">
        <v>289</v>
      </c>
      <c r="Z878" s="391" t="s">
        <v>289</v>
      </c>
      <c r="AA878" s="391" t="s">
        <v>289</v>
      </c>
      <c r="AB878" s="391" t="s">
        <v>289</v>
      </c>
      <c r="AC878" s="391" t="s">
        <v>289</v>
      </c>
      <c r="AD878" s="395" t="s">
        <v>289</v>
      </c>
      <c r="AE878" s="395"/>
      <c r="AF878" s="395"/>
      <c r="AG878" s="395"/>
      <c r="AH878" s="395"/>
    </row>
    <row r="879" ht="30.75" customHeight="1">
      <c r="A879" s="373" t="str">
        <f t="shared" si="1"/>
        <v/>
      </c>
      <c r="B879" s="421" t="s">
        <v>289</v>
      </c>
      <c r="C879" s="406"/>
      <c r="D879" s="406"/>
      <c r="E879" s="406"/>
      <c r="F879" s="395" t="s">
        <v>289</v>
      </c>
      <c r="G879" s="406"/>
      <c r="H879" s="406"/>
      <c r="I879" s="378" t="s">
        <v>289</v>
      </c>
      <c r="J879" s="379" t="s">
        <v>289</v>
      </c>
      <c r="K879" s="407"/>
      <c r="L879" s="378" t="s">
        <v>289</v>
      </c>
      <c r="M879" s="378" t="s">
        <v>289</v>
      </c>
      <c r="N879" s="378" t="s">
        <v>289</v>
      </c>
      <c r="O879" s="409"/>
      <c r="P879" s="387" t="s">
        <v>289</v>
      </c>
      <c r="Q879" s="383"/>
      <c r="R879" s="383"/>
      <c r="S879" s="383"/>
      <c r="T879" s="410"/>
      <c r="U879" s="406"/>
      <c r="V879" s="386"/>
      <c r="W879" s="387" t="s">
        <v>289</v>
      </c>
      <c r="X879" s="378" t="s">
        <v>289</v>
      </c>
      <c r="Y879" s="387" t="s">
        <v>289</v>
      </c>
      <c r="Z879" s="391" t="s">
        <v>289</v>
      </c>
      <c r="AA879" s="391" t="s">
        <v>289</v>
      </c>
      <c r="AB879" s="391" t="s">
        <v>289</v>
      </c>
      <c r="AC879" s="391" t="s">
        <v>289</v>
      </c>
      <c r="AD879" s="395" t="s">
        <v>289</v>
      </c>
      <c r="AE879" s="395"/>
      <c r="AF879" s="395"/>
      <c r="AG879" s="395"/>
      <c r="AH879" s="395"/>
    </row>
    <row r="880" ht="30.75" customHeight="1">
      <c r="A880" s="373" t="str">
        <f t="shared" si="1"/>
        <v/>
      </c>
      <c r="B880" s="421" t="s">
        <v>289</v>
      </c>
      <c r="C880" s="406"/>
      <c r="D880" s="406"/>
      <c r="E880" s="406"/>
      <c r="F880" s="395" t="s">
        <v>289</v>
      </c>
      <c r="G880" s="406"/>
      <c r="H880" s="406"/>
      <c r="I880" s="378" t="s">
        <v>289</v>
      </c>
      <c r="J880" s="379" t="s">
        <v>289</v>
      </c>
      <c r="K880" s="407"/>
      <c r="L880" s="378" t="s">
        <v>289</v>
      </c>
      <c r="M880" s="378" t="s">
        <v>289</v>
      </c>
      <c r="N880" s="378" t="s">
        <v>289</v>
      </c>
      <c r="O880" s="409"/>
      <c r="P880" s="387" t="s">
        <v>289</v>
      </c>
      <c r="Q880" s="383"/>
      <c r="R880" s="383"/>
      <c r="S880" s="383"/>
      <c r="T880" s="410"/>
      <c r="U880" s="406"/>
      <c r="V880" s="386"/>
      <c r="W880" s="387" t="s">
        <v>289</v>
      </c>
      <c r="X880" s="378" t="s">
        <v>289</v>
      </c>
      <c r="Y880" s="387" t="s">
        <v>289</v>
      </c>
      <c r="Z880" s="391" t="s">
        <v>289</v>
      </c>
      <c r="AA880" s="391" t="s">
        <v>289</v>
      </c>
      <c r="AB880" s="391" t="s">
        <v>289</v>
      </c>
      <c r="AC880" s="391" t="s">
        <v>289</v>
      </c>
      <c r="AD880" s="395" t="s">
        <v>289</v>
      </c>
      <c r="AE880" s="395"/>
      <c r="AF880" s="395"/>
      <c r="AG880" s="395"/>
      <c r="AH880" s="395"/>
    </row>
    <row r="881" ht="30.75" customHeight="1">
      <c r="A881" s="373" t="str">
        <f t="shared" si="1"/>
        <v/>
      </c>
      <c r="B881" s="421" t="s">
        <v>289</v>
      </c>
      <c r="C881" s="406"/>
      <c r="D881" s="406"/>
      <c r="E881" s="406"/>
      <c r="F881" s="395" t="s">
        <v>289</v>
      </c>
      <c r="G881" s="406"/>
      <c r="H881" s="406"/>
      <c r="I881" s="378" t="s">
        <v>289</v>
      </c>
      <c r="J881" s="379" t="s">
        <v>289</v>
      </c>
      <c r="K881" s="407"/>
      <c r="L881" s="378" t="s">
        <v>289</v>
      </c>
      <c r="M881" s="378" t="s">
        <v>289</v>
      </c>
      <c r="N881" s="378" t="s">
        <v>289</v>
      </c>
      <c r="O881" s="409"/>
      <c r="P881" s="387" t="s">
        <v>289</v>
      </c>
      <c r="Q881" s="383"/>
      <c r="R881" s="383"/>
      <c r="S881" s="383"/>
      <c r="T881" s="410"/>
      <c r="U881" s="406"/>
      <c r="V881" s="386"/>
      <c r="W881" s="387" t="s">
        <v>289</v>
      </c>
      <c r="X881" s="378" t="s">
        <v>289</v>
      </c>
      <c r="Y881" s="387" t="s">
        <v>289</v>
      </c>
      <c r="Z881" s="391" t="s">
        <v>289</v>
      </c>
      <c r="AA881" s="391" t="s">
        <v>289</v>
      </c>
      <c r="AB881" s="391" t="s">
        <v>289</v>
      </c>
      <c r="AC881" s="391" t="s">
        <v>289</v>
      </c>
      <c r="AD881" s="395" t="s">
        <v>289</v>
      </c>
      <c r="AE881" s="395"/>
      <c r="AF881" s="395"/>
      <c r="AG881" s="395"/>
      <c r="AH881" s="395"/>
    </row>
    <row r="882" ht="30.75" customHeight="1">
      <c r="A882" s="373" t="str">
        <f t="shared" si="1"/>
        <v/>
      </c>
      <c r="B882" s="421" t="s">
        <v>289</v>
      </c>
      <c r="C882" s="406"/>
      <c r="D882" s="406"/>
      <c r="E882" s="406"/>
      <c r="F882" s="395" t="s">
        <v>289</v>
      </c>
      <c r="G882" s="406"/>
      <c r="H882" s="406"/>
      <c r="I882" s="378" t="s">
        <v>289</v>
      </c>
      <c r="J882" s="379" t="s">
        <v>289</v>
      </c>
      <c r="K882" s="407"/>
      <c r="L882" s="378" t="s">
        <v>289</v>
      </c>
      <c r="M882" s="378" t="s">
        <v>289</v>
      </c>
      <c r="N882" s="378" t="s">
        <v>289</v>
      </c>
      <c r="O882" s="409"/>
      <c r="P882" s="387" t="s">
        <v>289</v>
      </c>
      <c r="Q882" s="383"/>
      <c r="R882" s="383"/>
      <c r="S882" s="383"/>
      <c r="T882" s="410"/>
      <c r="U882" s="406"/>
      <c r="V882" s="386"/>
      <c r="W882" s="387" t="s">
        <v>289</v>
      </c>
      <c r="X882" s="378" t="s">
        <v>289</v>
      </c>
      <c r="Y882" s="387" t="s">
        <v>289</v>
      </c>
      <c r="Z882" s="391" t="s">
        <v>289</v>
      </c>
      <c r="AA882" s="391" t="s">
        <v>289</v>
      </c>
      <c r="AB882" s="391" t="s">
        <v>289</v>
      </c>
      <c r="AC882" s="391" t="s">
        <v>289</v>
      </c>
      <c r="AD882" s="395" t="s">
        <v>289</v>
      </c>
      <c r="AE882" s="395"/>
      <c r="AF882" s="395"/>
      <c r="AG882" s="395"/>
      <c r="AH882" s="395"/>
    </row>
    <row r="883" ht="30.75" customHeight="1">
      <c r="A883" s="373" t="str">
        <f t="shared" si="1"/>
        <v/>
      </c>
      <c r="B883" s="421" t="s">
        <v>289</v>
      </c>
      <c r="C883" s="406"/>
      <c r="D883" s="406"/>
      <c r="E883" s="406"/>
      <c r="F883" s="395" t="s">
        <v>289</v>
      </c>
      <c r="G883" s="406"/>
      <c r="H883" s="406"/>
      <c r="I883" s="378" t="s">
        <v>289</v>
      </c>
      <c r="J883" s="379" t="s">
        <v>289</v>
      </c>
      <c r="K883" s="407"/>
      <c r="L883" s="378" t="s">
        <v>289</v>
      </c>
      <c r="M883" s="378" t="s">
        <v>289</v>
      </c>
      <c r="N883" s="378" t="s">
        <v>289</v>
      </c>
      <c r="O883" s="409"/>
      <c r="P883" s="387" t="s">
        <v>289</v>
      </c>
      <c r="Q883" s="383"/>
      <c r="R883" s="383"/>
      <c r="S883" s="383"/>
      <c r="T883" s="410"/>
      <c r="U883" s="406"/>
      <c r="V883" s="386"/>
      <c r="W883" s="387" t="s">
        <v>289</v>
      </c>
      <c r="X883" s="378" t="s">
        <v>289</v>
      </c>
      <c r="Y883" s="387" t="s">
        <v>289</v>
      </c>
      <c r="Z883" s="391" t="s">
        <v>289</v>
      </c>
      <c r="AA883" s="391" t="s">
        <v>289</v>
      </c>
      <c r="AB883" s="391" t="s">
        <v>289</v>
      </c>
      <c r="AC883" s="391" t="s">
        <v>289</v>
      </c>
      <c r="AD883" s="395" t="s">
        <v>289</v>
      </c>
      <c r="AE883" s="395"/>
      <c r="AF883" s="395"/>
      <c r="AG883" s="395"/>
      <c r="AH883" s="395"/>
    </row>
    <row r="884" ht="30.75" customHeight="1">
      <c r="A884" s="373" t="str">
        <f t="shared" si="1"/>
        <v/>
      </c>
      <c r="B884" s="421" t="s">
        <v>289</v>
      </c>
      <c r="C884" s="406"/>
      <c r="D884" s="406"/>
      <c r="E884" s="406"/>
      <c r="F884" s="395" t="s">
        <v>289</v>
      </c>
      <c r="G884" s="406"/>
      <c r="H884" s="406"/>
      <c r="I884" s="378" t="s">
        <v>289</v>
      </c>
      <c r="J884" s="379" t="s">
        <v>289</v>
      </c>
      <c r="K884" s="407"/>
      <c r="L884" s="378" t="s">
        <v>289</v>
      </c>
      <c r="M884" s="378" t="s">
        <v>289</v>
      </c>
      <c r="N884" s="378" t="s">
        <v>289</v>
      </c>
      <c r="O884" s="409"/>
      <c r="P884" s="387" t="s">
        <v>289</v>
      </c>
      <c r="Q884" s="383"/>
      <c r="R884" s="383"/>
      <c r="S884" s="383"/>
      <c r="T884" s="410"/>
      <c r="U884" s="406"/>
      <c r="V884" s="386"/>
      <c r="W884" s="387" t="s">
        <v>289</v>
      </c>
      <c r="X884" s="378" t="s">
        <v>289</v>
      </c>
      <c r="Y884" s="387" t="s">
        <v>289</v>
      </c>
      <c r="Z884" s="391" t="s">
        <v>289</v>
      </c>
      <c r="AA884" s="391" t="s">
        <v>289</v>
      </c>
      <c r="AB884" s="391" t="s">
        <v>289</v>
      </c>
      <c r="AC884" s="391" t="s">
        <v>289</v>
      </c>
      <c r="AD884" s="395" t="s">
        <v>289</v>
      </c>
      <c r="AE884" s="395"/>
      <c r="AF884" s="395"/>
      <c r="AG884" s="395"/>
      <c r="AH884" s="395"/>
    </row>
    <row r="885" ht="30.75" customHeight="1">
      <c r="A885" s="373" t="str">
        <f t="shared" si="1"/>
        <v/>
      </c>
      <c r="B885" s="421" t="s">
        <v>289</v>
      </c>
      <c r="C885" s="406"/>
      <c r="D885" s="406"/>
      <c r="E885" s="406"/>
      <c r="F885" s="395" t="s">
        <v>289</v>
      </c>
      <c r="G885" s="406"/>
      <c r="H885" s="406"/>
      <c r="I885" s="378" t="s">
        <v>289</v>
      </c>
      <c r="J885" s="379" t="s">
        <v>289</v>
      </c>
      <c r="K885" s="407"/>
      <c r="L885" s="378" t="s">
        <v>289</v>
      </c>
      <c r="M885" s="378" t="s">
        <v>289</v>
      </c>
      <c r="N885" s="378" t="s">
        <v>289</v>
      </c>
      <c r="O885" s="409"/>
      <c r="P885" s="387" t="s">
        <v>289</v>
      </c>
      <c r="Q885" s="383"/>
      <c r="R885" s="383"/>
      <c r="S885" s="383"/>
      <c r="T885" s="410"/>
      <c r="U885" s="406"/>
      <c r="V885" s="386"/>
      <c r="W885" s="387" t="s">
        <v>289</v>
      </c>
      <c r="X885" s="378" t="s">
        <v>289</v>
      </c>
      <c r="Y885" s="387" t="s">
        <v>289</v>
      </c>
      <c r="Z885" s="391" t="s">
        <v>289</v>
      </c>
      <c r="AA885" s="391" t="s">
        <v>289</v>
      </c>
      <c r="AB885" s="391" t="s">
        <v>289</v>
      </c>
      <c r="AC885" s="391" t="s">
        <v>289</v>
      </c>
      <c r="AD885" s="395" t="s">
        <v>289</v>
      </c>
      <c r="AE885" s="395"/>
      <c r="AF885" s="395"/>
      <c r="AG885" s="395"/>
      <c r="AH885" s="395"/>
    </row>
    <row r="886" ht="30.75" customHeight="1">
      <c r="A886" s="373" t="str">
        <f t="shared" si="1"/>
        <v/>
      </c>
      <c r="B886" s="421" t="s">
        <v>289</v>
      </c>
      <c r="C886" s="406"/>
      <c r="D886" s="406"/>
      <c r="E886" s="406"/>
      <c r="F886" s="395" t="s">
        <v>289</v>
      </c>
      <c r="G886" s="406"/>
      <c r="H886" s="406"/>
      <c r="I886" s="378" t="s">
        <v>289</v>
      </c>
      <c r="J886" s="379" t="s">
        <v>289</v>
      </c>
      <c r="K886" s="407"/>
      <c r="L886" s="378" t="s">
        <v>289</v>
      </c>
      <c r="M886" s="378" t="s">
        <v>289</v>
      </c>
      <c r="N886" s="378" t="s">
        <v>289</v>
      </c>
      <c r="O886" s="409"/>
      <c r="P886" s="387" t="s">
        <v>289</v>
      </c>
      <c r="Q886" s="383"/>
      <c r="R886" s="383"/>
      <c r="S886" s="383"/>
      <c r="T886" s="410"/>
      <c r="U886" s="406"/>
      <c r="V886" s="386"/>
      <c r="W886" s="387" t="s">
        <v>289</v>
      </c>
      <c r="X886" s="378" t="s">
        <v>289</v>
      </c>
      <c r="Y886" s="387" t="s">
        <v>289</v>
      </c>
      <c r="Z886" s="391" t="s">
        <v>289</v>
      </c>
      <c r="AA886" s="391" t="s">
        <v>289</v>
      </c>
      <c r="AB886" s="391" t="s">
        <v>289</v>
      </c>
      <c r="AC886" s="391" t="s">
        <v>289</v>
      </c>
      <c r="AD886" s="395" t="s">
        <v>289</v>
      </c>
      <c r="AE886" s="395"/>
      <c r="AF886" s="395"/>
      <c r="AG886" s="395"/>
      <c r="AH886" s="395"/>
    </row>
    <row r="887" ht="30.75" customHeight="1">
      <c r="A887" s="373" t="str">
        <f t="shared" si="1"/>
        <v/>
      </c>
      <c r="B887" s="421" t="s">
        <v>289</v>
      </c>
      <c r="C887" s="406"/>
      <c r="D887" s="406"/>
      <c r="E887" s="406"/>
      <c r="F887" s="395" t="s">
        <v>289</v>
      </c>
      <c r="G887" s="406"/>
      <c r="H887" s="406"/>
      <c r="I887" s="378" t="s">
        <v>289</v>
      </c>
      <c r="J887" s="379" t="s">
        <v>289</v>
      </c>
      <c r="K887" s="407"/>
      <c r="L887" s="378" t="s">
        <v>289</v>
      </c>
      <c r="M887" s="378" t="s">
        <v>289</v>
      </c>
      <c r="N887" s="378" t="s">
        <v>289</v>
      </c>
      <c r="O887" s="409"/>
      <c r="P887" s="387" t="s">
        <v>289</v>
      </c>
      <c r="Q887" s="383"/>
      <c r="R887" s="383"/>
      <c r="S887" s="383"/>
      <c r="T887" s="410"/>
      <c r="U887" s="406"/>
      <c r="V887" s="386"/>
      <c r="W887" s="387" t="s">
        <v>289</v>
      </c>
      <c r="X887" s="378" t="s">
        <v>289</v>
      </c>
      <c r="Y887" s="387" t="s">
        <v>289</v>
      </c>
      <c r="Z887" s="391" t="s">
        <v>289</v>
      </c>
      <c r="AA887" s="391" t="s">
        <v>289</v>
      </c>
      <c r="AB887" s="391" t="s">
        <v>289</v>
      </c>
      <c r="AC887" s="391" t="s">
        <v>289</v>
      </c>
      <c r="AD887" s="395" t="s">
        <v>289</v>
      </c>
      <c r="AE887" s="395"/>
      <c r="AF887" s="395"/>
      <c r="AG887" s="395"/>
      <c r="AH887" s="395"/>
    </row>
    <row r="888" ht="30.75" customHeight="1">
      <c r="A888" s="373" t="str">
        <f t="shared" si="1"/>
        <v/>
      </c>
      <c r="B888" s="421" t="s">
        <v>289</v>
      </c>
      <c r="C888" s="406"/>
      <c r="D888" s="406"/>
      <c r="E888" s="406"/>
      <c r="F888" s="395" t="s">
        <v>289</v>
      </c>
      <c r="G888" s="406"/>
      <c r="H888" s="406"/>
      <c r="I888" s="378" t="s">
        <v>289</v>
      </c>
      <c r="J888" s="379" t="s">
        <v>289</v>
      </c>
      <c r="K888" s="407"/>
      <c r="L888" s="378" t="s">
        <v>289</v>
      </c>
      <c r="M888" s="378" t="s">
        <v>289</v>
      </c>
      <c r="N888" s="378" t="s">
        <v>289</v>
      </c>
      <c r="O888" s="409"/>
      <c r="P888" s="387" t="s">
        <v>289</v>
      </c>
      <c r="Q888" s="383"/>
      <c r="R888" s="383"/>
      <c r="S888" s="383"/>
      <c r="T888" s="410"/>
      <c r="U888" s="406"/>
      <c r="V888" s="386"/>
      <c r="W888" s="387" t="s">
        <v>289</v>
      </c>
      <c r="X888" s="378" t="s">
        <v>289</v>
      </c>
      <c r="Y888" s="387" t="s">
        <v>289</v>
      </c>
      <c r="Z888" s="391" t="s">
        <v>289</v>
      </c>
      <c r="AA888" s="391" t="s">
        <v>289</v>
      </c>
      <c r="AB888" s="391" t="s">
        <v>289</v>
      </c>
      <c r="AC888" s="391" t="s">
        <v>289</v>
      </c>
      <c r="AD888" s="395" t="s">
        <v>289</v>
      </c>
      <c r="AE888" s="395"/>
      <c r="AF888" s="395"/>
      <c r="AG888" s="395"/>
      <c r="AH888" s="395"/>
    </row>
    <row r="889" ht="30.75" customHeight="1">
      <c r="A889" s="373" t="str">
        <f t="shared" si="1"/>
        <v/>
      </c>
      <c r="B889" s="421" t="s">
        <v>289</v>
      </c>
      <c r="C889" s="406"/>
      <c r="D889" s="406"/>
      <c r="E889" s="406"/>
      <c r="F889" s="395" t="s">
        <v>289</v>
      </c>
      <c r="G889" s="406"/>
      <c r="H889" s="406"/>
      <c r="I889" s="378" t="s">
        <v>289</v>
      </c>
      <c r="J889" s="379" t="s">
        <v>289</v>
      </c>
      <c r="K889" s="407"/>
      <c r="L889" s="378" t="s">
        <v>289</v>
      </c>
      <c r="M889" s="378" t="s">
        <v>289</v>
      </c>
      <c r="N889" s="378" t="s">
        <v>289</v>
      </c>
      <c r="O889" s="409"/>
      <c r="P889" s="387" t="s">
        <v>289</v>
      </c>
      <c r="Q889" s="383"/>
      <c r="R889" s="383"/>
      <c r="S889" s="383"/>
      <c r="T889" s="410"/>
      <c r="U889" s="406"/>
      <c r="V889" s="386"/>
      <c r="W889" s="387" t="s">
        <v>289</v>
      </c>
      <c r="X889" s="378" t="s">
        <v>289</v>
      </c>
      <c r="Y889" s="387" t="s">
        <v>289</v>
      </c>
      <c r="Z889" s="391" t="s">
        <v>289</v>
      </c>
      <c r="AA889" s="391" t="s">
        <v>289</v>
      </c>
      <c r="AB889" s="391" t="s">
        <v>289</v>
      </c>
      <c r="AC889" s="391" t="s">
        <v>289</v>
      </c>
      <c r="AD889" s="395" t="s">
        <v>289</v>
      </c>
      <c r="AE889" s="395"/>
      <c r="AF889" s="395"/>
      <c r="AG889" s="395"/>
      <c r="AH889" s="395"/>
    </row>
    <row r="890" ht="30.75" customHeight="1">
      <c r="A890" s="373" t="str">
        <f t="shared" si="1"/>
        <v/>
      </c>
      <c r="B890" s="421" t="s">
        <v>289</v>
      </c>
      <c r="C890" s="406"/>
      <c r="D890" s="406"/>
      <c r="E890" s="406"/>
      <c r="F890" s="395" t="s">
        <v>289</v>
      </c>
      <c r="G890" s="406"/>
      <c r="H890" s="406"/>
      <c r="I890" s="378" t="s">
        <v>289</v>
      </c>
      <c r="J890" s="379" t="s">
        <v>289</v>
      </c>
      <c r="K890" s="407"/>
      <c r="L890" s="378" t="s">
        <v>289</v>
      </c>
      <c r="M890" s="378" t="s">
        <v>289</v>
      </c>
      <c r="N890" s="378" t="s">
        <v>289</v>
      </c>
      <c r="O890" s="409"/>
      <c r="P890" s="387" t="s">
        <v>289</v>
      </c>
      <c r="Q890" s="383"/>
      <c r="R890" s="383"/>
      <c r="S890" s="383"/>
      <c r="T890" s="410"/>
      <c r="U890" s="406"/>
      <c r="V890" s="386"/>
      <c r="W890" s="387" t="s">
        <v>289</v>
      </c>
      <c r="X890" s="378" t="s">
        <v>289</v>
      </c>
      <c r="Y890" s="387" t="s">
        <v>289</v>
      </c>
      <c r="Z890" s="391" t="s">
        <v>289</v>
      </c>
      <c r="AA890" s="391" t="s">
        <v>289</v>
      </c>
      <c r="AB890" s="391" t="s">
        <v>289</v>
      </c>
      <c r="AC890" s="391" t="s">
        <v>289</v>
      </c>
      <c r="AD890" s="395" t="s">
        <v>289</v>
      </c>
      <c r="AE890" s="395"/>
      <c r="AF890" s="395"/>
      <c r="AG890" s="395"/>
      <c r="AH890" s="395"/>
    </row>
    <row r="891" ht="30.75" customHeight="1">
      <c r="A891" s="373" t="str">
        <f t="shared" si="1"/>
        <v/>
      </c>
      <c r="B891" s="421" t="s">
        <v>289</v>
      </c>
      <c r="C891" s="406"/>
      <c r="D891" s="406"/>
      <c r="E891" s="406"/>
      <c r="F891" s="395" t="s">
        <v>289</v>
      </c>
      <c r="G891" s="406"/>
      <c r="H891" s="406"/>
      <c r="I891" s="378" t="s">
        <v>289</v>
      </c>
      <c r="J891" s="379" t="s">
        <v>289</v>
      </c>
      <c r="K891" s="407"/>
      <c r="L891" s="378" t="s">
        <v>289</v>
      </c>
      <c r="M891" s="378" t="s">
        <v>289</v>
      </c>
      <c r="N891" s="378" t="s">
        <v>289</v>
      </c>
      <c r="O891" s="409"/>
      <c r="P891" s="387" t="s">
        <v>289</v>
      </c>
      <c r="Q891" s="383"/>
      <c r="R891" s="383"/>
      <c r="S891" s="383"/>
      <c r="T891" s="410"/>
      <c r="U891" s="406"/>
      <c r="V891" s="386"/>
      <c r="W891" s="387" t="s">
        <v>289</v>
      </c>
      <c r="X891" s="378" t="s">
        <v>289</v>
      </c>
      <c r="Y891" s="387" t="s">
        <v>289</v>
      </c>
      <c r="Z891" s="391" t="s">
        <v>289</v>
      </c>
      <c r="AA891" s="391" t="s">
        <v>289</v>
      </c>
      <c r="AB891" s="391" t="s">
        <v>289</v>
      </c>
      <c r="AC891" s="391" t="s">
        <v>289</v>
      </c>
      <c r="AD891" s="395" t="s">
        <v>289</v>
      </c>
      <c r="AE891" s="395"/>
      <c r="AF891" s="395"/>
      <c r="AG891" s="395"/>
      <c r="AH891" s="395"/>
    </row>
    <row r="892" ht="30.75" customHeight="1">
      <c r="A892" s="373" t="str">
        <f t="shared" si="1"/>
        <v/>
      </c>
      <c r="B892" s="421" t="s">
        <v>289</v>
      </c>
      <c r="C892" s="406"/>
      <c r="D892" s="406"/>
      <c r="E892" s="406"/>
      <c r="F892" s="395" t="s">
        <v>289</v>
      </c>
      <c r="G892" s="406"/>
      <c r="H892" s="406"/>
      <c r="I892" s="378" t="s">
        <v>289</v>
      </c>
      <c r="J892" s="379" t="s">
        <v>289</v>
      </c>
      <c r="K892" s="407"/>
      <c r="L892" s="378" t="s">
        <v>289</v>
      </c>
      <c r="M892" s="378" t="s">
        <v>289</v>
      </c>
      <c r="N892" s="378" t="s">
        <v>289</v>
      </c>
      <c r="O892" s="409"/>
      <c r="P892" s="387" t="s">
        <v>289</v>
      </c>
      <c r="Q892" s="383"/>
      <c r="R892" s="383"/>
      <c r="S892" s="383"/>
      <c r="T892" s="410"/>
      <c r="U892" s="406"/>
      <c r="V892" s="386"/>
      <c r="W892" s="387" t="s">
        <v>289</v>
      </c>
      <c r="X892" s="378" t="s">
        <v>289</v>
      </c>
      <c r="Y892" s="387" t="s">
        <v>289</v>
      </c>
      <c r="Z892" s="391" t="s">
        <v>289</v>
      </c>
      <c r="AA892" s="391" t="s">
        <v>289</v>
      </c>
      <c r="AB892" s="391" t="s">
        <v>289</v>
      </c>
      <c r="AC892" s="391" t="s">
        <v>289</v>
      </c>
      <c r="AD892" s="395" t="s">
        <v>289</v>
      </c>
      <c r="AE892" s="395"/>
      <c r="AF892" s="395"/>
      <c r="AG892" s="395"/>
      <c r="AH892" s="395"/>
    </row>
    <row r="893" ht="30.75" customHeight="1">
      <c r="A893" s="373" t="str">
        <f t="shared" si="1"/>
        <v/>
      </c>
      <c r="B893" s="421" t="s">
        <v>289</v>
      </c>
      <c r="C893" s="406"/>
      <c r="D893" s="406"/>
      <c r="E893" s="406"/>
      <c r="F893" s="395" t="s">
        <v>289</v>
      </c>
      <c r="G893" s="406"/>
      <c r="H893" s="406"/>
      <c r="I893" s="378" t="s">
        <v>289</v>
      </c>
      <c r="J893" s="379" t="s">
        <v>289</v>
      </c>
      <c r="K893" s="407"/>
      <c r="L893" s="378" t="s">
        <v>289</v>
      </c>
      <c r="M893" s="378" t="s">
        <v>289</v>
      </c>
      <c r="N893" s="378" t="s">
        <v>289</v>
      </c>
      <c r="O893" s="409"/>
      <c r="P893" s="387" t="s">
        <v>289</v>
      </c>
      <c r="Q893" s="383"/>
      <c r="R893" s="383"/>
      <c r="S893" s="383"/>
      <c r="T893" s="410"/>
      <c r="U893" s="406"/>
      <c r="V893" s="386"/>
      <c r="W893" s="387" t="s">
        <v>289</v>
      </c>
      <c r="X893" s="378" t="s">
        <v>289</v>
      </c>
      <c r="Y893" s="387" t="s">
        <v>289</v>
      </c>
      <c r="Z893" s="391" t="s">
        <v>289</v>
      </c>
      <c r="AA893" s="391" t="s">
        <v>289</v>
      </c>
      <c r="AB893" s="391" t="s">
        <v>289</v>
      </c>
      <c r="AC893" s="391" t="s">
        <v>289</v>
      </c>
      <c r="AD893" s="395" t="s">
        <v>289</v>
      </c>
      <c r="AE893" s="395"/>
      <c r="AF893" s="395"/>
      <c r="AG893" s="395"/>
      <c r="AH893" s="395"/>
    </row>
    <row r="894" ht="30.75" customHeight="1">
      <c r="A894" s="373" t="str">
        <f t="shared" si="1"/>
        <v/>
      </c>
      <c r="B894" s="421" t="s">
        <v>289</v>
      </c>
      <c r="C894" s="406"/>
      <c r="D894" s="406"/>
      <c r="E894" s="406"/>
      <c r="F894" s="395" t="s">
        <v>289</v>
      </c>
      <c r="G894" s="406"/>
      <c r="H894" s="406"/>
      <c r="I894" s="378" t="s">
        <v>289</v>
      </c>
      <c r="J894" s="379" t="s">
        <v>289</v>
      </c>
      <c r="K894" s="407"/>
      <c r="L894" s="378" t="s">
        <v>289</v>
      </c>
      <c r="M894" s="378" t="s">
        <v>289</v>
      </c>
      <c r="N894" s="378" t="s">
        <v>289</v>
      </c>
      <c r="O894" s="409"/>
      <c r="P894" s="387" t="s">
        <v>289</v>
      </c>
      <c r="Q894" s="383"/>
      <c r="R894" s="383"/>
      <c r="S894" s="383"/>
      <c r="T894" s="410"/>
      <c r="U894" s="406"/>
      <c r="V894" s="386"/>
      <c r="W894" s="387" t="s">
        <v>289</v>
      </c>
      <c r="X894" s="378" t="s">
        <v>289</v>
      </c>
      <c r="Y894" s="387" t="s">
        <v>289</v>
      </c>
      <c r="Z894" s="391" t="s">
        <v>289</v>
      </c>
      <c r="AA894" s="391" t="s">
        <v>289</v>
      </c>
      <c r="AB894" s="391" t="s">
        <v>289</v>
      </c>
      <c r="AC894" s="391" t="s">
        <v>289</v>
      </c>
      <c r="AD894" s="395" t="s">
        <v>289</v>
      </c>
      <c r="AE894" s="395"/>
      <c r="AF894" s="395"/>
      <c r="AG894" s="395"/>
      <c r="AH894" s="395"/>
    </row>
    <row r="895" ht="30.75" customHeight="1">
      <c r="A895" s="373" t="str">
        <f t="shared" si="1"/>
        <v/>
      </c>
      <c r="B895" s="421" t="s">
        <v>289</v>
      </c>
      <c r="C895" s="406"/>
      <c r="D895" s="406"/>
      <c r="E895" s="406"/>
      <c r="F895" s="395" t="s">
        <v>289</v>
      </c>
      <c r="G895" s="406"/>
      <c r="H895" s="406"/>
      <c r="I895" s="378" t="s">
        <v>289</v>
      </c>
      <c r="J895" s="379" t="s">
        <v>289</v>
      </c>
      <c r="K895" s="407"/>
      <c r="L895" s="378" t="s">
        <v>289</v>
      </c>
      <c r="M895" s="378" t="s">
        <v>289</v>
      </c>
      <c r="N895" s="378" t="s">
        <v>289</v>
      </c>
      <c r="O895" s="409"/>
      <c r="P895" s="387" t="s">
        <v>289</v>
      </c>
      <c r="Q895" s="383"/>
      <c r="R895" s="383"/>
      <c r="S895" s="383"/>
      <c r="T895" s="410"/>
      <c r="U895" s="406"/>
      <c r="V895" s="386"/>
      <c r="W895" s="387" t="s">
        <v>289</v>
      </c>
      <c r="X895" s="378" t="s">
        <v>289</v>
      </c>
      <c r="Y895" s="387" t="s">
        <v>289</v>
      </c>
      <c r="Z895" s="391" t="s">
        <v>289</v>
      </c>
      <c r="AA895" s="391" t="s">
        <v>289</v>
      </c>
      <c r="AB895" s="391" t="s">
        <v>289</v>
      </c>
      <c r="AC895" s="391" t="s">
        <v>289</v>
      </c>
      <c r="AD895" s="395" t="s">
        <v>289</v>
      </c>
      <c r="AE895" s="395"/>
      <c r="AF895" s="395"/>
      <c r="AG895" s="395"/>
      <c r="AH895" s="395"/>
    </row>
    <row r="896" ht="30.75" customHeight="1">
      <c r="A896" s="373" t="str">
        <f t="shared" si="1"/>
        <v/>
      </c>
      <c r="B896" s="421" t="s">
        <v>289</v>
      </c>
      <c r="C896" s="406"/>
      <c r="D896" s="406"/>
      <c r="E896" s="406"/>
      <c r="F896" s="395" t="s">
        <v>289</v>
      </c>
      <c r="G896" s="406"/>
      <c r="H896" s="406"/>
      <c r="I896" s="378" t="s">
        <v>289</v>
      </c>
      <c r="J896" s="379" t="s">
        <v>289</v>
      </c>
      <c r="K896" s="407"/>
      <c r="L896" s="378" t="s">
        <v>289</v>
      </c>
      <c r="M896" s="378" t="s">
        <v>289</v>
      </c>
      <c r="N896" s="378" t="s">
        <v>289</v>
      </c>
      <c r="O896" s="409"/>
      <c r="P896" s="387" t="s">
        <v>289</v>
      </c>
      <c r="Q896" s="383"/>
      <c r="R896" s="383"/>
      <c r="S896" s="383"/>
      <c r="T896" s="410"/>
      <c r="U896" s="406"/>
      <c r="V896" s="386"/>
      <c r="W896" s="387" t="s">
        <v>289</v>
      </c>
      <c r="X896" s="378" t="s">
        <v>289</v>
      </c>
      <c r="Y896" s="387" t="s">
        <v>289</v>
      </c>
      <c r="Z896" s="391" t="s">
        <v>289</v>
      </c>
      <c r="AA896" s="391" t="s">
        <v>289</v>
      </c>
      <c r="AB896" s="391" t="s">
        <v>289</v>
      </c>
      <c r="AC896" s="391" t="s">
        <v>289</v>
      </c>
      <c r="AD896" s="395" t="s">
        <v>289</v>
      </c>
      <c r="AE896" s="395"/>
      <c r="AF896" s="395"/>
      <c r="AG896" s="395"/>
      <c r="AH896" s="395"/>
    </row>
    <row r="897" ht="30.75" customHeight="1">
      <c r="A897" s="373" t="str">
        <f t="shared" si="1"/>
        <v/>
      </c>
      <c r="B897" s="421" t="s">
        <v>289</v>
      </c>
      <c r="C897" s="406"/>
      <c r="D897" s="406"/>
      <c r="E897" s="406"/>
      <c r="F897" s="395" t="s">
        <v>289</v>
      </c>
      <c r="G897" s="406"/>
      <c r="H897" s="406"/>
      <c r="I897" s="378" t="s">
        <v>289</v>
      </c>
      <c r="J897" s="379" t="s">
        <v>289</v>
      </c>
      <c r="K897" s="407"/>
      <c r="L897" s="378" t="s">
        <v>289</v>
      </c>
      <c r="M897" s="378" t="s">
        <v>289</v>
      </c>
      <c r="N897" s="378" t="s">
        <v>289</v>
      </c>
      <c r="O897" s="409"/>
      <c r="P897" s="387" t="s">
        <v>289</v>
      </c>
      <c r="Q897" s="383"/>
      <c r="R897" s="383"/>
      <c r="S897" s="383"/>
      <c r="T897" s="410"/>
      <c r="U897" s="406"/>
      <c r="V897" s="386"/>
      <c r="W897" s="387" t="s">
        <v>289</v>
      </c>
      <c r="X897" s="378" t="s">
        <v>289</v>
      </c>
      <c r="Y897" s="387" t="s">
        <v>289</v>
      </c>
      <c r="Z897" s="391" t="s">
        <v>289</v>
      </c>
      <c r="AA897" s="391" t="s">
        <v>289</v>
      </c>
      <c r="AB897" s="391" t="s">
        <v>289</v>
      </c>
      <c r="AC897" s="391" t="s">
        <v>289</v>
      </c>
      <c r="AD897" s="395" t="s">
        <v>289</v>
      </c>
      <c r="AE897" s="395"/>
      <c r="AF897" s="395"/>
      <c r="AG897" s="395"/>
      <c r="AH897" s="395"/>
    </row>
    <row r="898" ht="30.75" customHeight="1">
      <c r="A898" s="373" t="str">
        <f t="shared" si="1"/>
        <v/>
      </c>
      <c r="B898" s="421" t="s">
        <v>289</v>
      </c>
      <c r="C898" s="406"/>
      <c r="D898" s="406"/>
      <c r="E898" s="406"/>
      <c r="F898" s="395" t="s">
        <v>289</v>
      </c>
      <c r="G898" s="406"/>
      <c r="H898" s="406"/>
      <c r="I898" s="378" t="s">
        <v>289</v>
      </c>
      <c r="J898" s="379" t="s">
        <v>289</v>
      </c>
      <c r="K898" s="407"/>
      <c r="L898" s="378" t="s">
        <v>289</v>
      </c>
      <c r="M898" s="378" t="s">
        <v>289</v>
      </c>
      <c r="N898" s="378" t="s">
        <v>289</v>
      </c>
      <c r="O898" s="409"/>
      <c r="P898" s="387" t="s">
        <v>289</v>
      </c>
      <c r="Q898" s="383"/>
      <c r="R898" s="383"/>
      <c r="S898" s="383"/>
      <c r="T898" s="410"/>
      <c r="U898" s="406"/>
      <c r="V898" s="386"/>
      <c r="W898" s="387" t="s">
        <v>289</v>
      </c>
      <c r="X898" s="378" t="s">
        <v>289</v>
      </c>
      <c r="Y898" s="387" t="s">
        <v>289</v>
      </c>
      <c r="Z898" s="391" t="s">
        <v>289</v>
      </c>
      <c r="AA898" s="391" t="s">
        <v>289</v>
      </c>
      <c r="AB898" s="391" t="s">
        <v>289</v>
      </c>
      <c r="AC898" s="391" t="s">
        <v>289</v>
      </c>
      <c r="AD898" s="395" t="s">
        <v>289</v>
      </c>
      <c r="AE898" s="395"/>
      <c r="AF898" s="395"/>
      <c r="AG898" s="395"/>
      <c r="AH898" s="395"/>
    </row>
    <row r="899" ht="30.75" customHeight="1">
      <c r="A899" s="373" t="str">
        <f t="shared" si="1"/>
        <v/>
      </c>
      <c r="B899" s="421" t="s">
        <v>289</v>
      </c>
      <c r="C899" s="406"/>
      <c r="D899" s="406"/>
      <c r="E899" s="406"/>
      <c r="F899" s="395" t="s">
        <v>289</v>
      </c>
      <c r="G899" s="406"/>
      <c r="H899" s="406"/>
      <c r="I899" s="378" t="s">
        <v>289</v>
      </c>
      <c r="J899" s="379" t="s">
        <v>289</v>
      </c>
      <c r="K899" s="407"/>
      <c r="L899" s="378" t="s">
        <v>289</v>
      </c>
      <c r="M899" s="378" t="s">
        <v>289</v>
      </c>
      <c r="N899" s="378" t="s">
        <v>289</v>
      </c>
      <c r="O899" s="409"/>
      <c r="P899" s="387" t="s">
        <v>289</v>
      </c>
      <c r="Q899" s="383"/>
      <c r="R899" s="383"/>
      <c r="S899" s="383"/>
      <c r="T899" s="410"/>
      <c r="U899" s="406"/>
      <c r="V899" s="386"/>
      <c r="W899" s="387" t="s">
        <v>289</v>
      </c>
      <c r="X899" s="378" t="s">
        <v>289</v>
      </c>
      <c r="Y899" s="387" t="s">
        <v>289</v>
      </c>
      <c r="Z899" s="391" t="s">
        <v>289</v>
      </c>
      <c r="AA899" s="391" t="s">
        <v>289</v>
      </c>
      <c r="AB899" s="391" t="s">
        <v>289</v>
      </c>
      <c r="AC899" s="391" t="s">
        <v>289</v>
      </c>
      <c r="AD899" s="395" t="s">
        <v>289</v>
      </c>
      <c r="AE899" s="395"/>
      <c r="AF899" s="395"/>
      <c r="AG899" s="395"/>
      <c r="AH899" s="395"/>
    </row>
    <row r="900" ht="30.75" customHeight="1">
      <c r="A900" s="373" t="str">
        <f t="shared" si="1"/>
        <v/>
      </c>
      <c r="B900" s="421" t="s">
        <v>289</v>
      </c>
      <c r="C900" s="406"/>
      <c r="D900" s="406"/>
      <c r="E900" s="406"/>
      <c r="F900" s="395" t="s">
        <v>289</v>
      </c>
      <c r="G900" s="406"/>
      <c r="H900" s="406"/>
      <c r="I900" s="378" t="s">
        <v>289</v>
      </c>
      <c r="J900" s="379" t="s">
        <v>289</v>
      </c>
      <c r="K900" s="407"/>
      <c r="L900" s="378" t="s">
        <v>289</v>
      </c>
      <c r="M900" s="378" t="s">
        <v>289</v>
      </c>
      <c r="N900" s="378" t="s">
        <v>289</v>
      </c>
      <c r="O900" s="409"/>
      <c r="P900" s="387" t="s">
        <v>289</v>
      </c>
      <c r="Q900" s="383"/>
      <c r="R900" s="383"/>
      <c r="S900" s="383"/>
      <c r="T900" s="410"/>
      <c r="U900" s="406"/>
      <c r="V900" s="386"/>
      <c r="W900" s="387" t="s">
        <v>289</v>
      </c>
      <c r="X900" s="378" t="s">
        <v>289</v>
      </c>
      <c r="Y900" s="387" t="s">
        <v>289</v>
      </c>
      <c r="Z900" s="391" t="s">
        <v>289</v>
      </c>
      <c r="AA900" s="391" t="s">
        <v>289</v>
      </c>
      <c r="AB900" s="391" t="s">
        <v>289</v>
      </c>
      <c r="AC900" s="391" t="s">
        <v>289</v>
      </c>
      <c r="AD900" s="395" t="s">
        <v>289</v>
      </c>
      <c r="AE900" s="395"/>
      <c r="AF900" s="395"/>
      <c r="AG900" s="395"/>
      <c r="AH900" s="395"/>
    </row>
    <row r="901" ht="30.75" customHeight="1">
      <c r="A901" s="373" t="str">
        <f t="shared" si="1"/>
        <v/>
      </c>
      <c r="B901" s="421" t="s">
        <v>289</v>
      </c>
      <c r="C901" s="406"/>
      <c r="D901" s="406"/>
      <c r="E901" s="406"/>
      <c r="F901" s="395" t="s">
        <v>289</v>
      </c>
      <c r="G901" s="406"/>
      <c r="H901" s="406"/>
      <c r="I901" s="378" t="s">
        <v>289</v>
      </c>
      <c r="J901" s="379" t="s">
        <v>289</v>
      </c>
      <c r="K901" s="407"/>
      <c r="L901" s="378" t="s">
        <v>289</v>
      </c>
      <c r="M901" s="378" t="s">
        <v>289</v>
      </c>
      <c r="N901" s="378" t="s">
        <v>289</v>
      </c>
      <c r="O901" s="409"/>
      <c r="P901" s="387" t="s">
        <v>289</v>
      </c>
      <c r="Q901" s="383"/>
      <c r="R901" s="383"/>
      <c r="S901" s="383"/>
      <c r="T901" s="410"/>
      <c r="U901" s="406"/>
      <c r="V901" s="386"/>
      <c r="W901" s="387" t="s">
        <v>289</v>
      </c>
      <c r="X901" s="378" t="s">
        <v>289</v>
      </c>
      <c r="Y901" s="387" t="s">
        <v>289</v>
      </c>
      <c r="Z901" s="391" t="s">
        <v>289</v>
      </c>
      <c r="AA901" s="391" t="s">
        <v>289</v>
      </c>
      <c r="AB901" s="391" t="s">
        <v>289</v>
      </c>
      <c r="AC901" s="391" t="s">
        <v>289</v>
      </c>
      <c r="AD901" s="395" t="s">
        <v>289</v>
      </c>
      <c r="AE901" s="395"/>
      <c r="AF901" s="395"/>
      <c r="AG901" s="395"/>
      <c r="AH901" s="395"/>
    </row>
    <row r="902" ht="30.75" customHeight="1">
      <c r="A902" s="373" t="str">
        <f t="shared" si="1"/>
        <v/>
      </c>
      <c r="B902" s="421" t="s">
        <v>289</v>
      </c>
      <c r="C902" s="406"/>
      <c r="D902" s="406"/>
      <c r="E902" s="406"/>
      <c r="F902" s="395" t="s">
        <v>289</v>
      </c>
      <c r="G902" s="406"/>
      <c r="H902" s="406"/>
      <c r="I902" s="378" t="s">
        <v>289</v>
      </c>
      <c r="J902" s="379" t="s">
        <v>289</v>
      </c>
      <c r="K902" s="407"/>
      <c r="L902" s="378" t="s">
        <v>289</v>
      </c>
      <c r="M902" s="378" t="s">
        <v>289</v>
      </c>
      <c r="N902" s="378" t="s">
        <v>289</v>
      </c>
      <c r="O902" s="409"/>
      <c r="P902" s="387" t="s">
        <v>289</v>
      </c>
      <c r="Q902" s="383"/>
      <c r="R902" s="383"/>
      <c r="S902" s="383"/>
      <c r="T902" s="410"/>
      <c r="U902" s="406"/>
      <c r="V902" s="386"/>
      <c r="W902" s="387" t="s">
        <v>289</v>
      </c>
      <c r="X902" s="378" t="s">
        <v>289</v>
      </c>
      <c r="Y902" s="387" t="s">
        <v>289</v>
      </c>
      <c r="Z902" s="391" t="s">
        <v>289</v>
      </c>
      <c r="AA902" s="391" t="s">
        <v>289</v>
      </c>
      <c r="AB902" s="391" t="s">
        <v>289</v>
      </c>
      <c r="AC902" s="391" t="s">
        <v>289</v>
      </c>
      <c r="AD902" s="395" t="s">
        <v>289</v>
      </c>
      <c r="AE902" s="395"/>
      <c r="AF902" s="395"/>
      <c r="AG902" s="395"/>
      <c r="AH902" s="395"/>
    </row>
    <row r="903" ht="30.75" customHeight="1">
      <c r="A903" s="373" t="str">
        <f t="shared" si="1"/>
        <v/>
      </c>
      <c r="B903" s="421" t="s">
        <v>289</v>
      </c>
      <c r="C903" s="406"/>
      <c r="D903" s="406"/>
      <c r="E903" s="406"/>
      <c r="F903" s="395" t="s">
        <v>289</v>
      </c>
      <c r="G903" s="406"/>
      <c r="H903" s="406"/>
      <c r="I903" s="378" t="s">
        <v>289</v>
      </c>
      <c r="J903" s="379" t="s">
        <v>289</v>
      </c>
      <c r="K903" s="407"/>
      <c r="L903" s="378" t="s">
        <v>289</v>
      </c>
      <c r="M903" s="378" t="s">
        <v>289</v>
      </c>
      <c r="N903" s="378" t="s">
        <v>289</v>
      </c>
      <c r="O903" s="409"/>
      <c r="P903" s="387" t="s">
        <v>289</v>
      </c>
      <c r="Q903" s="383"/>
      <c r="R903" s="383"/>
      <c r="S903" s="383"/>
      <c r="T903" s="410"/>
      <c r="U903" s="406"/>
      <c r="V903" s="386"/>
      <c r="W903" s="387" t="s">
        <v>289</v>
      </c>
      <c r="X903" s="378" t="s">
        <v>289</v>
      </c>
      <c r="Y903" s="387" t="s">
        <v>289</v>
      </c>
      <c r="Z903" s="391" t="s">
        <v>289</v>
      </c>
      <c r="AA903" s="391" t="s">
        <v>289</v>
      </c>
      <c r="AB903" s="391" t="s">
        <v>289</v>
      </c>
      <c r="AC903" s="391" t="s">
        <v>289</v>
      </c>
      <c r="AD903" s="395" t="s">
        <v>289</v>
      </c>
      <c r="AE903" s="395"/>
      <c r="AF903" s="395"/>
      <c r="AG903" s="395"/>
      <c r="AH903" s="395"/>
    </row>
    <row r="904" ht="30.75" customHeight="1">
      <c r="A904" s="373" t="str">
        <f t="shared" si="1"/>
        <v/>
      </c>
      <c r="B904" s="421" t="s">
        <v>289</v>
      </c>
      <c r="C904" s="406"/>
      <c r="D904" s="406"/>
      <c r="E904" s="406"/>
      <c r="F904" s="395" t="s">
        <v>289</v>
      </c>
      <c r="G904" s="406"/>
      <c r="H904" s="406"/>
      <c r="I904" s="378" t="s">
        <v>289</v>
      </c>
      <c r="J904" s="379" t="s">
        <v>289</v>
      </c>
      <c r="K904" s="407"/>
      <c r="L904" s="378" t="s">
        <v>289</v>
      </c>
      <c r="M904" s="378" t="s">
        <v>289</v>
      </c>
      <c r="N904" s="378" t="s">
        <v>289</v>
      </c>
      <c r="O904" s="409"/>
      <c r="P904" s="387" t="s">
        <v>289</v>
      </c>
      <c r="Q904" s="383"/>
      <c r="R904" s="383"/>
      <c r="S904" s="383"/>
      <c r="T904" s="410"/>
      <c r="U904" s="406"/>
      <c r="V904" s="386"/>
      <c r="W904" s="387" t="s">
        <v>289</v>
      </c>
      <c r="X904" s="378" t="s">
        <v>289</v>
      </c>
      <c r="Y904" s="387" t="s">
        <v>289</v>
      </c>
      <c r="Z904" s="391" t="s">
        <v>289</v>
      </c>
      <c r="AA904" s="391" t="s">
        <v>289</v>
      </c>
      <c r="AB904" s="391" t="s">
        <v>289</v>
      </c>
      <c r="AC904" s="391" t="s">
        <v>289</v>
      </c>
      <c r="AD904" s="395" t="s">
        <v>289</v>
      </c>
      <c r="AE904" s="395"/>
      <c r="AF904" s="395"/>
      <c r="AG904" s="395"/>
      <c r="AH904" s="395"/>
    </row>
    <row r="905" ht="30.75" customHeight="1">
      <c r="A905" s="373" t="str">
        <f t="shared" si="1"/>
        <v/>
      </c>
      <c r="B905" s="421" t="s">
        <v>289</v>
      </c>
      <c r="C905" s="406"/>
      <c r="D905" s="406"/>
      <c r="E905" s="406"/>
      <c r="F905" s="395" t="s">
        <v>289</v>
      </c>
      <c r="G905" s="406"/>
      <c r="H905" s="406"/>
      <c r="I905" s="378" t="s">
        <v>289</v>
      </c>
      <c r="J905" s="379" t="s">
        <v>289</v>
      </c>
      <c r="K905" s="407"/>
      <c r="L905" s="378" t="s">
        <v>289</v>
      </c>
      <c r="M905" s="378" t="s">
        <v>289</v>
      </c>
      <c r="N905" s="378" t="s">
        <v>289</v>
      </c>
      <c r="O905" s="409"/>
      <c r="P905" s="387" t="s">
        <v>289</v>
      </c>
      <c r="Q905" s="383"/>
      <c r="R905" s="383"/>
      <c r="S905" s="383"/>
      <c r="T905" s="410"/>
      <c r="U905" s="406"/>
      <c r="V905" s="386"/>
      <c r="W905" s="387" t="s">
        <v>289</v>
      </c>
      <c r="X905" s="378" t="s">
        <v>289</v>
      </c>
      <c r="Y905" s="387" t="s">
        <v>289</v>
      </c>
      <c r="Z905" s="391" t="s">
        <v>289</v>
      </c>
      <c r="AA905" s="391" t="s">
        <v>289</v>
      </c>
      <c r="AB905" s="391" t="s">
        <v>289</v>
      </c>
      <c r="AC905" s="391" t="s">
        <v>289</v>
      </c>
      <c r="AD905" s="395" t="s">
        <v>289</v>
      </c>
      <c r="AE905" s="395"/>
      <c r="AF905" s="395"/>
      <c r="AG905" s="395"/>
      <c r="AH905" s="395"/>
    </row>
    <row r="906" ht="30.75" customHeight="1">
      <c r="A906" s="373" t="str">
        <f t="shared" si="1"/>
        <v/>
      </c>
      <c r="B906" s="421" t="s">
        <v>289</v>
      </c>
      <c r="C906" s="406"/>
      <c r="D906" s="406"/>
      <c r="E906" s="406"/>
      <c r="F906" s="395" t="s">
        <v>289</v>
      </c>
      <c r="G906" s="406"/>
      <c r="H906" s="406"/>
      <c r="I906" s="378" t="s">
        <v>289</v>
      </c>
      <c r="J906" s="379" t="s">
        <v>289</v>
      </c>
      <c r="K906" s="407"/>
      <c r="L906" s="378" t="s">
        <v>289</v>
      </c>
      <c r="M906" s="378" t="s">
        <v>289</v>
      </c>
      <c r="N906" s="378" t="s">
        <v>289</v>
      </c>
      <c r="O906" s="409"/>
      <c r="P906" s="387" t="s">
        <v>289</v>
      </c>
      <c r="Q906" s="383"/>
      <c r="R906" s="383"/>
      <c r="S906" s="383"/>
      <c r="T906" s="410"/>
      <c r="U906" s="406"/>
      <c r="V906" s="386"/>
      <c r="W906" s="387" t="s">
        <v>289</v>
      </c>
      <c r="X906" s="378" t="s">
        <v>289</v>
      </c>
      <c r="Y906" s="387" t="s">
        <v>289</v>
      </c>
      <c r="Z906" s="391" t="s">
        <v>289</v>
      </c>
      <c r="AA906" s="391" t="s">
        <v>289</v>
      </c>
      <c r="AB906" s="391" t="s">
        <v>289</v>
      </c>
      <c r="AC906" s="391" t="s">
        <v>289</v>
      </c>
      <c r="AD906" s="395" t="s">
        <v>289</v>
      </c>
      <c r="AE906" s="395"/>
      <c r="AF906" s="395"/>
      <c r="AG906" s="395"/>
      <c r="AH906" s="395"/>
    </row>
    <row r="907" ht="30.75" customHeight="1">
      <c r="A907" s="373" t="str">
        <f t="shared" si="1"/>
        <v/>
      </c>
      <c r="B907" s="421" t="s">
        <v>289</v>
      </c>
      <c r="C907" s="406"/>
      <c r="D907" s="406"/>
      <c r="E907" s="406"/>
      <c r="F907" s="395" t="s">
        <v>289</v>
      </c>
      <c r="G907" s="406"/>
      <c r="H907" s="406"/>
      <c r="I907" s="378" t="s">
        <v>289</v>
      </c>
      <c r="J907" s="379" t="s">
        <v>289</v>
      </c>
      <c r="K907" s="407"/>
      <c r="L907" s="378" t="s">
        <v>289</v>
      </c>
      <c r="M907" s="378" t="s">
        <v>289</v>
      </c>
      <c r="N907" s="378" t="s">
        <v>289</v>
      </c>
      <c r="O907" s="409"/>
      <c r="P907" s="387" t="s">
        <v>289</v>
      </c>
      <c r="Q907" s="383"/>
      <c r="R907" s="383"/>
      <c r="S907" s="383"/>
      <c r="T907" s="410"/>
      <c r="U907" s="406"/>
      <c r="V907" s="386"/>
      <c r="W907" s="387" t="s">
        <v>289</v>
      </c>
      <c r="X907" s="378" t="s">
        <v>289</v>
      </c>
      <c r="Y907" s="387" t="s">
        <v>289</v>
      </c>
      <c r="Z907" s="391" t="s">
        <v>289</v>
      </c>
      <c r="AA907" s="391" t="s">
        <v>289</v>
      </c>
      <c r="AB907" s="391" t="s">
        <v>289</v>
      </c>
      <c r="AC907" s="391" t="s">
        <v>289</v>
      </c>
      <c r="AD907" s="395" t="s">
        <v>289</v>
      </c>
      <c r="AE907" s="395"/>
      <c r="AF907" s="395"/>
      <c r="AG907" s="395"/>
      <c r="AH907" s="395"/>
    </row>
    <row r="908" ht="30.75" customHeight="1">
      <c r="A908" s="373" t="str">
        <f t="shared" si="1"/>
        <v/>
      </c>
      <c r="B908" s="421" t="s">
        <v>289</v>
      </c>
      <c r="C908" s="406"/>
      <c r="D908" s="406"/>
      <c r="E908" s="406"/>
      <c r="F908" s="395" t="s">
        <v>289</v>
      </c>
      <c r="G908" s="406"/>
      <c r="H908" s="406"/>
      <c r="I908" s="378" t="s">
        <v>289</v>
      </c>
      <c r="J908" s="379" t="s">
        <v>289</v>
      </c>
      <c r="K908" s="407"/>
      <c r="L908" s="378" t="s">
        <v>289</v>
      </c>
      <c r="M908" s="378" t="s">
        <v>289</v>
      </c>
      <c r="N908" s="378" t="s">
        <v>289</v>
      </c>
      <c r="O908" s="409"/>
      <c r="P908" s="387" t="s">
        <v>289</v>
      </c>
      <c r="Q908" s="383"/>
      <c r="R908" s="383"/>
      <c r="S908" s="383"/>
      <c r="T908" s="410"/>
      <c r="U908" s="406"/>
      <c r="V908" s="386"/>
      <c r="W908" s="387" t="s">
        <v>289</v>
      </c>
      <c r="X908" s="378" t="s">
        <v>289</v>
      </c>
      <c r="Y908" s="387" t="s">
        <v>289</v>
      </c>
      <c r="Z908" s="391" t="s">
        <v>289</v>
      </c>
      <c r="AA908" s="391" t="s">
        <v>289</v>
      </c>
      <c r="AB908" s="391" t="s">
        <v>289</v>
      </c>
      <c r="AC908" s="391" t="s">
        <v>289</v>
      </c>
      <c r="AD908" s="395" t="s">
        <v>289</v>
      </c>
      <c r="AE908" s="395"/>
      <c r="AF908" s="395"/>
      <c r="AG908" s="395"/>
      <c r="AH908" s="395"/>
    </row>
    <row r="909" ht="30.75" customHeight="1">
      <c r="A909" s="373" t="str">
        <f t="shared" si="1"/>
        <v/>
      </c>
      <c r="B909" s="421" t="s">
        <v>289</v>
      </c>
      <c r="C909" s="406"/>
      <c r="D909" s="406"/>
      <c r="E909" s="406"/>
      <c r="F909" s="395" t="s">
        <v>289</v>
      </c>
      <c r="G909" s="406"/>
      <c r="H909" s="406"/>
      <c r="I909" s="378" t="s">
        <v>289</v>
      </c>
      <c r="J909" s="379" t="s">
        <v>289</v>
      </c>
      <c r="K909" s="407"/>
      <c r="L909" s="378" t="s">
        <v>289</v>
      </c>
      <c r="M909" s="378" t="s">
        <v>289</v>
      </c>
      <c r="N909" s="378" t="s">
        <v>289</v>
      </c>
      <c r="O909" s="409"/>
      <c r="P909" s="387" t="s">
        <v>289</v>
      </c>
      <c r="Q909" s="383"/>
      <c r="R909" s="383"/>
      <c r="S909" s="383"/>
      <c r="T909" s="410"/>
      <c r="U909" s="406"/>
      <c r="V909" s="386"/>
      <c r="W909" s="387" t="s">
        <v>289</v>
      </c>
      <c r="X909" s="378" t="s">
        <v>289</v>
      </c>
      <c r="Y909" s="387" t="s">
        <v>289</v>
      </c>
      <c r="Z909" s="391" t="s">
        <v>289</v>
      </c>
      <c r="AA909" s="391" t="s">
        <v>289</v>
      </c>
      <c r="AB909" s="391" t="s">
        <v>289</v>
      </c>
      <c r="AC909" s="391" t="s">
        <v>289</v>
      </c>
      <c r="AD909" s="395" t="s">
        <v>289</v>
      </c>
      <c r="AE909" s="395"/>
      <c r="AF909" s="395"/>
      <c r="AG909" s="395"/>
      <c r="AH909" s="395"/>
    </row>
    <row r="910" ht="30.75" customHeight="1">
      <c r="A910" s="373" t="str">
        <f t="shared" si="1"/>
        <v/>
      </c>
      <c r="B910" s="421" t="s">
        <v>289</v>
      </c>
      <c r="C910" s="406"/>
      <c r="D910" s="406"/>
      <c r="E910" s="406"/>
      <c r="F910" s="395" t="s">
        <v>289</v>
      </c>
      <c r="G910" s="406"/>
      <c r="H910" s="406"/>
      <c r="I910" s="378" t="s">
        <v>289</v>
      </c>
      <c r="J910" s="379" t="s">
        <v>289</v>
      </c>
      <c r="K910" s="407"/>
      <c r="L910" s="378" t="s">
        <v>289</v>
      </c>
      <c r="M910" s="378" t="s">
        <v>289</v>
      </c>
      <c r="N910" s="378" t="s">
        <v>289</v>
      </c>
      <c r="O910" s="409"/>
      <c r="P910" s="387" t="s">
        <v>289</v>
      </c>
      <c r="Q910" s="383"/>
      <c r="R910" s="383"/>
      <c r="S910" s="383"/>
      <c r="T910" s="410"/>
      <c r="U910" s="406"/>
      <c r="V910" s="386"/>
      <c r="W910" s="387" t="s">
        <v>289</v>
      </c>
      <c r="X910" s="378" t="s">
        <v>289</v>
      </c>
      <c r="Y910" s="387" t="s">
        <v>289</v>
      </c>
      <c r="Z910" s="391" t="s">
        <v>289</v>
      </c>
      <c r="AA910" s="391" t="s">
        <v>289</v>
      </c>
      <c r="AB910" s="391" t="s">
        <v>289</v>
      </c>
      <c r="AC910" s="391" t="s">
        <v>289</v>
      </c>
      <c r="AD910" s="395" t="s">
        <v>289</v>
      </c>
      <c r="AE910" s="395"/>
      <c r="AF910" s="395"/>
      <c r="AG910" s="395"/>
      <c r="AH910" s="395"/>
    </row>
    <row r="911" ht="30.75" customHeight="1">
      <c r="A911" s="373" t="str">
        <f t="shared" si="1"/>
        <v/>
      </c>
      <c r="B911" s="421" t="s">
        <v>289</v>
      </c>
      <c r="C911" s="406"/>
      <c r="D911" s="406"/>
      <c r="E911" s="406"/>
      <c r="F911" s="395" t="s">
        <v>289</v>
      </c>
      <c r="G911" s="406"/>
      <c r="H911" s="406"/>
      <c r="I911" s="378" t="s">
        <v>289</v>
      </c>
      <c r="J911" s="379" t="s">
        <v>289</v>
      </c>
      <c r="K911" s="407"/>
      <c r="L911" s="378" t="s">
        <v>289</v>
      </c>
      <c r="M911" s="378" t="s">
        <v>289</v>
      </c>
      <c r="N911" s="378" t="s">
        <v>289</v>
      </c>
      <c r="O911" s="409"/>
      <c r="P911" s="387" t="s">
        <v>289</v>
      </c>
      <c r="Q911" s="383"/>
      <c r="R911" s="383"/>
      <c r="S911" s="383"/>
      <c r="T911" s="410"/>
      <c r="U911" s="406"/>
      <c r="V911" s="386"/>
      <c r="W911" s="387" t="s">
        <v>289</v>
      </c>
      <c r="X911" s="378" t="s">
        <v>289</v>
      </c>
      <c r="Y911" s="387" t="s">
        <v>289</v>
      </c>
      <c r="Z911" s="391" t="s">
        <v>289</v>
      </c>
      <c r="AA911" s="391" t="s">
        <v>289</v>
      </c>
      <c r="AB911" s="391" t="s">
        <v>289</v>
      </c>
      <c r="AC911" s="391" t="s">
        <v>289</v>
      </c>
      <c r="AD911" s="395" t="s">
        <v>289</v>
      </c>
      <c r="AE911" s="395"/>
      <c r="AF911" s="395"/>
      <c r="AG911" s="395"/>
      <c r="AH911" s="395"/>
    </row>
    <row r="912" ht="30.75" customHeight="1">
      <c r="A912" s="373" t="str">
        <f t="shared" si="1"/>
        <v/>
      </c>
      <c r="B912" s="421" t="s">
        <v>289</v>
      </c>
      <c r="C912" s="406"/>
      <c r="D912" s="406"/>
      <c r="E912" s="406"/>
      <c r="F912" s="395" t="s">
        <v>289</v>
      </c>
      <c r="G912" s="406"/>
      <c r="H912" s="406"/>
      <c r="I912" s="378" t="s">
        <v>289</v>
      </c>
      <c r="J912" s="379" t="s">
        <v>289</v>
      </c>
      <c r="K912" s="407"/>
      <c r="L912" s="378" t="s">
        <v>289</v>
      </c>
      <c r="M912" s="378" t="s">
        <v>289</v>
      </c>
      <c r="N912" s="378" t="s">
        <v>289</v>
      </c>
      <c r="O912" s="409"/>
      <c r="P912" s="387" t="s">
        <v>289</v>
      </c>
      <c r="Q912" s="383"/>
      <c r="R912" s="383"/>
      <c r="S912" s="383"/>
      <c r="T912" s="410"/>
      <c r="U912" s="406"/>
      <c r="V912" s="386"/>
      <c r="W912" s="387" t="s">
        <v>289</v>
      </c>
      <c r="X912" s="378" t="s">
        <v>289</v>
      </c>
      <c r="Y912" s="387" t="s">
        <v>289</v>
      </c>
      <c r="Z912" s="391" t="s">
        <v>289</v>
      </c>
      <c r="AA912" s="391" t="s">
        <v>289</v>
      </c>
      <c r="AB912" s="391" t="s">
        <v>289</v>
      </c>
      <c r="AC912" s="391" t="s">
        <v>289</v>
      </c>
      <c r="AD912" s="395" t="s">
        <v>289</v>
      </c>
      <c r="AE912" s="395"/>
      <c r="AF912" s="395"/>
      <c r="AG912" s="395"/>
      <c r="AH912" s="395"/>
    </row>
    <row r="913" ht="30.75" customHeight="1">
      <c r="A913" s="373" t="str">
        <f t="shared" si="1"/>
        <v/>
      </c>
      <c r="B913" s="421" t="s">
        <v>289</v>
      </c>
      <c r="C913" s="406"/>
      <c r="D913" s="406"/>
      <c r="E913" s="406"/>
      <c r="F913" s="395" t="s">
        <v>289</v>
      </c>
      <c r="G913" s="406"/>
      <c r="H913" s="406"/>
      <c r="I913" s="378" t="s">
        <v>289</v>
      </c>
      <c r="J913" s="379" t="s">
        <v>289</v>
      </c>
      <c r="K913" s="407"/>
      <c r="L913" s="378" t="s">
        <v>289</v>
      </c>
      <c r="M913" s="378" t="s">
        <v>289</v>
      </c>
      <c r="N913" s="378" t="s">
        <v>289</v>
      </c>
      <c r="O913" s="409"/>
      <c r="P913" s="387" t="s">
        <v>289</v>
      </c>
      <c r="Q913" s="383"/>
      <c r="R913" s="383"/>
      <c r="S913" s="383"/>
      <c r="T913" s="410"/>
      <c r="U913" s="406"/>
      <c r="V913" s="386"/>
      <c r="W913" s="387" t="s">
        <v>289</v>
      </c>
      <c r="X913" s="378" t="s">
        <v>289</v>
      </c>
      <c r="Y913" s="387" t="s">
        <v>289</v>
      </c>
      <c r="Z913" s="391" t="s">
        <v>289</v>
      </c>
      <c r="AA913" s="391" t="s">
        <v>289</v>
      </c>
      <c r="AB913" s="391" t="s">
        <v>289</v>
      </c>
      <c r="AC913" s="391" t="s">
        <v>289</v>
      </c>
      <c r="AD913" s="395" t="s">
        <v>289</v>
      </c>
      <c r="AE913" s="395"/>
      <c r="AF913" s="395"/>
      <c r="AG913" s="395"/>
      <c r="AH913" s="395"/>
    </row>
    <row r="914" ht="30.75" customHeight="1">
      <c r="A914" s="373" t="str">
        <f t="shared" si="1"/>
        <v/>
      </c>
      <c r="B914" s="421" t="s">
        <v>289</v>
      </c>
      <c r="C914" s="406"/>
      <c r="D914" s="406"/>
      <c r="E914" s="406"/>
      <c r="F914" s="395" t="s">
        <v>289</v>
      </c>
      <c r="G914" s="406"/>
      <c r="H914" s="406"/>
      <c r="I914" s="378" t="s">
        <v>289</v>
      </c>
      <c r="J914" s="379" t="s">
        <v>289</v>
      </c>
      <c r="K914" s="407"/>
      <c r="L914" s="378" t="s">
        <v>289</v>
      </c>
      <c r="M914" s="378" t="s">
        <v>289</v>
      </c>
      <c r="N914" s="378" t="s">
        <v>289</v>
      </c>
      <c r="O914" s="409"/>
      <c r="P914" s="387" t="s">
        <v>289</v>
      </c>
      <c r="Q914" s="383"/>
      <c r="R914" s="383"/>
      <c r="S914" s="383"/>
      <c r="T914" s="410"/>
      <c r="U914" s="406"/>
      <c r="V914" s="386"/>
      <c r="W914" s="387" t="s">
        <v>289</v>
      </c>
      <c r="X914" s="378" t="s">
        <v>289</v>
      </c>
      <c r="Y914" s="387" t="s">
        <v>289</v>
      </c>
      <c r="Z914" s="391" t="s">
        <v>289</v>
      </c>
      <c r="AA914" s="391" t="s">
        <v>289</v>
      </c>
      <c r="AB914" s="391" t="s">
        <v>289</v>
      </c>
      <c r="AC914" s="391" t="s">
        <v>289</v>
      </c>
      <c r="AD914" s="395" t="s">
        <v>289</v>
      </c>
      <c r="AE914" s="395"/>
      <c r="AF914" s="395"/>
      <c r="AG914" s="395"/>
      <c r="AH914" s="395"/>
    </row>
    <row r="915" ht="30.75" customHeight="1">
      <c r="A915" s="373" t="str">
        <f t="shared" si="1"/>
        <v/>
      </c>
      <c r="B915" s="421" t="s">
        <v>289</v>
      </c>
      <c r="C915" s="406"/>
      <c r="D915" s="406"/>
      <c r="E915" s="406"/>
      <c r="F915" s="395" t="s">
        <v>289</v>
      </c>
      <c r="G915" s="406"/>
      <c r="H915" s="406"/>
      <c r="I915" s="378" t="s">
        <v>289</v>
      </c>
      <c r="J915" s="379" t="s">
        <v>289</v>
      </c>
      <c r="K915" s="407"/>
      <c r="L915" s="378" t="s">
        <v>289</v>
      </c>
      <c r="M915" s="378" t="s">
        <v>289</v>
      </c>
      <c r="N915" s="378" t="s">
        <v>289</v>
      </c>
      <c r="O915" s="409"/>
      <c r="P915" s="387" t="s">
        <v>289</v>
      </c>
      <c r="Q915" s="383"/>
      <c r="R915" s="383"/>
      <c r="S915" s="383"/>
      <c r="T915" s="410"/>
      <c r="U915" s="406"/>
      <c r="V915" s="386"/>
      <c r="W915" s="387" t="s">
        <v>289</v>
      </c>
      <c r="X915" s="378" t="s">
        <v>289</v>
      </c>
      <c r="Y915" s="387" t="s">
        <v>289</v>
      </c>
      <c r="Z915" s="391" t="s">
        <v>289</v>
      </c>
      <c r="AA915" s="391" t="s">
        <v>289</v>
      </c>
      <c r="AB915" s="391" t="s">
        <v>289</v>
      </c>
      <c r="AC915" s="391" t="s">
        <v>289</v>
      </c>
      <c r="AD915" s="395" t="s">
        <v>289</v>
      </c>
      <c r="AE915" s="395"/>
      <c r="AF915" s="395"/>
      <c r="AG915" s="395"/>
      <c r="AH915" s="395"/>
    </row>
    <row r="916" ht="30.75" customHeight="1">
      <c r="A916" s="373" t="str">
        <f t="shared" si="1"/>
        <v/>
      </c>
      <c r="B916" s="421" t="s">
        <v>289</v>
      </c>
      <c r="C916" s="406"/>
      <c r="D916" s="406"/>
      <c r="E916" s="406"/>
      <c r="F916" s="395" t="s">
        <v>289</v>
      </c>
      <c r="G916" s="406"/>
      <c r="H916" s="406"/>
      <c r="I916" s="378" t="s">
        <v>289</v>
      </c>
      <c r="J916" s="379" t="s">
        <v>289</v>
      </c>
      <c r="K916" s="407"/>
      <c r="L916" s="378" t="s">
        <v>289</v>
      </c>
      <c r="M916" s="378" t="s">
        <v>289</v>
      </c>
      <c r="N916" s="378" t="s">
        <v>289</v>
      </c>
      <c r="O916" s="409"/>
      <c r="P916" s="387" t="s">
        <v>289</v>
      </c>
      <c r="Q916" s="383"/>
      <c r="R916" s="383"/>
      <c r="S916" s="383"/>
      <c r="T916" s="410"/>
      <c r="U916" s="406"/>
      <c r="V916" s="386"/>
      <c r="W916" s="387" t="s">
        <v>289</v>
      </c>
      <c r="X916" s="378" t="s">
        <v>289</v>
      </c>
      <c r="Y916" s="387" t="s">
        <v>289</v>
      </c>
      <c r="Z916" s="391" t="s">
        <v>289</v>
      </c>
      <c r="AA916" s="391" t="s">
        <v>289</v>
      </c>
      <c r="AB916" s="391" t="s">
        <v>289</v>
      </c>
      <c r="AC916" s="391" t="s">
        <v>289</v>
      </c>
      <c r="AD916" s="395" t="s">
        <v>289</v>
      </c>
      <c r="AE916" s="395"/>
      <c r="AF916" s="395"/>
      <c r="AG916" s="395"/>
      <c r="AH916" s="395"/>
    </row>
    <row r="917" ht="30.75" customHeight="1">
      <c r="A917" s="373" t="str">
        <f t="shared" si="1"/>
        <v/>
      </c>
      <c r="B917" s="421" t="s">
        <v>289</v>
      </c>
      <c r="C917" s="406"/>
      <c r="D917" s="406"/>
      <c r="E917" s="406"/>
      <c r="F917" s="395" t="s">
        <v>289</v>
      </c>
      <c r="G917" s="406"/>
      <c r="H917" s="406"/>
      <c r="I917" s="378" t="s">
        <v>289</v>
      </c>
      <c r="J917" s="379" t="s">
        <v>289</v>
      </c>
      <c r="K917" s="407"/>
      <c r="L917" s="378" t="s">
        <v>289</v>
      </c>
      <c r="M917" s="378" t="s">
        <v>289</v>
      </c>
      <c r="N917" s="378" t="s">
        <v>289</v>
      </c>
      <c r="O917" s="409"/>
      <c r="P917" s="387" t="s">
        <v>289</v>
      </c>
      <c r="Q917" s="383"/>
      <c r="R917" s="383"/>
      <c r="S917" s="383"/>
      <c r="T917" s="410"/>
      <c r="U917" s="406"/>
      <c r="V917" s="386"/>
      <c r="W917" s="387" t="s">
        <v>289</v>
      </c>
      <c r="X917" s="378" t="s">
        <v>289</v>
      </c>
      <c r="Y917" s="387" t="s">
        <v>289</v>
      </c>
      <c r="Z917" s="391" t="s">
        <v>289</v>
      </c>
      <c r="AA917" s="391" t="s">
        <v>289</v>
      </c>
      <c r="AB917" s="391" t="s">
        <v>289</v>
      </c>
      <c r="AC917" s="391" t="s">
        <v>289</v>
      </c>
      <c r="AD917" s="395" t="s">
        <v>289</v>
      </c>
      <c r="AE917" s="395"/>
      <c r="AF917" s="395"/>
      <c r="AG917" s="395"/>
      <c r="AH917" s="395"/>
    </row>
    <row r="918" ht="30.75" customHeight="1">
      <c r="A918" s="373" t="str">
        <f t="shared" si="1"/>
        <v/>
      </c>
      <c r="B918" s="421" t="s">
        <v>289</v>
      </c>
      <c r="C918" s="406"/>
      <c r="D918" s="406"/>
      <c r="E918" s="406"/>
      <c r="F918" s="395" t="s">
        <v>289</v>
      </c>
      <c r="G918" s="406"/>
      <c r="H918" s="406"/>
      <c r="I918" s="378" t="s">
        <v>289</v>
      </c>
      <c r="J918" s="379" t="s">
        <v>289</v>
      </c>
      <c r="K918" s="407"/>
      <c r="L918" s="378" t="s">
        <v>289</v>
      </c>
      <c r="M918" s="378" t="s">
        <v>289</v>
      </c>
      <c r="N918" s="378" t="s">
        <v>289</v>
      </c>
      <c r="O918" s="409"/>
      <c r="P918" s="387" t="s">
        <v>289</v>
      </c>
      <c r="Q918" s="383"/>
      <c r="R918" s="383"/>
      <c r="S918" s="383"/>
      <c r="T918" s="410"/>
      <c r="U918" s="406"/>
      <c r="V918" s="386"/>
      <c r="W918" s="387" t="s">
        <v>289</v>
      </c>
      <c r="X918" s="378" t="s">
        <v>289</v>
      </c>
      <c r="Y918" s="387" t="s">
        <v>289</v>
      </c>
      <c r="Z918" s="391" t="s">
        <v>289</v>
      </c>
      <c r="AA918" s="391" t="s">
        <v>289</v>
      </c>
      <c r="AB918" s="391" t="s">
        <v>289</v>
      </c>
      <c r="AC918" s="391" t="s">
        <v>289</v>
      </c>
      <c r="AD918" s="395" t="s">
        <v>289</v>
      </c>
      <c r="AE918" s="395"/>
      <c r="AF918" s="395"/>
      <c r="AG918" s="395"/>
      <c r="AH918" s="395"/>
    </row>
    <row r="919" ht="30.75" customHeight="1">
      <c r="A919" s="373" t="str">
        <f t="shared" si="1"/>
        <v/>
      </c>
      <c r="B919" s="421" t="s">
        <v>289</v>
      </c>
      <c r="C919" s="406"/>
      <c r="D919" s="406"/>
      <c r="E919" s="406"/>
      <c r="F919" s="395" t="s">
        <v>289</v>
      </c>
      <c r="G919" s="406"/>
      <c r="H919" s="406"/>
      <c r="I919" s="378" t="s">
        <v>289</v>
      </c>
      <c r="J919" s="379" t="s">
        <v>289</v>
      </c>
      <c r="K919" s="407"/>
      <c r="L919" s="378" t="s">
        <v>289</v>
      </c>
      <c r="M919" s="378" t="s">
        <v>289</v>
      </c>
      <c r="N919" s="378" t="s">
        <v>289</v>
      </c>
      <c r="O919" s="409"/>
      <c r="P919" s="387" t="s">
        <v>289</v>
      </c>
      <c r="Q919" s="383"/>
      <c r="R919" s="383"/>
      <c r="S919" s="383"/>
      <c r="T919" s="410"/>
      <c r="U919" s="406"/>
      <c r="V919" s="386"/>
      <c r="W919" s="387" t="s">
        <v>289</v>
      </c>
      <c r="X919" s="378" t="s">
        <v>289</v>
      </c>
      <c r="Y919" s="387" t="s">
        <v>289</v>
      </c>
      <c r="Z919" s="391" t="s">
        <v>289</v>
      </c>
      <c r="AA919" s="391" t="s">
        <v>289</v>
      </c>
      <c r="AB919" s="391" t="s">
        <v>289</v>
      </c>
      <c r="AC919" s="391" t="s">
        <v>289</v>
      </c>
      <c r="AD919" s="395" t="s">
        <v>289</v>
      </c>
      <c r="AE919" s="395"/>
      <c r="AF919" s="395"/>
      <c r="AG919" s="395"/>
      <c r="AH919" s="395"/>
    </row>
    <row r="920" ht="30.75" customHeight="1">
      <c r="A920" s="373" t="str">
        <f t="shared" si="1"/>
        <v/>
      </c>
      <c r="B920" s="421" t="s">
        <v>289</v>
      </c>
      <c r="C920" s="406"/>
      <c r="D920" s="406"/>
      <c r="E920" s="406"/>
      <c r="F920" s="395" t="s">
        <v>289</v>
      </c>
      <c r="G920" s="406"/>
      <c r="H920" s="406"/>
      <c r="I920" s="378" t="s">
        <v>289</v>
      </c>
      <c r="J920" s="379" t="s">
        <v>289</v>
      </c>
      <c r="K920" s="407"/>
      <c r="L920" s="378" t="s">
        <v>289</v>
      </c>
      <c r="M920" s="378" t="s">
        <v>289</v>
      </c>
      <c r="N920" s="378" t="s">
        <v>289</v>
      </c>
      <c r="O920" s="409"/>
      <c r="P920" s="387" t="s">
        <v>289</v>
      </c>
      <c r="Q920" s="383"/>
      <c r="R920" s="383"/>
      <c r="S920" s="383"/>
      <c r="T920" s="410"/>
      <c r="U920" s="406"/>
      <c r="V920" s="386"/>
      <c r="W920" s="387" t="s">
        <v>289</v>
      </c>
      <c r="X920" s="378" t="s">
        <v>289</v>
      </c>
      <c r="Y920" s="387" t="s">
        <v>289</v>
      </c>
      <c r="Z920" s="391" t="s">
        <v>289</v>
      </c>
      <c r="AA920" s="391" t="s">
        <v>289</v>
      </c>
      <c r="AB920" s="391" t="s">
        <v>289</v>
      </c>
      <c r="AC920" s="391" t="s">
        <v>289</v>
      </c>
      <c r="AD920" s="395" t="s">
        <v>289</v>
      </c>
      <c r="AE920" s="395"/>
      <c r="AF920" s="395"/>
      <c r="AG920" s="395"/>
      <c r="AH920" s="395"/>
    </row>
    <row r="921" ht="30.75" customHeight="1">
      <c r="A921" s="373" t="str">
        <f t="shared" si="1"/>
        <v/>
      </c>
      <c r="B921" s="421" t="s">
        <v>289</v>
      </c>
      <c r="C921" s="406"/>
      <c r="D921" s="406"/>
      <c r="E921" s="406"/>
      <c r="F921" s="395" t="s">
        <v>289</v>
      </c>
      <c r="G921" s="406"/>
      <c r="H921" s="406"/>
      <c r="I921" s="378" t="s">
        <v>289</v>
      </c>
      <c r="J921" s="379" t="s">
        <v>289</v>
      </c>
      <c r="K921" s="407"/>
      <c r="L921" s="378" t="s">
        <v>289</v>
      </c>
      <c r="M921" s="378" t="s">
        <v>289</v>
      </c>
      <c r="N921" s="378" t="s">
        <v>289</v>
      </c>
      <c r="O921" s="409"/>
      <c r="P921" s="387" t="s">
        <v>289</v>
      </c>
      <c r="Q921" s="383"/>
      <c r="R921" s="383"/>
      <c r="S921" s="383"/>
      <c r="T921" s="410"/>
      <c r="U921" s="406"/>
      <c r="V921" s="386"/>
      <c r="W921" s="387" t="s">
        <v>289</v>
      </c>
      <c r="X921" s="378" t="s">
        <v>289</v>
      </c>
      <c r="Y921" s="387" t="s">
        <v>289</v>
      </c>
      <c r="Z921" s="391" t="s">
        <v>289</v>
      </c>
      <c r="AA921" s="391" t="s">
        <v>289</v>
      </c>
      <c r="AB921" s="391" t="s">
        <v>289</v>
      </c>
      <c r="AC921" s="391" t="s">
        <v>289</v>
      </c>
      <c r="AD921" s="395" t="s">
        <v>289</v>
      </c>
      <c r="AE921" s="395"/>
      <c r="AF921" s="395"/>
      <c r="AG921" s="395"/>
      <c r="AH921" s="395"/>
    </row>
    <row r="922" ht="30.75" customHeight="1">
      <c r="A922" s="373" t="str">
        <f t="shared" si="1"/>
        <v/>
      </c>
      <c r="B922" s="421" t="s">
        <v>289</v>
      </c>
      <c r="C922" s="406"/>
      <c r="D922" s="406"/>
      <c r="E922" s="406"/>
      <c r="F922" s="395" t="s">
        <v>289</v>
      </c>
      <c r="G922" s="406"/>
      <c r="H922" s="406"/>
      <c r="I922" s="378" t="s">
        <v>289</v>
      </c>
      <c r="J922" s="379" t="s">
        <v>289</v>
      </c>
      <c r="K922" s="407"/>
      <c r="L922" s="378" t="s">
        <v>289</v>
      </c>
      <c r="M922" s="378" t="s">
        <v>289</v>
      </c>
      <c r="N922" s="378" t="s">
        <v>289</v>
      </c>
      <c r="O922" s="409"/>
      <c r="P922" s="387" t="s">
        <v>289</v>
      </c>
      <c r="Q922" s="383"/>
      <c r="R922" s="383"/>
      <c r="S922" s="383"/>
      <c r="T922" s="410"/>
      <c r="U922" s="406"/>
      <c r="V922" s="386"/>
      <c r="W922" s="387" t="s">
        <v>289</v>
      </c>
      <c r="X922" s="378" t="s">
        <v>289</v>
      </c>
      <c r="Y922" s="387" t="s">
        <v>289</v>
      </c>
      <c r="Z922" s="391" t="s">
        <v>289</v>
      </c>
      <c r="AA922" s="391" t="s">
        <v>289</v>
      </c>
      <c r="AB922" s="391" t="s">
        <v>289</v>
      </c>
      <c r="AC922" s="391" t="s">
        <v>289</v>
      </c>
      <c r="AD922" s="395" t="s">
        <v>289</v>
      </c>
      <c r="AE922" s="395"/>
      <c r="AF922" s="395"/>
      <c r="AG922" s="395"/>
      <c r="AH922" s="395"/>
    </row>
    <row r="923" ht="30.75" customHeight="1">
      <c r="A923" s="373" t="str">
        <f t="shared" si="1"/>
        <v/>
      </c>
      <c r="B923" s="421" t="s">
        <v>289</v>
      </c>
      <c r="C923" s="406"/>
      <c r="D923" s="406"/>
      <c r="E923" s="406"/>
      <c r="F923" s="395" t="s">
        <v>289</v>
      </c>
      <c r="G923" s="406"/>
      <c r="H923" s="406"/>
      <c r="I923" s="378" t="s">
        <v>289</v>
      </c>
      <c r="J923" s="379" t="s">
        <v>289</v>
      </c>
      <c r="K923" s="407"/>
      <c r="L923" s="378" t="s">
        <v>289</v>
      </c>
      <c r="M923" s="378" t="s">
        <v>289</v>
      </c>
      <c r="N923" s="378" t="s">
        <v>289</v>
      </c>
      <c r="O923" s="409"/>
      <c r="P923" s="387" t="s">
        <v>289</v>
      </c>
      <c r="Q923" s="383"/>
      <c r="R923" s="383"/>
      <c r="S923" s="383"/>
      <c r="T923" s="410"/>
      <c r="U923" s="406"/>
      <c r="V923" s="386"/>
      <c r="W923" s="387" t="s">
        <v>289</v>
      </c>
      <c r="X923" s="378" t="s">
        <v>289</v>
      </c>
      <c r="Y923" s="387" t="s">
        <v>289</v>
      </c>
      <c r="Z923" s="391" t="s">
        <v>289</v>
      </c>
      <c r="AA923" s="391" t="s">
        <v>289</v>
      </c>
      <c r="AB923" s="391" t="s">
        <v>289</v>
      </c>
      <c r="AC923" s="391" t="s">
        <v>289</v>
      </c>
      <c r="AD923" s="395" t="s">
        <v>289</v>
      </c>
      <c r="AE923" s="395"/>
      <c r="AF923" s="395"/>
      <c r="AG923" s="395"/>
      <c r="AH923" s="395"/>
    </row>
    <row r="924" ht="30.75" customHeight="1">
      <c r="A924" s="373" t="str">
        <f t="shared" si="1"/>
        <v/>
      </c>
      <c r="B924" s="421" t="s">
        <v>289</v>
      </c>
      <c r="C924" s="406"/>
      <c r="D924" s="406"/>
      <c r="E924" s="406"/>
      <c r="F924" s="395" t="s">
        <v>289</v>
      </c>
      <c r="G924" s="406"/>
      <c r="H924" s="406"/>
      <c r="I924" s="378" t="s">
        <v>289</v>
      </c>
      <c r="J924" s="379" t="s">
        <v>289</v>
      </c>
      <c r="K924" s="407"/>
      <c r="L924" s="378" t="s">
        <v>289</v>
      </c>
      <c r="M924" s="378" t="s">
        <v>289</v>
      </c>
      <c r="N924" s="378" t="s">
        <v>289</v>
      </c>
      <c r="O924" s="409"/>
      <c r="P924" s="387" t="s">
        <v>289</v>
      </c>
      <c r="Q924" s="383"/>
      <c r="R924" s="383"/>
      <c r="S924" s="383"/>
      <c r="T924" s="410"/>
      <c r="U924" s="406"/>
      <c r="V924" s="386"/>
      <c r="W924" s="387" t="s">
        <v>289</v>
      </c>
      <c r="X924" s="378" t="s">
        <v>289</v>
      </c>
      <c r="Y924" s="387" t="s">
        <v>289</v>
      </c>
      <c r="Z924" s="391" t="s">
        <v>289</v>
      </c>
      <c r="AA924" s="391" t="s">
        <v>289</v>
      </c>
      <c r="AB924" s="391" t="s">
        <v>289</v>
      </c>
      <c r="AC924" s="391" t="s">
        <v>289</v>
      </c>
      <c r="AD924" s="395" t="s">
        <v>289</v>
      </c>
      <c r="AE924" s="395"/>
      <c r="AF924" s="395"/>
      <c r="AG924" s="395"/>
      <c r="AH924" s="395"/>
    </row>
    <row r="925" ht="30.75" customHeight="1">
      <c r="A925" s="373" t="str">
        <f t="shared" si="1"/>
        <v/>
      </c>
      <c r="B925" s="421" t="s">
        <v>289</v>
      </c>
      <c r="C925" s="406"/>
      <c r="D925" s="406"/>
      <c r="E925" s="406"/>
      <c r="F925" s="395" t="s">
        <v>289</v>
      </c>
      <c r="G925" s="406"/>
      <c r="H925" s="406"/>
      <c r="I925" s="378" t="s">
        <v>289</v>
      </c>
      <c r="J925" s="379" t="s">
        <v>289</v>
      </c>
      <c r="K925" s="407"/>
      <c r="L925" s="378" t="s">
        <v>289</v>
      </c>
      <c r="M925" s="378" t="s">
        <v>289</v>
      </c>
      <c r="N925" s="378" t="s">
        <v>289</v>
      </c>
      <c r="O925" s="409"/>
      <c r="P925" s="387" t="s">
        <v>289</v>
      </c>
      <c r="Q925" s="383"/>
      <c r="R925" s="383"/>
      <c r="S925" s="383"/>
      <c r="T925" s="410"/>
      <c r="U925" s="406"/>
      <c r="V925" s="386"/>
      <c r="W925" s="387" t="s">
        <v>289</v>
      </c>
      <c r="X925" s="378" t="s">
        <v>289</v>
      </c>
      <c r="Y925" s="387" t="s">
        <v>289</v>
      </c>
      <c r="Z925" s="391" t="s">
        <v>289</v>
      </c>
      <c r="AA925" s="391" t="s">
        <v>289</v>
      </c>
      <c r="AB925" s="391" t="s">
        <v>289</v>
      </c>
      <c r="AC925" s="391" t="s">
        <v>289</v>
      </c>
      <c r="AD925" s="395" t="s">
        <v>289</v>
      </c>
      <c r="AE925" s="395"/>
      <c r="AF925" s="395"/>
      <c r="AG925" s="395"/>
      <c r="AH925" s="395"/>
    </row>
    <row r="926" ht="30.75" customHeight="1">
      <c r="A926" s="373" t="str">
        <f t="shared" si="1"/>
        <v/>
      </c>
      <c r="B926" s="421" t="s">
        <v>289</v>
      </c>
      <c r="C926" s="406"/>
      <c r="D926" s="406"/>
      <c r="E926" s="406"/>
      <c r="F926" s="395" t="s">
        <v>289</v>
      </c>
      <c r="G926" s="406"/>
      <c r="H926" s="406"/>
      <c r="I926" s="378" t="s">
        <v>289</v>
      </c>
      <c r="J926" s="379" t="s">
        <v>289</v>
      </c>
      <c r="K926" s="407"/>
      <c r="L926" s="378" t="s">
        <v>289</v>
      </c>
      <c r="M926" s="378" t="s">
        <v>289</v>
      </c>
      <c r="N926" s="378" t="s">
        <v>289</v>
      </c>
      <c r="O926" s="409"/>
      <c r="P926" s="387" t="s">
        <v>289</v>
      </c>
      <c r="Q926" s="383"/>
      <c r="R926" s="383"/>
      <c r="S926" s="383"/>
      <c r="T926" s="410"/>
      <c r="U926" s="406"/>
      <c r="V926" s="386"/>
      <c r="W926" s="387" t="s">
        <v>289</v>
      </c>
      <c r="X926" s="378" t="s">
        <v>289</v>
      </c>
      <c r="Y926" s="387" t="s">
        <v>289</v>
      </c>
      <c r="Z926" s="391" t="s">
        <v>289</v>
      </c>
      <c r="AA926" s="391" t="s">
        <v>289</v>
      </c>
      <c r="AB926" s="391" t="s">
        <v>289</v>
      </c>
      <c r="AC926" s="391" t="s">
        <v>289</v>
      </c>
      <c r="AD926" s="395" t="s">
        <v>289</v>
      </c>
      <c r="AE926" s="395"/>
      <c r="AF926" s="395"/>
      <c r="AG926" s="395"/>
      <c r="AH926" s="395"/>
    </row>
    <row r="927" ht="30.75" customHeight="1">
      <c r="A927" s="373" t="str">
        <f t="shared" si="1"/>
        <v/>
      </c>
      <c r="B927" s="421" t="s">
        <v>289</v>
      </c>
      <c r="C927" s="406"/>
      <c r="D927" s="406"/>
      <c r="E927" s="406"/>
      <c r="F927" s="395" t="s">
        <v>289</v>
      </c>
      <c r="G927" s="406"/>
      <c r="H927" s="406"/>
      <c r="I927" s="378" t="s">
        <v>289</v>
      </c>
      <c r="J927" s="379" t="s">
        <v>289</v>
      </c>
      <c r="K927" s="407"/>
      <c r="L927" s="378" t="s">
        <v>289</v>
      </c>
      <c r="M927" s="378" t="s">
        <v>289</v>
      </c>
      <c r="N927" s="378" t="s">
        <v>289</v>
      </c>
      <c r="O927" s="409"/>
      <c r="P927" s="387" t="s">
        <v>289</v>
      </c>
      <c r="Q927" s="383"/>
      <c r="R927" s="383"/>
      <c r="S927" s="383"/>
      <c r="T927" s="410"/>
      <c r="U927" s="406"/>
      <c r="V927" s="386"/>
      <c r="W927" s="387" t="s">
        <v>289</v>
      </c>
      <c r="X927" s="378" t="s">
        <v>289</v>
      </c>
      <c r="Y927" s="387" t="s">
        <v>289</v>
      </c>
      <c r="Z927" s="391" t="s">
        <v>289</v>
      </c>
      <c r="AA927" s="391" t="s">
        <v>289</v>
      </c>
      <c r="AB927" s="391" t="s">
        <v>289</v>
      </c>
      <c r="AC927" s="391" t="s">
        <v>289</v>
      </c>
      <c r="AD927" s="395" t="s">
        <v>289</v>
      </c>
      <c r="AE927" s="395"/>
      <c r="AF927" s="395"/>
      <c r="AG927" s="395"/>
      <c r="AH927" s="395"/>
    </row>
    <row r="928" ht="30.75" customHeight="1">
      <c r="A928" s="373" t="str">
        <f t="shared" si="1"/>
        <v/>
      </c>
      <c r="B928" s="421" t="s">
        <v>289</v>
      </c>
      <c r="C928" s="406"/>
      <c r="D928" s="406"/>
      <c r="E928" s="406"/>
      <c r="F928" s="395" t="s">
        <v>289</v>
      </c>
      <c r="G928" s="406"/>
      <c r="H928" s="406"/>
      <c r="I928" s="378" t="s">
        <v>289</v>
      </c>
      <c r="J928" s="379" t="s">
        <v>289</v>
      </c>
      <c r="K928" s="407"/>
      <c r="L928" s="378" t="s">
        <v>289</v>
      </c>
      <c r="M928" s="378" t="s">
        <v>289</v>
      </c>
      <c r="N928" s="378" t="s">
        <v>289</v>
      </c>
      <c r="O928" s="409"/>
      <c r="P928" s="387" t="s">
        <v>289</v>
      </c>
      <c r="Q928" s="383"/>
      <c r="R928" s="383"/>
      <c r="S928" s="383"/>
      <c r="T928" s="410"/>
      <c r="U928" s="406"/>
      <c r="V928" s="386"/>
      <c r="W928" s="387" t="s">
        <v>289</v>
      </c>
      <c r="X928" s="378" t="s">
        <v>289</v>
      </c>
      <c r="Y928" s="387" t="s">
        <v>289</v>
      </c>
      <c r="Z928" s="391" t="s">
        <v>289</v>
      </c>
      <c r="AA928" s="391" t="s">
        <v>289</v>
      </c>
      <c r="AB928" s="391" t="s">
        <v>289</v>
      </c>
      <c r="AC928" s="391" t="s">
        <v>289</v>
      </c>
      <c r="AD928" s="395" t="s">
        <v>289</v>
      </c>
      <c r="AE928" s="395"/>
      <c r="AF928" s="395"/>
      <c r="AG928" s="395"/>
      <c r="AH928" s="395"/>
    </row>
    <row r="929" ht="30.75" customHeight="1">
      <c r="A929" s="373" t="str">
        <f t="shared" si="1"/>
        <v/>
      </c>
      <c r="B929" s="421" t="s">
        <v>289</v>
      </c>
      <c r="C929" s="406"/>
      <c r="D929" s="406"/>
      <c r="E929" s="406"/>
      <c r="F929" s="395" t="s">
        <v>289</v>
      </c>
      <c r="G929" s="406"/>
      <c r="H929" s="406"/>
      <c r="I929" s="378" t="s">
        <v>289</v>
      </c>
      <c r="J929" s="379" t="s">
        <v>289</v>
      </c>
      <c r="K929" s="407"/>
      <c r="L929" s="378" t="s">
        <v>289</v>
      </c>
      <c r="M929" s="378" t="s">
        <v>289</v>
      </c>
      <c r="N929" s="378" t="s">
        <v>289</v>
      </c>
      <c r="O929" s="409"/>
      <c r="P929" s="387" t="s">
        <v>289</v>
      </c>
      <c r="Q929" s="383"/>
      <c r="R929" s="383"/>
      <c r="S929" s="383"/>
      <c r="T929" s="410"/>
      <c r="U929" s="406"/>
      <c r="V929" s="386"/>
      <c r="W929" s="387" t="s">
        <v>289</v>
      </c>
      <c r="X929" s="378" t="s">
        <v>289</v>
      </c>
      <c r="Y929" s="387" t="s">
        <v>289</v>
      </c>
      <c r="Z929" s="391" t="s">
        <v>289</v>
      </c>
      <c r="AA929" s="391" t="s">
        <v>289</v>
      </c>
      <c r="AB929" s="391" t="s">
        <v>289</v>
      </c>
      <c r="AC929" s="391" t="s">
        <v>289</v>
      </c>
      <c r="AD929" s="395" t="s">
        <v>289</v>
      </c>
      <c r="AE929" s="395"/>
      <c r="AF929" s="395"/>
      <c r="AG929" s="395"/>
      <c r="AH929" s="395"/>
    </row>
    <row r="930" ht="30.75" customHeight="1">
      <c r="A930" s="373" t="str">
        <f t="shared" si="1"/>
        <v/>
      </c>
      <c r="B930" s="421" t="s">
        <v>289</v>
      </c>
      <c r="C930" s="406"/>
      <c r="D930" s="406"/>
      <c r="E930" s="406"/>
      <c r="F930" s="395" t="s">
        <v>289</v>
      </c>
      <c r="G930" s="406"/>
      <c r="H930" s="406"/>
      <c r="I930" s="378" t="s">
        <v>289</v>
      </c>
      <c r="J930" s="379" t="s">
        <v>289</v>
      </c>
      <c r="K930" s="407"/>
      <c r="L930" s="378" t="s">
        <v>289</v>
      </c>
      <c r="M930" s="378" t="s">
        <v>289</v>
      </c>
      <c r="N930" s="378" t="s">
        <v>289</v>
      </c>
      <c r="O930" s="409"/>
      <c r="P930" s="387" t="s">
        <v>289</v>
      </c>
      <c r="Q930" s="383"/>
      <c r="R930" s="383"/>
      <c r="S930" s="383"/>
      <c r="T930" s="410"/>
      <c r="U930" s="406"/>
      <c r="V930" s="386"/>
      <c r="W930" s="387" t="s">
        <v>289</v>
      </c>
      <c r="X930" s="378" t="s">
        <v>289</v>
      </c>
      <c r="Y930" s="387" t="s">
        <v>289</v>
      </c>
      <c r="Z930" s="391" t="s">
        <v>289</v>
      </c>
      <c r="AA930" s="391" t="s">
        <v>289</v>
      </c>
      <c r="AB930" s="391" t="s">
        <v>289</v>
      </c>
      <c r="AC930" s="391" t="s">
        <v>289</v>
      </c>
      <c r="AD930" s="395" t="s">
        <v>289</v>
      </c>
      <c r="AE930" s="395"/>
      <c r="AF930" s="395"/>
      <c r="AG930" s="395"/>
      <c r="AH930" s="395"/>
    </row>
    <row r="931" ht="30.75" customHeight="1">
      <c r="A931" s="373" t="str">
        <f t="shared" si="1"/>
        <v/>
      </c>
      <c r="B931" s="421" t="s">
        <v>289</v>
      </c>
      <c r="C931" s="406"/>
      <c r="D931" s="406"/>
      <c r="E931" s="406"/>
      <c r="F931" s="395" t="s">
        <v>289</v>
      </c>
      <c r="G931" s="406"/>
      <c r="H931" s="406"/>
      <c r="I931" s="378" t="s">
        <v>289</v>
      </c>
      <c r="J931" s="379" t="s">
        <v>289</v>
      </c>
      <c r="K931" s="407"/>
      <c r="L931" s="378" t="s">
        <v>289</v>
      </c>
      <c r="M931" s="378" t="s">
        <v>289</v>
      </c>
      <c r="N931" s="378" t="s">
        <v>289</v>
      </c>
      <c r="O931" s="409"/>
      <c r="P931" s="387" t="s">
        <v>289</v>
      </c>
      <c r="Q931" s="383"/>
      <c r="R931" s="383"/>
      <c r="S931" s="383"/>
      <c r="T931" s="410"/>
      <c r="U931" s="406"/>
      <c r="V931" s="386"/>
      <c r="W931" s="387" t="s">
        <v>289</v>
      </c>
      <c r="X931" s="378" t="s">
        <v>289</v>
      </c>
      <c r="Y931" s="387" t="s">
        <v>289</v>
      </c>
      <c r="Z931" s="391" t="s">
        <v>289</v>
      </c>
      <c r="AA931" s="391" t="s">
        <v>289</v>
      </c>
      <c r="AB931" s="391" t="s">
        <v>289</v>
      </c>
      <c r="AC931" s="391" t="s">
        <v>289</v>
      </c>
      <c r="AD931" s="395" t="s">
        <v>289</v>
      </c>
      <c r="AE931" s="395"/>
      <c r="AF931" s="395"/>
      <c r="AG931" s="395"/>
      <c r="AH931" s="395"/>
    </row>
    <row r="932" ht="30.75" customHeight="1">
      <c r="A932" s="373" t="str">
        <f t="shared" si="1"/>
        <v/>
      </c>
      <c r="B932" s="421" t="s">
        <v>289</v>
      </c>
      <c r="C932" s="406"/>
      <c r="D932" s="406"/>
      <c r="E932" s="406"/>
      <c r="F932" s="395" t="s">
        <v>289</v>
      </c>
      <c r="G932" s="406"/>
      <c r="H932" s="406"/>
      <c r="I932" s="378" t="s">
        <v>289</v>
      </c>
      <c r="J932" s="379" t="s">
        <v>289</v>
      </c>
      <c r="K932" s="407"/>
      <c r="L932" s="378" t="s">
        <v>289</v>
      </c>
      <c r="M932" s="378" t="s">
        <v>289</v>
      </c>
      <c r="N932" s="378" t="s">
        <v>289</v>
      </c>
      <c r="O932" s="409"/>
      <c r="P932" s="387" t="s">
        <v>289</v>
      </c>
      <c r="Q932" s="383"/>
      <c r="R932" s="383"/>
      <c r="S932" s="383"/>
      <c r="T932" s="410"/>
      <c r="U932" s="406"/>
      <c r="V932" s="386"/>
      <c r="W932" s="387" t="s">
        <v>289</v>
      </c>
      <c r="X932" s="378" t="s">
        <v>289</v>
      </c>
      <c r="Y932" s="387" t="s">
        <v>289</v>
      </c>
      <c r="Z932" s="391" t="s">
        <v>289</v>
      </c>
      <c r="AA932" s="391" t="s">
        <v>289</v>
      </c>
      <c r="AB932" s="391" t="s">
        <v>289</v>
      </c>
      <c r="AC932" s="391" t="s">
        <v>289</v>
      </c>
      <c r="AD932" s="395" t="s">
        <v>289</v>
      </c>
      <c r="AE932" s="395"/>
      <c r="AF932" s="395"/>
      <c r="AG932" s="395"/>
      <c r="AH932" s="395"/>
    </row>
    <row r="933" ht="30.75" customHeight="1">
      <c r="A933" s="373" t="str">
        <f t="shared" si="1"/>
        <v/>
      </c>
      <c r="B933" s="421" t="s">
        <v>289</v>
      </c>
      <c r="C933" s="406"/>
      <c r="D933" s="406"/>
      <c r="E933" s="406"/>
      <c r="F933" s="395" t="s">
        <v>289</v>
      </c>
      <c r="G933" s="406"/>
      <c r="H933" s="406"/>
      <c r="I933" s="378" t="s">
        <v>289</v>
      </c>
      <c r="J933" s="379" t="s">
        <v>289</v>
      </c>
      <c r="K933" s="407"/>
      <c r="L933" s="378" t="s">
        <v>289</v>
      </c>
      <c r="M933" s="378" t="s">
        <v>289</v>
      </c>
      <c r="N933" s="378" t="s">
        <v>289</v>
      </c>
      <c r="O933" s="409"/>
      <c r="P933" s="387" t="s">
        <v>289</v>
      </c>
      <c r="Q933" s="383"/>
      <c r="R933" s="383"/>
      <c r="S933" s="383"/>
      <c r="T933" s="410"/>
      <c r="U933" s="406"/>
      <c r="V933" s="386"/>
      <c r="W933" s="387" t="s">
        <v>289</v>
      </c>
      <c r="X933" s="378" t="s">
        <v>289</v>
      </c>
      <c r="Y933" s="387" t="s">
        <v>289</v>
      </c>
      <c r="Z933" s="391" t="s">
        <v>289</v>
      </c>
      <c r="AA933" s="391" t="s">
        <v>289</v>
      </c>
      <c r="AB933" s="391" t="s">
        <v>289</v>
      </c>
      <c r="AC933" s="391" t="s">
        <v>289</v>
      </c>
      <c r="AD933" s="395" t="s">
        <v>289</v>
      </c>
      <c r="AE933" s="395"/>
      <c r="AF933" s="395"/>
      <c r="AG933" s="395"/>
      <c r="AH933" s="395"/>
    </row>
    <row r="934" ht="30.75" customHeight="1">
      <c r="A934" s="373" t="str">
        <f t="shared" si="1"/>
        <v/>
      </c>
      <c r="B934" s="421" t="s">
        <v>289</v>
      </c>
      <c r="C934" s="406"/>
      <c r="D934" s="406"/>
      <c r="E934" s="406"/>
      <c r="F934" s="395" t="s">
        <v>289</v>
      </c>
      <c r="G934" s="406"/>
      <c r="H934" s="406"/>
      <c r="I934" s="378" t="s">
        <v>289</v>
      </c>
      <c r="J934" s="379" t="s">
        <v>289</v>
      </c>
      <c r="K934" s="407"/>
      <c r="L934" s="378" t="s">
        <v>289</v>
      </c>
      <c r="M934" s="378" t="s">
        <v>289</v>
      </c>
      <c r="N934" s="378" t="s">
        <v>289</v>
      </c>
      <c r="O934" s="409"/>
      <c r="P934" s="387" t="s">
        <v>289</v>
      </c>
      <c r="Q934" s="383"/>
      <c r="R934" s="383"/>
      <c r="S934" s="383"/>
      <c r="T934" s="410"/>
      <c r="U934" s="406"/>
      <c r="V934" s="386"/>
      <c r="W934" s="387" t="s">
        <v>289</v>
      </c>
      <c r="X934" s="378" t="s">
        <v>289</v>
      </c>
      <c r="Y934" s="387" t="s">
        <v>289</v>
      </c>
      <c r="Z934" s="391" t="s">
        <v>289</v>
      </c>
      <c r="AA934" s="391" t="s">
        <v>289</v>
      </c>
      <c r="AB934" s="391" t="s">
        <v>289</v>
      </c>
      <c r="AC934" s="391" t="s">
        <v>289</v>
      </c>
      <c r="AD934" s="395" t="s">
        <v>289</v>
      </c>
      <c r="AE934" s="395"/>
      <c r="AF934" s="395"/>
      <c r="AG934" s="395"/>
      <c r="AH934" s="395"/>
    </row>
    <row r="935" ht="30.75" customHeight="1">
      <c r="A935" s="373" t="str">
        <f t="shared" si="1"/>
        <v/>
      </c>
      <c r="B935" s="421" t="s">
        <v>289</v>
      </c>
      <c r="C935" s="406"/>
      <c r="D935" s="406"/>
      <c r="E935" s="406"/>
      <c r="F935" s="395" t="s">
        <v>289</v>
      </c>
      <c r="G935" s="406"/>
      <c r="H935" s="406"/>
      <c r="I935" s="378" t="s">
        <v>289</v>
      </c>
      <c r="J935" s="379" t="s">
        <v>289</v>
      </c>
      <c r="K935" s="407"/>
      <c r="L935" s="378" t="s">
        <v>289</v>
      </c>
      <c r="M935" s="378" t="s">
        <v>289</v>
      </c>
      <c r="N935" s="378" t="s">
        <v>289</v>
      </c>
      <c r="O935" s="409"/>
      <c r="P935" s="387" t="s">
        <v>289</v>
      </c>
      <c r="Q935" s="383"/>
      <c r="R935" s="383"/>
      <c r="S935" s="383"/>
      <c r="T935" s="410"/>
      <c r="U935" s="406"/>
      <c r="V935" s="386"/>
      <c r="W935" s="387" t="s">
        <v>289</v>
      </c>
      <c r="X935" s="378" t="s">
        <v>289</v>
      </c>
      <c r="Y935" s="387" t="s">
        <v>289</v>
      </c>
      <c r="Z935" s="391" t="s">
        <v>289</v>
      </c>
      <c r="AA935" s="391" t="s">
        <v>289</v>
      </c>
      <c r="AB935" s="391" t="s">
        <v>289</v>
      </c>
      <c r="AC935" s="391" t="s">
        <v>289</v>
      </c>
      <c r="AD935" s="395" t="s">
        <v>289</v>
      </c>
      <c r="AE935" s="395"/>
      <c r="AF935" s="395"/>
      <c r="AG935" s="395"/>
      <c r="AH935" s="395"/>
    </row>
    <row r="936" ht="30.75" customHeight="1">
      <c r="A936" s="373" t="str">
        <f t="shared" si="1"/>
        <v/>
      </c>
      <c r="B936" s="421" t="s">
        <v>289</v>
      </c>
      <c r="C936" s="406"/>
      <c r="D936" s="406"/>
      <c r="E936" s="406"/>
      <c r="F936" s="395" t="s">
        <v>289</v>
      </c>
      <c r="G936" s="406"/>
      <c r="H936" s="406"/>
      <c r="I936" s="378" t="s">
        <v>289</v>
      </c>
      <c r="J936" s="379" t="s">
        <v>289</v>
      </c>
      <c r="K936" s="407"/>
      <c r="L936" s="378" t="s">
        <v>289</v>
      </c>
      <c r="M936" s="378" t="s">
        <v>289</v>
      </c>
      <c r="N936" s="378" t="s">
        <v>289</v>
      </c>
      <c r="O936" s="409"/>
      <c r="P936" s="387" t="s">
        <v>289</v>
      </c>
      <c r="Q936" s="383"/>
      <c r="R936" s="383"/>
      <c r="S936" s="383"/>
      <c r="T936" s="410"/>
      <c r="U936" s="406"/>
      <c r="V936" s="386"/>
      <c r="W936" s="387" t="s">
        <v>289</v>
      </c>
      <c r="X936" s="378" t="s">
        <v>289</v>
      </c>
      <c r="Y936" s="387" t="s">
        <v>289</v>
      </c>
      <c r="Z936" s="391" t="s">
        <v>289</v>
      </c>
      <c r="AA936" s="391" t="s">
        <v>289</v>
      </c>
      <c r="AB936" s="391" t="s">
        <v>289</v>
      </c>
      <c r="AC936" s="391" t="s">
        <v>289</v>
      </c>
      <c r="AD936" s="395" t="s">
        <v>289</v>
      </c>
      <c r="AE936" s="395"/>
      <c r="AF936" s="395"/>
      <c r="AG936" s="395"/>
      <c r="AH936" s="395"/>
    </row>
    <row r="937" ht="30.75" customHeight="1">
      <c r="A937" s="373" t="str">
        <f t="shared" si="1"/>
        <v/>
      </c>
      <c r="B937" s="421" t="s">
        <v>289</v>
      </c>
      <c r="C937" s="406"/>
      <c r="D937" s="406"/>
      <c r="E937" s="406"/>
      <c r="F937" s="395" t="s">
        <v>289</v>
      </c>
      <c r="G937" s="406"/>
      <c r="H937" s="406"/>
      <c r="I937" s="378" t="s">
        <v>289</v>
      </c>
      <c r="J937" s="379" t="s">
        <v>289</v>
      </c>
      <c r="K937" s="407"/>
      <c r="L937" s="378" t="s">
        <v>289</v>
      </c>
      <c r="M937" s="378" t="s">
        <v>289</v>
      </c>
      <c r="N937" s="378" t="s">
        <v>289</v>
      </c>
      <c r="O937" s="409"/>
      <c r="P937" s="387" t="s">
        <v>289</v>
      </c>
      <c r="Q937" s="383"/>
      <c r="R937" s="383"/>
      <c r="S937" s="383"/>
      <c r="T937" s="410"/>
      <c r="U937" s="406"/>
      <c r="V937" s="386"/>
      <c r="W937" s="387" t="s">
        <v>289</v>
      </c>
      <c r="X937" s="378" t="s">
        <v>289</v>
      </c>
      <c r="Y937" s="387" t="s">
        <v>289</v>
      </c>
      <c r="Z937" s="391" t="s">
        <v>289</v>
      </c>
      <c r="AA937" s="391" t="s">
        <v>289</v>
      </c>
      <c r="AB937" s="391" t="s">
        <v>289</v>
      </c>
      <c r="AC937" s="391" t="s">
        <v>289</v>
      </c>
      <c r="AD937" s="395" t="s">
        <v>289</v>
      </c>
      <c r="AE937" s="395"/>
      <c r="AF937" s="395"/>
      <c r="AG937" s="395"/>
      <c r="AH937" s="395"/>
    </row>
    <row r="938" ht="30.75" customHeight="1">
      <c r="A938" s="373" t="str">
        <f t="shared" si="1"/>
        <v/>
      </c>
      <c r="B938" s="421" t="s">
        <v>289</v>
      </c>
      <c r="C938" s="406"/>
      <c r="D938" s="406"/>
      <c r="E938" s="406"/>
      <c r="F938" s="395" t="s">
        <v>289</v>
      </c>
      <c r="G938" s="406"/>
      <c r="H938" s="406"/>
      <c r="I938" s="378" t="s">
        <v>289</v>
      </c>
      <c r="J938" s="379" t="s">
        <v>289</v>
      </c>
      <c r="K938" s="407"/>
      <c r="L938" s="378" t="s">
        <v>289</v>
      </c>
      <c r="M938" s="378" t="s">
        <v>289</v>
      </c>
      <c r="N938" s="378" t="s">
        <v>289</v>
      </c>
      <c r="O938" s="409"/>
      <c r="P938" s="387" t="s">
        <v>289</v>
      </c>
      <c r="Q938" s="383"/>
      <c r="R938" s="383"/>
      <c r="S938" s="383"/>
      <c r="T938" s="410"/>
      <c r="U938" s="406"/>
      <c r="V938" s="386"/>
      <c r="W938" s="387" t="s">
        <v>289</v>
      </c>
      <c r="X938" s="378" t="s">
        <v>289</v>
      </c>
      <c r="Y938" s="387" t="s">
        <v>289</v>
      </c>
      <c r="Z938" s="391" t="s">
        <v>289</v>
      </c>
      <c r="AA938" s="391" t="s">
        <v>289</v>
      </c>
      <c r="AB938" s="391" t="s">
        <v>289</v>
      </c>
      <c r="AC938" s="391" t="s">
        <v>289</v>
      </c>
      <c r="AD938" s="395" t="s">
        <v>289</v>
      </c>
      <c r="AE938" s="395"/>
      <c r="AF938" s="395"/>
      <c r="AG938" s="395"/>
      <c r="AH938" s="395"/>
    </row>
    <row r="939" ht="30.75" customHeight="1">
      <c r="A939" s="373" t="str">
        <f t="shared" si="1"/>
        <v/>
      </c>
      <c r="B939" s="421" t="s">
        <v>289</v>
      </c>
      <c r="C939" s="406"/>
      <c r="D939" s="406"/>
      <c r="E939" s="406"/>
      <c r="F939" s="395" t="s">
        <v>289</v>
      </c>
      <c r="G939" s="406"/>
      <c r="H939" s="406"/>
      <c r="I939" s="378" t="s">
        <v>289</v>
      </c>
      <c r="J939" s="379" t="s">
        <v>289</v>
      </c>
      <c r="K939" s="407"/>
      <c r="L939" s="378" t="s">
        <v>289</v>
      </c>
      <c r="M939" s="378" t="s">
        <v>289</v>
      </c>
      <c r="N939" s="378" t="s">
        <v>289</v>
      </c>
      <c r="O939" s="409"/>
      <c r="P939" s="387" t="s">
        <v>289</v>
      </c>
      <c r="Q939" s="383"/>
      <c r="R939" s="383"/>
      <c r="S939" s="383"/>
      <c r="T939" s="410"/>
      <c r="U939" s="406"/>
      <c r="V939" s="386"/>
      <c r="W939" s="387" t="s">
        <v>289</v>
      </c>
      <c r="X939" s="378" t="s">
        <v>289</v>
      </c>
      <c r="Y939" s="387" t="s">
        <v>289</v>
      </c>
      <c r="Z939" s="391" t="s">
        <v>289</v>
      </c>
      <c r="AA939" s="391" t="s">
        <v>289</v>
      </c>
      <c r="AB939" s="391" t="s">
        <v>289</v>
      </c>
      <c r="AC939" s="391" t="s">
        <v>289</v>
      </c>
      <c r="AD939" s="395" t="s">
        <v>289</v>
      </c>
      <c r="AE939" s="395"/>
      <c r="AF939" s="395"/>
      <c r="AG939" s="395"/>
      <c r="AH939" s="395"/>
    </row>
    <row r="940" ht="30.75" customHeight="1">
      <c r="A940" s="373" t="str">
        <f t="shared" si="1"/>
        <v/>
      </c>
      <c r="B940" s="421" t="s">
        <v>289</v>
      </c>
      <c r="C940" s="406"/>
      <c r="D940" s="406"/>
      <c r="E940" s="406"/>
      <c r="F940" s="395" t="s">
        <v>289</v>
      </c>
      <c r="G940" s="406"/>
      <c r="H940" s="406"/>
      <c r="I940" s="378" t="s">
        <v>289</v>
      </c>
      <c r="J940" s="379" t="s">
        <v>289</v>
      </c>
      <c r="K940" s="407"/>
      <c r="L940" s="378" t="s">
        <v>289</v>
      </c>
      <c r="M940" s="378" t="s">
        <v>289</v>
      </c>
      <c r="N940" s="378" t="s">
        <v>289</v>
      </c>
      <c r="O940" s="409"/>
      <c r="P940" s="387" t="s">
        <v>289</v>
      </c>
      <c r="Q940" s="383"/>
      <c r="R940" s="383"/>
      <c r="S940" s="383"/>
      <c r="T940" s="410"/>
      <c r="U940" s="406"/>
      <c r="V940" s="386"/>
      <c r="W940" s="387" t="s">
        <v>289</v>
      </c>
      <c r="X940" s="378" t="s">
        <v>289</v>
      </c>
      <c r="Y940" s="387" t="s">
        <v>289</v>
      </c>
      <c r="Z940" s="391" t="s">
        <v>289</v>
      </c>
      <c r="AA940" s="391" t="s">
        <v>289</v>
      </c>
      <c r="AB940" s="391" t="s">
        <v>289</v>
      </c>
      <c r="AC940" s="391" t="s">
        <v>289</v>
      </c>
      <c r="AD940" s="395" t="s">
        <v>289</v>
      </c>
      <c r="AE940" s="395"/>
      <c r="AF940" s="395"/>
      <c r="AG940" s="395"/>
      <c r="AH940" s="395"/>
    </row>
    <row r="941" ht="30.75" customHeight="1">
      <c r="A941" s="373" t="str">
        <f t="shared" si="1"/>
        <v/>
      </c>
      <c r="B941" s="421" t="s">
        <v>289</v>
      </c>
      <c r="C941" s="406"/>
      <c r="D941" s="406"/>
      <c r="E941" s="406"/>
      <c r="F941" s="395" t="s">
        <v>289</v>
      </c>
      <c r="G941" s="406"/>
      <c r="H941" s="406"/>
      <c r="I941" s="378" t="s">
        <v>289</v>
      </c>
      <c r="J941" s="379" t="s">
        <v>289</v>
      </c>
      <c r="K941" s="407"/>
      <c r="L941" s="378" t="s">
        <v>289</v>
      </c>
      <c r="M941" s="378" t="s">
        <v>289</v>
      </c>
      <c r="N941" s="378" t="s">
        <v>289</v>
      </c>
      <c r="O941" s="409"/>
      <c r="P941" s="387" t="s">
        <v>289</v>
      </c>
      <c r="Q941" s="383"/>
      <c r="R941" s="383"/>
      <c r="S941" s="383"/>
      <c r="T941" s="410"/>
      <c r="U941" s="406"/>
      <c r="V941" s="386"/>
      <c r="W941" s="387" t="s">
        <v>289</v>
      </c>
      <c r="X941" s="378" t="s">
        <v>289</v>
      </c>
      <c r="Y941" s="387" t="s">
        <v>289</v>
      </c>
      <c r="Z941" s="391" t="s">
        <v>289</v>
      </c>
      <c r="AA941" s="391" t="s">
        <v>289</v>
      </c>
      <c r="AB941" s="391" t="s">
        <v>289</v>
      </c>
      <c r="AC941" s="391" t="s">
        <v>289</v>
      </c>
      <c r="AD941" s="395" t="s">
        <v>289</v>
      </c>
      <c r="AE941" s="395"/>
      <c r="AF941" s="395"/>
      <c r="AG941" s="395"/>
      <c r="AH941" s="395"/>
    </row>
    <row r="942" ht="30.75" customHeight="1">
      <c r="A942" s="373" t="str">
        <f t="shared" si="1"/>
        <v/>
      </c>
      <c r="B942" s="421" t="s">
        <v>289</v>
      </c>
      <c r="C942" s="406"/>
      <c r="D942" s="406"/>
      <c r="E942" s="406"/>
      <c r="F942" s="395" t="s">
        <v>289</v>
      </c>
      <c r="G942" s="406"/>
      <c r="H942" s="406"/>
      <c r="I942" s="378" t="s">
        <v>289</v>
      </c>
      <c r="J942" s="379" t="s">
        <v>289</v>
      </c>
      <c r="K942" s="407"/>
      <c r="L942" s="378" t="s">
        <v>289</v>
      </c>
      <c r="M942" s="378" t="s">
        <v>289</v>
      </c>
      <c r="N942" s="378" t="s">
        <v>289</v>
      </c>
      <c r="O942" s="409"/>
      <c r="P942" s="387" t="s">
        <v>289</v>
      </c>
      <c r="Q942" s="383"/>
      <c r="R942" s="383"/>
      <c r="S942" s="383"/>
      <c r="T942" s="410"/>
      <c r="U942" s="406"/>
      <c r="V942" s="386"/>
      <c r="W942" s="387" t="s">
        <v>289</v>
      </c>
      <c r="X942" s="378" t="s">
        <v>289</v>
      </c>
      <c r="Y942" s="387" t="s">
        <v>289</v>
      </c>
      <c r="Z942" s="391" t="s">
        <v>289</v>
      </c>
      <c r="AA942" s="391" t="s">
        <v>289</v>
      </c>
      <c r="AB942" s="391" t="s">
        <v>289</v>
      </c>
      <c r="AC942" s="391" t="s">
        <v>289</v>
      </c>
      <c r="AD942" s="395" t="s">
        <v>289</v>
      </c>
      <c r="AE942" s="395"/>
      <c r="AF942" s="395"/>
      <c r="AG942" s="395"/>
      <c r="AH942" s="395"/>
    </row>
    <row r="943" ht="30.75" customHeight="1">
      <c r="A943" s="373" t="str">
        <f t="shared" si="1"/>
        <v/>
      </c>
      <c r="B943" s="421" t="s">
        <v>289</v>
      </c>
      <c r="C943" s="406"/>
      <c r="D943" s="406"/>
      <c r="E943" s="406"/>
      <c r="F943" s="395" t="s">
        <v>289</v>
      </c>
      <c r="G943" s="406"/>
      <c r="H943" s="406"/>
      <c r="I943" s="378" t="s">
        <v>289</v>
      </c>
      <c r="J943" s="379" t="s">
        <v>289</v>
      </c>
      <c r="K943" s="407"/>
      <c r="L943" s="378" t="s">
        <v>289</v>
      </c>
      <c r="M943" s="378" t="s">
        <v>289</v>
      </c>
      <c r="N943" s="378" t="s">
        <v>289</v>
      </c>
      <c r="O943" s="409"/>
      <c r="P943" s="387" t="s">
        <v>289</v>
      </c>
      <c r="Q943" s="383"/>
      <c r="R943" s="383"/>
      <c r="S943" s="383"/>
      <c r="T943" s="410"/>
      <c r="U943" s="406"/>
      <c r="V943" s="386"/>
      <c r="W943" s="387" t="s">
        <v>289</v>
      </c>
      <c r="X943" s="378" t="s">
        <v>289</v>
      </c>
      <c r="Y943" s="387" t="s">
        <v>289</v>
      </c>
      <c r="Z943" s="391" t="s">
        <v>289</v>
      </c>
      <c r="AA943" s="391" t="s">
        <v>289</v>
      </c>
      <c r="AB943" s="391" t="s">
        <v>289</v>
      </c>
      <c r="AC943" s="391" t="s">
        <v>289</v>
      </c>
      <c r="AD943" s="395" t="s">
        <v>289</v>
      </c>
      <c r="AE943" s="395"/>
      <c r="AF943" s="395"/>
      <c r="AG943" s="395"/>
      <c r="AH943" s="395"/>
    </row>
    <row r="944" ht="30.75" customHeight="1">
      <c r="A944" s="373" t="str">
        <f t="shared" si="1"/>
        <v/>
      </c>
      <c r="B944" s="421" t="s">
        <v>289</v>
      </c>
      <c r="C944" s="406"/>
      <c r="D944" s="406"/>
      <c r="E944" s="406"/>
      <c r="F944" s="395" t="s">
        <v>289</v>
      </c>
      <c r="G944" s="406"/>
      <c r="H944" s="406"/>
      <c r="I944" s="378" t="s">
        <v>289</v>
      </c>
      <c r="J944" s="379" t="s">
        <v>289</v>
      </c>
      <c r="K944" s="407"/>
      <c r="L944" s="378" t="s">
        <v>289</v>
      </c>
      <c r="M944" s="378" t="s">
        <v>289</v>
      </c>
      <c r="N944" s="378" t="s">
        <v>289</v>
      </c>
      <c r="O944" s="409"/>
      <c r="P944" s="387" t="s">
        <v>289</v>
      </c>
      <c r="Q944" s="383"/>
      <c r="R944" s="383"/>
      <c r="S944" s="383"/>
      <c r="T944" s="410"/>
      <c r="U944" s="406"/>
      <c r="V944" s="386"/>
      <c r="W944" s="387" t="s">
        <v>289</v>
      </c>
      <c r="X944" s="378" t="s">
        <v>289</v>
      </c>
      <c r="Y944" s="387" t="s">
        <v>289</v>
      </c>
      <c r="Z944" s="391" t="s">
        <v>289</v>
      </c>
      <c r="AA944" s="391" t="s">
        <v>289</v>
      </c>
      <c r="AB944" s="391" t="s">
        <v>289</v>
      </c>
      <c r="AC944" s="391" t="s">
        <v>289</v>
      </c>
      <c r="AD944" s="395" t="s">
        <v>289</v>
      </c>
      <c r="AE944" s="395"/>
      <c r="AF944" s="395"/>
      <c r="AG944" s="395"/>
      <c r="AH944" s="395"/>
    </row>
    <row r="945" ht="30.75" customHeight="1">
      <c r="A945" s="373" t="str">
        <f t="shared" si="1"/>
        <v/>
      </c>
      <c r="B945" s="421" t="s">
        <v>289</v>
      </c>
      <c r="C945" s="406"/>
      <c r="D945" s="406"/>
      <c r="E945" s="406"/>
      <c r="F945" s="395" t="s">
        <v>289</v>
      </c>
      <c r="G945" s="406"/>
      <c r="H945" s="406"/>
      <c r="I945" s="378" t="s">
        <v>289</v>
      </c>
      <c r="J945" s="379" t="s">
        <v>289</v>
      </c>
      <c r="K945" s="407"/>
      <c r="L945" s="378" t="s">
        <v>289</v>
      </c>
      <c r="M945" s="378" t="s">
        <v>289</v>
      </c>
      <c r="N945" s="378" t="s">
        <v>289</v>
      </c>
      <c r="O945" s="409"/>
      <c r="P945" s="387" t="s">
        <v>289</v>
      </c>
      <c r="Q945" s="383"/>
      <c r="R945" s="383"/>
      <c r="S945" s="383"/>
      <c r="T945" s="410"/>
      <c r="U945" s="406"/>
      <c r="V945" s="386"/>
      <c r="W945" s="387" t="s">
        <v>289</v>
      </c>
      <c r="X945" s="378" t="s">
        <v>289</v>
      </c>
      <c r="Y945" s="387" t="s">
        <v>289</v>
      </c>
      <c r="Z945" s="391" t="s">
        <v>289</v>
      </c>
      <c r="AA945" s="391" t="s">
        <v>289</v>
      </c>
      <c r="AB945" s="391" t="s">
        <v>289</v>
      </c>
      <c r="AC945" s="391" t="s">
        <v>289</v>
      </c>
      <c r="AD945" s="395" t="s">
        <v>289</v>
      </c>
      <c r="AE945" s="395"/>
      <c r="AF945" s="395"/>
      <c r="AG945" s="395"/>
      <c r="AH945" s="395"/>
    </row>
    <row r="946" ht="30.75" customHeight="1">
      <c r="A946" s="373" t="str">
        <f t="shared" si="1"/>
        <v/>
      </c>
      <c r="B946" s="421" t="s">
        <v>289</v>
      </c>
      <c r="C946" s="406"/>
      <c r="D946" s="406"/>
      <c r="E946" s="406"/>
      <c r="F946" s="395" t="s">
        <v>289</v>
      </c>
      <c r="G946" s="406"/>
      <c r="H946" s="406"/>
      <c r="I946" s="378" t="s">
        <v>289</v>
      </c>
      <c r="J946" s="379" t="s">
        <v>289</v>
      </c>
      <c r="K946" s="407"/>
      <c r="L946" s="378" t="s">
        <v>289</v>
      </c>
      <c r="M946" s="378" t="s">
        <v>289</v>
      </c>
      <c r="N946" s="378" t="s">
        <v>289</v>
      </c>
      <c r="O946" s="409"/>
      <c r="P946" s="387" t="s">
        <v>289</v>
      </c>
      <c r="Q946" s="383"/>
      <c r="R946" s="383"/>
      <c r="S946" s="383"/>
      <c r="T946" s="410"/>
      <c r="U946" s="406"/>
      <c r="V946" s="386"/>
      <c r="W946" s="387" t="s">
        <v>289</v>
      </c>
      <c r="X946" s="378" t="s">
        <v>289</v>
      </c>
      <c r="Y946" s="387" t="s">
        <v>289</v>
      </c>
      <c r="Z946" s="391" t="s">
        <v>289</v>
      </c>
      <c r="AA946" s="391" t="s">
        <v>289</v>
      </c>
      <c r="AB946" s="391" t="s">
        <v>289</v>
      </c>
      <c r="AC946" s="391" t="s">
        <v>289</v>
      </c>
      <c r="AD946" s="395" t="s">
        <v>289</v>
      </c>
      <c r="AE946" s="395"/>
      <c r="AF946" s="395"/>
      <c r="AG946" s="395"/>
      <c r="AH946" s="395"/>
    </row>
    <row r="947" ht="30.75" customHeight="1">
      <c r="A947" s="373" t="str">
        <f t="shared" si="1"/>
        <v/>
      </c>
      <c r="B947" s="421" t="s">
        <v>289</v>
      </c>
      <c r="C947" s="406"/>
      <c r="D947" s="406"/>
      <c r="E947" s="406"/>
      <c r="F947" s="395" t="s">
        <v>289</v>
      </c>
      <c r="G947" s="406"/>
      <c r="H947" s="406"/>
      <c r="I947" s="378" t="s">
        <v>289</v>
      </c>
      <c r="J947" s="379" t="s">
        <v>289</v>
      </c>
      <c r="K947" s="407"/>
      <c r="L947" s="378" t="s">
        <v>289</v>
      </c>
      <c r="M947" s="378" t="s">
        <v>289</v>
      </c>
      <c r="N947" s="378" t="s">
        <v>289</v>
      </c>
      <c r="O947" s="409"/>
      <c r="P947" s="387" t="s">
        <v>289</v>
      </c>
      <c r="Q947" s="383"/>
      <c r="R947" s="383"/>
      <c r="S947" s="383"/>
      <c r="T947" s="410"/>
      <c r="U947" s="406"/>
      <c r="V947" s="386"/>
      <c r="W947" s="387" t="s">
        <v>289</v>
      </c>
      <c r="X947" s="378" t="s">
        <v>289</v>
      </c>
      <c r="Y947" s="387" t="s">
        <v>289</v>
      </c>
      <c r="Z947" s="391" t="s">
        <v>289</v>
      </c>
      <c r="AA947" s="391" t="s">
        <v>289</v>
      </c>
      <c r="AB947" s="391" t="s">
        <v>289</v>
      </c>
      <c r="AC947" s="391" t="s">
        <v>289</v>
      </c>
      <c r="AD947" s="395" t="s">
        <v>289</v>
      </c>
      <c r="AE947" s="395"/>
      <c r="AF947" s="395"/>
      <c r="AG947" s="395"/>
      <c r="AH947" s="395"/>
    </row>
    <row r="948" ht="30.75" customHeight="1">
      <c r="A948" s="373" t="str">
        <f t="shared" si="1"/>
        <v/>
      </c>
      <c r="B948" s="421" t="s">
        <v>289</v>
      </c>
      <c r="C948" s="406"/>
      <c r="D948" s="406"/>
      <c r="E948" s="406"/>
      <c r="F948" s="395" t="s">
        <v>289</v>
      </c>
      <c r="G948" s="406"/>
      <c r="H948" s="406"/>
      <c r="I948" s="378" t="s">
        <v>289</v>
      </c>
      <c r="J948" s="379" t="s">
        <v>289</v>
      </c>
      <c r="K948" s="407"/>
      <c r="L948" s="378" t="s">
        <v>289</v>
      </c>
      <c r="M948" s="378" t="s">
        <v>289</v>
      </c>
      <c r="N948" s="378" t="s">
        <v>289</v>
      </c>
      <c r="O948" s="409"/>
      <c r="P948" s="387" t="s">
        <v>289</v>
      </c>
      <c r="Q948" s="383"/>
      <c r="R948" s="383"/>
      <c r="S948" s="383"/>
      <c r="T948" s="410"/>
      <c r="U948" s="406"/>
      <c r="V948" s="386"/>
      <c r="W948" s="387" t="s">
        <v>289</v>
      </c>
      <c r="X948" s="378" t="s">
        <v>289</v>
      </c>
      <c r="Y948" s="387" t="s">
        <v>289</v>
      </c>
      <c r="Z948" s="391" t="s">
        <v>289</v>
      </c>
      <c r="AA948" s="391" t="s">
        <v>289</v>
      </c>
      <c r="AB948" s="391" t="s">
        <v>289</v>
      </c>
      <c r="AC948" s="391" t="s">
        <v>289</v>
      </c>
      <c r="AD948" s="395" t="s">
        <v>289</v>
      </c>
      <c r="AE948" s="395"/>
      <c r="AF948" s="395"/>
      <c r="AG948" s="395"/>
      <c r="AH948" s="395"/>
    </row>
    <row r="949" ht="30.75" customHeight="1">
      <c r="A949" s="373" t="str">
        <f t="shared" si="1"/>
        <v/>
      </c>
      <c r="B949" s="421" t="s">
        <v>289</v>
      </c>
      <c r="C949" s="406"/>
      <c r="D949" s="406"/>
      <c r="E949" s="406"/>
      <c r="F949" s="395" t="s">
        <v>289</v>
      </c>
      <c r="G949" s="406"/>
      <c r="H949" s="406"/>
      <c r="I949" s="378" t="s">
        <v>289</v>
      </c>
      <c r="J949" s="379" t="s">
        <v>289</v>
      </c>
      <c r="K949" s="407"/>
      <c r="L949" s="378" t="s">
        <v>289</v>
      </c>
      <c r="M949" s="378" t="s">
        <v>289</v>
      </c>
      <c r="N949" s="378" t="s">
        <v>289</v>
      </c>
      <c r="O949" s="409"/>
      <c r="P949" s="387" t="s">
        <v>289</v>
      </c>
      <c r="Q949" s="383"/>
      <c r="R949" s="383"/>
      <c r="S949" s="383"/>
      <c r="T949" s="410"/>
      <c r="U949" s="406"/>
      <c r="V949" s="386"/>
      <c r="W949" s="387" t="s">
        <v>289</v>
      </c>
      <c r="X949" s="378" t="s">
        <v>289</v>
      </c>
      <c r="Y949" s="387" t="s">
        <v>289</v>
      </c>
      <c r="Z949" s="391" t="s">
        <v>289</v>
      </c>
      <c r="AA949" s="391" t="s">
        <v>289</v>
      </c>
      <c r="AB949" s="391" t="s">
        <v>289</v>
      </c>
      <c r="AC949" s="391" t="s">
        <v>289</v>
      </c>
      <c r="AD949" s="395" t="s">
        <v>289</v>
      </c>
      <c r="AE949" s="395"/>
      <c r="AF949" s="395"/>
      <c r="AG949" s="395"/>
      <c r="AH949" s="395"/>
    </row>
    <row r="950" ht="30.75" customHeight="1">
      <c r="A950" s="373" t="str">
        <f t="shared" si="1"/>
        <v/>
      </c>
      <c r="B950" s="421" t="s">
        <v>289</v>
      </c>
      <c r="C950" s="406"/>
      <c r="D950" s="406"/>
      <c r="E950" s="406"/>
      <c r="F950" s="395" t="s">
        <v>289</v>
      </c>
      <c r="G950" s="406"/>
      <c r="H950" s="406"/>
      <c r="I950" s="378" t="s">
        <v>289</v>
      </c>
      <c r="J950" s="379" t="s">
        <v>289</v>
      </c>
      <c r="K950" s="407"/>
      <c r="L950" s="378" t="s">
        <v>289</v>
      </c>
      <c r="M950" s="378" t="s">
        <v>289</v>
      </c>
      <c r="N950" s="378" t="s">
        <v>289</v>
      </c>
      <c r="O950" s="409"/>
      <c r="P950" s="387" t="s">
        <v>289</v>
      </c>
      <c r="Q950" s="383"/>
      <c r="R950" s="383"/>
      <c r="S950" s="383"/>
      <c r="T950" s="410"/>
      <c r="U950" s="406"/>
      <c r="V950" s="386"/>
      <c r="W950" s="387" t="s">
        <v>289</v>
      </c>
      <c r="X950" s="378" t="s">
        <v>289</v>
      </c>
      <c r="Y950" s="387" t="s">
        <v>289</v>
      </c>
      <c r="Z950" s="391" t="s">
        <v>289</v>
      </c>
      <c r="AA950" s="391" t="s">
        <v>289</v>
      </c>
      <c r="AB950" s="391" t="s">
        <v>289</v>
      </c>
      <c r="AC950" s="391" t="s">
        <v>289</v>
      </c>
      <c r="AD950" s="395" t="s">
        <v>289</v>
      </c>
      <c r="AE950" s="395"/>
      <c r="AF950" s="395"/>
      <c r="AG950" s="395"/>
      <c r="AH950" s="395"/>
    </row>
    <row r="951" ht="30.75" customHeight="1">
      <c r="A951" s="373" t="str">
        <f t="shared" si="1"/>
        <v/>
      </c>
      <c r="B951" s="421" t="s">
        <v>289</v>
      </c>
      <c r="C951" s="406"/>
      <c r="D951" s="406"/>
      <c r="E951" s="406"/>
      <c r="F951" s="395" t="s">
        <v>289</v>
      </c>
      <c r="G951" s="406"/>
      <c r="H951" s="406"/>
      <c r="I951" s="378" t="s">
        <v>289</v>
      </c>
      <c r="J951" s="379" t="s">
        <v>289</v>
      </c>
      <c r="K951" s="407"/>
      <c r="L951" s="378" t="s">
        <v>289</v>
      </c>
      <c r="M951" s="378" t="s">
        <v>289</v>
      </c>
      <c r="N951" s="378" t="s">
        <v>289</v>
      </c>
      <c r="O951" s="409"/>
      <c r="P951" s="387" t="s">
        <v>289</v>
      </c>
      <c r="Q951" s="383"/>
      <c r="R951" s="383"/>
      <c r="S951" s="383"/>
      <c r="T951" s="410"/>
      <c r="U951" s="406"/>
      <c r="V951" s="386"/>
      <c r="W951" s="387" t="s">
        <v>289</v>
      </c>
      <c r="X951" s="378" t="s">
        <v>289</v>
      </c>
      <c r="Y951" s="387" t="s">
        <v>289</v>
      </c>
      <c r="Z951" s="391" t="s">
        <v>289</v>
      </c>
      <c r="AA951" s="391" t="s">
        <v>289</v>
      </c>
      <c r="AB951" s="391" t="s">
        <v>289</v>
      </c>
      <c r="AC951" s="391" t="s">
        <v>289</v>
      </c>
      <c r="AD951" s="395" t="s">
        <v>289</v>
      </c>
      <c r="AE951" s="395"/>
      <c r="AF951" s="395"/>
      <c r="AG951" s="395"/>
      <c r="AH951" s="395"/>
    </row>
    <row r="952" ht="30.75" customHeight="1">
      <c r="A952" s="373" t="str">
        <f t="shared" si="1"/>
        <v/>
      </c>
      <c r="B952" s="421" t="s">
        <v>289</v>
      </c>
      <c r="C952" s="406"/>
      <c r="D952" s="406"/>
      <c r="E952" s="406"/>
      <c r="F952" s="395" t="s">
        <v>289</v>
      </c>
      <c r="G952" s="406"/>
      <c r="H952" s="406"/>
      <c r="I952" s="378" t="s">
        <v>289</v>
      </c>
      <c r="J952" s="379" t="s">
        <v>289</v>
      </c>
      <c r="K952" s="407"/>
      <c r="L952" s="378" t="s">
        <v>289</v>
      </c>
      <c r="M952" s="378" t="s">
        <v>289</v>
      </c>
      <c r="N952" s="378" t="s">
        <v>289</v>
      </c>
      <c r="O952" s="409"/>
      <c r="P952" s="387" t="s">
        <v>289</v>
      </c>
      <c r="Q952" s="383"/>
      <c r="R952" s="383"/>
      <c r="S952" s="383"/>
      <c r="T952" s="410"/>
      <c r="U952" s="406"/>
      <c r="V952" s="386"/>
      <c r="W952" s="387" t="s">
        <v>289</v>
      </c>
      <c r="X952" s="378" t="s">
        <v>289</v>
      </c>
      <c r="Y952" s="387" t="s">
        <v>289</v>
      </c>
      <c r="Z952" s="391" t="s">
        <v>289</v>
      </c>
      <c r="AA952" s="391" t="s">
        <v>289</v>
      </c>
      <c r="AB952" s="391" t="s">
        <v>289</v>
      </c>
      <c r="AC952" s="391" t="s">
        <v>289</v>
      </c>
      <c r="AD952" s="395" t="s">
        <v>289</v>
      </c>
      <c r="AE952" s="395"/>
      <c r="AF952" s="395"/>
      <c r="AG952" s="395"/>
      <c r="AH952" s="395"/>
    </row>
    <row r="953" ht="30.75" customHeight="1">
      <c r="A953" s="373" t="str">
        <f t="shared" si="1"/>
        <v/>
      </c>
      <c r="B953" s="421" t="s">
        <v>289</v>
      </c>
      <c r="C953" s="406"/>
      <c r="D953" s="406"/>
      <c r="E953" s="406"/>
      <c r="F953" s="395" t="s">
        <v>289</v>
      </c>
      <c r="G953" s="406"/>
      <c r="H953" s="406"/>
      <c r="I953" s="378" t="s">
        <v>289</v>
      </c>
      <c r="J953" s="379" t="s">
        <v>289</v>
      </c>
      <c r="K953" s="407"/>
      <c r="L953" s="378" t="s">
        <v>289</v>
      </c>
      <c r="M953" s="378" t="s">
        <v>289</v>
      </c>
      <c r="N953" s="378" t="s">
        <v>289</v>
      </c>
      <c r="O953" s="409"/>
      <c r="P953" s="387" t="s">
        <v>289</v>
      </c>
      <c r="Q953" s="383"/>
      <c r="R953" s="383"/>
      <c r="S953" s="383"/>
      <c r="T953" s="410"/>
      <c r="U953" s="406"/>
      <c r="V953" s="386"/>
      <c r="W953" s="387" t="s">
        <v>289</v>
      </c>
      <c r="X953" s="378" t="s">
        <v>289</v>
      </c>
      <c r="Y953" s="387" t="s">
        <v>289</v>
      </c>
      <c r="Z953" s="391" t="s">
        <v>289</v>
      </c>
      <c r="AA953" s="391" t="s">
        <v>289</v>
      </c>
      <c r="AB953" s="391" t="s">
        <v>289</v>
      </c>
      <c r="AC953" s="391" t="s">
        <v>289</v>
      </c>
      <c r="AD953" s="395" t="s">
        <v>289</v>
      </c>
      <c r="AE953" s="395"/>
      <c r="AF953" s="395"/>
      <c r="AG953" s="395"/>
      <c r="AH953" s="395"/>
    </row>
    <row r="954" ht="30.75" customHeight="1">
      <c r="A954" s="373" t="str">
        <f t="shared" si="1"/>
        <v/>
      </c>
      <c r="B954" s="421" t="s">
        <v>289</v>
      </c>
      <c r="C954" s="406"/>
      <c r="D954" s="406"/>
      <c r="E954" s="406"/>
      <c r="F954" s="395" t="s">
        <v>289</v>
      </c>
      <c r="G954" s="406"/>
      <c r="H954" s="406"/>
      <c r="I954" s="378" t="s">
        <v>289</v>
      </c>
      <c r="J954" s="379" t="s">
        <v>289</v>
      </c>
      <c r="K954" s="407"/>
      <c r="L954" s="378" t="s">
        <v>289</v>
      </c>
      <c r="M954" s="378" t="s">
        <v>289</v>
      </c>
      <c r="N954" s="378" t="s">
        <v>289</v>
      </c>
      <c r="O954" s="409"/>
      <c r="P954" s="387" t="s">
        <v>289</v>
      </c>
      <c r="Q954" s="383"/>
      <c r="R954" s="383"/>
      <c r="S954" s="383"/>
      <c r="T954" s="410"/>
      <c r="U954" s="406"/>
      <c r="V954" s="386"/>
      <c r="W954" s="387" t="s">
        <v>289</v>
      </c>
      <c r="X954" s="378" t="s">
        <v>289</v>
      </c>
      <c r="Y954" s="387" t="s">
        <v>289</v>
      </c>
      <c r="Z954" s="391" t="s">
        <v>289</v>
      </c>
      <c r="AA954" s="391" t="s">
        <v>289</v>
      </c>
      <c r="AB954" s="391" t="s">
        <v>289</v>
      </c>
      <c r="AC954" s="391" t="s">
        <v>289</v>
      </c>
      <c r="AD954" s="395" t="s">
        <v>289</v>
      </c>
      <c r="AE954" s="395"/>
      <c r="AF954" s="395"/>
      <c r="AG954" s="395"/>
      <c r="AH954" s="395"/>
    </row>
    <row r="955" ht="30.75" customHeight="1">
      <c r="A955" s="373" t="str">
        <f t="shared" si="1"/>
        <v/>
      </c>
      <c r="B955" s="421" t="s">
        <v>289</v>
      </c>
      <c r="C955" s="406"/>
      <c r="D955" s="406"/>
      <c r="E955" s="406"/>
      <c r="F955" s="395" t="s">
        <v>289</v>
      </c>
      <c r="G955" s="406"/>
      <c r="H955" s="406"/>
      <c r="I955" s="378" t="s">
        <v>289</v>
      </c>
      <c r="J955" s="379" t="s">
        <v>289</v>
      </c>
      <c r="K955" s="407"/>
      <c r="L955" s="378" t="s">
        <v>289</v>
      </c>
      <c r="M955" s="378" t="s">
        <v>289</v>
      </c>
      <c r="N955" s="378" t="s">
        <v>289</v>
      </c>
      <c r="O955" s="409"/>
      <c r="P955" s="387" t="s">
        <v>289</v>
      </c>
      <c r="Q955" s="383"/>
      <c r="R955" s="383"/>
      <c r="S955" s="383"/>
      <c r="T955" s="410"/>
      <c r="U955" s="406"/>
      <c r="V955" s="386"/>
      <c r="W955" s="387" t="s">
        <v>289</v>
      </c>
      <c r="X955" s="378" t="s">
        <v>289</v>
      </c>
      <c r="Y955" s="387" t="s">
        <v>289</v>
      </c>
      <c r="Z955" s="391" t="s">
        <v>289</v>
      </c>
      <c r="AA955" s="391" t="s">
        <v>289</v>
      </c>
      <c r="AB955" s="391" t="s">
        <v>289</v>
      </c>
      <c r="AC955" s="391" t="s">
        <v>289</v>
      </c>
      <c r="AD955" s="395" t="s">
        <v>289</v>
      </c>
      <c r="AE955" s="395"/>
      <c r="AF955" s="395"/>
      <c r="AG955" s="395"/>
      <c r="AH955" s="395"/>
    </row>
    <row r="956" ht="30.75" customHeight="1">
      <c r="A956" s="373" t="str">
        <f t="shared" si="1"/>
        <v/>
      </c>
      <c r="B956" s="421" t="s">
        <v>289</v>
      </c>
      <c r="C956" s="406"/>
      <c r="D956" s="406"/>
      <c r="E956" s="406"/>
      <c r="F956" s="395" t="s">
        <v>289</v>
      </c>
      <c r="G956" s="406"/>
      <c r="H956" s="406"/>
      <c r="I956" s="378" t="s">
        <v>289</v>
      </c>
      <c r="J956" s="379" t="s">
        <v>289</v>
      </c>
      <c r="K956" s="407"/>
      <c r="L956" s="378" t="s">
        <v>289</v>
      </c>
      <c r="M956" s="378" t="s">
        <v>289</v>
      </c>
      <c r="N956" s="378" t="s">
        <v>289</v>
      </c>
      <c r="O956" s="409"/>
      <c r="P956" s="387" t="s">
        <v>289</v>
      </c>
      <c r="Q956" s="383"/>
      <c r="R956" s="383"/>
      <c r="S956" s="383"/>
      <c r="T956" s="410"/>
      <c r="U956" s="406"/>
      <c r="V956" s="386"/>
      <c r="W956" s="387" t="s">
        <v>289</v>
      </c>
      <c r="X956" s="378" t="s">
        <v>289</v>
      </c>
      <c r="Y956" s="387" t="s">
        <v>289</v>
      </c>
      <c r="Z956" s="391" t="s">
        <v>289</v>
      </c>
      <c r="AA956" s="391" t="s">
        <v>289</v>
      </c>
      <c r="AB956" s="391" t="s">
        <v>289</v>
      </c>
      <c r="AC956" s="391" t="s">
        <v>289</v>
      </c>
      <c r="AD956" s="395" t="s">
        <v>289</v>
      </c>
      <c r="AE956" s="395"/>
      <c r="AF956" s="395"/>
      <c r="AG956" s="395"/>
      <c r="AH956" s="395"/>
    </row>
    <row r="957" ht="30.75" customHeight="1">
      <c r="A957" s="373" t="str">
        <f t="shared" si="1"/>
        <v/>
      </c>
      <c r="B957" s="421" t="s">
        <v>289</v>
      </c>
      <c r="C957" s="406"/>
      <c r="D957" s="406"/>
      <c r="E957" s="406"/>
      <c r="F957" s="395" t="s">
        <v>289</v>
      </c>
      <c r="G957" s="406"/>
      <c r="H957" s="406"/>
      <c r="I957" s="378" t="s">
        <v>289</v>
      </c>
      <c r="J957" s="379" t="s">
        <v>289</v>
      </c>
      <c r="K957" s="407"/>
      <c r="L957" s="378" t="s">
        <v>289</v>
      </c>
      <c r="M957" s="378" t="s">
        <v>289</v>
      </c>
      <c r="N957" s="378" t="s">
        <v>289</v>
      </c>
      <c r="O957" s="409"/>
      <c r="P957" s="387" t="s">
        <v>289</v>
      </c>
      <c r="Q957" s="383"/>
      <c r="R957" s="383"/>
      <c r="S957" s="383"/>
      <c r="T957" s="410"/>
      <c r="U957" s="406"/>
      <c r="V957" s="386"/>
      <c r="W957" s="387" t="s">
        <v>289</v>
      </c>
      <c r="X957" s="378" t="s">
        <v>289</v>
      </c>
      <c r="Y957" s="387" t="s">
        <v>289</v>
      </c>
      <c r="Z957" s="391" t="s">
        <v>289</v>
      </c>
      <c r="AA957" s="391" t="s">
        <v>289</v>
      </c>
      <c r="AB957" s="391" t="s">
        <v>289</v>
      </c>
      <c r="AC957" s="391" t="s">
        <v>289</v>
      </c>
      <c r="AD957" s="395" t="s">
        <v>289</v>
      </c>
      <c r="AE957" s="395"/>
      <c r="AF957" s="395"/>
      <c r="AG957" s="395"/>
      <c r="AH957" s="395"/>
    </row>
    <row r="958" ht="30.75" customHeight="1">
      <c r="A958" s="373" t="str">
        <f t="shared" si="1"/>
        <v/>
      </c>
      <c r="B958" s="421" t="s">
        <v>289</v>
      </c>
      <c r="C958" s="406"/>
      <c r="D958" s="406"/>
      <c r="E958" s="406"/>
      <c r="F958" s="395" t="s">
        <v>289</v>
      </c>
      <c r="G958" s="406"/>
      <c r="H958" s="406"/>
      <c r="I958" s="378" t="s">
        <v>289</v>
      </c>
      <c r="J958" s="379" t="s">
        <v>289</v>
      </c>
      <c r="K958" s="407"/>
      <c r="L958" s="378" t="s">
        <v>289</v>
      </c>
      <c r="M958" s="378" t="s">
        <v>289</v>
      </c>
      <c r="N958" s="378" t="s">
        <v>289</v>
      </c>
      <c r="O958" s="409"/>
      <c r="P958" s="387" t="s">
        <v>289</v>
      </c>
      <c r="Q958" s="383"/>
      <c r="R958" s="383"/>
      <c r="S958" s="383"/>
      <c r="T958" s="410"/>
      <c r="U958" s="406"/>
      <c r="V958" s="386"/>
      <c r="W958" s="387" t="s">
        <v>289</v>
      </c>
      <c r="X958" s="378" t="s">
        <v>289</v>
      </c>
      <c r="Y958" s="387" t="s">
        <v>289</v>
      </c>
      <c r="Z958" s="391" t="s">
        <v>289</v>
      </c>
      <c r="AA958" s="391" t="s">
        <v>289</v>
      </c>
      <c r="AB958" s="391" t="s">
        <v>289</v>
      </c>
      <c r="AC958" s="391" t="s">
        <v>289</v>
      </c>
      <c r="AD958" s="395" t="s">
        <v>289</v>
      </c>
      <c r="AE958" s="395"/>
      <c r="AF958" s="395"/>
      <c r="AG958" s="395"/>
      <c r="AH958" s="395"/>
    </row>
    <row r="959" ht="30.75" customHeight="1">
      <c r="A959" s="373" t="str">
        <f t="shared" si="1"/>
        <v/>
      </c>
      <c r="B959" s="421" t="s">
        <v>289</v>
      </c>
      <c r="C959" s="406"/>
      <c r="D959" s="406"/>
      <c r="E959" s="406"/>
      <c r="F959" s="395" t="s">
        <v>289</v>
      </c>
      <c r="G959" s="406"/>
      <c r="H959" s="406"/>
      <c r="I959" s="378" t="s">
        <v>289</v>
      </c>
      <c r="J959" s="379" t="s">
        <v>289</v>
      </c>
      <c r="K959" s="407"/>
      <c r="L959" s="378" t="s">
        <v>289</v>
      </c>
      <c r="M959" s="378" t="s">
        <v>289</v>
      </c>
      <c r="N959" s="378" t="s">
        <v>289</v>
      </c>
      <c r="O959" s="409"/>
      <c r="P959" s="387" t="s">
        <v>289</v>
      </c>
      <c r="Q959" s="383"/>
      <c r="R959" s="383"/>
      <c r="S959" s="383"/>
      <c r="T959" s="410"/>
      <c r="U959" s="406"/>
      <c r="V959" s="386"/>
      <c r="W959" s="387" t="s">
        <v>289</v>
      </c>
      <c r="X959" s="378" t="s">
        <v>289</v>
      </c>
      <c r="Y959" s="387" t="s">
        <v>289</v>
      </c>
      <c r="Z959" s="391" t="s">
        <v>289</v>
      </c>
      <c r="AA959" s="391" t="s">
        <v>289</v>
      </c>
      <c r="AB959" s="391" t="s">
        <v>289</v>
      </c>
      <c r="AC959" s="391" t="s">
        <v>289</v>
      </c>
      <c r="AD959" s="395" t="s">
        <v>289</v>
      </c>
      <c r="AE959" s="395"/>
      <c r="AF959" s="395"/>
      <c r="AG959" s="395"/>
      <c r="AH959" s="395"/>
    </row>
    <row r="960" ht="30.75" customHeight="1">
      <c r="A960" s="373" t="str">
        <f t="shared" si="1"/>
        <v/>
      </c>
      <c r="B960" s="421" t="s">
        <v>289</v>
      </c>
      <c r="C960" s="406"/>
      <c r="D960" s="406"/>
      <c r="E960" s="406"/>
      <c r="F960" s="395" t="s">
        <v>289</v>
      </c>
      <c r="G960" s="406"/>
      <c r="H960" s="406"/>
      <c r="I960" s="378" t="s">
        <v>289</v>
      </c>
      <c r="J960" s="379" t="s">
        <v>289</v>
      </c>
      <c r="K960" s="407"/>
      <c r="L960" s="378" t="s">
        <v>289</v>
      </c>
      <c r="M960" s="378" t="s">
        <v>289</v>
      </c>
      <c r="N960" s="378" t="s">
        <v>289</v>
      </c>
      <c r="O960" s="409"/>
      <c r="P960" s="387" t="s">
        <v>289</v>
      </c>
      <c r="Q960" s="383"/>
      <c r="R960" s="383"/>
      <c r="S960" s="383"/>
      <c r="T960" s="410"/>
      <c r="U960" s="406"/>
      <c r="V960" s="386"/>
      <c r="W960" s="387" t="s">
        <v>289</v>
      </c>
      <c r="X960" s="378" t="s">
        <v>289</v>
      </c>
      <c r="Y960" s="387" t="s">
        <v>289</v>
      </c>
      <c r="Z960" s="391" t="s">
        <v>289</v>
      </c>
      <c r="AA960" s="391" t="s">
        <v>289</v>
      </c>
      <c r="AB960" s="391" t="s">
        <v>289</v>
      </c>
      <c r="AC960" s="391" t="s">
        <v>289</v>
      </c>
      <c r="AD960" s="395" t="s">
        <v>289</v>
      </c>
      <c r="AE960" s="395"/>
      <c r="AF960" s="395"/>
      <c r="AG960" s="395"/>
      <c r="AH960" s="395"/>
    </row>
    <row r="961" ht="30.75" customHeight="1">
      <c r="A961" s="373" t="str">
        <f t="shared" si="1"/>
        <v/>
      </c>
      <c r="B961" s="421" t="s">
        <v>289</v>
      </c>
      <c r="C961" s="406"/>
      <c r="D961" s="406"/>
      <c r="E961" s="406"/>
      <c r="F961" s="395" t="s">
        <v>289</v>
      </c>
      <c r="G961" s="406"/>
      <c r="H961" s="406"/>
      <c r="I961" s="378" t="s">
        <v>289</v>
      </c>
      <c r="J961" s="379" t="s">
        <v>289</v>
      </c>
      <c r="K961" s="407"/>
      <c r="L961" s="378" t="s">
        <v>289</v>
      </c>
      <c r="M961" s="378" t="s">
        <v>289</v>
      </c>
      <c r="N961" s="378" t="s">
        <v>289</v>
      </c>
      <c r="O961" s="409"/>
      <c r="P961" s="387" t="s">
        <v>289</v>
      </c>
      <c r="Q961" s="383"/>
      <c r="R961" s="383"/>
      <c r="S961" s="383"/>
      <c r="T961" s="410"/>
      <c r="U961" s="406"/>
      <c r="V961" s="386"/>
      <c r="W961" s="387" t="s">
        <v>289</v>
      </c>
      <c r="X961" s="378" t="s">
        <v>289</v>
      </c>
      <c r="Y961" s="387" t="s">
        <v>289</v>
      </c>
      <c r="Z961" s="391" t="s">
        <v>289</v>
      </c>
      <c r="AA961" s="391" t="s">
        <v>289</v>
      </c>
      <c r="AB961" s="391" t="s">
        <v>289</v>
      </c>
      <c r="AC961" s="391" t="s">
        <v>289</v>
      </c>
      <c r="AD961" s="395" t="s">
        <v>289</v>
      </c>
      <c r="AE961" s="395"/>
      <c r="AF961" s="395"/>
      <c r="AG961" s="395"/>
      <c r="AH961" s="395"/>
    </row>
    <row r="962" ht="30.75" customHeight="1">
      <c r="A962" s="373" t="str">
        <f t="shared" si="1"/>
        <v/>
      </c>
      <c r="B962" s="421" t="s">
        <v>289</v>
      </c>
      <c r="C962" s="406"/>
      <c r="D962" s="406"/>
      <c r="E962" s="406"/>
      <c r="F962" s="395" t="s">
        <v>289</v>
      </c>
      <c r="G962" s="406"/>
      <c r="H962" s="406"/>
      <c r="I962" s="378" t="s">
        <v>289</v>
      </c>
      <c r="J962" s="379" t="s">
        <v>289</v>
      </c>
      <c r="K962" s="407"/>
      <c r="L962" s="378" t="s">
        <v>289</v>
      </c>
      <c r="M962" s="378" t="s">
        <v>289</v>
      </c>
      <c r="N962" s="378" t="s">
        <v>289</v>
      </c>
      <c r="O962" s="409"/>
      <c r="P962" s="387" t="s">
        <v>289</v>
      </c>
      <c r="Q962" s="383"/>
      <c r="R962" s="383"/>
      <c r="S962" s="383"/>
      <c r="T962" s="410"/>
      <c r="U962" s="406"/>
      <c r="V962" s="386"/>
      <c r="W962" s="387" t="s">
        <v>289</v>
      </c>
      <c r="X962" s="378" t="s">
        <v>289</v>
      </c>
      <c r="Y962" s="387" t="s">
        <v>289</v>
      </c>
      <c r="Z962" s="391" t="s">
        <v>289</v>
      </c>
      <c r="AA962" s="391" t="s">
        <v>289</v>
      </c>
      <c r="AB962" s="391" t="s">
        <v>289</v>
      </c>
      <c r="AC962" s="391" t="s">
        <v>289</v>
      </c>
      <c r="AD962" s="395" t="s">
        <v>289</v>
      </c>
      <c r="AE962" s="395"/>
      <c r="AF962" s="395"/>
      <c r="AG962" s="395"/>
      <c r="AH962" s="395"/>
    </row>
    <row r="963" ht="30.75" customHeight="1">
      <c r="A963" s="373" t="str">
        <f t="shared" si="1"/>
        <v/>
      </c>
      <c r="B963" s="421" t="s">
        <v>289</v>
      </c>
      <c r="C963" s="406"/>
      <c r="D963" s="406"/>
      <c r="E963" s="406"/>
      <c r="F963" s="395" t="s">
        <v>289</v>
      </c>
      <c r="G963" s="406"/>
      <c r="H963" s="406"/>
      <c r="I963" s="378" t="s">
        <v>289</v>
      </c>
      <c r="J963" s="379" t="s">
        <v>289</v>
      </c>
      <c r="K963" s="407"/>
      <c r="L963" s="378" t="s">
        <v>289</v>
      </c>
      <c r="M963" s="378" t="s">
        <v>289</v>
      </c>
      <c r="N963" s="378" t="s">
        <v>289</v>
      </c>
      <c r="O963" s="409"/>
      <c r="P963" s="387" t="s">
        <v>289</v>
      </c>
      <c r="Q963" s="383"/>
      <c r="R963" s="383"/>
      <c r="S963" s="383"/>
      <c r="T963" s="410"/>
      <c r="U963" s="406"/>
      <c r="V963" s="386"/>
      <c r="W963" s="387" t="s">
        <v>289</v>
      </c>
      <c r="X963" s="378" t="s">
        <v>289</v>
      </c>
      <c r="Y963" s="387" t="s">
        <v>289</v>
      </c>
      <c r="Z963" s="391" t="s">
        <v>289</v>
      </c>
      <c r="AA963" s="391" t="s">
        <v>289</v>
      </c>
      <c r="AB963" s="391" t="s">
        <v>289</v>
      </c>
      <c r="AC963" s="391" t="s">
        <v>289</v>
      </c>
      <c r="AD963" s="395" t="s">
        <v>289</v>
      </c>
      <c r="AE963" s="395"/>
      <c r="AF963" s="395"/>
      <c r="AG963" s="395"/>
      <c r="AH963" s="395"/>
    </row>
    <row r="964" ht="30.75" customHeight="1">
      <c r="A964" s="373" t="str">
        <f t="shared" si="1"/>
        <v/>
      </c>
      <c r="B964" s="421" t="s">
        <v>289</v>
      </c>
      <c r="C964" s="406"/>
      <c r="D964" s="406"/>
      <c r="E964" s="406"/>
      <c r="F964" s="395" t="s">
        <v>289</v>
      </c>
      <c r="G964" s="406"/>
      <c r="H964" s="406"/>
      <c r="I964" s="378" t="s">
        <v>289</v>
      </c>
      <c r="J964" s="379" t="s">
        <v>289</v>
      </c>
      <c r="K964" s="407"/>
      <c r="L964" s="378" t="s">
        <v>289</v>
      </c>
      <c r="M964" s="378" t="s">
        <v>289</v>
      </c>
      <c r="N964" s="378" t="s">
        <v>289</v>
      </c>
      <c r="O964" s="409"/>
      <c r="P964" s="387" t="s">
        <v>289</v>
      </c>
      <c r="Q964" s="383"/>
      <c r="R964" s="383"/>
      <c r="S964" s="383"/>
      <c r="T964" s="410"/>
      <c r="U964" s="406"/>
      <c r="V964" s="386"/>
      <c r="W964" s="387" t="s">
        <v>289</v>
      </c>
      <c r="X964" s="378" t="s">
        <v>289</v>
      </c>
      <c r="Y964" s="387" t="s">
        <v>289</v>
      </c>
      <c r="Z964" s="391" t="s">
        <v>289</v>
      </c>
      <c r="AA964" s="391" t="s">
        <v>289</v>
      </c>
      <c r="AB964" s="391" t="s">
        <v>289</v>
      </c>
      <c r="AC964" s="391" t="s">
        <v>289</v>
      </c>
      <c r="AD964" s="395" t="s">
        <v>289</v>
      </c>
      <c r="AE964" s="395"/>
      <c r="AF964" s="395"/>
      <c r="AG964" s="395"/>
      <c r="AH964" s="395"/>
    </row>
    <row r="965" ht="30.75" customHeight="1">
      <c r="A965" s="373" t="str">
        <f t="shared" si="1"/>
        <v/>
      </c>
      <c r="B965" s="421" t="s">
        <v>289</v>
      </c>
      <c r="C965" s="406"/>
      <c r="D965" s="406"/>
      <c r="E965" s="406"/>
      <c r="F965" s="395" t="s">
        <v>289</v>
      </c>
      <c r="G965" s="406"/>
      <c r="H965" s="406"/>
      <c r="I965" s="378" t="s">
        <v>289</v>
      </c>
      <c r="J965" s="379" t="s">
        <v>289</v>
      </c>
      <c r="K965" s="407"/>
      <c r="L965" s="378" t="s">
        <v>289</v>
      </c>
      <c r="M965" s="378" t="s">
        <v>289</v>
      </c>
      <c r="N965" s="378" t="s">
        <v>289</v>
      </c>
      <c r="O965" s="409"/>
      <c r="P965" s="387" t="s">
        <v>289</v>
      </c>
      <c r="Q965" s="383"/>
      <c r="R965" s="383"/>
      <c r="S965" s="383"/>
      <c r="T965" s="410"/>
      <c r="U965" s="406"/>
      <c r="V965" s="386"/>
      <c r="W965" s="387" t="s">
        <v>289</v>
      </c>
      <c r="X965" s="378" t="s">
        <v>289</v>
      </c>
      <c r="Y965" s="387" t="s">
        <v>289</v>
      </c>
      <c r="Z965" s="391" t="s">
        <v>289</v>
      </c>
      <c r="AA965" s="391" t="s">
        <v>289</v>
      </c>
      <c r="AB965" s="391" t="s">
        <v>289</v>
      </c>
      <c r="AC965" s="391" t="s">
        <v>289</v>
      </c>
      <c r="AD965" s="395" t="s">
        <v>289</v>
      </c>
      <c r="AE965" s="395"/>
      <c r="AF965" s="395"/>
      <c r="AG965" s="395"/>
      <c r="AH965" s="395"/>
    </row>
    <row r="966" ht="30.75" customHeight="1">
      <c r="A966" s="373" t="str">
        <f t="shared" si="1"/>
        <v/>
      </c>
      <c r="B966" s="421" t="s">
        <v>289</v>
      </c>
      <c r="C966" s="406"/>
      <c r="D966" s="406"/>
      <c r="E966" s="406"/>
      <c r="F966" s="395" t="s">
        <v>289</v>
      </c>
      <c r="G966" s="406"/>
      <c r="H966" s="406"/>
      <c r="I966" s="378" t="s">
        <v>289</v>
      </c>
      <c r="J966" s="379" t="s">
        <v>289</v>
      </c>
      <c r="K966" s="407"/>
      <c r="L966" s="378" t="s">
        <v>289</v>
      </c>
      <c r="M966" s="378" t="s">
        <v>289</v>
      </c>
      <c r="N966" s="378" t="s">
        <v>289</v>
      </c>
      <c r="O966" s="409"/>
      <c r="P966" s="387" t="s">
        <v>289</v>
      </c>
      <c r="Q966" s="383"/>
      <c r="R966" s="383"/>
      <c r="S966" s="383"/>
      <c r="T966" s="410"/>
      <c r="U966" s="406"/>
      <c r="V966" s="386"/>
      <c r="W966" s="387" t="s">
        <v>289</v>
      </c>
      <c r="X966" s="378" t="s">
        <v>289</v>
      </c>
      <c r="Y966" s="387" t="s">
        <v>289</v>
      </c>
      <c r="Z966" s="391" t="s">
        <v>289</v>
      </c>
      <c r="AA966" s="391" t="s">
        <v>289</v>
      </c>
      <c r="AB966" s="391" t="s">
        <v>289</v>
      </c>
      <c r="AC966" s="391" t="s">
        <v>289</v>
      </c>
      <c r="AD966" s="395" t="s">
        <v>289</v>
      </c>
      <c r="AE966" s="395"/>
      <c r="AF966" s="395"/>
      <c r="AG966" s="395"/>
      <c r="AH966" s="395"/>
    </row>
    <row r="967" ht="30.75" customHeight="1">
      <c r="A967" s="373" t="str">
        <f t="shared" si="1"/>
        <v/>
      </c>
      <c r="B967" s="421" t="s">
        <v>289</v>
      </c>
      <c r="C967" s="406"/>
      <c r="D967" s="406"/>
      <c r="E967" s="406"/>
      <c r="F967" s="395" t="s">
        <v>289</v>
      </c>
      <c r="G967" s="406"/>
      <c r="H967" s="406"/>
      <c r="I967" s="378" t="s">
        <v>289</v>
      </c>
      <c r="J967" s="379" t="s">
        <v>289</v>
      </c>
      <c r="K967" s="407"/>
      <c r="L967" s="378" t="s">
        <v>289</v>
      </c>
      <c r="M967" s="378" t="s">
        <v>289</v>
      </c>
      <c r="N967" s="378" t="s">
        <v>289</v>
      </c>
      <c r="O967" s="409"/>
      <c r="P967" s="387" t="s">
        <v>289</v>
      </c>
      <c r="Q967" s="383"/>
      <c r="R967" s="383"/>
      <c r="S967" s="383"/>
      <c r="T967" s="410"/>
      <c r="U967" s="406"/>
      <c r="V967" s="386"/>
      <c r="W967" s="387" t="s">
        <v>289</v>
      </c>
      <c r="X967" s="378" t="s">
        <v>289</v>
      </c>
      <c r="Y967" s="387" t="s">
        <v>289</v>
      </c>
      <c r="Z967" s="391" t="s">
        <v>289</v>
      </c>
      <c r="AA967" s="391" t="s">
        <v>289</v>
      </c>
      <c r="AB967" s="391" t="s">
        <v>289</v>
      </c>
      <c r="AC967" s="391" t="s">
        <v>289</v>
      </c>
      <c r="AD967" s="395" t="s">
        <v>289</v>
      </c>
      <c r="AE967" s="395"/>
      <c r="AF967" s="395"/>
      <c r="AG967" s="395"/>
      <c r="AH967" s="395"/>
    </row>
    <row r="968" ht="30.75" customHeight="1">
      <c r="A968" s="373" t="str">
        <f t="shared" si="1"/>
        <v/>
      </c>
      <c r="B968" s="421" t="s">
        <v>289</v>
      </c>
      <c r="C968" s="406"/>
      <c r="D968" s="406"/>
      <c r="E968" s="406"/>
      <c r="F968" s="395" t="s">
        <v>289</v>
      </c>
      <c r="G968" s="406"/>
      <c r="H968" s="406"/>
      <c r="I968" s="378" t="s">
        <v>289</v>
      </c>
      <c r="J968" s="379" t="s">
        <v>289</v>
      </c>
      <c r="K968" s="407"/>
      <c r="L968" s="378" t="s">
        <v>289</v>
      </c>
      <c r="M968" s="378" t="s">
        <v>289</v>
      </c>
      <c r="N968" s="378" t="s">
        <v>289</v>
      </c>
      <c r="O968" s="409"/>
      <c r="P968" s="387" t="s">
        <v>289</v>
      </c>
      <c r="Q968" s="383"/>
      <c r="R968" s="383"/>
      <c r="S968" s="383"/>
      <c r="T968" s="410"/>
      <c r="U968" s="406"/>
      <c r="V968" s="386"/>
      <c r="W968" s="387" t="s">
        <v>289</v>
      </c>
      <c r="X968" s="378" t="s">
        <v>289</v>
      </c>
      <c r="Y968" s="387" t="s">
        <v>289</v>
      </c>
      <c r="Z968" s="391" t="s">
        <v>289</v>
      </c>
      <c r="AA968" s="391" t="s">
        <v>289</v>
      </c>
      <c r="AB968" s="391" t="s">
        <v>289</v>
      </c>
      <c r="AC968" s="391" t="s">
        <v>289</v>
      </c>
      <c r="AD968" s="395" t="s">
        <v>289</v>
      </c>
      <c r="AE968" s="395"/>
      <c r="AF968" s="395"/>
      <c r="AG968" s="395"/>
      <c r="AH968" s="395"/>
    </row>
    <row r="969" ht="30.75" customHeight="1">
      <c r="A969" s="373" t="str">
        <f t="shared" si="1"/>
        <v/>
      </c>
      <c r="B969" s="421" t="s">
        <v>289</v>
      </c>
      <c r="C969" s="406"/>
      <c r="D969" s="406"/>
      <c r="E969" s="406"/>
      <c r="F969" s="395" t="s">
        <v>289</v>
      </c>
      <c r="G969" s="406"/>
      <c r="H969" s="406"/>
      <c r="I969" s="378" t="s">
        <v>289</v>
      </c>
      <c r="J969" s="379" t="s">
        <v>289</v>
      </c>
      <c r="K969" s="407"/>
      <c r="L969" s="378" t="s">
        <v>289</v>
      </c>
      <c r="M969" s="378" t="s">
        <v>289</v>
      </c>
      <c r="N969" s="378" t="s">
        <v>289</v>
      </c>
      <c r="O969" s="409"/>
      <c r="P969" s="387" t="s">
        <v>289</v>
      </c>
      <c r="Q969" s="383"/>
      <c r="R969" s="383"/>
      <c r="S969" s="383"/>
      <c r="T969" s="410"/>
      <c r="U969" s="406"/>
      <c r="V969" s="386"/>
      <c r="W969" s="387" t="s">
        <v>289</v>
      </c>
      <c r="X969" s="378" t="s">
        <v>289</v>
      </c>
      <c r="Y969" s="387" t="s">
        <v>289</v>
      </c>
      <c r="Z969" s="391" t="s">
        <v>289</v>
      </c>
      <c r="AA969" s="391" t="s">
        <v>289</v>
      </c>
      <c r="AB969" s="391" t="s">
        <v>289</v>
      </c>
      <c r="AC969" s="391" t="s">
        <v>289</v>
      </c>
      <c r="AD969" s="395" t="s">
        <v>289</v>
      </c>
      <c r="AE969" s="395"/>
      <c r="AF969" s="395"/>
      <c r="AG969" s="395"/>
      <c r="AH969" s="395"/>
    </row>
    <row r="970" ht="30.75" customHeight="1">
      <c r="A970" s="373" t="str">
        <f t="shared" si="1"/>
        <v/>
      </c>
      <c r="B970" s="421" t="s">
        <v>289</v>
      </c>
      <c r="C970" s="406"/>
      <c r="D970" s="406"/>
      <c r="E970" s="406"/>
      <c r="F970" s="395" t="s">
        <v>289</v>
      </c>
      <c r="G970" s="406"/>
      <c r="H970" s="406"/>
      <c r="I970" s="378" t="s">
        <v>289</v>
      </c>
      <c r="J970" s="379" t="s">
        <v>289</v>
      </c>
      <c r="K970" s="407"/>
      <c r="L970" s="378" t="s">
        <v>289</v>
      </c>
      <c r="M970" s="378" t="s">
        <v>289</v>
      </c>
      <c r="N970" s="378" t="s">
        <v>289</v>
      </c>
      <c r="O970" s="409"/>
      <c r="P970" s="387" t="s">
        <v>289</v>
      </c>
      <c r="Q970" s="383"/>
      <c r="R970" s="383"/>
      <c r="S970" s="383"/>
      <c r="T970" s="410"/>
      <c r="U970" s="406"/>
      <c r="V970" s="386"/>
      <c r="W970" s="387" t="s">
        <v>289</v>
      </c>
      <c r="X970" s="378" t="s">
        <v>289</v>
      </c>
      <c r="Y970" s="387" t="s">
        <v>289</v>
      </c>
      <c r="Z970" s="391" t="s">
        <v>289</v>
      </c>
      <c r="AA970" s="391" t="s">
        <v>289</v>
      </c>
      <c r="AB970" s="391" t="s">
        <v>289</v>
      </c>
      <c r="AC970" s="391" t="s">
        <v>289</v>
      </c>
      <c r="AD970" s="395" t="s">
        <v>289</v>
      </c>
      <c r="AE970" s="395"/>
      <c r="AF970" s="395"/>
      <c r="AG970" s="395"/>
      <c r="AH970" s="395"/>
    </row>
    <row r="971" ht="30.75" customHeight="1">
      <c r="A971" s="373" t="str">
        <f t="shared" si="1"/>
        <v/>
      </c>
      <c r="B971" s="421" t="s">
        <v>289</v>
      </c>
      <c r="C971" s="406"/>
      <c r="D971" s="406"/>
      <c r="E971" s="406"/>
      <c r="F971" s="395" t="s">
        <v>289</v>
      </c>
      <c r="G971" s="406"/>
      <c r="H971" s="406"/>
      <c r="I971" s="378" t="s">
        <v>289</v>
      </c>
      <c r="J971" s="379" t="s">
        <v>289</v>
      </c>
      <c r="K971" s="407"/>
      <c r="L971" s="378" t="s">
        <v>289</v>
      </c>
      <c r="M971" s="378" t="s">
        <v>289</v>
      </c>
      <c r="N971" s="378" t="s">
        <v>289</v>
      </c>
      <c r="O971" s="409"/>
      <c r="P971" s="387" t="s">
        <v>289</v>
      </c>
      <c r="Q971" s="383"/>
      <c r="R971" s="383"/>
      <c r="S971" s="383"/>
      <c r="T971" s="410"/>
      <c r="U971" s="406"/>
      <c r="V971" s="386"/>
      <c r="W971" s="387" t="s">
        <v>289</v>
      </c>
      <c r="X971" s="378" t="s">
        <v>289</v>
      </c>
      <c r="Y971" s="387" t="s">
        <v>289</v>
      </c>
      <c r="Z971" s="391" t="s">
        <v>289</v>
      </c>
      <c r="AA971" s="391" t="s">
        <v>289</v>
      </c>
      <c r="AB971" s="391" t="s">
        <v>289</v>
      </c>
      <c r="AC971" s="391" t="s">
        <v>289</v>
      </c>
      <c r="AD971" s="395" t="s">
        <v>289</v>
      </c>
      <c r="AE971" s="395"/>
      <c r="AF971" s="395"/>
      <c r="AG971" s="395"/>
      <c r="AH971" s="395"/>
    </row>
    <row r="972" ht="30.75" customHeight="1">
      <c r="A972" s="373" t="str">
        <f t="shared" si="1"/>
        <v/>
      </c>
      <c r="B972" s="421" t="s">
        <v>289</v>
      </c>
      <c r="C972" s="406"/>
      <c r="D972" s="406"/>
      <c r="E972" s="406"/>
      <c r="F972" s="395" t="s">
        <v>289</v>
      </c>
      <c r="G972" s="406"/>
      <c r="H972" s="406"/>
      <c r="I972" s="378" t="s">
        <v>289</v>
      </c>
      <c r="J972" s="379" t="s">
        <v>289</v>
      </c>
      <c r="K972" s="407"/>
      <c r="L972" s="378" t="s">
        <v>289</v>
      </c>
      <c r="M972" s="378" t="s">
        <v>289</v>
      </c>
      <c r="N972" s="378" t="s">
        <v>289</v>
      </c>
      <c r="O972" s="409"/>
      <c r="P972" s="387" t="s">
        <v>289</v>
      </c>
      <c r="Q972" s="383"/>
      <c r="R972" s="383"/>
      <c r="S972" s="383"/>
      <c r="T972" s="410"/>
      <c r="U972" s="406"/>
      <c r="V972" s="386"/>
      <c r="W972" s="387" t="s">
        <v>289</v>
      </c>
      <c r="X972" s="378" t="s">
        <v>289</v>
      </c>
      <c r="Y972" s="387" t="s">
        <v>289</v>
      </c>
      <c r="Z972" s="391" t="s">
        <v>289</v>
      </c>
      <c r="AA972" s="391" t="s">
        <v>289</v>
      </c>
      <c r="AB972" s="391" t="s">
        <v>289</v>
      </c>
      <c r="AC972" s="391" t="s">
        <v>289</v>
      </c>
      <c r="AD972" s="395" t="s">
        <v>289</v>
      </c>
      <c r="AE972" s="395"/>
      <c r="AF972" s="395"/>
      <c r="AG972" s="395"/>
      <c r="AH972" s="395"/>
    </row>
    <row r="973" ht="30.75" customHeight="1">
      <c r="A973" s="373" t="str">
        <f t="shared" si="1"/>
        <v/>
      </c>
      <c r="B973" s="421" t="s">
        <v>289</v>
      </c>
      <c r="C973" s="406"/>
      <c r="D973" s="406"/>
      <c r="E973" s="406"/>
      <c r="F973" s="395" t="s">
        <v>289</v>
      </c>
      <c r="G973" s="406"/>
      <c r="H973" s="406"/>
      <c r="I973" s="378" t="s">
        <v>289</v>
      </c>
      <c r="J973" s="379" t="s">
        <v>289</v>
      </c>
      <c r="K973" s="407"/>
      <c r="L973" s="378" t="s">
        <v>289</v>
      </c>
      <c r="M973" s="378" t="s">
        <v>289</v>
      </c>
      <c r="N973" s="378" t="s">
        <v>289</v>
      </c>
      <c r="O973" s="409"/>
      <c r="P973" s="387" t="s">
        <v>289</v>
      </c>
      <c r="Q973" s="383"/>
      <c r="R973" s="383"/>
      <c r="S973" s="383"/>
      <c r="T973" s="410"/>
      <c r="U973" s="406"/>
      <c r="V973" s="386"/>
      <c r="W973" s="387" t="s">
        <v>289</v>
      </c>
      <c r="X973" s="378" t="s">
        <v>289</v>
      </c>
      <c r="Y973" s="387" t="s">
        <v>289</v>
      </c>
      <c r="Z973" s="391" t="s">
        <v>289</v>
      </c>
      <c r="AA973" s="391" t="s">
        <v>289</v>
      </c>
      <c r="AB973" s="391" t="s">
        <v>289</v>
      </c>
      <c r="AC973" s="391" t="s">
        <v>289</v>
      </c>
      <c r="AD973" s="395" t="s">
        <v>289</v>
      </c>
      <c r="AE973" s="395"/>
      <c r="AF973" s="395"/>
      <c r="AG973" s="395"/>
      <c r="AH973" s="395"/>
    </row>
    <row r="974" ht="30.75" customHeight="1">
      <c r="A974" s="373" t="str">
        <f t="shared" si="1"/>
        <v/>
      </c>
      <c r="B974" s="421" t="s">
        <v>289</v>
      </c>
      <c r="C974" s="406"/>
      <c r="D974" s="406"/>
      <c r="E974" s="406"/>
      <c r="F974" s="395" t="s">
        <v>289</v>
      </c>
      <c r="G974" s="406"/>
      <c r="H974" s="406"/>
      <c r="I974" s="378" t="s">
        <v>289</v>
      </c>
      <c r="J974" s="379" t="s">
        <v>289</v>
      </c>
      <c r="K974" s="407"/>
      <c r="L974" s="378" t="s">
        <v>289</v>
      </c>
      <c r="M974" s="378" t="s">
        <v>289</v>
      </c>
      <c r="N974" s="378" t="s">
        <v>289</v>
      </c>
      <c r="O974" s="409"/>
      <c r="P974" s="387" t="s">
        <v>289</v>
      </c>
      <c r="Q974" s="383"/>
      <c r="R974" s="383"/>
      <c r="S974" s="383"/>
      <c r="T974" s="410"/>
      <c r="U974" s="406"/>
      <c r="V974" s="386"/>
      <c r="W974" s="387" t="s">
        <v>289</v>
      </c>
      <c r="X974" s="378" t="s">
        <v>289</v>
      </c>
      <c r="Y974" s="387" t="s">
        <v>289</v>
      </c>
      <c r="Z974" s="391" t="s">
        <v>289</v>
      </c>
      <c r="AA974" s="391" t="s">
        <v>289</v>
      </c>
      <c r="AB974" s="391" t="s">
        <v>289</v>
      </c>
      <c r="AC974" s="391" t="s">
        <v>289</v>
      </c>
      <c r="AD974" s="395" t="s">
        <v>289</v>
      </c>
      <c r="AE974" s="395"/>
      <c r="AF974" s="395"/>
      <c r="AG974" s="395"/>
      <c r="AH974" s="395"/>
    </row>
    <row r="975" ht="30.75" customHeight="1">
      <c r="A975" s="373" t="str">
        <f t="shared" si="1"/>
        <v/>
      </c>
      <c r="B975" s="421" t="s">
        <v>289</v>
      </c>
      <c r="C975" s="406"/>
      <c r="D975" s="406"/>
      <c r="E975" s="406"/>
      <c r="F975" s="395" t="s">
        <v>289</v>
      </c>
      <c r="G975" s="406"/>
      <c r="H975" s="406"/>
      <c r="I975" s="378" t="s">
        <v>289</v>
      </c>
      <c r="J975" s="379" t="s">
        <v>289</v>
      </c>
      <c r="K975" s="407"/>
      <c r="L975" s="378" t="s">
        <v>289</v>
      </c>
      <c r="M975" s="378" t="s">
        <v>289</v>
      </c>
      <c r="N975" s="378" t="s">
        <v>289</v>
      </c>
      <c r="O975" s="409"/>
      <c r="P975" s="387" t="s">
        <v>289</v>
      </c>
      <c r="Q975" s="383"/>
      <c r="R975" s="383"/>
      <c r="S975" s="383"/>
      <c r="T975" s="410"/>
      <c r="U975" s="406"/>
      <c r="V975" s="386"/>
      <c r="W975" s="387" t="s">
        <v>289</v>
      </c>
      <c r="X975" s="378" t="s">
        <v>289</v>
      </c>
      <c r="Y975" s="387" t="s">
        <v>289</v>
      </c>
      <c r="Z975" s="391" t="s">
        <v>289</v>
      </c>
      <c r="AA975" s="391" t="s">
        <v>289</v>
      </c>
      <c r="AB975" s="391" t="s">
        <v>289</v>
      </c>
      <c r="AC975" s="391" t="s">
        <v>289</v>
      </c>
      <c r="AD975" s="395" t="s">
        <v>289</v>
      </c>
      <c r="AE975" s="395"/>
      <c r="AF975" s="395"/>
      <c r="AG975" s="395"/>
      <c r="AH975" s="395"/>
    </row>
    <row r="976" ht="30.75" customHeight="1">
      <c r="A976" s="373" t="str">
        <f t="shared" si="1"/>
        <v/>
      </c>
      <c r="B976" s="421" t="s">
        <v>289</v>
      </c>
      <c r="C976" s="406"/>
      <c r="D976" s="406"/>
      <c r="E976" s="406"/>
      <c r="F976" s="395" t="s">
        <v>289</v>
      </c>
      <c r="G976" s="406"/>
      <c r="H976" s="406"/>
      <c r="I976" s="378" t="s">
        <v>289</v>
      </c>
      <c r="J976" s="379" t="s">
        <v>289</v>
      </c>
      <c r="K976" s="407"/>
      <c r="L976" s="378" t="s">
        <v>289</v>
      </c>
      <c r="M976" s="378" t="s">
        <v>289</v>
      </c>
      <c r="N976" s="378" t="s">
        <v>289</v>
      </c>
      <c r="O976" s="409"/>
      <c r="P976" s="387" t="s">
        <v>289</v>
      </c>
      <c r="Q976" s="383"/>
      <c r="R976" s="383"/>
      <c r="S976" s="383"/>
      <c r="T976" s="410"/>
      <c r="U976" s="406"/>
      <c r="V976" s="386"/>
      <c r="W976" s="387" t="s">
        <v>289</v>
      </c>
      <c r="X976" s="378" t="s">
        <v>289</v>
      </c>
      <c r="Y976" s="387" t="s">
        <v>289</v>
      </c>
      <c r="Z976" s="391" t="s">
        <v>289</v>
      </c>
      <c r="AA976" s="391" t="s">
        <v>289</v>
      </c>
      <c r="AB976" s="391" t="s">
        <v>289</v>
      </c>
      <c r="AC976" s="391" t="s">
        <v>289</v>
      </c>
      <c r="AD976" s="395" t="s">
        <v>289</v>
      </c>
      <c r="AE976" s="395"/>
      <c r="AF976" s="395"/>
      <c r="AG976" s="395"/>
      <c r="AH976" s="395"/>
    </row>
    <row r="977" ht="30.75" customHeight="1">
      <c r="A977" s="373" t="str">
        <f t="shared" si="1"/>
        <v/>
      </c>
      <c r="B977" s="421" t="s">
        <v>289</v>
      </c>
      <c r="C977" s="406"/>
      <c r="D977" s="406"/>
      <c r="E977" s="406"/>
      <c r="F977" s="395" t="s">
        <v>289</v>
      </c>
      <c r="G977" s="406"/>
      <c r="H977" s="406"/>
      <c r="I977" s="378" t="s">
        <v>289</v>
      </c>
      <c r="J977" s="379" t="s">
        <v>289</v>
      </c>
      <c r="K977" s="407"/>
      <c r="L977" s="378" t="s">
        <v>289</v>
      </c>
      <c r="M977" s="378" t="s">
        <v>289</v>
      </c>
      <c r="N977" s="378" t="s">
        <v>289</v>
      </c>
      <c r="O977" s="409"/>
      <c r="P977" s="387" t="s">
        <v>289</v>
      </c>
      <c r="Q977" s="383"/>
      <c r="R977" s="383"/>
      <c r="S977" s="383"/>
      <c r="T977" s="410"/>
      <c r="U977" s="406"/>
      <c r="V977" s="386"/>
      <c r="W977" s="387" t="s">
        <v>289</v>
      </c>
      <c r="X977" s="378" t="s">
        <v>289</v>
      </c>
      <c r="Y977" s="387" t="s">
        <v>289</v>
      </c>
      <c r="Z977" s="391" t="s">
        <v>289</v>
      </c>
      <c r="AA977" s="391" t="s">
        <v>289</v>
      </c>
      <c r="AB977" s="391" t="s">
        <v>289</v>
      </c>
      <c r="AC977" s="391" t="s">
        <v>289</v>
      </c>
      <c r="AD977" s="395" t="s">
        <v>289</v>
      </c>
      <c r="AE977" s="395"/>
      <c r="AF977" s="395"/>
      <c r="AG977" s="395"/>
      <c r="AH977" s="395"/>
    </row>
    <row r="978" ht="30.75" customHeight="1">
      <c r="A978" s="373" t="str">
        <f t="shared" si="1"/>
        <v/>
      </c>
      <c r="B978" s="421" t="s">
        <v>289</v>
      </c>
      <c r="C978" s="406"/>
      <c r="D978" s="406"/>
      <c r="E978" s="406"/>
      <c r="F978" s="395" t="s">
        <v>289</v>
      </c>
      <c r="G978" s="406"/>
      <c r="H978" s="406"/>
      <c r="I978" s="378" t="s">
        <v>289</v>
      </c>
      <c r="J978" s="379" t="s">
        <v>289</v>
      </c>
      <c r="K978" s="407"/>
      <c r="L978" s="378" t="s">
        <v>289</v>
      </c>
      <c r="M978" s="378" t="s">
        <v>289</v>
      </c>
      <c r="N978" s="378" t="s">
        <v>289</v>
      </c>
      <c r="O978" s="409"/>
      <c r="P978" s="387" t="s">
        <v>289</v>
      </c>
      <c r="Q978" s="383"/>
      <c r="R978" s="383"/>
      <c r="S978" s="383"/>
      <c r="T978" s="410"/>
      <c r="U978" s="406"/>
      <c r="V978" s="386"/>
      <c r="W978" s="387" t="s">
        <v>289</v>
      </c>
      <c r="X978" s="378" t="s">
        <v>289</v>
      </c>
      <c r="Y978" s="387" t="s">
        <v>289</v>
      </c>
      <c r="Z978" s="391" t="s">
        <v>289</v>
      </c>
      <c r="AA978" s="391" t="s">
        <v>289</v>
      </c>
      <c r="AB978" s="391" t="s">
        <v>289</v>
      </c>
      <c r="AC978" s="391" t="s">
        <v>289</v>
      </c>
      <c r="AD978" s="395" t="s">
        <v>289</v>
      </c>
      <c r="AE978" s="395"/>
      <c r="AF978" s="395"/>
      <c r="AG978" s="395"/>
      <c r="AH978" s="395"/>
    </row>
    <row r="979" ht="30.75" customHeight="1">
      <c r="A979" s="373" t="str">
        <f t="shared" si="1"/>
        <v/>
      </c>
      <c r="B979" s="421" t="s">
        <v>289</v>
      </c>
      <c r="C979" s="406"/>
      <c r="D979" s="406"/>
      <c r="E979" s="406"/>
      <c r="F979" s="395" t="s">
        <v>289</v>
      </c>
      <c r="G979" s="406"/>
      <c r="H979" s="406"/>
      <c r="I979" s="378" t="s">
        <v>289</v>
      </c>
      <c r="J979" s="379" t="s">
        <v>289</v>
      </c>
      <c r="K979" s="407"/>
      <c r="L979" s="378" t="s">
        <v>289</v>
      </c>
      <c r="M979" s="378" t="s">
        <v>289</v>
      </c>
      <c r="N979" s="378" t="s">
        <v>289</v>
      </c>
      <c r="O979" s="409"/>
      <c r="P979" s="387" t="s">
        <v>289</v>
      </c>
      <c r="Q979" s="383"/>
      <c r="R979" s="383"/>
      <c r="S979" s="383"/>
      <c r="T979" s="410"/>
      <c r="U979" s="406"/>
      <c r="V979" s="386"/>
      <c r="W979" s="387" t="s">
        <v>289</v>
      </c>
      <c r="X979" s="378" t="s">
        <v>289</v>
      </c>
      <c r="Y979" s="387" t="s">
        <v>289</v>
      </c>
      <c r="Z979" s="391" t="s">
        <v>289</v>
      </c>
      <c r="AA979" s="391" t="s">
        <v>289</v>
      </c>
      <c r="AB979" s="391" t="s">
        <v>289</v>
      </c>
      <c r="AC979" s="391" t="s">
        <v>289</v>
      </c>
      <c r="AD979" s="395" t="s">
        <v>289</v>
      </c>
      <c r="AE979" s="395"/>
      <c r="AF979" s="395"/>
      <c r="AG979" s="395"/>
      <c r="AH979" s="395"/>
    </row>
    <row r="980" ht="30.75" customHeight="1">
      <c r="A980" s="373" t="str">
        <f t="shared" si="1"/>
        <v/>
      </c>
      <c r="B980" s="421" t="s">
        <v>289</v>
      </c>
      <c r="C980" s="406"/>
      <c r="D980" s="406"/>
      <c r="E980" s="406"/>
      <c r="F980" s="395" t="s">
        <v>289</v>
      </c>
      <c r="G980" s="406"/>
      <c r="H980" s="406"/>
      <c r="I980" s="378" t="s">
        <v>289</v>
      </c>
      <c r="J980" s="379" t="s">
        <v>289</v>
      </c>
      <c r="K980" s="407"/>
      <c r="L980" s="378" t="s">
        <v>289</v>
      </c>
      <c r="M980" s="378" t="s">
        <v>289</v>
      </c>
      <c r="N980" s="378" t="s">
        <v>289</v>
      </c>
      <c r="O980" s="409"/>
      <c r="P980" s="387" t="s">
        <v>289</v>
      </c>
      <c r="Q980" s="383"/>
      <c r="R980" s="383"/>
      <c r="S980" s="383"/>
      <c r="T980" s="410"/>
      <c r="U980" s="406"/>
      <c r="V980" s="386"/>
      <c r="W980" s="387" t="s">
        <v>289</v>
      </c>
      <c r="X980" s="378" t="s">
        <v>289</v>
      </c>
      <c r="Y980" s="387" t="s">
        <v>289</v>
      </c>
      <c r="Z980" s="391" t="s">
        <v>289</v>
      </c>
      <c r="AA980" s="391" t="s">
        <v>289</v>
      </c>
      <c r="AB980" s="391" t="s">
        <v>289</v>
      </c>
      <c r="AC980" s="391" t="s">
        <v>289</v>
      </c>
      <c r="AD980" s="395" t="s">
        <v>289</v>
      </c>
      <c r="AE980" s="395"/>
      <c r="AF980" s="395"/>
      <c r="AG980" s="395"/>
      <c r="AH980" s="395"/>
    </row>
    <row r="981" ht="30.75" customHeight="1">
      <c r="A981" s="373" t="str">
        <f t="shared" si="1"/>
        <v/>
      </c>
      <c r="B981" s="421" t="s">
        <v>289</v>
      </c>
      <c r="C981" s="406"/>
      <c r="D981" s="406"/>
      <c r="E981" s="406"/>
      <c r="F981" s="395" t="s">
        <v>289</v>
      </c>
      <c r="G981" s="406"/>
      <c r="H981" s="406"/>
      <c r="I981" s="378" t="s">
        <v>289</v>
      </c>
      <c r="J981" s="379" t="s">
        <v>289</v>
      </c>
      <c r="K981" s="407"/>
      <c r="L981" s="378" t="s">
        <v>289</v>
      </c>
      <c r="M981" s="378" t="s">
        <v>289</v>
      </c>
      <c r="N981" s="378" t="s">
        <v>289</v>
      </c>
      <c r="O981" s="409"/>
      <c r="P981" s="387" t="s">
        <v>289</v>
      </c>
      <c r="Q981" s="383"/>
      <c r="R981" s="383"/>
      <c r="S981" s="383"/>
      <c r="T981" s="410"/>
      <c r="U981" s="406"/>
      <c r="V981" s="386"/>
      <c r="W981" s="387" t="s">
        <v>289</v>
      </c>
      <c r="X981" s="378" t="s">
        <v>289</v>
      </c>
      <c r="Y981" s="387" t="s">
        <v>289</v>
      </c>
      <c r="Z981" s="391" t="s">
        <v>289</v>
      </c>
      <c r="AA981" s="391" t="s">
        <v>289</v>
      </c>
      <c r="AB981" s="391" t="s">
        <v>289</v>
      </c>
      <c r="AC981" s="391" t="s">
        <v>289</v>
      </c>
      <c r="AD981" s="395" t="s">
        <v>289</v>
      </c>
      <c r="AE981" s="395"/>
      <c r="AF981" s="395"/>
      <c r="AG981" s="395"/>
      <c r="AH981" s="395"/>
    </row>
    <row r="982" ht="30.75" customHeight="1">
      <c r="A982" s="373" t="str">
        <f t="shared" si="1"/>
        <v/>
      </c>
      <c r="B982" s="421" t="s">
        <v>289</v>
      </c>
      <c r="C982" s="406"/>
      <c r="D982" s="406"/>
      <c r="E982" s="406"/>
      <c r="F982" s="395" t="s">
        <v>289</v>
      </c>
      <c r="G982" s="406"/>
      <c r="H982" s="406"/>
      <c r="I982" s="378" t="s">
        <v>289</v>
      </c>
      <c r="J982" s="379" t="s">
        <v>289</v>
      </c>
      <c r="K982" s="407"/>
      <c r="L982" s="378" t="s">
        <v>289</v>
      </c>
      <c r="M982" s="378" t="s">
        <v>289</v>
      </c>
      <c r="N982" s="378" t="s">
        <v>289</v>
      </c>
      <c r="O982" s="409"/>
      <c r="P982" s="387" t="s">
        <v>289</v>
      </c>
      <c r="Q982" s="383"/>
      <c r="R982" s="383"/>
      <c r="S982" s="383"/>
      <c r="T982" s="410"/>
      <c r="U982" s="406"/>
      <c r="V982" s="386"/>
      <c r="W982" s="387" t="s">
        <v>289</v>
      </c>
      <c r="X982" s="378" t="s">
        <v>289</v>
      </c>
      <c r="Y982" s="387" t="s">
        <v>289</v>
      </c>
      <c r="Z982" s="391" t="s">
        <v>289</v>
      </c>
      <c r="AA982" s="391" t="s">
        <v>289</v>
      </c>
      <c r="AB982" s="391" t="s">
        <v>289</v>
      </c>
      <c r="AC982" s="391" t="s">
        <v>289</v>
      </c>
      <c r="AD982" s="395" t="s">
        <v>289</v>
      </c>
      <c r="AE982" s="395"/>
      <c r="AF982" s="395"/>
      <c r="AG982" s="395"/>
      <c r="AH982" s="395"/>
    </row>
    <row r="983" ht="30.75" customHeight="1">
      <c r="A983" s="373" t="str">
        <f t="shared" si="1"/>
        <v/>
      </c>
      <c r="B983" s="421" t="s">
        <v>289</v>
      </c>
      <c r="C983" s="406"/>
      <c r="D983" s="406"/>
      <c r="E983" s="406"/>
      <c r="F983" s="395" t="s">
        <v>289</v>
      </c>
      <c r="G983" s="406"/>
      <c r="H983" s="406"/>
      <c r="I983" s="378" t="s">
        <v>289</v>
      </c>
      <c r="J983" s="379" t="s">
        <v>289</v>
      </c>
      <c r="K983" s="407"/>
      <c r="L983" s="378" t="s">
        <v>289</v>
      </c>
      <c r="M983" s="378" t="s">
        <v>289</v>
      </c>
      <c r="N983" s="378" t="s">
        <v>289</v>
      </c>
      <c r="O983" s="409"/>
      <c r="P983" s="387" t="s">
        <v>289</v>
      </c>
      <c r="Q983" s="383"/>
      <c r="R983" s="383"/>
      <c r="S983" s="383"/>
      <c r="T983" s="410"/>
      <c r="U983" s="406"/>
      <c r="V983" s="386"/>
      <c r="W983" s="387" t="s">
        <v>289</v>
      </c>
      <c r="X983" s="378" t="s">
        <v>289</v>
      </c>
      <c r="Y983" s="387" t="s">
        <v>289</v>
      </c>
      <c r="Z983" s="391" t="s">
        <v>289</v>
      </c>
      <c r="AA983" s="391" t="s">
        <v>289</v>
      </c>
      <c r="AB983" s="391" t="s">
        <v>289</v>
      </c>
      <c r="AC983" s="391" t="s">
        <v>289</v>
      </c>
      <c r="AD983" s="395" t="s">
        <v>289</v>
      </c>
      <c r="AE983" s="395"/>
      <c r="AF983" s="395"/>
      <c r="AG983" s="395"/>
      <c r="AH983" s="395"/>
    </row>
    <row r="984" ht="30.75" customHeight="1">
      <c r="A984" s="373" t="str">
        <f t="shared" si="1"/>
        <v/>
      </c>
      <c r="B984" s="421" t="s">
        <v>289</v>
      </c>
      <c r="C984" s="406"/>
      <c r="D984" s="406"/>
      <c r="E984" s="406"/>
      <c r="F984" s="395" t="s">
        <v>289</v>
      </c>
      <c r="G984" s="406"/>
      <c r="H984" s="406"/>
      <c r="I984" s="378" t="s">
        <v>289</v>
      </c>
      <c r="J984" s="379" t="s">
        <v>289</v>
      </c>
      <c r="K984" s="407"/>
      <c r="L984" s="378" t="s">
        <v>289</v>
      </c>
      <c r="M984" s="378" t="s">
        <v>289</v>
      </c>
      <c r="N984" s="378" t="s">
        <v>289</v>
      </c>
      <c r="O984" s="409"/>
      <c r="P984" s="387" t="s">
        <v>289</v>
      </c>
      <c r="Q984" s="383"/>
      <c r="R984" s="383"/>
      <c r="S984" s="383"/>
      <c r="T984" s="410"/>
      <c r="U984" s="406"/>
      <c r="V984" s="386"/>
      <c r="W984" s="387" t="s">
        <v>289</v>
      </c>
      <c r="X984" s="378" t="s">
        <v>289</v>
      </c>
      <c r="Y984" s="387" t="s">
        <v>289</v>
      </c>
      <c r="Z984" s="391" t="s">
        <v>289</v>
      </c>
      <c r="AA984" s="391" t="s">
        <v>289</v>
      </c>
      <c r="AB984" s="391" t="s">
        <v>289</v>
      </c>
      <c r="AC984" s="391" t="s">
        <v>289</v>
      </c>
      <c r="AD984" s="395" t="s">
        <v>289</v>
      </c>
      <c r="AE984" s="395"/>
      <c r="AF984" s="395"/>
      <c r="AG984" s="395"/>
      <c r="AH984" s="395"/>
    </row>
    <row r="985" ht="30.75" customHeight="1">
      <c r="A985" s="373" t="str">
        <f t="shared" si="1"/>
        <v/>
      </c>
      <c r="B985" s="421" t="s">
        <v>289</v>
      </c>
      <c r="C985" s="406"/>
      <c r="D985" s="406"/>
      <c r="E985" s="406"/>
      <c r="F985" s="395" t="s">
        <v>289</v>
      </c>
      <c r="G985" s="406"/>
      <c r="H985" s="406"/>
      <c r="I985" s="378" t="s">
        <v>289</v>
      </c>
      <c r="J985" s="379" t="s">
        <v>289</v>
      </c>
      <c r="K985" s="407"/>
      <c r="L985" s="378" t="s">
        <v>289</v>
      </c>
      <c r="M985" s="378" t="s">
        <v>289</v>
      </c>
      <c r="N985" s="378" t="s">
        <v>289</v>
      </c>
      <c r="O985" s="409"/>
      <c r="P985" s="387" t="s">
        <v>289</v>
      </c>
      <c r="Q985" s="383"/>
      <c r="R985" s="383"/>
      <c r="S985" s="383"/>
      <c r="T985" s="410"/>
      <c r="U985" s="406"/>
      <c r="V985" s="386"/>
      <c r="W985" s="387" t="s">
        <v>289</v>
      </c>
      <c r="X985" s="378" t="s">
        <v>289</v>
      </c>
      <c r="Y985" s="387" t="s">
        <v>289</v>
      </c>
      <c r="Z985" s="391" t="s">
        <v>289</v>
      </c>
      <c r="AA985" s="391" t="s">
        <v>289</v>
      </c>
      <c r="AB985" s="391" t="s">
        <v>289</v>
      </c>
      <c r="AC985" s="391" t="s">
        <v>289</v>
      </c>
      <c r="AD985" s="395" t="s">
        <v>289</v>
      </c>
      <c r="AE985" s="395"/>
      <c r="AF985" s="395"/>
      <c r="AG985" s="395"/>
      <c r="AH985" s="395"/>
    </row>
    <row r="986" ht="30.75" customHeight="1">
      <c r="A986" s="373" t="str">
        <f t="shared" si="1"/>
        <v/>
      </c>
      <c r="B986" s="421" t="s">
        <v>289</v>
      </c>
      <c r="C986" s="406"/>
      <c r="D986" s="406"/>
      <c r="E986" s="406"/>
      <c r="F986" s="395" t="s">
        <v>289</v>
      </c>
      <c r="G986" s="406"/>
      <c r="H986" s="406"/>
      <c r="I986" s="378" t="s">
        <v>289</v>
      </c>
      <c r="J986" s="379" t="s">
        <v>289</v>
      </c>
      <c r="K986" s="407"/>
      <c r="L986" s="378" t="s">
        <v>289</v>
      </c>
      <c r="M986" s="378" t="s">
        <v>289</v>
      </c>
      <c r="N986" s="378" t="s">
        <v>289</v>
      </c>
      <c r="O986" s="409"/>
      <c r="P986" s="387" t="s">
        <v>289</v>
      </c>
      <c r="Q986" s="383"/>
      <c r="R986" s="383"/>
      <c r="S986" s="383"/>
      <c r="T986" s="410"/>
      <c r="U986" s="406"/>
      <c r="V986" s="386"/>
      <c r="W986" s="387" t="s">
        <v>289</v>
      </c>
      <c r="X986" s="378" t="s">
        <v>289</v>
      </c>
      <c r="Y986" s="387" t="s">
        <v>289</v>
      </c>
      <c r="Z986" s="391" t="s">
        <v>289</v>
      </c>
      <c r="AA986" s="391" t="s">
        <v>289</v>
      </c>
      <c r="AB986" s="391" t="s">
        <v>289</v>
      </c>
      <c r="AC986" s="391" t="s">
        <v>289</v>
      </c>
      <c r="AD986" s="395" t="s">
        <v>289</v>
      </c>
      <c r="AE986" s="395"/>
      <c r="AF986" s="395"/>
      <c r="AG986" s="395"/>
      <c r="AH986" s="395"/>
    </row>
    <row r="987" ht="30.75" customHeight="1">
      <c r="A987" s="373" t="str">
        <f t="shared" si="1"/>
        <v/>
      </c>
      <c r="B987" s="421" t="s">
        <v>289</v>
      </c>
      <c r="C987" s="406"/>
      <c r="D987" s="406"/>
      <c r="E987" s="406"/>
      <c r="F987" s="395" t="s">
        <v>289</v>
      </c>
      <c r="G987" s="406"/>
      <c r="H987" s="406"/>
      <c r="I987" s="378" t="s">
        <v>289</v>
      </c>
      <c r="J987" s="379" t="s">
        <v>289</v>
      </c>
      <c r="K987" s="407"/>
      <c r="L987" s="378" t="s">
        <v>289</v>
      </c>
      <c r="M987" s="378" t="s">
        <v>289</v>
      </c>
      <c r="N987" s="378" t="s">
        <v>289</v>
      </c>
      <c r="O987" s="409"/>
      <c r="P987" s="387" t="s">
        <v>289</v>
      </c>
      <c r="Q987" s="383"/>
      <c r="R987" s="383"/>
      <c r="S987" s="383"/>
      <c r="T987" s="410"/>
      <c r="U987" s="406"/>
      <c r="V987" s="386"/>
      <c r="W987" s="387" t="s">
        <v>289</v>
      </c>
      <c r="X987" s="378" t="s">
        <v>289</v>
      </c>
      <c r="Y987" s="387" t="s">
        <v>289</v>
      </c>
      <c r="Z987" s="391" t="s">
        <v>289</v>
      </c>
      <c r="AA987" s="391" t="s">
        <v>289</v>
      </c>
      <c r="AB987" s="391" t="s">
        <v>289</v>
      </c>
      <c r="AC987" s="391" t="s">
        <v>289</v>
      </c>
      <c r="AD987" s="395" t="s">
        <v>289</v>
      </c>
      <c r="AE987" s="395"/>
      <c r="AF987" s="395"/>
      <c r="AG987" s="395"/>
      <c r="AH987" s="395"/>
    </row>
    <row r="988" ht="30.75" customHeight="1">
      <c r="A988" s="373" t="str">
        <f t="shared" si="1"/>
        <v/>
      </c>
      <c r="B988" s="421" t="s">
        <v>289</v>
      </c>
      <c r="C988" s="406"/>
      <c r="D988" s="406"/>
      <c r="E988" s="406"/>
      <c r="F988" s="395" t="s">
        <v>289</v>
      </c>
      <c r="G988" s="406"/>
      <c r="H988" s="406"/>
      <c r="I988" s="378" t="s">
        <v>289</v>
      </c>
      <c r="J988" s="379" t="s">
        <v>289</v>
      </c>
      <c r="K988" s="407"/>
      <c r="L988" s="378" t="s">
        <v>289</v>
      </c>
      <c r="M988" s="378" t="s">
        <v>289</v>
      </c>
      <c r="N988" s="378" t="s">
        <v>289</v>
      </c>
      <c r="O988" s="409"/>
      <c r="P988" s="387" t="s">
        <v>289</v>
      </c>
      <c r="Q988" s="383"/>
      <c r="R988" s="383"/>
      <c r="S988" s="383"/>
      <c r="T988" s="410"/>
      <c r="U988" s="406"/>
      <c r="V988" s="386"/>
      <c r="W988" s="387" t="s">
        <v>289</v>
      </c>
      <c r="X988" s="378" t="s">
        <v>289</v>
      </c>
      <c r="Y988" s="387" t="s">
        <v>289</v>
      </c>
      <c r="Z988" s="391" t="s">
        <v>289</v>
      </c>
      <c r="AA988" s="391" t="s">
        <v>289</v>
      </c>
      <c r="AB988" s="391" t="s">
        <v>289</v>
      </c>
      <c r="AC988" s="391" t="s">
        <v>289</v>
      </c>
      <c r="AD988" s="395" t="s">
        <v>289</v>
      </c>
      <c r="AE988" s="395"/>
      <c r="AF988" s="395"/>
      <c r="AG988" s="395"/>
      <c r="AH988" s="395"/>
    </row>
    <row r="989" ht="30.75" customHeight="1">
      <c r="A989" s="373" t="str">
        <f t="shared" si="1"/>
        <v/>
      </c>
      <c r="B989" s="421" t="s">
        <v>289</v>
      </c>
      <c r="C989" s="406"/>
      <c r="D989" s="406"/>
      <c r="E989" s="406"/>
      <c r="F989" s="395" t="s">
        <v>289</v>
      </c>
      <c r="G989" s="406"/>
      <c r="H989" s="406"/>
      <c r="I989" s="378" t="s">
        <v>289</v>
      </c>
      <c r="J989" s="379" t="s">
        <v>289</v>
      </c>
      <c r="K989" s="407"/>
      <c r="L989" s="378" t="s">
        <v>289</v>
      </c>
      <c r="M989" s="378" t="s">
        <v>289</v>
      </c>
      <c r="N989" s="378" t="s">
        <v>289</v>
      </c>
      <c r="O989" s="409"/>
      <c r="P989" s="387" t="s">
        <v>289</v>
      </c>
      <c r="Q989" s="383"/>
      <c r="R989" s="383"/>
      <c r="S989" s="383"/>
      <c r="T989" s="410"/>
      <c r="U989" s="406"/>
      <c r="V989" s="386"/>
      <c r="W989" s="387" t="s">
        <v>289</v>
      </c>
      <c r="X989" s="378" t="s">
        <v>289</v>
      </c>
      <c r="Y989" s="387" t="s">
        <v>289</v>
      </c>
      <c r="Z989" s="391" t="s">
        <v>289</v>
      </c>
      <c r="AA989" s="391" t="s">
        <v>289</v>
      </c>
      <c r="AB989" s="391" t="s">
        <v>289</v>
      </c>
      <c r="AC989" s="391" t="s">
        <v>289</v>
      </c>
      <c r="AD989" s="395" t="s">
        <v>289</v>
      </c>
      <c r="AE989" s="395"/>
      <c r="AF989" s="395"/>
      <c r="AG989" s="395"/>
      <c r="AH989" s="395"/>
    </row>
    <row r="990" ht="30.75" customHeight="1">
      <c r="A990" s="373" t="str">
        <f t="shared" si="1"/>
        <v/>
      </c>
      <c r="B990" s="421" t="s">
        <v>289</v>
      </c>
      <c r="C990" s="406"/>
      <c r="D990" s="406"/>
      <c r="E990" s="406"/>
      <c r="F990" s="395" t="s">
        <v>289</v>
      </c>
      <c r="G990" s="406"/>
      <c r="H990" s="406"/>
      <c r="I990" s="378" t="s">
        <v>289</v>
      </c>
      <c r="J990" s="379" t="s">
        <v>289</v>
      </c>
      <c r="K990" s="407"/>
      <c r="L990" s="378" t="s">
        <v>289</v>
      </c>
      <c r="M990" s="378" t="s">
        <v>289</v>
      </c>
      <c r="N990" s="378" t="s">
        <v>289</v>
      </c>
      <c r="O990" s="409"/>
      <c r="P990" s="387" t="s">
        <v>289</v>
      </c>
      <c r="Q990" s="383"/>
      <c r="R990" s="383"/>
      <c r="S990" s="383"/>
      <c r="T990" s="410"/>
      <c r="U990" s="406"/>
      <c r="V990" s="386"/>
      <c r="W990" s="387" t="s">
        <v>289</v>
      </c>
      <c r="X990" s="378" t="s">
        <v>289</v>
      </c>
      <c r="Y990" s="387" t="s">
        <v>289</v>
      </c>
      <c r="Z990" s="391" t="s">
        <v>289</v>
      </c>
      <c r="AA990" s="391" t="s">
        <v>289</v>
      </c>
      <c r="AB990" s="391" t="s">
        <v>289</v>
      </c>
      <c r="AC990" s="391" t="s">
        <v>289</v>
      </c>
      <c r="AD990" s="395" t="s">
        <v>289</v>
      </c>
      <c r="AE990" s="395"/>
      <c r="AF990" s="395"/>
      <c r="AG990" s="395"/>
      <c r="AH990" s="395"/>
    </row>
    <row r="991" ht="30.75" customHeight="1">
      <c r="A991" s="373" t="str">
        <f t="shared" si="1"/>
        <v/>
      </c>
      <c r="B991" s="421" t="s">
        <v>289</v>
      </c>
      <c r="C991" s="406"/>
      <c r="D991" s="406"/>
      <c r="E991" s="406"/>
      <c r="F991" s="395" t="s">
        <v>289</v>
      </c>
      <c r="G991" s="406"/>
      <c r="H991" s="406"/>
      <c r="I991" s="378" t="s">
        <v>289</v>
      </c>
      <c r="J991" s="379" t="s">
        <v>289</v>
      </c>
      <c r="K991" s="407"/>
      <c r="L991" s="378" t="s">
        <v>289</v>
      </c>
      <c r="M991" s="378" t="s">
        <v>289</v>
      </c>
      <c r="N991" s="378" t="s">
        <v>289</v>
      </c>
      <c r="O991" s="409"/>
      <c r="P991" s="387" t="s">
        <v>289</v>
      </c>
      <c r="Q991" s="383"/>
      <c r="R991" s="383"/>
      <c r="S991" s="383"/>
      <c r="T991" s="410"/>
      <c r="U991" s="406"/>
      <c r="V991" s="386"/>
      <c r="W991" s="387" t="s">
        <v>289</v>
      </c>
      <c r="X991" s="378" t="s">
        <v>289</v>
      </c>
      <c r="Y991" s="387" t="s">
        <v>289</v>
      </c>
      <c r="Z991" s="391" t="s">
        <v>289</v>
      </c>
      <c r="AA991" s="391" t="s">
        <v>289</v>
      </c>
      <c r="AB991" s="391" t="s">
        <v>289</v>
      </c>
      <c r="AC991" s="391" t="s">
        <v>289</v>
      </c>
      <c r="AD991" s="395" t="s">
        <v>289</v>
      </c>
      <c r="AE991" s="395"/>
      <c r="AF991" s="395"/>
      <c r="AG991" s="395"/>
      <c r="AH991" s="395"/>
    </row>
    <row r="992" ht="30.75" customHeight="1">
      <c r="A992" s="373" t="str">
        <f t="shared" si="1"/>
        <v/>
      </c>
      <c r="B992" s="421" t="s">
        <v>289</v>
      </c>
      <c r="C992" s="406"/>
      <c r="D992" s="406"/>
      <c r="E992" s="406"/>
      <c r="F992" s="395" t="s">
        <v>289</v>
      </c>
      <c r="G992" s="406"/>
      <c r="H992" s="406"/>
      <c r="I992" s="378" t="s">
        <v>289</v>
      </c>
      <c r="J992" s="379" t="s">
        <v>289</v>
      </c>
      <c r="K992" s="407"/>
      <c r="L992" s="378" t="s">
        <v>289</v>
      </c>
      <c r="M992" s="378" t="s">
        <v>289</v>
      </c>
      <c r="N992" s="378" t="s">
        <v>289</v>
      </c>
      <c r="O992" s="409"/>
      <c r="P992" s="387" t="s">
        <v>289</v>
      </c>
      <c r="Q992" s="383"/>
      <c r="R992" s="383"/>
      <c r="S992" s="383"/>
      <c r="T992" s="410"/>
      <c r="U992" s="406"/>
      <c r="V992" s="386"/>
      <c r="W992" s="387" t="s">
        <v>289</v>
      </c>
      <c r="X992" s="378" t="s">
        <v>289</v>
      </c>
      <c r="Y992" s="387" t="s">
        <v>289</v>
      </c>
      <c r="Z992" s="391" t="s">
        <v>289</v>
      </c>
      <c r="AA992" s="391" t="s">
        <v>289</v>
      </c>
      <c r="AB992" s="391" t="s">
        <v>289</v>
      </c>
      <c r="AC992" s="391" t="s">
        <v>289</v>
      </c>
      <c r="AD992" s="395" t="s">
        <v>289</v>
      </c>
      <c r="AE992" s="395"/>
      <c r="AF992" s="395"/>
      <c r="AG992" s="395"/>
      <c r="AH992" s="395"/>
    </row>
    <row r="993" ht="30.75" customHeight="1">
      <c r="A993" s="373" t="str">
        <f t="shared" si="1"/>
        <v/>
      </c>
      <c r="B993" s="421" t="s">
        <v>289</v>
      </c>
      <c r="C993" s="406"/>
      <c r="D993" s="406"/>
      <c r="E993" s="406"/>
      <c r="F993" s="395" t="s">
        <v>289</v>
      </c>
      <c r="G993" s="406"/>
      <c r="H993" s="406"/>
      <c r="I993" s="378" t="s">
        <v>289</v>
      </c>
      <c r="J993" s="379" t="s">
        <v>289</v>
      </c>
      <c r="K993" s="407"/>
      <c r="L993" s="378" t="s">
        <v>289</v>
      </c>
      <c r="M993" s="378" t="s">
        <v>289</v>
      </c>
      <c r="N993" s="378" t="s">
        <v>289</v>
      </c>
      <c r="O993" s="409"/>
      <c r="P993" s="387" t="s">
        <v>289</v>
      </c>
      <c r="Q993" s="383"/>
      <c r="R993" s="383"/>
      <c r="S993" s="383"/>
      <c r="T993" s="410"/>
      <c r="U993" s="406"/>
      <c r="V993" s="386"/>
      <c r="W993" s="387" t="s">
        <v>289</v>
      </c>
      <c r="X993" s="378" t="s">
        <v>289</v>
      </c>
      <c r="Y993" s="387" t="s">
        <v>289</v>
      </c>
      <c r="Z993" s="391" t="s">
        <v>289</v>
      </c>
      <c r="AA993" s="391" t="s">
        <v>289</v>
      </c>
      <c r="AB993" s="391" t="s">
        <v>289</v>
      </c>
      <c r="AC993" s="391" t="s">
        <v>289</v>
      </c>
      <c r="AD993" s="395" t="s">
        <v>289</v>
      </c>
      <c r="AE993" s="395"/>
      <c r="AF993" s="395"/>
      <c r="AG993" s="395"/>
      <c r="AH993" s="395"/>
    </row>
    <row r="994" ht="30.75" customHeight="1">
      <c r="A994" s="373" t="str">
        <f t="shared" si="1"/>
        <v/>
      </c>
      <c r="B994" s="421" t="s">
        <v>289</v>
      </c>
      <c r="C994" s="406"/>
      <c r="D994" s="406"/>
      <c r="E994" s="406"/>
      <c r="F994" s="395" t="s">
        <v>289</v>
      </c>
      <c r="G994" s="406"/>
      <c r="H994" s="406"/>
      <c r="I994" s="378" t="s">
        <v>289</v>
      </c>
      <c r="J994" s="379" t="s">
        <v>289</v>
      </c>
      <c r="K994" s="407"/>
      <c r="L994" s="378" t="s">
        <v>289</v>
      </c>
      <c r="M994" s="378" t="s">
        <v>289</v>
      </c>
      <c r="N994" s="378" t="s">
        <v>289</v>
      </c>
      <c r="O994" s="409"/>
      <c r="P994" s="387" t="s">
        <v>289</v>
      </c>
      <c r="Q994" s="383"/>
      <c r="R994" s="383"/>
      <c r="S994" s="383"/>
      <c r="T994" s="410"/>
      <c r="U994" s="406"/>
      <c r="V994" s="386"/>
      <c r="W994" s="387" t="s">
        <v>289</v>
      </c>
      <c r="X994" s="378" t="s">
        <v>289</v>
      </c>
      <c r="Y994" s="387" t="s">
        <v>289</v>
      </c>
      <c r="Z994" s="391" t="s">
        <v>289</v>
      </c>
      <c r="AA994" s="391" t="s">
        <v>289</v>
      </c>
      <c r="AB994" s="391" t="s">
        <v>289</v>
      </c>
      <c r="AC994" s="391" t="s">
        <v>289</v>
      </c>
      <c r="AD994" s="395" t="s">
        <v>289</v>
      </c>
      <c r="AE994" s="395"/>
      <c r="AF994" s="395"/>
      <c r="AG994" s="395"/>
      <c r="AH994" s="395"/>
    </row>
    <row r="995" ht="30.75" customHeight="1">
      <c r="A995" s="373" t="str">
        <f t="shared" si="1"/>
        <v/>
      </c>
      <c r="B995" s="421" t="s">
        <v>289</v>
      </c>
      <c r="C995" s="406"/>
      <c r="D995" s="406"/>
      <c r="E995" s="406"/>
      <c r="F995" s="395" t="s">
        <v>289</v>
      </c>
      <c r="G995" s="406"/>
      <c r="H995" s="406"/>
      <c r="I995" s="378" t="s">
        <v>289</v>
      </c>
      <c r="J995" s="379" t="s">
        <v>289</v>
      </c>
      <c r="K995" s="407"/>
      <c r="L995" s="378" t="s">
        <v>289</v>
      </c>
      <c r="M995" s="378" t="s">
        <v>289</v>
      </c>
      <c r="N995" s="378" t="s">
        <v>289</v>
      </c>
      <c r="O995" s="409"/>
      <c r="P995" s="387" t="s">
        <v>289</v>
      </c>
      <c r="Q995" s="383"/>
      <c r="R995" s="383"/>
      <c r="S995" s="383"/>
      <c r="T995" s="410"/>
      <c r="U995" s="406"/>
      <c r="V995" s="386"/>
      <c r="W995" s="387" t="s">
        <v>289</v>
      </c>
      <c r="X995" s="378" t="s">
        <v>289</v>
      </c>
      <c r="Y995" s="387" t="s">
        <v>289</v>
      </c>
      <c r="Z995" s="391" t="s">
        <v>289</v>
      </c>
      <c r="AA995" s="391" t="s">
        <v>289</v>
      </c>
      <c r="AB995" s="391" t="s">
        <v>289</v>
      </c>
      <c r="AC995" s="391" t="s">
        <v>289</v>
      </c>
      <c r="AD995" s="395" t="s">
        <v>289</v>
      </c>
      <c r="AE995" s="395"/>
      <c r="AF995" s="395"/>
      <c r="AG995" s="395"/>
      <c r="AH995" s="395"/>
    </row>
    <row r="996" ht="30.75" customHeight="1">
      <c r="A996" s="373" t="str">
        <f t="shared" si="1"/>
        <v/>
      </c>
      <c r="B996" s="421" t="s">
        <v>289</v>
      </c>
      <c r="C996" s="406"/>
      <c r="D996" s="406"/>
      <c r="E996" s="406"/>
      <c r="F996" s="395" t="s">
        <v>289</v>
      </c>
      <c r="G996" s="406"/>
      <c r="H996" s="406"/>
      <c r="I996" s="378" t="s">
        <v>289</v>
      </c>
      <c r="J996" s="379" t="s">
        <v>289</v>
      </c>
      <c r="K996" s="407"/>
      <c r="L996" s="378" t="s">
        <v>289</v>
      </c>
      <c r="M996" s="378" t="s">
        <v>289</v>
      </c>
      <c r="N996" s="378" t="s">
        <v>289</v>
      </c>
      <c r="O996" s="409"/>
      <c r="P996" s="387" t="s">
        <v>289</v>
      </c>
      <c r="Q996" s="383"/>
      <c r="R996" s="383"/>
      <c r="S996" s="383"/>
      <c r="T996" s="410"/>
      <c r="U996" s="406"/>
      <c r="V996" s="386"/>
      <c r="W996" s="387" t="s">
        <v>289</v>
      </c>
      <c r="X996" s="378" t="s">
        <v>289</v>
      </c>
      <c r="Y996" s="387" t="s">
        <v>289</v>
      </c>
      <c r="Z996" s="391" t="s">
        <v>289</v>
      </c>
      <c r="AA996" s="391" t="s">
        <v>289</v>
      </c>
      <c r="AB996" s="391" t="s">
        <v>289</v>
      </c>
      <c r="AC996" s="391" t="s">
        <v>289</v>
      </c>
      <c r="AD996" s="395" t="s">
        <v>289</v>
      </c>
      <c r="AE996" s="395"/>
      <c r="AF996" s="395"/>
      <c r="AG996" s="395"/>
      <c r="AH996" s="395"/>
    </row>
    <row r="997" ht="30.75" customHeight="1">
      <c r="A997" s="373" t="str">
        <f t="shared" si="1"/>
        <v/>
      </c>
      <c r="B997" s="421" t="s">
        <v>289</v>
      </c>
      <c r="C997" s="406"/>
      <c r="D997" s="406"/>
      <c r="E997" s="406"/>
      <c r="F997" s="395" t="s">
        <v>289</v>
      </c>
      <c r="G997" s="406"/>
      <c r="H997" s="406"/>
      <c r="I997" s="378" t="s">
        <v>289</v>
      </c>
      <c r="J997" s="379" t="s">
        <v>289</v>
      </c>
      <c r="K997" s="407"/>
      <c r="L997" s="378" t="s">
        <v>289</v>
      </c>
      <c r="M997" s="378" t="s">
        <v>289</v>
      </c>
      <c r="N997" s="378" t="s">
        <v>289</v>
      </c>
      <c r="O997" s="409"/>
      <c r="P997" s="387" t="s">
        <v>289</v>
      </c>
      <c r="Q997" s="383"/>
      <c r="R997" s="383"/>
      <c r="S997" s="383"/>
      <c r="T997" s="410"/>
      <c r="U997" s="406"/>
      <c r="V997" s="386"/>
      <c r="W997" s="387" t="s">
        <v>289</v>
      </c>
      <c r="X997" s="378" t="s">
        <v>289</v>
      </c>
      <c r="Y997" s="387" t="s">
        <v>289</v>
      </c>
      <c r="Z997" s="391" t="s">
        <v>289</v>
      </c>
      <c r="AA997" s="391" t="s">
        <v>289</v>
      </c>
      <c r="AB997" s="391" t="s">
        <v>289</v>
      </c>
      <c r="AC997" s="391" t="s">
        <v>289</v>
      </c>
      <c r="AD997" s="395" t="s">
        <v>289</v>
      </c>
      <c r="AE997" s="395"/>
      <c r="AF997" s="395"/>
      <c r="AG997" s="395"/>
      <c r="AH997" s="395"/>
    </row>
    <row r="998" ht="30.75" customHeight="1">
      <c r="A998" s="373" t="str">
        <f t="shared" si="1"/>
        <v/>
      </c>
      <c r="B998" s="421" t="s">
        <v>289</v>
      </c>
      <c r="C998" s="406"/>
      <c r="D998" s="406"/>
      <c r="E998" s="406"/>
      <c r="F998" s="395" t="s">
        <v>289</v>
      </c>
      <c r="G998" s="406"/>
      <c r="H998" s="406"/>
      <c r="I998" s="378" t="s">
        <v>289</v>
      </c>
      <c r="J998" s="379" t="s">
        <v>289</v>
      </c>
      <c r="K998" s="407"/>
      <c r="L998" s="378" t="s">
        <v>289</v>
      </c>
      <c r="M998" s="378" t="s">
        <v>289</v>
      </c>
      <c r="N998" s="378" t="s">
        <v>289</v>
      </c>
      <c r="O998" s="409"/>
      <c r="P998" s="387" t="s">
        <v>289</v>
      </c>
      <c r="Q998" s="383"/>
      <c r="R998" s="383"/>
      <c r="S998" s="383"/>
      <c r="T998" s="410"/>
      <c r="U998" s="406"/>
      <c r="V998" s="386"/>
      <c r="W998" s="387" t="s">
        <v>289</v>
      </c>
      <c r="X998" s="378" t="s">
        <v>289</v>
      </c>
      <c r="Y998" s="387" t="s">
        <v>289</v>
      </c>
      <c r="Z998" s="391" t="s">
        <v>289</v>
      </c>
      <c r="AA998" s="391" t="s">
        <v>289</v>
      </c>
      <c r="AB998" s="391" t="s">
        <v>289</v>
      </c>
      <c r="AC998" s="391" t="s">
        <v>289</v>
      </c>
      <c r="AD998" s="395" t="s">
        <v>289</v>
      </c>
      <c r="AE998" s="395"/>
      <c r="AF998" s="395"/>
      <c r="AG998" s="395"/>
      <c r="AH998" s="395"/>
    </row>
    <row r="999" ht="30.75" customHeight="1">
      <c r="A999" s="373" t="str">
        <f t="shared" si="1"/>
        <v/>
      </c>
      <c r="B999" s="421" t="s">
        <v>289</v>
      </c>
      <c r="C999" s="406"/>
      <c r="D999" s="406"/>
      <c r="E999" s="406"/>
      <c r="F999" s="395" t="s">
        <v>289</v>
      </c>
      <c r="G999" s="406"/>
      <c r="H999" s="406"/>
      <c r="I999" s="378" t="s">
        <v>289</v>
      </c>
      <c r="J999" s="379" t="s">
        <v>289</v>
      </c>
      <c r="K999" s="407"/>
      <c r="L999" s="378" t="s">
        <v>289</v>
      </c>
      <c r="M999" s="378" t="s">
        <v>289</v>
      </c>
      <c r="N999" s="378" t="s">
        <v>289</v>
      </c>
      <c r="O999" s="409"/>
      <c r="P999" s="387" t="s">
        <v>289</v>
      </c>
      <c r="Q999" s="383"/>
      <c r="R999" s="383"/>
      <c r="S999" s="383"/>
      <c r="T999" s="410"/>
      <c r="U999" s="406"/>
      <c r="V999" s="386"/>
      <c r="W999" s="387" t="s">
        <v>289</v>
      </c>
      <c r="X999" s="378" t="s">
        <v>289</v>
      </c>
      <c r="Y999" s="387" t="s">
        <v>289</v>
      </c>
      <c r="Z999" s="391" t="s">
        <v>289</v>
      </c>
      <c r="AA999" s="391" t="s">
        <v>289</v>
      </c>
      <c r="AB999" s="391" t="s">
        <v>289</v>
      </c>
      <c r="AC999" s="391" t="s">
        <v>289</v>
      </c>
      <c r="AD999" s="395" t="s">
        <v>289</v>
      </c>
      <c r="AE999" s="395"/>
      <c r="AF999" s="395"/>
      <c r="AG999" s="395"/>
      <c r="AH999" s="395"/>
    </row>
    <row r="1000" ht="30.75" customHeight="1">
      <c r="A1000" s="373" t="str">
        <f t="shared" si="1"/>
        <v/>
      </c>
      <c r="B1000" s="421" t="s">
        <v>289</v>
      </c>
      <c r="C1000" s="406"/>
      <c r="D1000" s="406"/>
      <c r="E1000" s="406"/>
      <c r="F1000" s="395" t="s">
        <v>289</v>
      </c>
      <c r="G1000" s="406"/>
      <c r="H1000" s="406"/>
      <c r="I1000" s="378" t="s">
        <v>289</v>
      </c>
      <c r="J1000" s="379" t="s">
        <v>289</v>
      </c>
      <c r="K1000" s="407"/>
      <c r="L1000" s="378" t="s">
        <v>289</v>
      </c>
      <c r="M1000" s="378" t="s">
        <v>289</v>
      </c>
      <c r="N1000" s="378" t="s">
        <v>289</v>
      </c>
      <c r="O1000" s="409"/>
      <c r="P1000" s="387" t="s">
        <v>289</v>
      </c>
      <c r="Q1000" s="383"/>
      <c r="R1000" s="383"/>
      <c r="S1000" s="383"/>
      <c r="T1000" s="410"/>
      <c r="U1000" s="406"/>
      <c r="V1000" s="386"/>
      <c r="W1000" s="387" t="s">
        <v>289</v>
      </c>
      <c r="X1000" s="378" t="s">
        <v>289</v>
      </c>
      <c r="Y1000" s="387" t="s">
        <v>289</v>
      </c>
      <c r="Z1000" s="391" t="s">
        <v>289</v>
      </c>
      <c r="AA1000" s="391" t="s">
        <v>289</v>
      </c>
      <c r="AB1000" s="391" t="s">
        <v>289</v>
      </c>
      <c r="AC1000" s="391" t="s">
        <v>289</v>
      </c>
      <c r="AD1000" s="395" t="s">
        <v>289</v>
      </c>
      <c r="AE1000" s="395"/>
      <c r="AF1000" s="395"/>
      <c r="AG1000" s="395"/>
      <c r="AH1000" s="39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71"/>
    <col customWidth="1" min="2" max="2" width="9.43"/>
    <col customWidth="1" min="3" max="3" width="11.71"/>
    <col customWidth="1" min="4" max="4" width="12.86"/>
    <col customWidth="1" min="5" max="5" width="12.29"/>
    <col customWidth="1" min="6" max="6" width="13.43"/>
    <col customWidth="1" min="7" max="8" width="13.57"/>
    <col customWidth="1" min="9" max="9" width="19.0"/>
    <col customWidth="1" min="10" max="10" width="15.14"/>
    <col customWidth="1" min="11" max="11" width="14.71"/>
    <col customWidth="1" min="12" max="12" width="118.43"/>
    <col customWidth="1" min="13" max="57" width="16.71"/>
  </cols>
  <sheetData>
    <row r="1" ht="44.25" customHeight="1">
      <c r="A1" s="426" t="s">
        <v>207</v>
      </c>
      <c r="B1" s="427" t="s">
        <v>302</v>
      </c>
      <c r="C1" s="427" t="s">
        <v>303</v>
      </c>
      <c r="D1" s="427" t="s">
        <v>304</v>
      </c>
      <c r="E1" s="427" t="s">
        <v>306</v>
      </c>
      <c r="F1" s="427" t="s">
        <v>307</v>
      </c>
      <c r="G1" s="428" t="s">
        <v>308</v>
      </c>
      <c r="H1" s="428" t="s">
        <v>309</v>
      </c>
      <c r="I1" s="427" t="s">
        <v>311</v>
      </c>
      <c r="J1" s="429" t="s">
        <v>312</v>
      </c>
      <c r="K1" s="429" t="s">
        <v>313</v>
      </c>
      <c r="L1" s="429" t="s">
        <v>314</v>
      </c>
      <c r="M1" s="430" t="str">
        <f>IFERROR(__xludf.DUMMYFUNCTION("TRANSPOSE(IMPORTRANGE(""https://docs.google.com/spreadsheets/d/1CNeKSHTeNNJnfn5EymHwGg5Mkuk6EcepW7_9QkJxalc/edit#gid=1218471306"",""ENERO 2024!E2:AJ21""))"),"PERSONAL ASIGNADO")</f>
        <v>PERSONAL ASIGNADO</v>
      </c>
      <c r="N1" s="430" t="str">
        <f>IFERROR(__xludf.DUMMYFUNCTION("""COMPUTED_VALUE"""),"PERSONAL CONTRATADO")</f>
        <v>PERSONAL CONTRATADO</v>
      </c>
      <c r="O1" s="430" t="str">
        <f>IFERROR(__xludf.DUMMYFUNCTION("""COMPUTED_VALUE"""),"COMPENSATORIO")</f>
        <v>COMPENSATORIO</v>
      </c>
      <c r="P1" s="430" t="str">
        <f>IFERROR(__xludf.DUMMYFUNCTION("""COMPUTED_VALUE"""),"PERMISO")</f>
        <v>PERMISO</v>
      </c>
      <c r="Q1" s="430" t="str">
        <f>IFERROR(__xludf.DUMMYFUNCTION("""COMPUTED_VALUE"""),"AUSENTISMO")</f>
        <v>AUSENTISMO</v>
      </c>
      <c r="R1" s="430" t="str">
        <f>IFERROR(__xludf.DUMMYFUNCTION("""COMPUTED_VALUE"""),"RENUNCIA")</f>
        <v>RENUNCIA</v>
      </c>
      <c r="S1" s="430" t="str">
        <f>IFERROR(__xludf.DUMMYFUNCTION("""COMPUTED_VALUE"""),"INCAPACIDAD")</f>
        <v>INCAPACIDAD</v>
      </c>
      <c r="T1" s="430" t="str">
        <f>IFERROR(__xludf.DUMMYFUNCTION("""COMPUTED_VALUE"""),"CALAMIDAD")</f>
        <v>CALAMIDAD</v>
      </c>
      <c r="U1" s="430" t="str">
        <f>IFERROR(__xludf.DUMMYFUNCTION("""COMPUTED_VALUE"""),"PDTE POR CONTRATAR")</f>
        <v>PDTE POR CONTRATAR</v>
      </c>
      <c r="V1" s="430" t="str">
        <f>IFERROR(__xludf.DUMMYFUNCTION("""COMPUTED_VALUE"""),"VACACIONES")</f>
        <v>VACACIONES</v>
      </c>
      <c r="W1" s="430" t="str">
        <f>IFERROR(__xludf.DUMMYFUNCTION("""COMPUTED_VALUE"""),"SUSPENSION")</f>
        <v>SUSPENSION</v>
      </c>
      <c r="X1" s="430" t="str">
        <f>IFERROR(__xludf.DUMMYFUNCTION("""COMPUTED_VALUE"""),"REUBICADO")</f>
        <v>REUBICADO</v>
      </c>
      <c r="Y1" s="430" t="str">
        <f>IFERROR(__xludf.DUMMYFUNCTION("""COMPUTED_VALUE"""),"LICENCIA")</f>
        <v>LICENCIA</v>
      </c>
      <c r="Z1" s="430" t="str">
        <f>IFERROR(__xludf.DUMMYFUNCTION("""COMPUTED_VALUE"""),"AMORTIZAR EXTRAS")</f>
        <v>AMORTIZAR EXTRAS</v>
      </c>
      <c r="AA1" s="430" t="str">
        <f>IFERROR(__xludf.DUMMYFUNCTION("""COMPUTED_VALUE"""),"DIA DE CERO ACCIDENTE")</f>
        <v>DIA DE CERO ACCIDENTE</v>
      </c>
      <c r="AB1" s="430" t="str">
        <f>IFERROR(__xludf.DUMMYFUNCTION("""COMPUTED_VALUE"""),"INDUCCION")</f>
        <v>INDUCCION</v>
      </c>
      <c r="AC1" s="430" t="str">
        <f>IFERROR(__xludf.DUMMYFUNCTION("""COMPUTED_VALUE"""),"DIA DE LA FAMILIA")</f>
        <v>DIA DE LA FAMILIA</v>
      </c>
      <c r="AD1" s="430" t="str">
        <f>IFERROR(__xludf.DUMMYFUNCTION("""COMPUTED_VALUE"""),"PERSONAL PRESENTE")</f>
        <v>PERSONAL PRESENTE</v>
      </c>
      <c r="AE1" s="430" t="str">
        <f>IFERROR(__xludf.DUMMYFUNCTION("""COMPUTED_VALUE"""),"PERSONAL AUSENTE")</f>
        <v>PERSONAL AUSENTE</v>
      </c>
      <c r="AF1" s="430" t="str">
        <f>IFERROR(__xludf.DUMMYFUNCTION("""COMPUTED_VALUE"""),"PENDIENTES POR CONTRATAR")</f>
        <v>PENDIENTES POR CONTRATAR</v>
      </c>
      <c r="AG1" s="429" t="s">
        <v>74</v>
      </c>
      <c r="AH1" s="429" t="s">
        <v>233</v>
      </c>
      <c r="AI1" s="431" t="s">
        <v>321</v>
      </c>
      <c r="AJ1" s="431" t="s">
        <v>322</v>
      </c>
      <c r="AK1" s="431"/>
      <c r="AL1" s="431"/>
      <c r="AM1" s="431"/>
      <c r="AN1" s="432"/>
      <c r="AO1" s="432"/>
      <c r="AP1" s="432"/>
      <c r="AQ1" s="432"/>
      <c r="AR1" s="432"/>
      <c r="AS1" s="432"/>
      <c r="AT1" s="432"/>
      <c r="AU1" s="432"/>
      <c r="AV1" s="432"/>
      <c r="AW1" s="432"/>
      <c r="AX1" s="432"/>
      <c r="AY1" s="432"/>
      <c r="AZ1" s="432"/>
      <c r="BA1" s="432"/>
      <c r="BB1" s="432"/>
      <c r="BC1" s="432"/>
      <c r="BD1" s="432"/>
      <c r="BE1" s="432"/>
    </row>
    <row r="2" hidden="1">
      <c r="A2" s="433">
        <v>45292.0</v>
      </c>
      <c r="B2" s="434">
        <v>0.0</v>
      </c>
      <c r="C2" s="435"/>
      <c r="D2" s="435"/>
      <c r="E2" s="436" t="str">
        <f t="array" ref="E2">IF(B2=0,"",(J2+K2)/60)</f>
        <v/>
      </c>
      <c r="F2" s="437" t="str">
        <f t="shared" ref="F2:F1366" si="1">IF(B2=0,"",HOUR(D2-C2)+(MINUTE(D2-C2)/60))</f>
        <v/>
      </c>
      <c r="G2" s="438" t="str">
        <f t="shared" ref="G2:G246" si="2">IF(B2=0,"",B2/F2)</f>
        <v/>
      </c>
      <c r="H2" s="438" t="str">
        <f t="shared" ref="H2:H1366" si="3">IF(B2=0,"",B2/(F2-E2))</f>
        <v/>
      </c>
      <c r="I2" s="436" t="str">
        <f t="shared" ref="I2:I217" si="4">IF(B2=0,"",B2/F2/AD2)</f>
        <v/>
      </c>
      <c r="J2" s="439"/>
      <c r="K2" s="440"/>
      <c r="L2" s="441"/>
      <c r="M2" s="442">
        <f>IFERROR(__xludf.DUMMYFUNCTION("""COMPUTED_VALUE"""),57.0)</f>
        <v>57</v>
      </c>
      <c r="N2" s="442">
        <f>IFERROR(__xludf.DUMMYFUNCTION("""COMPUTED_VALUE"""),49.0)</f>
        <v>49</v>
      </c>
      <c r="O2" s="442">
        <f>IFERROR(__xludf.DUMMYFUNCTION("""COMPUTED_VALUE"""),0.0)</f>
        <v>0</v>
      </c>
      <c r="P2" s="442">
        <f>IFERROR(__xludf.DUMMYFUNCTION("""COMPUTED_VALUE"""),0.0)</f>
        <v>0</v>
      </c>
      <c r="Q2" s="442">
        <f>IFERROR(__xludf.DUMMYFUNCTION("""COMPUTED_VALUE"""),0.0)</f>
        <v>0</v>
      </c>
      <c r="R2" s="442">
        <f>IFERROR(__xludf.DUMMYFUNCTION("""COMPUTED_VALUE"""),0.0)</f>
        <v>0</v>
      </c>
      <c r="S2" s="442">
        <f>IFERROR(__xludf.DUMMYFUNCTION("""COMPUTED_VALUE"""),0.0)</f>
        <v>0</v>
      </c>
      <c r="T2" s="442">
        <f>IFERROR(__xludf.DUMMYFUNCTION("""COMPUTED_VALUE"""),0.0)</f>
        <v>0</v>
      </c>
      <c r="U2" s="442">
        <f>IFERROR(__xludf.DUMMYFUNCTION("""COMPUTED_VALUE"""),6.0)</f>
        <v>6</v>
      </c>
      <c r="V2" s="442">
        <f>IFERROR(__xludf.DUMMYFUNCTION("""COMPUTED_VALUE"""),0.0)</f>
        <v>0</v>
      </c>
      <c r="W2" s="442">
        <f>IFERROR(__xludf.DUMMYFUNCTION("""COMPUTED_VALUE"""),0.0)</f>
        <v>0</v>
      </c>
      <c r="X2" s="442">
        <f>IFERROR(__xludf.DUMMYFUNCTION("""COMPUTED_VALUE"""),0.0)</f>
        <v>0</v>
      </c>
      <c r="Y2" s="442">
        <f>IFERROR(__xludf.DUMMYFUNCTION("""COMPUTED_VALUE"""),0.0)</f>
        <v>0</v>
      </c>
      <c r="Z2" s="442">
        <f>IFERROR(__xludf.DUMMYFUNCTION("""COMPUTED_VALUE"""),0.0)</f>
        <v>0</v>
      </c>
      <c r="AA2" s="442">
        <f>IFERROR(__xludf.DUMMYFUNCTION("""COMPUTED_VALUE"""),0.0)</f>
        <v>0</v>
      </c>
      <c r="AB2" s="442">
        <f>IFERROR(__xludf.DUMMYFUNCTION("""COMPUTED_VALUE"""),0.0)</f>
        <v>0</v>
      </c>
      <c r="AC2" s="442">
        <f>IFERROR(__xludf.DUMMYFUNCTION("""COMPUTED_VALUE"""),0.0)</f>
        <v>0</v>
      </c>
      <c r="AD2" s="442">
        <f>IFERROR(__xludf.DUMMYFUNCTION("""COMPUTED_VALUE"""),0.0)</f>
        <v>0</v>
      </c>
      <c r="AE2" s="442">
        <f>IFERROR(__xludf.DUMMYFUNCTION("""COMPUTED_VALUE"""),8.0)</f>
        <v>8</v>
      </c>
      <c r="AF2" s="442">
        <f>IFERROR(__xludf.DUMMYFUNCTION("""COMPUTED_VALUE"""),8.0)</f>
        <v>8</v>
      </c>
      <c r="AG2" s="443" t="str">
        <f t="array" ref="AG2:AG1366">UPPER(TEXT(A2:A1366,"MMMM"))</f>
        <v>ENERO</v>
      </c>
      <c r="AH2" s="443" t="str">
        <f t="array" ref="AH2:AH1366">UPPER(TEXT(A2:A1366,"YYY"))</f>
        <v>2024</v>
      </c>
      <c r="AI2" s="444"/>
      <c r="AJ2" s="444"/>
      <c r="AK2" s="444"/>
      <c r="AL2" s="444"/>
      <c r="AM2" s="444"/>
      <c r="AN2" s="444"/>
      <c r="AO2" s="444"/>
      <c r="AP2" s="444"/>
      <c r="AQ2" s="444"/>
      <c r="AR2" s="444"/>
      <c r="AS2" s="444"/>
      <c r="AT2" s="444"/>
      <c r="AU2" s="444"/>
      <c r="AV2" s="444"/>
      <c r="AW2" s="444"/>
      <c r="AX2" s="444"/>
      <c r="AY2" s="444"/>
      <c r="AZ2" s="444"/>
      <c r="BA2" s="444"/>
      <c r="BB2" s="444"/>
      <c r="BC2" s="444"/>
      <c r="BD2" s="444"/>
      <c r="BE2" s="444"/>
    </row>
    <row r="3" hidden="1">
      <c r="A3" s="445">
        <f t="shared" ref="A3:A1366" si="5">IF(B3="","",A2+1)</f>
        <v>45293</v>
      </c>
      <c r="B3" s="434">
        <v>309.0</v>
      </c>
      <c r="C3" s="435">
        <v>0.5159722222222223</v>
      </c>
      <c r="D3" s="435">
        <v>0.7569444444444444</v>
      </c>
      <c r="E3" s="436">
        <f t="array" ref="E3">IF(B3=0,"",(J3+K3)/60)</f>
        <v>0.25</v>
      </c>
      <c r="F3" s="437">
        <f t="shared" si="1"/>
        <v>5.783333333</v>
      </c>
      <c r="G3" s="438">
        <f t="shared" si="2"/>
        <v>53.42939481</v>
      </c>
      <c r="H3" s="438">
        <f t="shared" si="3"/>
        <v>55.84337349</v>
      </c>
      <c r="I3" s="436">
        <f t="shared" si="4"/>
        <v>1.369984482</v>
      </c>
      <c r="J3" s="439">
        <v>15.0</v>
      </c>
      <c r="K3" s="446"/>
      <c r="L3" s="441"/>
      <c r="M3" s="447">
        <f>IFERROR(__xludf.DUMMYFUNCTION("""COMPUTED_VALUE"""),57.0)</f>
        <v>57</v>
      </c>
      <c r="N3" s="442">
        <f>IFERROR(__xludf.DUMMYFUNCTION("""COMPUTED_VALUE"""),49.0)</f>
        <v>49</v>
      </c>
      <c r="O3" s="442">
        <f>IFERROR(__xludf.DUMMYFUNCTION("""COMPUTED_VALUE"""),0.0)</f>
        <v>0</v>
      </c>
      <c r="P3" s="442">
        <f>IFERROR(__xludf.DUMMYFUNCTION("""COMPUTED_VALUE"""),0.0)</f>
        <v>0</v>
      </c>
      <c r="Q3" s="442">
        <f>IFERROR(__xludf.DUMMYFUNCTION("""COMPUTED_VALUE"""),3.0)</f>
        <v>3</v>
      </c>
      <c r="R3" s="442">
        <f>IFERROR(__xludf.DUMMYFUNCTION("""COMPUTED_VALUE"""),0.0)</f>
        <v>0</v>
      </c>
      <c r="S3" s="442">
        <f>IFERROR(__xludf.DUMMYFUNCTION("""COMPUTED_VALUE"""),3.0)</f>
        <v>3</v>
      </c>
      <c r="T3" s="442">
        <f>IFERROR(__xludf.DUMMYFUNCTION("""COMPUTED_VALUE"""),0.0)</f>
        <v>0</v>
      </c>
      <c r="U3" s="442">
        <f>IFERROR(__xludf.DUMMYFUNCTION("""COMPUTED_VALUE"""),6.0)</f>
        <v>6</v>
      </c>
      <c r="V3" s="442">
        <f>IFERROR(__xludf.DUMMYFUNCTION("""COMPUTED_VALUE"""),4.0)</f>
        <v>4</v>
      </c>
      <c r="W3" s="442">
        <f>IFERROR(__xludf.DUMMYFUNCTION("""COMPUTED_VALUE"""),0.0)</f>
        <v>0</v>
      </c>
      <c r="X3" s="442">
        <f>IFERROR(__xludf.DUMMYFUNCTION("""COMPUTED_VALUE"""),0.0)</f>
        <v>0</v>
      </c>
      <c r="Y3" s="442">
        <f>IFERROR(__xludf.DUMMYFUNCTION("""COMPUTED_VALUE"""),0.0)</f>
        <v>0</v>
      </c>
      <c r="Z3" s="442">
        <f>IFERROR(__xludf.DUMMYFUNCTION("""COMPUTED_VALUE"""),2.0)</f>
        <v>2</v>
      </c>
      <c r="AA3" s="442">
        <f>IFERROR(__xludf.DUMMYFUNCTION("""COMPUTED_VALUE"""),0.0)</f>
        <v>0</v>
      </c>
      <c r="AB3" s="442">
        <f>IFERROR(__xludf.DUMMYFUNCTION("""COMPUTED_VALUE"""),0.0)</f>
        <v>0</v>
      </c>
      <c r="AC3" s="442">
        <f>IFERROR(__xludf.DUMMYFUNCTION("""COMPUTED_VALUE"""),0.0)</f>
        <v>0</v>
      </c>
      <c r="AD3" s="442">
        <f>IFERROR(__xludf.DUMMYFUNCTION("""COMPUTED_VALUE"""),39.0)</f>
        <v>39</v>
      </c>
      <c r="AE3" s="442">
        <f>IFERROR(__xludf.DUMMYFUNCTION("""COMPUTED_VALUE"""),20.0)</f>
        <v>20</v>
      </c>
      <c r="AF3" s="442">
        <f>IFERROR(__xludf.DUMMYFUNCTION("""COMPUTED_VALUE"""),8.0)</f>
        <v>8</v>
      </c>
      <c r="AG3" s="443" t="s">
        <v>83</v>
      </c>
      <c r="AH3" s="444" t="s">
        <v>343</v>
      </c>
      <c r="AI3" s="444"/>
      <c r="AJ3" s="444"/>
      <c r="AK3" s="444"/>
      <c r="AL3" s="444"/>
      <c r="AM3" s="444"/>
      <c r="AN3" s="444"/>
      <c r="AO3" s="444"/>
      <c r="AP3" s="444"/>
      <c r="AQ3" s="444"/>
      <c r="AR3" s="444"/>
      <c r="AS3" s="444"/>
      <c r="AT3" s="444"/>
      <c r="AU3" s="444"/>
      <c r="AV3" s="444"/>
      <c r="AW3" s="444"/>
      <c r="AX3" s="444"/>
      <c r="AY3" s="444"/>
      <c r="AZ3" s="444"/>
      <c r="BA3" s="444"/>
      <c r="BB3" s="444"/>
      <c r="BC3" s="444"/>
      <c r="BD3" s="444"/>
      <c r="BE3" s="444"/>
    </row>
    <row r="4" hidden="1">
      <c r="A4" s="445">
        <f t="shared" si="5"/>
        <v>45294</v>
      </c>
      <c r="B4" s="434">
        <v>595.0</v>
      </c>
      <c r="C4" s="435">
        <v>0.5583333333333333</v>
      </c>
      <c r="D4" s="435">
        <v>1.0208333333333333</v>
      </c>
      <c r="E4" s="436">
        <f t="array" ref="E4">IF(B4=0,"",(J4+K4)/60)</f>
        <v>1.1</v>
      </c>
      <c r="F4" s="437">
        <f t="shared" si="1"/>
        <v>11.1</v>
      </c>
      <c r="G4" s="438">
        <f t="shared" si="2"/>
        <v>53.6036036</v>
      </c>
      <c r="H4" s="438">
        <f t="shared" si="3"/>
        <v>59.5</v>
      </c>
      <c r="I4" s="436">
        <f t="shared" si="4"/>
        <v>1.276276276</v>
      </c>
      <c r="J4" s="439">
        <v>60.0</v>
      </c>
      <c r="K4" s="446">
        <v>6.0</v>
      </c>
      <c r="L4" s="449"/>
      <c r="M4" s="442">
        <f>IFERROR(__xludf.DUMMYFUNCTION("""COMPUTED_VALUE"""),57.0)</f>
        <v>57</v>
      </c>
      <c r="N4" s="442">
        <f>IFERROR(__xludf.DUMMYFUNCTION("""COMPUTED_VALUE"""),48.0)</f>
        <v>48</v>
      </c>
      <c r="O4" s="442">
        <f>IFERROR(__xludf.DUMMYFUNCTION("""COMPUTED_VALUE"""),0.0)</f>
        <v>0</v>
      </c>
      <c r="P4" s="442">
        <f>IFERROR(__xludf.DUMMYFUNCTION("""COMPUTED_VALUE"""),0.0)</f>
        <v>0</v>
      </c>
      <c r="Q4" s="442">
        <f>IFERROR(__xludf.DUMMYFUNCTION("""COMPUTED_VALUE"""),0.0)</f>
        <v>0</v>
      </c>
      <c r="R4" s="442">
        <f>IFERROR(__xludf.DUMMYFUNCTION("""COMPUTED_VALUE"""),0.0)</f>
        <v>0</v>
      </c>
      <c r="S4" s="442">
        <f>IFERROR(__xludf.DUMMYFUNCTION("""COMPUTED_VALUE"""),4.0)</f>
        <v>4</v>
      </c>
      <c r="T4" s="442">
        <f>IFERROR(__xludf.DUMMYFUNCTION("""COMPUTED_VALUE"""),0.0)</f>
        <v>0</v>
      </c>
      <c r="U4" s="442">
        <f>IFERROR(__xludf.DUMMYFUNCTION("""COMPUTED_VALUE"""),7.0)</f>
        <v>7</v>
      </c>
      <c r="V4" s="442">
        <f>IFERROR(__xludf.DUMMYFUNCTION("""COMPUTED_VALUE"""),4.0)</f>
        <v>4</v>
      </c>
      <c r="W4" s="442">
        <f>IFERROR(__xludf.DUMMYFUNCTION("""COMPUTED_VALUE"""),0.0)</f>
        <v>0</v>
      </c>
      <c r="X4" s="442">
        <f>IFERROR(__xludf.DUMMYFUNCTION("""COMPUTED_VALUE"""),0.0)</f>
        <v>0</v>
      </c>
      <c r="Y4" s="442">
        <f>IFERROR(__xludf.DUMMYFUNCTION("""COMPUTED_VALUE"""),0.0)</f>
        <v>0</v>
      </c>
      <c r="Z4" s="442">
        <f>IFERROR(__xludf.DUMMYFUNCTION("""COMPUTED_VALUE"""),0.0)</f>
        <v>0</v>
      </c>
      <c r="AA4" s="442">
        <f>IFERROR(__xludf.DUMMYFUNCTION("""COMPUTED_VALUE"""),0.0)</f>
        <v>0</v>
      </c>
      <c r="AB4" s="442">
        <f>IFERROR(__xludf.DUMMYFUNCTION("""COMPUTED_VALUE"""),0.0)</f>
        <v>0</v>
      </c>
      <c r="AC4" s="442">
        <f>IFERROR(__xludf.DUMMYFUNCTION("""COMPUTED_VALUE"""),0.0)</f>
        <v>0</v>
      </c>
      <c r="AD4" s="442">
        <f>IFERROR(__xludf.DUMMYFUNCTION("""COMPUTED_VALUE"""),42.0)</f>
        <v>42</v>
      </c>
      <c r="AE4" s="442">
        <f>IFERROR(__xludf.DUMMYFUNCTION("""COMPUTED_VALUE"""),17.0)</f>
        <v>17</v>
      </c>
      <c r="AF4" s="442">
        <f>IFERROR(__xludf.DUMMYFUNCTION("""COMPUTED_VALUE"""),9.0)</f>
        <v>9</v>
      </c>
      <c r="AG4" s="443" t="s">
        <v>83</v>
      </c>
      <c r="AH4" s="444" t="s">
        <v>343</v>
      </c>
      <c r="AI4" s="444"/>
      <c r="AJ4" s="444"/>
      <c r="AK4" s="444"/>
      <c r="AL4" s="444"/>
      <c r="AM4" s="444"/>
      <c r="AN4" s="444"/>
      <c r="AO4" s="444"/>
      <c r="AP4" s="444"/>
      <c r="AQ4" s="444"/>
      <c r="AR4" s="444"/>
      <c r="AS4" s="444"/>
      <c r="AT4" s="444"/>
      <c r="AU4" s="444"/>
      <c r="AV4" s="444"/>
      <c r="AW4" s="444"/>
      <c r="AX4" s="444"/>
      <c r="AY4" s="444"/>
      <c r="AZ4" s="444"/>
      <c r="BA4" s="444"/>
      <c r="BB4" s="444"/>
      <c r="BC4" s="444"/>
      <c r="BD4" s="444"/>
      <c r="BE4" s="444"/>
    </row>
    <row r="5" hidden="1">
      <c r="A5" s="445">
        <f t="shared" si="5"/>
        <v>45295</v>
      </c>
      <c r="B5" s="434">
        <v>538.0</v>
      </c>
      <c r="C5" s="435">
        <v>0.5166666666666667</v>
      </c>
      <c r="D5" s="435">
        <v>0.9222222222222223</v>
      </c>
      <c r="E5" s="436">
        <f t="array" ref="E5">IF(B5=0,"",(J5+K5)/60)</f>
        <v>1.25</v>
      </c>
      <c r="F5" s="437">
        <f t="shared" si="1"/>
        <v>9.733333333</v>
      </c>
      <c r="G5" s="438">
        <f t="shared" si="2"/>
        <v>55.2739726</v>
      </c>
      <c r="H5" s="438">
        <f t="shared" si="3"/>
        <v>63.41846758</v>
      </c>
      <c r="I5" s="436">
        <f t="shared" si="4"/>
        <v>1.228310502</v>
      </c>
      <c r="J5" s="459">
        <v>15.0</v>
      </c>
      <c r="K5" s="460">
        <v>60.0</v>
      </c>
      <c r="L5" s="443"/>
      <c r="M5" s="442">
        <f>IFERROR(__xludf.DUMMYFUNCTION("""COMPUTED_VALUE"""),57.0)</f>
        <v>57</v>
      </c>
      <c r="N5" s="442">
        <f>IFERROR(__xludf.DUMMYFUNCTION("""COMPUTED_VALUE"""),49.0)</f>
        <v>49</v>
      </c>
      <c r="O5" s="442">
        <f>IFERROR(__xludf.DUMMYFUNCTION("""COMPUTED_VALUE"""),0.0)</f>
        <v>0</v>
      </c>
      <c r="P5" s="442">
        <f>IFERROR(__xludf.DUMMYFUNCTION("""COMPUTED_VALUE"""),0.0)</f>
        <v>0</v>
      </c>
      <c r="Q5" s="442">
        <f>IFERROR(__xludf.DUMMYFUNCTION("""COMPUTED_VALUE"""),0.0)</f>
        <v>0</v>
      </c>
      <c r="R5" s="442">
        <f>IFERROR(__xludf.DUMMYFUNCTION("""COMPUTED_VALUE"""),0.0)</f>
        <v>0</v>
      </c>
      <c r="S5" s="442">
        <f>IFERROR(__xludf.DUMMYFUNCTION("""COMPUTED_VALUE"""),2.0)</f>
        <v>2</v>
      </c>
      <c r="T5" s="442">
        <f>IFERROR(__xludf.DUMMYFUNCTION("""COMPUTED_VALUE"""),0.0)</f>
        <v>0</v>
      </c>
      <c r="U5" s="442">
        <f>IFERROR(__xludf.DUMMYFUNCTION("""COMPUTED_VALUE"""),6.0)</f>
        <v>6</v>
      </c>
      <c r="V5" s="442">
        <f>IFERROR(__xludf.DUMMYFUNCTION("""COMPUTED_VALUE"""),4.0)</f>
        <v>4</v>
      </c>
      <c r="W5" s="442">
        <f>IFERROR(__xludf.DUMMYFUNCTION("""COMPUTED_VALUE"""),0.0)</f>
        <v>0</v>
      </c>
      <c r="X5" s="442">
        <f>IFERROR(__xludf.DUMMYFUNCTION("""COMPUTED_VALUE"""),0.0)</f>
        <v>0</v>
      </c>
      <c r="Y5" s="442">
        <f>IFERROR(__xludf.DUMMYFUNCTION("""COMPUTED_VALUE"""),0.0)</f>
        <v>0</v>
      </c>
      <c r="Z5" s="442">
        <f>IFERROR(__xludf.DUMMYFUNCTION("""COMPUTED_VALUE"""),0.0)</f>
        <v>0</v>
      </c>
      <c r="AA5" s="442">
        <f>IFERROR(__xludf.DUMMYFUNCTION("""COMPUTED_VALUE"""),0.0)</f>
        <v>0</v>
      </c>
      <c r="AB5" s="442">
        <f>IFERROR(__xludf.DUMMYFUNCTION("""COMPUTED_VALUE"""),0.0)</f>
        <v>0</v>
      </c>
      <c r="AC5" s="442">
        <f>IFERROR(__xludf.DUMMYFUNCTION("""COMPUTED_VALUE"""),0.0)</f>
        <v>0</v>
      </c>
      <c r="AD5" s="442">
        <f>IFERROR(__xludf.DUMMYFUNCTION("""COMPUTED_VALUE"""),45.0)</f>
        <v>45</v>
      </c>
      <c r="AE5" s="442">
        <f>IFERROR(__xludf.DUMMYFUNCTION("""COMPUTED_VALUE"""),14.0)</f>
        <v>14</v>
      </c>
      <c r="AF5" s="442">
        <f>IFERROR(__xludf.DUMMYFUNCTION("""COMPUTED_VALUE"""),8.0)</f>
        <v>8</v>
      </c>
      <c r="AG5" s="443" t="s">
        <v>83</v>
      </c>
      <c r="AH5" s="444" t="s">
        <v>343</v>
      </c>
      <c r="AI5" s="444"/>
      <c r="AJ5" s="444"/>
      <c r="AK5" s="444"/>
      <c r="AL5" s="444"/>
      <c r="AM5" s="444"/>
      <c r="AN5" s="444"/>
      <c r="AO5" s="444"/>
      <c r="AP5" s="444"/>
      <c r="AQ5" s="444"/>
      <c r="AR5" s="444"/>
      <c r="AS5" s="444"/>
      <c r="AT5" s="444"/>
      <c r="AU5" s="444"/>
      <c r="AV5" s="444"/>
      <c r="AW5" s="444"/>
      <c r="AX5" s="444"/>
      <c r="AY5" s="444"/>
      <c r="AZ5" s="444"/>
      <c r="BA5" s="444"/>
      <c r="BB5" s="444"/>
      <c r="BC5" s="444"/>
      <c r="BD5" s="444"/>
      <c r="BE5" s="444"/>
    </row>
    <row r="6" hidden="1">
      <c r="A6" s="445">
        <f t="shared" si="5"/>
        <v>45296</v>
      </c>
      <c r="B6" s="434">
        <v>464.0</v>
      </c>
      <c r="C6" s="462">
        <v>0.5159722222222223</v>
      </c>
      <c r="D6" s="462">
        <v>0.8666666666666667</v>
      </c>
      <c r="E6" s="436">
        <f t="array" ref="E6">IF(B6=0,"",(J6+K6)/60)</f>
        <v>0.25</v>
      </c>
      <c r="F6" s="437">
        <f t="shared" si="1"/>
        <v>8.416666667</v>
      </c>
      <c r="G6" s="438">
        <f t="shared" si="2"/>
        <v>55.12871287</v>
      </c>
      <c r="H6" s="438">
        <f t="shared" si="3"/>
        <v>56.81632653</v>
      </c>
      <c r="I6" s="436">
        <f t="shared" si="4"/>
        <v>1.28206309</v>
      </c>
      <c r="J6" s="459">
        <v>15.0</v>
      </c>
      <c r="K6" s="464"/>
      <c r="L6" s="443"/>
      <c r="M6" s="442">
        <f>IFERROR(__xludf.DUMMYFUNCTION("""COMPUTED_VALUE"""),57.0)</f>
        <v>57</v>
      </c>
      <c r="N6" s="442">
        <f>IFERROR(__xludf.DUMMYFUNCTION("""COMPUTED_VALUE"""),49.0)</f>
        <v>49</v>
      </c>
      <c r="O6" s="442">
        <f>IFERROR(__xludf.DUMMYFUNCTION("""COMPUTED_VALUE"""),0.0)</f>
        <v>0</v>
      </c>
      <c r="P6" s="442">
        <f>IFERROR(__xludf.DUMMYFUNCTION("""COMPUTED_VALUE"""),2.0)</f>
        <v>2</v>
      </c>
      <c r="Q6" s="442">
        <f>IFERROR(__xludf.DUMMYFUNCTION("""COMPUTED_VALUE"""),0.0)</f>
        <v>0</v>
      </c>
      <c r="R6" s="442">
        <f>IFERROR(__xludf.DUMMYFUNCTION("""COMPUTED_VALUE"""),0.0)</f>
        <v>0</v>
      </c>
      <c r="S6" s="442">
        <f>IFERROR(__xludf.DUMMYFUNCTION("""COMPUTED_VALUE"""),2.0)</f>
        <v>2</v>
      </c>
      <c r="T6" s="442">
        <f>IFERROR(__xludf.DUMMYFUNCTION("""COMPUTED_VALUE"""),0.0)</f>
        <v>0</v>
      </c>
      <c r="U6" s="442">
        <f>IFERROR(__xludf.DUMMYFUNCTION("""COMPUTED_VALUE"""),6.0)</f>
        <v>6</v>
      </c>
      <c r="V6" s="442">
        <f>IFERROR(__xludf.DUMMYFUNCTION("""COMPUTED_VALUE"""),4.0)</f>
        <v>4</v>
      </c>
      <c r="W6" s="442">
        <f>IFERROR(__xludf.DUMMYFUNCTION("""COMPUTED_VALUE"""),0.0)</f>
        <v>0</v>
      </c>
      <c r="X6" s="442">
        <f>IFERROR(__xludf.DUMMYFUNCTION("""COMPUTED_VALUE"""),0.0)</f>
        <v>0</v>
      </c>
      <c r="Y6" s="442">
        <f>IFERROR(__xludf.DUMMYFUNCTION("""COMPUTED_VALUE"""),0.0)</f>
        <v>0</v>
      </c>
      <c r="Z6" s="442">
        <f>IFERROR(__xludf.DUMMYFUNCTION("""COMPUTED_VALUE"""),0.0)</f>
        <v>0</v>
      </c>
      <c r="AA6" s="442">
        <f>IFERROR(__xludf.DUMMYFUNCTION("""COMPUTED_VALUE"""),0.0)</f>
        <v>0</v>
      </c>
      <c r="AB6" s="442">
        <f>IFERROR(__xludf.DUMMYFUNCTION("""COMPUTED_VALUE"""),0.0)</f>
        <v>0</v>
      </c>
      <c r="AC6" s="442">
        <f>IFERROR(__xludf.DUMMYFUNCTION("""COMPUTED_VALUE"""),0.0)</f>
        <v>0</v>
      </c>
      <c r="AD6" s="442">
        <f>IFERROR(__xludf.DUMMYFUNCTION("""COMPUTED_VALUE"""),43.0)</f>
        <v>43</v>
      </c>
      <c r="AE6" s="442">
        <f>IFERROR(__xludf.DUMMYFUNCTION("""COMPUTED_VALUE"""),16.0)</f>
        <v>16</v>
      </c>
      <c r="AF6" s="442">
        <f>IFERROR(__xludf.DUMMYFUNCTION("""COMPUTED_VALUE"""),8.0)</f>
        <v>8</v>
      </c>
      <c r="AG6" s="443" t="s">
        <v>83</v>
      </c>
      <c r="AH6" s="444" t="s">
        <v>343</v>
      </c>
      <c r="AI6" s="444"/>
      <c r="AJ6" s="444"/>
      <c r="AK6" s="444"/>
      <c r="AL6" s="444"/>
      <c r="AM6" s="444"/>
      <c r="AN6" s="444"/>
      <c r="AO6" s="444"/>
      <c r="AP6" s="444"/>
      <c r="AQ6" s="444"/>
      <c r="AR6" s="444"/>
      <c r="AS6" s="444"/>
      <c r="AT6" s="444"/>
      <c r="AU6" s="444"/>
      <c r="AV6" s="444"/>
      <c r="AW6" s="444"/>
      <c r="AX6" s="444"/>
      <c r="AY6" s="444"/>
      <c r="AZ6" s="444"/>
      <c r="BA6" s="444"/>
      <c r="BB6" s="444"/>
      <c r="BC6" s="444"/>
      <c r="BD6" s="444"/>
      <c r="BE6" s="444"/>
    </row>
    <row r="7" hidden="1">
      <c r="A7" s="445">
        <f t="shared" si="5"/>
        <v>45297</v>
      </c>
      <c r="B7" s="434">
        <v>445.0</v>
      </c>
      <c r="C7" s="462">
        <v>0.5166666666666667</v>
      </c>
      <c r="D7" s="462">
        <v>0.8388888888888889</v>
      </c>
      <c r="E7" s="436">
        <f t="array" ref="E7">IF(B7=0,"",(J7+K7)/60)</f>
        <v>0.25</v>
      </c>
      <c r="F7" s="437">
        <f t="shared" si="1"/>
        <v>7.733333333</v>
      </c>
      <c r="G7" s="438">
        <f t="shared" si="2"/>
        <v>57.54310345</v>
      </c>
      <c r="H7" s="438">
        <f t="shared" si="3"/>
        <v>59.46547884</v>
      </c>
      <c r="I7" s="436">
        <f t="shared" si="4"/>
        <v>1.403490328</v>
      </c>
      <c r="J7" s="459">
        <v>15.0</v>
      </c>
      <c r="K7" s="464"/>
      <c r="L7" s="443"/>
      <c r="M7" s="442">
        <f>IFERROR(__xludf.DUMMYFUNCTION("""COMPUTED_VALUE"""),57.0)</f>
        <v>57</v>
      </c>
      <c r="N7" s="442">
        <f>IFERROR(__xludf.DUMMYFUNCTION("""COMPUTED_VALUE"""),49.0)</f>
        <v>49</v>
      </c>
      <c r="O7" s="442">
        <f>IFERROR(__xludf.DUMMYFUNCTION("""COMPUTED_VALUE"""),0.0)</f>
        <v>0</v>
      </c>
      <c r="P7" s="442">
        <f>IFERROR(__xludf.DUMMYFUNCTION("""COMPUTED_VALUE"""),1.0)</f>
        <v>1</v>
      </c>
      <c r="Q7" s="442">
        <f>IFERROR(__xludf.DUMMYFUNCTION("""COMPUTED_VALUE"""),0.0)</f>
        <v>0</v>
      </c>
      <c r="R7" s="442">
        <f>IFERROR(__xludf.DUMMYFUNCTION("""COMPUTED_VALUE"""),0.0)</f>
        <v>0</v>
      </c>
      <c r="S7" s="442">
        <f>IFERROR(__xludf.DUMMYFUNCTION("""COMPUTED_VALUE"""),3.0)</f>
        <v>3</v>
      </c>
      <c r="T7" s="442">
        <f>IFERROR(__xludf.DUMMYFUNCTION("""COMPUTED_VALUE"""),0.0)</f>
        <v>0</v>
      </c>
      <c r="U7" s="442">
        <f>IFERROR(__xludf.DUMMYFUNCTION("""COMPUTED_VALUE"""),6.0)</f>
        <v>6</v>
      </c>
      <c r="V7" s="442">
        <f>IFERROR(__xludf.DUMMYFUNCTION("""COMPUTED_VALUE"""),4.0)</f>
        <v>4</v>
      </c>
      <c r="W7" s="442">
        <f>IFERROR(__xludf.DUMMYFUNCTION("""COMPUTED_VALUE"""),0.0)</f>
        <v>0</v>
      </c>
      <c r="X7" s="442">
        <f>IFERROR(__xludf.DUMMYFUNCTION("""COMPUTED_VALUE"""),0.0)</f>
        <v>0</v>
      </c>
      <c r="Y7" s="442">
        <f>IFERROR(__xludf.DUMMYFUNCTION("""COMPUTED_VALUE"""),0.0)</f>
        <v>0</v>
      </c>
      <c r="Z7" s="442">
        <f>IFERROR(__xludf.DUMMYFUNCTION("""COMPUTED_VALUE"""),2.0)</f>
        <v>2</v>
      </c>
      <c r="AA7" s="442">
        <f>IFERROR(__xludf.DUMMYFUNCTION("""COMPUTED_VALUE"""),0.0)</f>
        <v>0</v>
      </c>
      <c r="AB7" s="442">
        <f>IFERROR(__xludf.DUMMYFUNCTION("""COMPUTED_VALUE"""),0.0)</f>
        <v>0</v>
      </c>
      <c r="AC7" s="442">
        <f>IFERROR(__xludf.DUMMYFUNCTION("""COMPUTED_VALUE"""),0.0)</f>
        <v>0</v>
      </c>
      <c r="AD7" s="442">
        <f>IFERROR(__xludf.DUMMYFUNCTION("""COMPUTED_VALUE"""),41.0)</f>
        <v>41</v>
      </c>
      <c r="AE7" s="442">
        <f>IFERROR(__xludf.DUMMYFUNCTION("""COMPUTED_VALUE"""),18.0)</f>
        <v>18</v>
      </c>
      <c r="AF7" s="442">
        <f>IFERROR(__xludf.DUMMYFUNCTION("""COMPUTED_VALUE"""),8.0)</f>
        <v>8</v>
      </c>
      <c r="AG7" s="443" t="s">
        <v>83</v>
      </c>
      <c r="AH7" s="444" t="s">
        <v>343</v>
      </c>
      <c r="AI7" s="444"/>
      <c r="AJ7" s="444"/>
      <c r="AK7" s="444"/>
      <c r="AL7" s="444"/>
      <c r="AM7" s="444"/>
      <c r="AN7" s="444"/>
      <c r="AO7" s="444"/>
      <c r="AP7" s="444"/>
      <c r="AQ7" s="444"/>
      <c r="AR7" s="444"/>
      <c r="AS7" s="444"/>
      <c r="AT7" s="444"/>
      <c r="AU7" s="444"/>
      <c r="AV7" s="444"/>
      <c r="AW7" s="444"/>
      <c r="AX7" s="444"/>
      <c r="AY7" s="444"/>
      <c r="AZ7" s="444"/>
      <c r="BA7" s="444"/>
      <c r="BB7" s="444"/>
      <c r="BC7" s="444"/>
      <c r="BD7" s="444"/>
      <c r="BE7" s="444"/>
    </row>
    <row r="8" hidden="1">
      <c r="A8" s="445">
        <f t="shared" si="5"/>
        <v>45298</v>
      </c>
      <c r="B8" s="434">
        <v>0.0</v>
      </c>
      <c r="C8" s="443"/>
      <c r="D8" s="443"/>
      <c r="E8" s="436" t="str">
        <f t="array" ref="E8">IF(B8=0,"",(J8+K8)/60)</f>
        <v/>
      </c>
      <c r="F8" s="437" t="str">
        <f t="shared" si="1"/>
        <v/>
      </c>
      <c r="G8" s="438" t="str">
        <f t="shared" si="2"/>
        <v/>
      </c>
      <c r="H8" s="438" t="str">
        <f t="shared" si="3"/>
        <v/>
      </c>
      <c r="I8" s="436" t="str">
        <f t="shared" si="4"/>
        <v/>
      </c>
      <c r="J8" s="439"/>
      <c r="K8" s="464"/>
      <c r="L8" s="443"/>
      <c r="M8" s="442">
        <f>IFERROR(__xludf.DUMMYFUNCTION("""COMPUTED_VALUE"""),57.0)</f>
        <v>57</v>
      </c>
      <c r="N8" s="442">
        <f>IFERROR(__xludf.DUMMYFUNCTION("""COMPUTED_VALUE"""),49.0)</f>
        <v>49</v>
      </c>
      <c r="O8" s="442">
        <f>IFERROR(__xludf.DUMMYFUNCTION("""COMPUTED_VALUE"""),0.0)</f>
        <v>0</v>
      </c>
      <c r="P8" s="442">
        <f>IFERROR(__xludf.DUMMYFUNCTION("""COMPUTED_VALUE"""),0.0)</f>
        <v>0</v>
      </c>
      <c r="Q8" s="442">
        <f>IFERROR(__xludf.DUMMYFUNCTION("""COMPUTED_VALUE"""),0.0)</f>
        <v>0</v>
      </c>
      <c r="R8" s="442">
        <f>IFERROR(__xludf.DUMMYFUNCTION("""COMPUTED_VALUE"""),0.0)</f>
        <v>0</v>
      </c>
      <c r="S8" s="442">
        <f>IFERROR(__xludf.DUMMYFUNCTION("""COMPUTED_VALUE"""),0.0)</f>
        <v>0</v>
      </c>
      <c r="T8" s="442">
        <f>IFERROR(__xludf.DUMMYFUNCTION("""COMPUTED_VALUE"""),0.0)</f>
        <v>0</v>
      </c>
      <c r="U8" s="442">
        <f>IFERROR(__xludf.DUMMYFUNCTION("""COMPUTED_VALUE"""),6.0)</f>
        <v>6</v>
      </c>
      <c r="V8" s="442">
        <f>IFERROR(__xludf.DUMMYFUNCTION("""COMPUTED_VALUE"""),0.0)</f>
        <v>0</v>
      </c>
      <c r="W8" s="442">
        <f>IFERROR(__xludf.DUMMYFUNCTION("""COMPUTED_VALUE"""),0.0)</f>
        <v>0</v>
      </c>
      <c r="X8" s="442">
        <f>IFERROR(__xludf.DUMMYFUNCTION("""COMPUTED_VALUE"""),0.0)</f>
        <v>0</v>
      </c>
      <c r="Y8" s="442">
        <f>IFERROR(__xludf.DUMMYFUNCTION("""COMPUTED_VALUE"""),0.0)</f>
        <v>0</v>
      </c>
      <c r="Z8" s="442">
        <f>IFERROR(__xludf.DUMMYFUNCTION("""COMPUTED_VALUE"""),0.0)</f>
        <v>0</v>
      </c>
      <c r="AA8" s="442">
        <f>IFERROR(__xludf.DUMMYFUNCTION("""COMPUTED_VALUE"""),0.0)</f>
        <v>0</v>
      </c>
      <c r="AB8" s="442">
        <f>IFERROR(__xludf.DUMMYFUNCTION("""COMPUTED_VALUE"""),0.0)</f>
        <v>0</v>
      </c>
      <c r="AC8" s="442">
        <f>IFERROR(__xludf.DUMMYFUNCTION("""COMPUTED_VALUE"""),0.0)</f>
        <v>0</v>
      </c>
      <c r="AD8" s="442">
        <f>IFERROR(__xludf.DUMMYFUNCTION("""COMPUTED_VALUE"""),0.0)</f>
        <v>0</v>
      </c>
      <c r="AE8" s="442">
        <f>IFERROR(__xludf.DUMMYFUNCTION("""COMPUTED_VALUE"""),8.0)</f>
        <v>8</v>
      </c>
      <c r="AF8" s="442">
        <f>IFERROR(__xludf.DUMMYFUNCTION("""COMPUTED_VALUE"""),8.0)</f>
        <v>8</v>
      </c>
      <c r="AG8" s="443" t="s">
        <v>83</v>
      </c>
      <c r="AH8" s="444" t="s">
        <v>343</v>
      </c>
      <c r="AI8" s="444"/>
      <c r="AJ8" s="444"/>
      <c r="AK8" s="444"/>
      <c r="AL8" s="444"/>
      <c r="AM8" s="444"/>
      <c r="AN8" s="444"/>
      <c r="AO8" s="444"/>
      <c r="AP8" s="444"/>
      <c r="AQ8" s="444"/>
      <c r="AR8" s="444"/>
      <c r="AS8" s="444"/>
      <c r="AT8" s="444"/>
      <c r="AU8" s="444"/>
      <c r="AV8" s="444"/>
      <c r="AW8" s="444"/>
      <c r="AX8" s="444"/>
      <c r="AY8" s="444"/>
      <c r="AZ8" s="444"/>
      <c r="BA8" s="444"/>
      <c r="BB8" s="444"/>
      <c r="BC8" s="444"/>
      <c r="BD8" s="444"/>
      <c r="BE8" s="444"/>
    </row>
    <row r="9" hidden="1">
      <c r="A9" s="445">
        <f t="shared" si="5"/>
        <v>45299</v>
      </c>
      <c r="B9" s="434">
        <v>442.0</v>
      </c>
      <c r="C9" s="462">
        <v>0.5159722222222223</v>
      </c>
      <c r="D9" s="462">
        <v>0.8645833333333334</v>
      </c>
      <c r="E9" s="436">
        <f t="array" ref="E9">IF(B9=0,"",(J9+K9)/60)</f>
        <v>0.25</v>
      </c>
      <c r="F9" s="437">
        <f t="shared" si="1"/>
        <v>8.366666667</v>
      </c>
      <c r="G9" s="438">
        <f t="shared" si="2"/>
        <v>52.82868526</v>
      </c>
      <c r="H9" s="438">
        <f t="shared" si="3"/>
        <v>54.45585216</v>
      </c>
      <c r="I9" s="436">
        <f t="shared" si="4"/>
        <v>1.228574076</v>
      </c>
      <c r="J9" s="439">
        <v>15.0</v>
      </c>
      <c r="K9" s="464"/>
      <c r="L9" s="443"/>
      <c r="M9" s="442">
        <f>IFERROR(__xludf.DUMMYFUNCTION("""COMPUTED_VALUE"""),57.0)</f>
        <v>57</v>
      </c>
      <c r="N9" s="442">
        <f>IFERROR(__xludf.DUMMYFUNCTION("""COMPUTED_VALUE"""),49.0)</f>
        <v>49</v>
      </c>
      <c r="O9" s="442">
        <f>IFERROR(__xludf.DUMMYFUNCTION("""COMPUTED_VALUE"""),0.0)</f>
        <v>0</v>
      </c>
      <c r="P9" s="442">
        <f>IFERROR(__xludf.DUMMYFUNCTION("""COMPUTED_VALUE"""),1.0)</f>
        <v>1</v>
      </c>
      <c r="Q9" s="442">
        <f>IFERROR(__xludf.DUMMYFUNCTION("""COMPUTED_VALUE"""),1.0)</f>
        <v>1</v>
      </c>
      <c r="R9" s="442">
        <f>IFERROR(__xludf.DUMMYFUNCTION("""COMPUTED_VALUE"""),0.0)</f>
        <v>0</v>
      </c>
      <c r="S9" s="442">
        <f>IFERROR(__xludf.DUMMYFUNCTION("""COMPUTED_VALUE"""),1.0)</f>
        <v>1</v>
      </c>
      <c r="T9" s="442">
        <f>IFERROR(__xludf.DUMMYFUNCTION("""COMPUTED_VALUE"""),0.0)</f>
        <v>0</v>
      </c>
      <c r="U9" s="442">
        <f>IFERROR(__xludf.DUMMYFUNCTION("""COMPUTED_VALUE"""),6.0)</f>
        <v>6</v>
      </c>
      <c r="V9" s="442">
        <f>IFERROR(__xludf.DUMMYFUNCTION("""COMPUTED_VALUE"""),4.0)</f>
        <v>4</v>
      </c>
      <c r="W9" s="442">
        <f>IFERROR(__xludf.DUMMYFUNCTION("""COMPUTED_VALUE"""),0.0)</f>
        <v>0</v>
      </c>
      <c r="X9" s="442">
        <f>IFERROR(__xludf.DUMMYFUNCTION("""COMPUTED_VALUE"""),0.0)</f>
        <v>0</v>
      </c>
      <c r="Y9" s="442">
        <f>IFERROR(__xludf.DUMMYFUNCTION("""COMPUTED_VALUE"""),0.0)</f>
        <v>0</v>
      </c>
      <c r="Z9" s="442">
        <f>IFERROR(__xludf.DUMMYFUNCTION("""COMPUTED_VALUE"""),1.0)</f>
        <v>1</v>
      </c>
      <c r="AA9" s="442">
        <f>IFERROR(__xludf.DUMMYFUNCTION("""COMPUTED_VALUE"""),0.0)</f>
        <v>0</v>
      </c>
      <c r="AB9" s="442">
        <f>IFERROR(__xludf.DUMMYFUNCTION("""COMPUTED_VALUE"""),0.0)</f>
        <v>0</v>
      </c>
      <c r="AC9" s="442">
        <f>IFERROR(__xludf.DUMMYFUNCTION("""COMPUTED_VALUE"""),0.0)</f>
        <v>0</v>
      </c>
      <c r="AD9" s="442">
        <f>IFERROR(__xludf.DUMMYFUNCTION("""COMPUTED_VALUE"""),43.0)</f>
        <v>43</v>
      </c>
      <c r="AE9" s="442">
        <f>IFERROR(__xludf.DUMMYFUNCTION("""COMPUTED_VALUE"""),16.0)</f>
        <v>16</v>
      </c>
      <c r="AF9" s="442">
        <f>IFERROR(__xludf.DUMMYFUNCTION("""COMPUTED_VALUE"""),8.0)</f>
        <v>8</v>
      </c>
      <c r="AG9" s="443" t="s">
        <v>83</v>
      </c>
      <c r="AH9" s="444" t="s">
        <v>343</v>
      </c>
      <c r="AI9" s="444"/>
      <c r="AJ9" s="444"/>
      <c r="AK9" s="444"/>
      <c r="AL9" s="444"/>
      <c r="AM9" s="444"/>
      <c r="AN9" s="444"/>
      <c r="AO9" s="444"/>
      <c r="AP9" s="444"/>
      <c r="AQ9" s="444"/>
      <c r="AR9" s="444"/>
      <c r="AS9" s="444"/>
      <c r="AT9" s="444"/>
      <c r="AU9" s="444"/>
      <c r="AV9" s="444"/>
      <c r="AW9" s="444"/>
      <c r="AX9" s="444"/>
      <c r="AY9" s="444"/>
      <c r="AZ9" s="444"/>
      <c r="BA9" s="444"/>
      <c r="BB9" s="444"/>
      <c r="BC9" s="444"/>
      <c r="BD9" s="444"/>
      <c r="BE9" s="444"/>
    </row>
    <row r="10" hidden="1">
      <c r="A10" s="445">
        <f t="shared" si="5"/>
        <v>45300</v>
      </c>
      <c r="B10" s="434">
        <v>289.0</v>
      </c>
      <c r="C10" s="462">
        <v>0.5166666666666667</v>
      </c>
      <c r="D10" s="462">
        <v>0.75</v>
      </c>
      <c r="E10" s="436">
        <f t="array" ref="E10">IF(B10=0,"",(J10+K10)/60)</f>
        <v>0.25</v>
      </c>
      <c r="F10" s="437">
        <f t="shared" si="1"/>
        <v>5.6</v>
      </c>
      <c r="G10" s="438">
        <f t="shared" si="2"/>
        <v>51.60714286</v>
      </c>
      <c r="H10" s="438">
        <f t="shared" si="3"/>
        <v>54.01869159</v>
      </c>
      <c r="I10" s="436">
        <f t="shared" si="4"/>
        <v>1.12189441</v>
      </c>
      <c r="J10" s="439">
        <v>15.0</v>
      </c>
      <c r="K10" s="464"/>
      <c r="L10" s="443"/>
      <c r="M10" s="442">
        <f>IFERROR(__xludf.DUMMYFUNCTION("""COMPUTED_VALUE"""),57.0)</f>
        <v>57</v>
      </c>
      <c r="N10" s="442">
        <f>IFERROR(__xludf.DUMMYFUNCTION("""COMPUTED_VALUE"""),49.0)</f>
        <v>49</v>
      </c>
      <c r="O10" s="442">
        <f>IFERROR(__xludf.DUMMYFUNCTION("""COMPUTED_VALUE"""),0.0)</f>
        <v>0</v>
      </c>
      <c r="P10" s="442">
        <f>IFERROR(__xludf.DUMMYFUNCTION("""COMPUTED_VALUE"""),0.0)</f>
        <v>0</v>
      </c>
      <c r="Q10" s="442">
        <f>IFERROR(__xludf.DUMMYFUNCTION("""COMPUTED_VALUE"""),0.0)</f>
        <v>0</v>
      </c>
      <c r="R10" s="442">
        <f>IFERROR(__xludf.DUMMYFUNCTION("""COMPUTED_VALUE"""),0.0)</f>
        <v>0</v>
      </c>
      <c r="S10" s="442">
        <f>IFERROR(__xludf.DUMMYFUNCTION("""COMPUTED_VALUE"""),1.0)</f>
        <v>1</v>
      </c>
      <c r="T10" s="442">
        <f>IFERROR(__xludf.DUMMYFUNCTION("""COMPUTED_VALUE"""),0.0)</f>
        <v>0</v>
      </c>
      <c r="U10" s="442">
        <f>IFERROR(__xludf.DUMMYFUNCTION("""COMPUTED_VALUE"""),6.0)</f>
        <v>6</v>
      </c>
      <c r="V10" s="442">
        <f>IFERROR(__xludf.DUMMYFUNCTION("""COMPUTED_VALUE"""),4.0)</f>
        <v>4</v>
      </c>
      <c r="W10" s="442">
        <f>IFERROR(__xludf.DUMMYFUNCTION("""COMPUTED_VALUE"""),0.0)</f>
        <v>0</v>
      </c>
      <c r="X10" s="442">
        <f>IFERROR(__xludf.DUMMYFUNCTION("""COMPUTED_VALUE"""),0.0)</f>
        <v>0</v>
      </c>
      <c r="Y10" s="442">
        <f>IFERROR(__xludf.DUMMYFUNCTION("""COMPUTED_VALUE"""),0.0)</f>
        <v>0</v>
      </c>
      <c r="Z10" s="442">
        <f>IFERROR(__xludf.DUMMYFUNCTION("""COMPUTED_VALUE"""),0.0)</f>
        <v>0</v>
      </c>
      <c r="AA10" s="442">
        <f>IFERROR(__xludf.DUMMYFUNCTION("""COMPUTED_VALUE"""),0.0)</f>
        <v>0</v>
      </c>
      <c r="AB10" s="442">
        <f>IFERROR(__xludf.DUMMYFUNCTION("""COMPUTED_VALUE"""),0.0)</f>
        <v>0</v>
      </c>
      <c r="AC10" s="442">
        <f>IFERROR(__xludf.DUMMYFUNCTION("""COMPUTED_VALUE"""),0.0)</f>
        <v>0</v>
      </c>
      <c r="AD10" s="442">
        <f>IFERROR(__xludf.DUMMYFUNCTION("""COMPUTED_VALUE"""),46.0)</f>
        <v>46</v>
      </c>
      <c r="AE10" s="442">
        <f>IFERROR(__xludf.DUMMYFUNCTION("""COMPUTED_VALUE"""),13.0)</f>
        <v>13</v>
      </c>
      <c r="AF10" s="442">
        <f>IFERROR(__xludf.DUMMYFUNCTION("""COMPUTED_VALUE"""),8.0)</f>
        <v>8</v>
      </c>
      <c r="AG10" s="443" t="s">
        <v>83</v>
      </c>
      <c r="AH10" s="444" t="s">
        <v>343</v>
      </c>
      <c r="AI10" s="444"/>
      <c r="AJ10" s="444"/>
      <c r="AK10" s="444"/>
      <c r="AL10" s="444"/>
      <c r="AM10" s="444"/>
      <c r="AN10" s="444"/>
      <c r="AO10" s="444"/>
      <c r="AP10" s="444"/>
      <c r="AQ10" s="444"/>
      <c r="AR10" s="444"/>
      <c r="AS10" s="444"/>
      <c r="AT10" s="444"/>
      <c r="AU10" s="444"/>
      <c r="AV10" s="444"/>
      <c r="AW10" s="444"/>
      <c r="AX10" s="444"/>
      <c r="AY10" s="444"/>
      <c r="AZ10" s="444"/>
      <c r="BA10" s="444"/>
      <c r="BB10" s="444"/>
      <c r="BC10" s="444"/>
      <c r="BD10" s="444"/>
      <c r="BE10" s="444"/>
    </row>
    <row r="11" hidden="1">
      <c r="A11" s="445">
        <f t="shared" si="5"/>
        <v>45301</v>
      </c>
      <c r="B11" s="434">
        <v>396.0</v>
      </c>
      <c r="C11" s="462">
        <v>0.5576388888888889</v>
      </c>
      <c r="D11" s="462">
        <v>0.8666666666666667</v>
      </c>
      <c r="E11" s="436">
        <f t="array" ref="E11">IF(B11=0,"",(J11+K11)/60)</f>
        <v>0.25</v>
      </c>
      <c r="F11" s="437">
        <f t="shared" si="1"/>
        <v>7.416666667</v>
      </c>
      <c r="G11" s="438">
        <f t="shared" si="2"/>
        <v>53.39325843</v>
      </c>
      <c r="H11" s="438">
        <f t="shared" si="3"/>
        <v>55.25581395</v>
      </c>
      <c r="I11" s="436">
        <f t="shared" si="4"/>
        <v>1.160723009</v>
      </c>
      <c r="J11" s="439">
        <v>15.0</v>
      </c>
      <c r="K11" s="464"/>
      <c r="L11" s="443"/>
      <c r="M11" s="442">
        <f>IFERROR(__xludf.DUMMYFUNCTION("""COMPUTED_VALUE"""),57.0)</f>
        <v>57</v>
      </c>
      <c r="N11" s="442">
        <f>IFERROR(__xludf.DUMMYFUNCTION("""COMPUTED_VALUE"""),49.0)</f>
        <v>49</v>
      </c>
      <c r="O11" s="442">
        <f>IFERROR(__xludf.DUMMYFUNCTION("""COMPUTED_VALUE"""),0.0)</f>
        <v>0</v>
      </c>
      <c r="P11" s="442">
        <f>IFERROR(__xludf.DUMMYFUNCTION("""COMPUTED_VALUE"""),0.0)</f>
        <v>0</v>
      </c>
      <c r="Q11" s="442">
        <f>IFERROR(__xludf.DUMMYFUNCTION("""COMPUTED_VALUE"""),1.0)</f>
        <v>1</v>
      </c>
      <c r="R11" s="442">
        <f>IFERROR(__xludf.DUMMYFUNCTION("""COMPUTED_VALUE"""),0.0)</f>
        <v>0</v>
      </c>
      <c r="S11" s="442">
        <f>IFERROR(__xludf.DUMMYFUNCTION("""COMPUTED_VALUE"""),0.0)</f>
        <v>0</v>
      </c>
      <c r="T11" s="442">
        <f>IFERROR(__xludf.DUMMYFUNCTION("""COMPUTED_VALUE"""),0.0)</f>
        <v>0</v>
      </c>
      <c r="U11" s="442">
        <f>IFERROR(__xludf.DUMMYFUNCTION("""COMPUTED_VALUE"""),6.0)</f>
        <v>6</v>
      </c>
      <c r="V11" s="442">
        <f>IFERROR(__xludf.DUMMYFUNCTION("""COMPUTED_VALUE"""),3.0)</f>
        <v>3</v>
      </c>
      <c r="W11" s="442">
        <f>IFERROR(__xludf.DUMMYFUNCTION("""COMPUTED_VALUE"""),0.0)</f>
        <v>0</v>
      </c>
      <c r="X11" s="442">
        <f>IFERROR(__xludf.DUMMYFUNCTION("""COMPUTED_VALUE"""),0.0)</f>
        <v>0</v>
      </c>
      <c r="Y11" s="442">
        <f>IFERROR(__xludf.DUMMYFUNCTION("""COMPUTED_VALUE"""),0.0)</f>
        <v>0</v>
      </c>
      <c r="Z11" s="442">
        <f>IFERROR(__xludf.DUMMYFUNCTION("""COMPUTED_VALUE"""),1.0)</f>
        <v>1</v>
      </c>
      <c r="AA11" s="442">
        <f>IFERROR(__xludf.DUMMYFUNCTION("""COMPUTED_VALUE"""),0.0)</f>
        <v>0</v>
      </c>
      <c r="AB11" s="442">
        <f>IFERROR(__xludf.DUMMYFUNCTION("""COMPUTED_VALUE"""),0.0)</f>
        <v>0</v>
      </c>
      <c r="AC11" s="442">
        <f>IFERROR(__xludf.DUMMYFUNCTION("""COMPUTED_VALUE"""),0.0)</f>
        <v>0</v>
      </c>
      <c r="AD11" s="442">
        <f>IFERROR(__xludf.DUMMYFUNCTION("""COMPUTED_VALUE"""),46.0)</f>
        <v>46</v>
      </c>
      <c r="AE11" s="442">
        <f>IFERROR(__xludf.DUMMYFUNCTION("""COMPUTED_VALUE"""),13.0)</f>
        <v>13</v>
      </c>
      <c r="AF11" s="442">
        <f>IFERROR(__xludf.DUMMYFUNCTION("""COMPUTED_VALUE"""),8.0)</f>
        <v>8</v>
      </c>
      <c r="AG11" s="443" t="s">
        <v>83</v>
      </c>
      <c r="AH11" s="444" t="s">
        <v>343</v>
      </c>
      <c r="AI11" s="444"/>
      <c r="AJ11" s="444"/>
      <c r="AK11" s="444"/>
      <c r="AL11" s="444"/>
      <c r="AM11" s="444"/>
      <c r="AN11" s="444"/>
      <c r="AO11" s="444"/>
      <c r="AP11" s="444"/>
      <c r="AQ11" s="444"/>
      <c r="AR11" s="444"/>
      <c r="AS11" s="444"/>
      <c r="AT11" s="444"/>
      <c r="AU11" s="444"/>
      <c r="AV11" s="444"/>
      <c r="AW11" s="444"/>
      <c r="AX11" s="444"/>
      <c r="AY11" s="444"/>
      <c r="AZ11" s="444"/>
      <c r="BA11" s="444"/>
      <c r="BB11" s="444"/>
      <c r="BC11" s="444"/>
      <c r="BD11" s="444"/>
      <c r="BE11" s="444"/>
    </row>
    <row r="12" hidden="1">
      <c r="A12" s="445">
        <f t="shared" si="5"/>
        <v>45302</v>
      </c>
      <c r="B12" s="434">
        <v>531.0</v>
      </c>
      <c r="C12" s="462">
        <v>0.5583333333333333</v>
      </c>
      <c r="D12" s="462">
        <v>0.9583333333333334</v>
      </c>
      <c r="E12" s="436">
        <f t="array" ref="E12">IF(B12=0,"",(J12+K12)/60)</f>
        <v>0.25</v>
      </c>
      <c r="F12" s="437">
        <f t="shared" si="1"/>
        <v>9.6</v>
      </c>
      <c r="G12" s="438">
        <f t="shared" si="2"/>
        <v>55.3125</v>
      </c>
      <c r="H12" s="438">
        <f t="shared" si="3"/>
        <v>56.79144385</v>
      </c>
      <c r="I12" s="436">
        <f t="shared" si="4"/>
        <v>1.202445652</v>
      </c>
      <c r="J12" s="439">
        <v>15.0</v>
      </c>
      <c r="K12" s="464"/>
      <c r="L12" s="443"/>
      <c r="M12" s="442">
        <f>IFERROR(__xludf.DUMMYFUNCTION("""COMPUTED_VALUE"""),57.0)</f>
        <v>57</v>
      </c>
      <c r="N12" s="442">
        <f>IFERROR(__xludf.DUMMYFUNCTION("""COMPUTED_VALUE"""),50.0)</f>
        <v>50</v>
      </c>
      <c r="O12" s="442">
        <f>IFERROR(__xludf.DUMMYFUNCTION("""COMPUTED_VALUE"""),0.0)</f>
        <v>0</v>
      </c>
      <c r="P12" s="442">
        <f>IFERROR(__xludf.DUMMYFUNCTION("""COMPUTED_VALUE"""),1.0)</f>
        <v>1</v>
      </c>
      <c r="Q12" s="442">
        <f>IFERROR(__xludf.DUMMYFUNCTION("""COMPUTED_VALUE"""),1.0)</f>
        <v>1</v>
      </c>
      <c r="R12" s="442">
        <f>IFERROR(__xludf.DUMMYFUNCTION("""COMPUTED_VALUE"""),0.0)</f>
        <v>0</v>
      </c>
      <c r="S12" s="442">
        <f>IFERROR(__xludf.DUMMYFUNCTION("""COMPUTED_VALUE"""),1.0)</f>
        <v>1</v>
      </c>
      <c r="T12" s="442">
        <f>IFERROR(__xludf.DUMMYFUNCTION("""COMPUTED_VALUE"""),0.0)</f>
        <v>0</v>
      </c>
      <c r="U12" s="442">
        <f>IFERROR(__xludf.DUMMYFUNCTION("""COMPUTED_VALUE"""),5.0)</f>
        <v>5</v>
      </c>
      <c r="V12" s="442">
        <f>IFERROR(__xludf.DUMMYFUNCTION("""COMPUTED_VALUE"""),3.0)</f>
        <v>3</v>
      </c>
      <c r="W12" s="442">
        <f>IFERROR(__xludf.DUMMYFUNCTION("""COMPUTED_VALUE"""),0.0)</f>
        <v>0</v>
      </c>
      <c r="X12" s="442">
        <f>IFERROR(__xludf.DUMMYFUNCTION("""COMPUTED_VALUE"""),0.0)</f>
        <v>0</v>
      </c>
      <c r="Y12" s="442">
        <f>IFERROR(__xludf.DUMMYFUNCTION("""COMPUTED_VALUE"""),0.0)</f>
        <v>0</v>
      </c>
      <c r="Z12" s="442">
        <f>IFERROR(__xludf.DUMMYFUNCTION("""COMPUTED_VALUE"""),0.0)</f>
        <v>0</v>
      </c>
      <c r="AA12" s="442">
        <f>IFERROR(__xludf.DUMMYFUNCTION("""COMPUTED_VALUE"""),0.0)</f>
        <v>0</v>
      </c>
      <c r="AB12" s="442">
        <f>IFERROR(__xludf.DUMMYFUNCTION("""COMPUTED_VALUE"""),0.0)</f>
        <v>0</v>
      </c>
      <c r="AC12" s="442">
        <f>IFERROR(__xludf.DUMMYFUNCTION("""COMPUTED_VALUE"""),0.0)</f>
        <v>0</v>
      </c>
      <c r="AD12" s="442">
        <f>IFERROR(__xludf.DUMMYFUNCTION("""COMPUTED_VALUE"""),46.0)</f>
        <v>46</v>
      </c>
      <c r="AE12" s="442">
        <f>IFERROR(__xludf.DUMMYFUNCTION("""COMPUTED_VALUE"""),13.0)</f>
        <v>13</v>
      </c>
      <c r="AF12" s="442">
        <f>IFERROR(__xludf.DUMMYFUNCTION("""COMPUTED_VALUE"""),7.0)</f>
        <v>7</v>
      </c>
      <c r="AG12" s="443" t="s">
        <v>83</v>
      </c>
      <c r="AH12" s="444" t="s">
        <v>343</v>
      </c>
      <c r="AI12" s="444"/>
      <c r="AJ12" s="444"/>
      <c r="AK12" s="444"/>
      <c r="AL12" s="444"/>
      <c r="AM12" s="444"/>
      <c r="AN12" s="444"/>
      <c r="AO12" s="444"/>
      <c r="AP12" s="444"/>
      <c r="AQ12" s="444"/>
      <c r="AR12" s="444"/>
      <c r="AS12" s="444"/>
      <c r="AT12" s="444"/>
      <c r="AU12" s="444"/>
      <c r="AV12" s="444"/>
      <c r="AW12" s="444"/>
      <c r="AX12" s="444"/>
      <c r="AY12" s="444"/>
      <c r="AZ12" s="444"/>
      <c r="BA12" s="444"/>
      <c r="BB12" s="444"/>
      <c r="BC12" s="444"/>
      <c r="BD12" s="444"/>
      <c r="BE12" s="444"/>
    </row>
    <row r="13" hidden="1">
      <c r="A13" s="445">
        <f t="shared" si="5"/>
        <v>45303</v>
      </c>
      <c r="B13" s="434">
        <v>463.0</v>
      </c>
      <c r="C13" s="462">
        <v>0.53125</v>
      </c>
      <c r="D13" s="462">
        <v>0.8875</v>
      </c>
      <c r="E13" s="436">
        <f t="array" ref="E13">IF(B13=0,"",(J13+K13)/60)</f>
        <v>0.25</v>
      </c>
      <c r="F13" s="437">
        <f t="shared" si="1"/>
        <v>8.55</v>
      </c>
      <c r="G13" s="438">
        <f t="shared" si="2"/>
        <v>54.15204678</v>
      </c>
      <c r="H13" s="438">
        <f t="shared" si="3"/>
        <v>55.78313253</v>
      </c>
      <c r="I13" s="436">
        <f t="shared" si="4"/>
        <v>1.152171208</v>
      </c>
      <c r="J13" s="439">
        <v>15.0</v>
      </c>
      <c r="K13" s="464"/>
      <c r="L13" s="443"/>
      <c r="M13" s="442">
        <f>IFERROR(__xludf.DUMMYFUNCTION("""COMPUTED_VALUE"""),57.0)</f>
        <v>57</v>
      </c>
      <c r="N13" s="442">
        <f>IFERROR(__xludf.DUMMYFUNCTION("""COMPUTED_VALUE"""),49.0)</f>
        <v>49</v>
      </c>
      <c r="O13" s="442">
        <f>IFERROR(__xludf.DUMMYFUNCTION("""COMPUTED_VALUE"""),0.0)</f>
        <v>0</v>
      </c>
      <c r="P13" s="442">
        <f>IFERROR(__xludf.DUMMYFUNCTION("""COMPUTED_VALUE"""),0.0)</f>
        <v>0</v>
      </c>
      <c r="Q13" s="442">
        <f>IFERROR(__xludf.DUMMYFUNCTION("""COMPUTED_VALUE"""),0.0)</f>
        <v>0</v>
      </c>
      <c r="R13" s="442">
        <f>IFERROR(__xludf.DUMMYFUNCTION("""COMPUTED_VALUE"""),0.0)</f>
        <v>0</v>
      </c>
      <c r="S13" s="442">
        <f>IFERROR(__xludf.DUMMYFUNCTION("""COMPUTED_VALUE"""),1.0)</f>
        <v>1</v>
      </c>
      <c r="T13" s="442">
        <f>IFERROR(__xludf.DUMMYFUNCTION("""COMPUTED_VALUE"""),0.0)</f>
        <v>0</v>
      </c>
      <c r="U13" s="442">
        <f>IFERROR(__xludf.DUMMYFUNCTION("""COMPUTED_VALUE"""),6.0)</f>
        <v>6</v>
      </c>
      <c r="V13" s="442">
        <f>IFERROR(__xludf.DUMMYFUNCTION("""COMPUTED_VALUE"""),3.0)</f>
        <v>3</v>
      </c>
      <c r="W13" s="442">
        <f>IFERROR(__xludf.DUMMYFUNCTION("""COMPUTED_VALUE"""),0.0)</f>
        <v>0</v>
      </c>
      <c r="X13" s="442">
        <f>IFERROR(__xludf.DUMMYFUNCTION("""COMPUTED_VALUE"""),0.0)</f>
        <v>0</v>
      </c>
      <c r="Y13" s="442">
        <f>IFERROR(__xludf.DUMMYFUNCTION("""COMPUTED_VALUE"""),0.0)</f>
        <v>0</v>
      </c>
      <c r="Z13" s="442">
        <f>IFERROR(__xludf.DUMMYFUNCTION("""COMPUTED_VALUE"""),0.0)</f>
        <v>0</v>
      </c>
      <c r="AA13" s="442">
        <f>IFERROR(__xludf.DUMMYFUNCTION("""COMPUTED_VALUE"""),0.0)</f>
        <v>0</v>
      </c>
      <c r="AB13" s="442">
        <f>IFERROR(__xludf.DUMMYFUNCTION("""COMPUTED_VALUE"""),0.0)</f>
        <v>0</v>
      </c>
      <c r="AC13" s="442">
        <f>IFERROR(__xludf.DUMMYFUNCTION("""COMPUTED_VALUE"""),0.0)</f>
        <v>0</v>
      </c>
      <c r="AD13" s="442">
        <f>IFERROR(__xludf.DUMMYFUNCTION("""COMPUTED_VALUE"""),47.0)</f>
        <v>47</v>
      </c>
      <c r="AE13" s="442">
        <f>IFERROR(__xludf.DUMMYFUNCTION("""COMPUTED_VALUE"""),12.0)</f>
        <v>12</v>
      </c>
      <c r="AF13" s="442">
        <f>IFERROR(__xludf.DUMMYFUNCTION("""COMPUTED_VALUE"""),8.0)</f>
        <v>8</v>
      </c>
      <c r="AG13" s="443" t="s">
        <v>83</v>
      </c>
      <c r="AH13" s="444" t="s">
        <v>343</v>
      </c>
      <c r="AI13" s="444"/>
      <c r="AJ13" s="444"/>
      <c r="AK13" s="444"/>
      <c r="AL13" s="444"/>
      <c r="AM13" s="444"/>
      <c r="AN13" s="444"/>
      <c r="AO13" s="444"/>
      <c r="AP13" s="444"/>
      <c r="AQ13" s="444"/>
      <c r="AR13" s="444"/>
      <c r="AS13" s="444"/>
      <c r="AT13" s="444"/>
      <c r="AU13" s="444"/>
      <c r="AV13" s="444"/>
      <c r="AW13" s="444"/>
      <c r="AX13" s="444"/>
      <c r="AY13" s="444"/>
      <c r="AZ13" s="444"/>
      <c r="BA13" s="444"/>
      <c r="BB13" s="444"/>
      <c r="BC13" s="444"/>
      <c r="BD13" s="444"/>
      <c r="BE13" s="444"/>
    </row>
    <row r="14" hidden="1">
      <c r="A14" s="445">
        <f t="shared" si="5"/>
        <v>45304</v>
      </c>
      <c r="B14" s="434">
        <v>463.0</v>
      </c>
      <c r="C14" s="462">
        <v>0.5166666666666667</v>
      </c>
      <c r="D14" s="462">
        <v>0.8680555555555556</v>
      </c>
      <c r="E14" s="436">
        <f t="array" ref="E14">IF(B14=0,"",(J14+K14)/60)</f>
        <v>0.25</v>
      </c>
      <c r="F14" s="437">
        <f t="shared" si="1"/>
        <v>8.433333333</v>
      </c>
      <c r="G14" s="438">
        <f t="shared" si="2"/>
        <v>54.90118577</v>
      </c>
      <c r="H14" s="438">
        <f t="shared" si="3"/>
        <v>56.57841141</v>
      </c>
      <c r="I14" s="436">
        <f t="shared" si="4"/>
        <v>1.193504038</v>
      </c>
      <c r="J14" s="439">
        <v>15.0</v>
      </c>
      <c r="K14" s="464"/>
      <c r="L14" s="443"/>
      <c r="M14" s="442">
        <f>IFERROR(__xludf.DUMMYFUNCTION("""COMPUTED_VALUE"""),57.0)</f>
        <v>57</v>
      </c>
      <c r="N14" s="442">
        <f>IFERROR(__xludf.DUMMYFUNCTION("""COMPUTED_VALUE"""),49.0)</f>
        <v>49</v>
      </c>
      <c r="O14" s="442">
        <f>IFERROR(__xludf.DUMMYFUNCTION("""COMPUTED_VALUE"""),0.0)</f>
        <v>0</v>
      </c>
      <c r="P14" s="442">
        <f>IFERROR(__xludf.DUMMYFUNCTION("""COMPUTED_VALUE"""),1.0)</f>
        <v>1</v>
      </c>
      <c r="Q14" s="442">
        <f>IFERROR(__xludf.DUMMYFUNCTION("""COMPUTED_VALUE"""),0.0)</f>
        <v>0</v>
      </c>
      <c r="R14" s="442">
        <f>IFERROR(__xludf.DUMMYFUNCTION("""COMPUTED_VALUE"""),0.0)</f>
        <v>0</v>
      </c>
      <c r="S14" s="442">
        <f>IFERROR(__xludf.DUMMYFUNCTION("""COMPUTED_VALUE"""),1.0)</f>
        <v>1</v>
      </c>
      <c r="T14" s="442">
        <f>IFERROR(__xludf.DUMMYFUNCTION("""COMPUTED_VALUE"""),0.0)</f>
        <v>0</v>
      </c>
      <c r="U14" s="442">
        <f>IFERROR(__xludf.DUMMYFUNCTION("""COMPUTED_VALUE"""),6.0)</f>
        <v>6</v>
      </c>
      <c r="V14" s="442">
        <f>IFERROR(__xludf.DUMMYFUNCTION("""COMPUTED_VALUE"""),3.0)</f>
        <v>3</v>
      </c>
      <c r="W14" s="442">
        <f>IFERROR(__xludf.DUMMYFUNCTION("""COMPUTED_VALUE"""),0.0)</f>
        <v>0</v>
      </c>
      <c r="X14" s="442">
        <f>IFERROR(__xludf.DUMMYFUNCTION("""COMPUTED_VALUE"""),0.0)</f>
        <v>0</v>
      </c>
      <c r="Y14" s="442">
        <f>IFERROR(__xludf.DUMMYFUNCTION("""COMPUTED_VALUE"""),0.0)</f>
        <v>0</v>
      </c>
      <c r="Z14" s="442">
        <f>IFERROR(__xludf.DUMMYFUNCTION("""COMPUTED_VALUE"""),0.0)</f>
        <v>0</v>
      </c>
      <c r="AA14" s="442">
        <f>IFERROR(__xludf.DUMMYFUNCTION("""COMPUTED_VALUE"""),0.0)</f>
        <v>0</v>
      </c>
      <c r="AB14" s="442">
        <f>IFERROR(__xludf.DUMMYFUNCTION("""COMPUTED_VALUE"""),0.0)</f>
        <v>0</v>
      </c>
      <c r="AC14" s="442">
        <f>IFERROR(__xludf.DUMMYFUNCTION("""COMPUTED_VALUE"""),0.0)</f>
        <v>0</v>
      </c>
      <c r="AD14" s="442">
        <f>IFERROR(__xludf.DUMMYFUNCTION("""COMPUTED_VALUE"""),46.0)</f>
        <v>46</v>
      </c>
      <c r="AE14" s="442">
        <f>IFERROR(__xludf.DUMMYFUNCTION("""COMPUTED_VALUE"""),13.0)</f>
        <v>13</v>
      </c>
      <c r="AF14" s="442">
        <f>IFERROR(__xludf.DUMMYFUNCTION("""COMPUTED_VALUE"""),8.0)</f>
        <v>8</v>
      </c>
      <c r="AG14" s="443" t="s">
        <v>83</v>
      </c>
      <c r="AH14" s="444" t="s">
        <v>343</v>
      </c>
      <c r="AI14" s="444"/>
      <c r="AJ14" s="444"/>
      <c r="AK14" s="444"/>
      <c r="AL14" s="444"/>
      <c r="AM14" s="444"/>
      <c r="AN14" s="444"/>
      <c r="AO14" s="444"/>
      <c r="AP14" s="444"/>
      <c r="AQ14" s="444"/>
      <c r="AR14" s="444"/>
      <c r="AS14" s="444"/>
      <c r="AT14" s="444"/>
      <c r="AU14" s="444"/>
      <c r="AV14" s="444"/>
      <c r="AW14" s="444"/>
      <c r="AX14" s="444"/>
      <c r="AY14" s="444"/>
      <c r="AZ14" s="444"/>
      <c r="BA14" s="444"/>
      <c r="BB14" s="444"/>
      <c r="BC14" s="444"/>
      <c r="BD14" s="444"/>
      <c r="BE14" s="444"/>
    </row>
    <row r="15" hidden="1">
      <c r="A15" s="445">
        <f t="shared" si="5"/>
        <v>45305</v>
      </c>
      <c r="B15" s="434">
        <v>0.0</v>
      </c>
      <c r="C15" s="443"/>
      <c r="D15" s="443"/>
      <c r="E15" s="436" t="str">
        <f t="array" ref="E15">IF(B15=0,"",(J15+K15)/60)</f>
        <v/>
      </c>
      <c r="F15" s="437" t="str">
        <f t="shared" si="1"/>
        <v/>
      </c>
      <c r="G15" s="438" t="str">
        <f t="shared" si="2"/>
        <v/>
      </c>
      <c r="H15" s="438" t="str">
        <f t="shared" si="3"/>
        <v/>
      </c>
      <c r="I15" s="436" t="str">
        <f t="shared" si="4"/>
        <v/>
      </c>
      <c r="J15" s="439"/>
      <c r="K15" s="464"/>
      <c r="L15" s="443"/>
      <c r="M15" s="442">
        <f>IFERROR(__xludf.DUMMYFUNCTION("""COMPUTED_VALUE"""),57.0)</f>
        <v>57</v>
      </c>
      <c r="N15" s="442">
        <f>IFERROR(__xludf.DUMMYFUNCTION("""COMPUTED_VALUE"""),49.0)</f>
        <v>49</v>
      </c>
      <c r="O15" s="442">
        <f>IFERROR(__xludf.DUMMYFUNCTION("""COMPUTED_VALUE"""),0.0)</f>
        <v>0</v>
      </c>
      <c r="P15" s="442">
        <f>IFERROR(__xludf.DUMMYFUNCTION("""COMPUTED_VALUE"""),0.0)</f>
        <v>0</v>
      </c>
      <c r="Q15" s="442">
        <f>IFERROR(__xludf.DUMMYFUNCTION("""COMPUTED_VALUE"""),0.0)</f>
        <v>0</v>
      </c>
      <c r="R15" s="442">
        <f>IFERROR(__xludf.DUMMYFUNCTION("""COMPUTED_VALUE"""),0.0)</f>
        <v>0</v>
      </c>
      <c r="S15" s="442">
        <f>IFERROR(__xludf.DUMMYFUNCTION("""COMPUTED_VALUE"""),0.0)</f>
        <v>0</v>
      </c>
      <c r="T15" s="442">
        <f>IFERROR(__xludf.DUMMYFUNCTION("""COMPUTED_VALUE"""),0.0)</f>
        <v>0</v>
      </c>
      <c r="U15" s="442">
        <f>IFERROR(__xludf.DUMMYFUNCTION("""COMPUTED_VALUE"""),6.0)</f>
        <v>6</v>
      </c>
      <c r="V15" s="442">
        <f>IFERROR(__xludf.DUMMYFUNCTION("""COMPUTED_VALUE"""),0.0)</f>
        <v>0</v>
      </c>
      <c r="W15" s="442">
        <f>IFERROR(__xludf.DUMMYFUNCTION("""COMPUTED_VALUE"""),0.0)</f>
        <v>0</v>
      </c>
      <c r="X15" s="442">
        <f>IFERROR(__xludf.DUMMYFUNCTION("""COMPUTED_VALUE"""),0.0)</f>
        <v>0</v>
      </c>
      <c r="Y15" s="442">
        <f>IFERROR(__xludf.DUMMYFUNCTION("""COMPUTED_VALUE"""),0.0)</f>
        <v>0</v>
      </c>
      <c r="Z15" s="442">
        <f>IFERROR(__xludf.DUMMYFUNCTION("""COMPUTED_VALUE"""),0.0)</f>
        <v>0</v>
      </c>
      <c r="AA15" s="442">
        <f>IFERROR(__xludf.DUMMYFUNCTION("""COMPUTED_VALUE"""),0.0)</f>
        <v>0</v>
      </c>
      <c r="AB15" s="442">
        <f>IFERROR(__xludf.DUMMYFUNCTION("""COMPUTED_VALUE"""),0.0)</f>
        <v>0</v>
      </c>
      <c r="AC15" s="442">
        <f>IFERROR(__xludf.DUMMYFUNCTION("""COMPUTED_VALUE"""),0.0)</f>
        <v>0</v>
      </c>
      <c r="AD15" s="442">
        <f>IFERROR(__xludf.DUMMYFUNCTION("""COMPUTED_VALUE"""),0.0)</f>
        <v>0</v>
      </c>
      <c r="AE15" s="442">
        <f>IFERROR(__xludf.DUMMYFUNCTION("""COMPUTED_VALUE"""),8.0)</f>
        <v>8</v>
      </c>
      <c r="AF15" s="442">
        <f>IFERROR(__xludf.DUMMYFUNCTION("""COMPUTED_VALUE"""),8.0)</f>
        <v>8</v>
      </c>
      <c r="AG15" s="443" t="s">
        <v>83</v>
      </c>
      <c r="AH15" s="444" t="s">
        <v>343</v>
      </c>
      <c r="AI15" s="444"/>
      <c r="AJ15" s="444"/>
      <c r="AK15" s="444"/>
      <c r="AL15" s="444"/>
      <c r="AM15" s="444"/>
      <c r="AN15" s="444"/>
      <c r="AO15" s="444"/>
      <c r="AP15" s="444"/>
      <c r="AQ15" s="444"/>
      <c r="AR15" s="444"/>
      <c r="AS15" s="444"/>
      <c r="AT15" s="444"/>
      <c r="AU15" s="444"/>
      <c r="AV15" s="444"/>
      <c r="AW15" s="444"/>
      <c r="AX15" s="444"/>
      <c r="AY15" s="444"/>
      <c r="AZ15" s="444"/>
      <c r="BA15" s="444"/>
      <c r="BB15" s="444"/>
      <c r="BC15" s="444"/>
      <c r="BD15" s="444"/>
      <c r="BE15" s="444"/>
    </row>
    <row r="16" hidden="1">
      <c r="A16" s="445">
        <f t="shared" si="5"/>
        <v>45306</v>
      </c>
      <c r="B16" s="434">
        <v>392.0</v>
      </c>
      <c r="C16" s="462">
        <v>0.5166666666666667</v>
      </c>
      <c r="D16" s="462">
        <v>0.8229166666666666</v>
      </c>
      <c r="E16" s="436">
        <f t="array" ref="E16">IF(B16=0,"",(J16+K16)/60)</f>
        <v>0.25</v>
      </c>
      <c r="F16" s="437">
        <f t="shared" si="1"/>
        <v>7.35</v>
      </c>
      <c r="G16" s="438">
        <f t="shared" si="2"/>
        <v>53.33333333</v>
      </c>
      <c r="H16" s="438">
        <f t="shared" si="3"/>
        <v>55.21126761</v>
      </c>
      <c r="I16" s="436">
        <f t="shared" si="4"/>
        <v>1.111111111</v>
      </c>
      <c r="J16" s="439">
        <v>15.0</v>
      </c>
      <c r="K16" s="464"/>
      <c r="L16" s="443"/>
      <c r="M16" s="442">
        <f>IFERROR(__xludf.DUMMYFUNCTION("""COMPUTED_VALUE"""),57.0)</f>
        <v>57</v>
      </c>
      <c r="N16" s="442">
        <f>IFERROR(__xludf.DUMMYFUNCTION("""COMPUTED_VALUE"""),49.0)</f>
        <v>49</v>
      </c>
      <c r="O16" s="442">
        <f>IFERROR(__xludf.DUMMYFUNCTION("""COMPUTED_VALUE"""),0.0)</f>
        <v>0</v>
      </c>
      <c r="P16" s="442">
        <f>IFERROR(__xludf.DUMMYFUNCTION("""COMPUTED_VALUE"""),0.0)</f>
        <v>0</v>
      </c>
      <c r="Q16" s="442">
        <f>IFERROR(__xludf.DUMMYFUNCTION("""COMPUTED_VALUE"""),0.0)</f>
        <v>0</v>
      </c>
      <c r="R16" s="442">
        <f>IFERROR(__xludf.DUMMYFUNCTION("""COMPUTED_VALUE"""),0.0)</f>
        <v>0</v>
      </c>
      <c r="S16" s="442">
        <f>IFERROR(__xludf.DUMMYFUNCTION("""COMPUTED_VALUE"""),0.0)</f>
        <v>0</v>
      </c>
      <c r="T16" s="442">
        <f>IFERROR(__xludf.DUMMYFUNCTION("""COMPUTED_VALUE"""),0.0)</f>
        <v>0</v>
      </c>
      <c r="U16" s="442">
        <f>IFERROR(__xludf.DUMMYFUNCTION("""COMPUTED_VALUE"""),6.0)</f>
        <v>6</v>
      </c>
      <c r="V16" s="442">
        <f>IFERROR(__xludf.DUMMYFUNCTION("""COMPUTED_VALUE"""),3.0)</f>
        <v>3</v>
      </c>
      <c r="W16" s="442">
        <f>IFERROR(__xludf.DUMMYFUNCTION("""COMPUTED_VALUE"""),0.0)</f>
        <v>0</v>
      </c>
      <c r="X16" s="442">
        <f>IFERROR(__xludf.DUMMYFUNCTION("""COMPUTED_VALUE"""),0.0)</f>
        <v>0</v>
      </c>
      <c r="Y16" s="442">
        <f>IFERROR(__xludf.DUMMYFUNCTION("""COMPUTED_VALUE"""),0.0)</f>
        <v>0</v>
      </c>
      <c r="Z16" s="442">
        <f>IFERROR(__xludf.DUMMYFUNCTION("""COMPUTED_VALUE"""),0.0)</f>
        <v>0</v>
      </c>
      <c r="AA16" s="442">
        <f>IFERROR(__xludf.DUMMYFUNCTION("""COMPUTED_VALUE"""),0.0)</f>
        <v>0</v>
      </c>
      <c r="AB16" s="442">
        <f>IFERROR(__xludf.DUMMYFUNCTION("""COMPUTED_VALUE"""),0.0)</f>
        <v>0</v>
      </c>
      <c r="AC16" s="442">
        <f>IFERROR(__xludf.DUMMYFUNCTION("""COMPUTED_VALUE"""),0.0)</f>
        <v>0</v>
      </c>
      <c r="AD16" s="442">
        <f>IFERROR(__xludf.DUMMYFUNCTION("""COMPUTED_VALUE"""),48.0)</f>
        <v>48</v>
      </c>
      <c r="AE16" s="442">
        <f>IFERROR(__xludf.DUMMYFUNCTION("""COMPUTED_VALUE"""),11.0)</f>
        <v>11</v>
      </c>
      <c r="AF16" s="442">
        <f>IFERROR(__xludf.DUMMYFUNCTION("""COMPUTED_VALUE"""),8.0)</f>
        <v>8</v>
      </c>
      <c r="AG16" s="443" t="s">
        <v>83</v>
      </c>
      <c r="AH16" s="444" t="s">
        <v>343</v>
      </c>
      <c r="AI16" s="444"/>
      <c r="AJ16" s="444"/>
      <c r="AK16" s="444"/>
      <c r="AL16" s="444"/>
      <c r="AM16" s="444"/>
      <c r="AN16" s="444"/>
      <c r="AO16" s="444"/>
      <c r="AP16" s="444"/>
      <c r="AQ16" s="444"/>
      <c r="AR16" s="444"/>
      <c r="AS16" s="444"/>
      <c r="AT16" s="444"/>
      <c r="AU16" s="444"/>
      <c r="AV16" s="444"/>
      <c r="AW16" s="444"/>
      <c r="AX16" s="444"/>
      <c r="AY16" s="444"/>
      <c r="AZ16" s="444"/>
      <c r="BA16" s="444"/>
      <c r="BB16" s="444"/>
      <c r="BC16" s="444"/>
      <c r="BD16" s="444"/>
      <c r="BE16" s="444"/>
    </row>
    <row r="17" hidden="1">
      <c r="A17" s="445">
        <f t="shared" si="5"/>
        <v>45307</v>
      </c>
      <c r="B17" s="434">
        <v>421.0</v>
      </c>
      <c r="C17" s="462">
        <v>0.5159722222222223</v>
      </c>
      <c r="D17" s="462">
        <v>0.85625</v>
      </c>
      <c r="E17" s="436">
        <f t="array" ref="E17">IF(B17=0,"",(J17+K17)/60)</f>
        <v>0.25</v>
      </c>
      <c r="F17" s="437">
        <f t="shared" si="1"/>
        <v>8.166666667</v>
      </c>
      <c r="G17" s="438">
        <f t="shared" si="2"/>
        <v>51.55102041</v>
      </c>
      <c r="H17" s="438">
        <f t="shared" si="3"/>
        <v>53.17894737</v>
      </c>
      <c r="I17" s="436">
        <f t="shared" si="4"/>
        <v>1.096830221</v>
      </c>
      <c r="J17" s="439">
        <v>15.0</v>
      </c>
      <c r="K17" s="464"/>
      <c r="L17" s="443"/>
      <c r="M17" s="442">
        <f>IFERROR(__xludf.DUMMYFUNCTION("""COMPUTED_VALUE"""),57.0)</f>
        <v>57</v>
      </c>
      <c r="N17" s="442">
        <f>IFERROR(__xludf.DUMMYFUNCTION("""COMPUTED_VALUE"""),49.0)</f>
        <v>49</v>
      </c>
      <c r="O17" s="442">
        <f>IFERROR(__xludf.DUMMYFUNCTION("""COMPUTED_VALUE"""),0.0)</f>
        <v>0</v>
      </c>
      <c r="P17" s="442">
        <f>IFERROR(__xludf.DUMMYFUNCTION("""COMPUTED_VALUE"""),0.0)</f>
        <v>0</v>
      </c>
      <c r="Q17" s="442">
        <f>IFERROR(__xludf.DUMMYFUNCTION("""COMPUTED_VALUE"""),0.0)</f>
        <v>0</v>
      </c>
      <c r="R17" s="442">
        <f>IFERROR(__xludf.DUMMYFUNCTION("""COMPUTED_VALUE"""),0.0)</f>
        <v>0</v>
      </c>
      <c r="S17" s="442">
        <f>IFERROR(__xludf.DUMMYFUNCTION("""COMPUTED_VALUE"""),0.0)</f>
        <v>0</v>
      </c>
      <c r="T17" s="442">
        <f>IFERROR(__xludf.DUMMYFUNCTION("""COMPUTED_VALUE"""),0.0)</f>
        <v>0</v>
      </c>
      <c r="U17" s="442">
        <f>IFERROR(__xludf.DUMMYFUNCTION("""COMPUTED_VALUE"""),6.0)</f>
        <v>6</v>
      </c>
      <c r="V17" s="442">
        <f>IFERROR(__xludf.DUMMYFUNCTION("""COMPUTED_VALUE"""),3.0)</f>
        <v>3</v>
      </c>
      <c r="W17" s="442">
        <f>IFERROR(__xludf.DUMMYFUNCTION("""COMPUTED_VALUE"""),0.0)</f>
        <v>0</v>
      </c>
      <c r="X17" s="442">
        <f>IFERROR(__xludf.DUMMYFUNCTION("""COMPUTED_VALUE"""),0.0)</f>
        <v>0</v>
      </c>
      <c r="Y17" s="442">
        <f>IFERROR(__xludf.DUMMYFUNCTION("""COMPUTED_VALUE"""),0.0)</f>
        <v>0</v>
      </c>
      <c r="Z17" s="442">
        <f>IFERROR(__xludf.DUMMYFUNCTION("""COMPUTED_VALUE"""),1.0)</f>
        <v>1</v>
      </c>
      <c r="AA17" s="442">
        <f>IFERROR(__xludf.DUMMYFUNCTION("""COMPUTED_VALUE"""),0.0)</f>
        <v>0</v>
      </c>
      <c r="AB17" s="442">
        <f>IFERROR(__xludf.DUMMYFUNCTION("""COMPUTED_VALUE"""),0.0)</f>
        <v>0</v>
      </c>
      <c r="AC17" s="442">
        <f>IFERROR(__xludf.DUMMYFUNCTION("""COMPUTED_VALUE"""),0.0)</f>
        <v>0</v>
      </c>
      <c r="AD17" s="442">
        <f>IFERROR(__xludf.DUMMYFUNCTION("""COMPUTED_VALUE"""),47.0)</f>
        <v>47</v>
      </c>
      <c r="AE17" s="442">
        <f>IFERROR(__xludf.DUMMYFUNCTION("""COMPUTED_VALUE"""),12.0)</f>
        <v>12</v>
      </c>
      <c r="AF17" s="442">
        <f>IFERROR(__xludf.DUMMYFUNCTION("""COMPUTED_VALUE"""),8.0)</f>
        <v>8</v>
      </c>
      <c r="AG17" s="443" t="s">
        <v>83</v>
      </c>
      <c r="AH17" s="444" t="s">
        <v>343</v>
      </c>
      <c r="AI17" s="444"/>
      <c r="AJ17" s="444"/>
      <c r="AK17" s="444"/>
      <c r="AL17" s="444"/>
      <c r="AM17" s="444"/>
      <c r="AN17" s="444"/>
      <c r="AO17" s="444"/>
      <c r="AP17" s="444"/>
      <c r="AQ17" s="444"/>
      <c r="AR17" s="444"/>
      <c r="AS17" s="444"/>
      <c r="AT17" s="444"/>
      <c r="AU17" s="444"/>
      <c r="AV17" s="444"/>
      <c r="AW17" s="444"/>
      <c r="AX17" s="444"/>
      <c r="AY17" s="444"/>
      <c r="AZ17" s="444"/>
      <c r="BA17" s="444"/>
      <c r="BB17" s="444"/>
      <c r="BC17" s="444"/>
      <c r="BD17" s="444"/>
      <c r="BE17" s="444"/>
    </row>
    <row r="18" hidden="1">
      <c r="A18" s="445">
        <f t="shared" si="5"/>
        <v>45308</v>
      </c>
      <c r="B18" s="434">
        <v>482.0</v>
      </c>
      <c r="C18" s="462">
        <v>0.5166666666666667</v>
      </c>
      <c r="D18" s="462">
        <v>0.8840277777777777</v>
      </c>
      <c r="E18" s="436">
        <f t="array" ref="E18">IF(B18=0,"",(J18+K18)/60)</f>
        <v>0.25</v>
      </c>
      <c r="F18" s="437">
        <f t="shared" si="1"/>
        <v>8.816666667</v>
      </c>
      <c r="G18" s="438">
        <f t="shared" si="2"/>
        <v>54.66918715</v>
      </c>
      <c r="H18" s="438">
        <f t="shared" si="3"/>
        <v>56.26459144</v>
      </c>
      <c r="I18" s="436">
        <f t="shared" si="4"/>
        <v>1.115697697</v>
      </c>
      <c r="J18" s="439">
        <v>15.0</v>
      </c>
      <c r="K18" s="464"/>
      <c r="L18" s="443"/>
      <c r="M18" s="447">
        <f>IFERROR(__xludf.DUMMYFUNCTION("""COMPUTED_VALUE"""),57.0)</f>
        <v>57</v>
      </c>
      <c r="N18" s="447">
        <f>IFERROR(__xludf.DUMMYFUNCTION("""COMPUTED_VALUE"""),51.0)</f>
        <v>51</v>
      </c>
      <c r="O18" s="447">
        <f>IFERROR(__xludf.DUMMYFUNCTION("""COMPUTED_VALUE"""),0.0)</f>
        <v>0</v>
      </c>
      <c r="P18" s="447">
        <f>IFERROR(__xludf.DUMMYFUNCTION("""COMPUTED_VALUE"""),0.0)</f>
        <v>0</v>
      </c>
      <c r="Q18" s="447">
        <f>IFERROR(__xludf.DUMMYFUNCTION("""COMPUTED_VALUE"""),0.0)</f>
        <v>0</v>
      </c>
      <c r="R18" s="447">
        <f>IFERROR(__xludf.DUMMYFUNCTION("""COMPUTED_VALUE"""),0.0)</f>
        <v>0</v>
      </c>
      <c r="S18" s="447">
        <f>IFERROR(__xludf.DUMMYFUNCTION("""COMPUTED_VALUE"""),0.0)</f>
        <v>0</v>
      </c>
      <c r="T18" s="447">
        <f>IFERROR(__xludf.DUMMYFUNCTION("""COMPUTED_VALUE"""),0.0)</f>
        <v>0</v>
      </c>
      <c r="U18" s="447">
        <f>IFERROR(__xludf.DUMMYFUNCTION("""COMPUTED_VALUE"""),4.0)</f>
        <v>4</v>
      </c>
      <c r="V18" s="447">
        <f>IFERROR(__xludf.DUMMYFUNCTION("""COMPUTED_VALUE"""),3.0)</f>
        <v>3</v>
      </c>
      <c r="W18" s="447">
        <f>IFERROR(__xludf.DUMMYFUNCTION("""COMPUTED_VALUE"""),1.0)</f>
        <v>1</v>
      </c>
      <c r="X18" s="447">
        <f>IFERROR(__xludf.DUMMYFUNCTION("""COMPUTED_VALUE"""),0.0)</f>
        <v>0</v>
      </c>
      <c r="Y18" s="447">
        <f>IFERROR(__xludf.DUMMYFUNCTION("""COMPUTED_VALUE"""),0.0)</f>
        <v>0</v>
      </c>
      <c r="Z18" s="447">
        <f>IFERROR(__xludf.DUMMYFUNCTION("""COMPUTED_VALUE"""),0.0)</f>
        <v>0</v>
      </c>
      <c r="AA18" s="447">
        <f>IFERROR(__xludf.DUMMYFUNCTION("""COMPUTED_VALUE"""),0.0)</f>
        <v>0</v>
      </c>
      <c r="AB18" s="447">
        <f>IFERROR(__xludf.DUMMYFUNCTION("""COMPUTED_VALUE"""),0.0)</f>
        <v>0</v>
      </c>
      <c r="AC18" s="447">
        <f>IFERROR(__xludf.DUMMYFUNCTION("""COMPUTED_VALUE"""),0.0)</f>
        <v>0</v>
      </c>
      <c r="AD18" s="447">
        <f>IFERROR(__xludf.DUMMYFUNCTION("""COMPUTED_VALUE"""),49.0)</f>
        <v>49</v>
      </c>
      <c r="AE18" s="447">
        <f>IFERROR(__xludf.DUMMYFUNCTION("""COMPUTED_VALUE"""),10.0)</f>
        <v>10</v>
      </c>
      <c r="AF18" s="447">
        <f>IFERROR(__xludf.DUMMYFUNCTION("""COMPUTED_VALUE"""),6.0)</f>
        <v>6</v>
      </c>
      <c r="AG18" s="443" t="s">
        <v>83</v>
      </c>
      <c r="AH18" s="443" t="s">
        <v>343</v>
      </c>
      <c r="AI18" s="443"/>
      <c r="AJ18" s="443"/>
      <c r="AK18" s="443"/>
      <c r="AL18" s="443"/>
      <c r="AM18" s="443"/>
      <c r="AN18" s="443"/>
      <c r="AO18" s="443"/>
      <c r="AP18" s="443"/>
      <c r="AQ18" s="443"/>
      <c r="AR18" s="443"/>
      <c r="AS18" s="443"/>
      <c r="AT18" s="443"/>
      <c r="AU18" s="443"/>
      <c r="AV18" s="443"/>
      <c r="AW18" s="443"/>
      <c r="AX18" s="443"/>
      <c r="AY18" s="443"/>
      <c r="AZ18" s="443"/>
      <c r="BA18" s="443"/>
      <c r="BB18" s="443"/>
      <c r="BC18" s="443"/>
      <c r="BD18" s="443"/>
      <c r="BE18" s="443"/>
    </row>
    <row r="19" hidden="1">
      <c r="A19" s="445">
        <f t="shared" si="5"/>
        <v>45309</v>
      </c>
      <c r="B19" s="434">
        <v>484.0</v>
      </c>
      <c r="C19" s="462">
        <v>0.5159722222222223</v>
      </c>
      <c r="D19" s="462">
        <v>0.8993055555555556</v>
      </c>
      <c r="E19" s="436">
        <f t="array" ref="E19">IF(B19=0,"",(J19+K19)/60)</f>
        <v>0.25</v>
      </c>
      <c r="F19" s="437">
        <f t="shared" si="1"/>
        <v>9.2</v>
      </c>
      <c r="G19" s="438">
        <f t="shared" si="2"/>
        <v>52.60869565</v>
      </c>
      <c r="H19" s="438">
        <f t="shared" si="3"/>
        <v>54.07821229</v>
      </c>
      <c r="I19" s="436">
        <f t="shared" si="4"/>
        <v>1.07364685</v>
      </c>
      <c r="J19" s="439">
        <v>15.0</v>
      </c>
      <c r="K19" s="464"/>
      <c r="L19" s="443"/>
      <c r="M19" s="447">
        <f>IFERROR(__xludf.DUMMYFUNCTION("""COMPUTED_VALUE"""),57.0)</f>
        <v>57</v>
      </c>
      <c r="N19" s="447">
        <f>IFERROR(__xludf.DUMMYFUNCTION("""COMPUTED_VALUE"""),51.0)</f>
        <v>51</v>
      </c>
      <c r="O19" s="447">
        <f>IFERROR(__xludf.DUMMYFUNCTION("""COMPUTED_VALUE"""),0.0)</f>
        <v>0</v>
      </c>
      <c r="P19" s="447">
        <f>IFERROR(__xludf.DUMMYFUNCTION("""COMPUTED_VALUE"""),0.0)</f>
        <v>0</v>
      </c>
      <c r="Q19" s="447">
        <f>IFERROR(__xludf.DUMMYFUNCTION("""COMPUTED_VALUE"""),0.0)</f>
        <v>0</v>
      </c>
      <c r="R19" s="447">
        <f>IFERROR(__xludf.DUMMYFUNCTION("""COMPUTED_VALUE"""),0.0)</f>
        <v>0</v>
      </c>
      <c r="S19" s="447">
        <f>IFERROR(__xludf.DUMMYFUNCTION("""COMPUTED_VALUE"""),0.0)</f>
        <v>0</v>
      </c>
      <c r="T19" s="447">
        <f>IFERROR(__xludf.DUMMYFUNCTION("""COMPUTED_VALUE"""),0.0)</f>
        <v>0</v>
      </c>
      <c r="U19" s="447">
        <f>IFERROR(__xludf.DUMMYFUNCTION("""COMPUTED_VALUE"""),4.0)</f>
        <v>4</v>
      </c>
      <c r="V19" s="447">
        <f>IFERROR(__xludf.DUMMYFUNCTION("""COMPUTED_VALUE"""),3.0)</f>
        <v>3</v>
      </c>
      <c r="W19" s="447">
        <f>IFERROR(__xludf.DUMMYFUNCTION("""COMPUTED_VALUE"""),1.0)</f>
        <v>1</v>
      </c>
      <c r="X19" s="447">
        <f>IFERROR(__xludf.DUMMYFUNCTION("""COMPUTED_VALUE"""),0.0)</f>
        <v>0</v>
      </c>
      <c r="Y19" s="447">
        <f>IFERROR(__xludf.DUMMYFUNCTION("""COMPUTED_VALUE"""),0.0)</f>
        <v>0</v>
      </c>
      <c r="Z19" s="447">
        <f>IFERROR(__xludf.DUMMYFUNCTION("""COMPUTED_VALUE"""),0.0)</f>
        <v>0</v>
      </c>
      <c r="AA19" s="447">
        <f>IFERROR(__xludf.DUMMYFUNCTION("""COMPUTED_VALUE"""),0.0)</f>
        <v>0</v>
      </c>
      <c r="AB19" s="447">
        <f>IFERROR(__xludf.DUMMYFUNCTION("""COMPUTED_VALUE"""),0.0)</f>
        <v>0</v>
      </c>
      <c r="AC19" s="447">
        <f>IFERROR(__xludf.DUMMYFUNCTION("""COMPUTED_VALUE"""),0.0)</f>
        <v>0</v>
      </c>
      <c r="AD19" s="447">
        <f>IFERROR(__xludf.DUMMYFUNCTION("""COMPUTED_VALUE"""),49.0)</f>
        <v>49</v>
      </c>
      <c r="AE19" s="447">
        <f>IFERROR(__xludf.DUMMYFUNCTION("""COMPUTED_VALUE"""),10.0)</f>
        <v>10</v>
      </c>
      <c r="AF19" s="447">
        <f>IFERROR(__xludf.DUMMYFUNCTION("""COMPUTED_VALUE"""),6.0)</f>
        <v>6</v>
      </c>
      <c r="AG19" s="443" t="s">
        <v>83</v>
      </c>
      <c r="AH19" s="443" t="s">
        <v>343</v>
      </c>
      <c r="AI19" s="443"/>
      <c r="AJ19" s="443"/>
      <c r="AK19" s="443"/>
      <c r="AL19" s="443"/>
      <c r="AM19" s="443"/>
      <c r="AN19" s="443"/>
      <c r="AO19" s="443"/>
      <c r="AP19" s="443"/>
      <c r="AQ19" s="443"/>
      <c r="AR19" s="443"/>
      <c r="AS19" s="443"/>
      <c r="AT19" s="443"/>
      <c r="AU19" s="443"/>
      <c r="AV19" s="443"/>
      <c r="AW19" s="443"/>
      <c r="AX19" s="443"/>
      <c r="AY19" s="443"/>
      <c r="AZ19" s="443"/>
      <c r="BA19" s="443"/>
      <c r="BB19" s="443"/>
      <c r="BC19" s="443"/>
      <c r="BD19" s="443"/>
      <c r="BE19" s="443"/>
    </row>
    <row r="20" hidden="1">
      <c r="A20" s="445">
        <f t="shared" si="5"/>
        <v>45310</v>
      </c>
      <c r="B20" s="434">
        <v>464.0</v>
      </c>
      <c r="C20" s="462">
        <v>0.43333333333333335</v>
      </c>
      <c r="D20" s="462">
        <v>0.8041666666666667</v>
      </c>
      <c r="E20" s="436">
        <f t="array" ref="E20">IF(B20=0,"",(J20+K20)/60)</f>
        <v>1</v>
      </c>
      <c r="F20" s="437">
        <f t="shared" si="1"/>
        <v>8.9</v>
      </c>
      <c r="G20" s="438">
        <f t="shared" si="2"/>
        <v>52.13483146</v>
      </c>
      <c r="H20" s="438">
        <f t="shared" si="3"/>
        <v>58.73417722</v>
      </c>
      <c r="I20" s="436">
        <f t="shared" si="4"/>
        <v>1.042696629</v>
      </c>
      <c r="J20" s="439">
        <v>60.0</v>
      </c>
      <c r="K20" s="464"/>
      <c r="L20" s="443"/>
      <c r="M20" s="447">
        <f>IFERROR(__xludf.DUMMYFUNCTION("""COMPUTED_VALUE"""),57.0)</f>
        <v>57</v>
      </c>
      <c r="N20" s="447">
        <f>IFERROR(__xludf.DUMMYFUNCTION("""COMPUTED_VALUE"""),51.0)</f>
        <v>51</v>
      </c>
      <c r="O20" s="447">
        <f>IFERROR(__xludf.DUMMYFUNCTION("""COMPUTED_VALUE"""),0.0)</f>
        <v>0</v>
      </c>
      <c r="P20" s="447">
        <f>IFERROR(__xludf.DUMMYFUNCTION("""COMPUTED_VALUE"""),0.0)</f>
        <v>0</v>
      </c>
      <c r="Q20" s="447">
        <f>IFERROR(__xludf.DUMMYFUNCTION("""COMPUTED_VALUE"""),0.0)</f>
        <v>0</v>
      </c>
      <c r="R20" s="447">
        <f>IFERROR(__xludf.DUMMYFUNCTION("""COMPUTED_VALUE"""),0.0)</f>
        <v>0</v>
      </c>
      <c r="S20" s="447">
        <f>IFERROR(__xludf.DUMMYFUNCTION("""COMPUTED_VALUE"""),0.0)</f>
        <v>0</v>
      </c>
      <c r="T20" s="447">
        <f>IFERROR(__xludf.DUMMYFUNCTION("""COMPUTED_VALUE"""),0.0)</f>
        <v>0</v>
      </c>
      <c r="U20" s="447">
        <f>IFERROR(__xludf.DUMMYFUNCTION("""COMPUTED_VALUE"""),4.0)</f>
        <v>4</v>
      </c>
      <c r="V20" s="447">
        <f>IFERROR(__xludf.DUMMYFUNCTION("""COMPUTED_VALUE"""),3.0)</f>
        <v>3</v>
      </c>
      <c r="W20" s="447">
        <f>IFERROR(__xludf.DUMMYFUNCTION("""COMPUTED_VALUE"""),0.0)</f>
        <v>0</v>
      </c>
      <c r="X20" s="447">
        <f>IFERROR(__xludf.DUMMYFUNCTION("""COMPUTED_VALUE"""),0.0)</f>
        <v>0</v>
      </c>
      <c r="Y20" s="447">
        <f>IFERROR(__xludf.DUMMYFUNCTION("""COMPUTED_VALUE"""),0.0)</f>
        <v>0</v>
      </c>
      <c r="Z20" s="447">
        <f>IFERROR(__xludf.DUMMYFUNCTION("""COMPUTED_VALUE"""),0.0)</f>
        <v>0</v>
      </c>
      <c r="AA20" s="447">
        <f>IFERROR(__xludf.DUMMYFUNCTION("""COMPUTED_VALUE"""),0.0)</f>
        <v>0</v>
      </c>
      <c r="AB20" s="447">
        <f>IFERROR(__xludf.DUMMYFUNCTION("""COMPUTED_VALUE"""),0.0)</f>
        <v>0</v>
      </c>
      <c r="AC20" s="447">
        <f>IFERROR(__xludf.DUMMYFUNCTION("""COMPUTED_VALUE"""),0.0)</f>
        <v>0</v>
      </c>
      <c r="AD20" s="447">
        <f>IFERROR(__xludf.DUMMYFUNCTION("""COMPUTED_VALUE"""),50.0)</f>
        <v>50</v>
      </c>
      <c r="AE20" s="447">
        <f>IFERROR(__xludf.DUMMYFUNCTION("""COMPUTED_VALUE"""),9.0)</f>
        <v>9</v>
      </c>
      <c r="AF20" s="447">
        <f>IFERROR(__xludf.DUMMYFUNCTION("""COMPUTED_VALUE"""),6.0)</f>
        <v>6</v>
      </c>
      <c r="AG20" s="443" t="s">
        <v>83</v>
      </c>
      <c r="AH20" s="443" t="s">
        <v>343</v>
      </c>
      <c r="AI20" s="443"/>
      <c r="AJ20" s="443"/>
      <c r="AK20" s="443"/>
      <c r="AL20" s="443"/>
      <c r="AM20" s="443"/>
      <c r="AN20" s="443"/>
      <c r="AO20" s="443"/>
      <c r="AP20" s="443"/>
      <c r="AQ20" s="443"/>
      <c r="AR20" s="443"/>
      <c r="AS20" s="443"/>
      <c r="AT20" s="443"/>
      <c r="AU20" s="443"/>
      <c r="AV20" s="443"/>
      <c r="AW20" s="443"/>
      <c r="AX20" s="443"/>
      <c r="AY20" s="443"/>
      <c r="AZ20" s="443"/>
      <c r="BA20" s="443"/>
      <c r="BB20" s="443"/>
      <c r="BC20" s="443"/>
      <c r="BD20" s="443"/>
      <c r="BE20" s="443"/>
    </row>
    <row r="21" hidden="1">
      <c r="A21" s="445">
        <f t="shared" si="5"/>
        <v>45311</v>
      </c>
      <c r="B21" s="434">
        <v>427.0</v>
      </c>
      <c r="C21" s="462">
        <v>0.4326388888888889</v>
      </c>
      <c r="D21" s="462">
        <v>0.7743055555555556</v>
      </c>
      <c r="E21" s="436">
        <f t="array" ref="E21">IF(B21=0,"",(J21+K21)/60)</f>
        <v>1</v>
      </c>
      <c r="F21" s="437">
        <f t="shared" si="1"/>
        <v>8.2</v>
      </c>
      <c r="G21" s="438">
        <f t="shared" si="2"/>
        <v>52.07317073</v>
      </c>
      <c r="H21" s="438">
        <f t="shared" si="3"/>
        <v>59.30555556</v>
      </c>
      <c r="I21" s="436">
        <f t="shared" si="4"/>
        <v>1.041463415</v>
      </c>
      <c r="J21" s="439">
        <v>60.0</v>
      </c>
      <c r="K21" s="464"/>
      <c r="L21" s="443"/>
      <c r="M21" s="447">
        <f>IFERROR(__xludf.DUMMYFUNCTION("""COMPUTED_VALUE"""),57.0)</f>
        <v>57</v>
      </c>
      <c r="N21" s="447">
        <f>IFERROR(__xludf.DUMMYFUNCTION("""COMPUTED_VALUE"""),51.0)</f>
        <v>51</v>
      </c>
      <c r="O21" s="447">
        <f>IFERROR(__xludf.DUMMYFUNCTION("""COMPUTED_VALUE"""),0.0)</f>
        <v>0</v>
      </c>
      <c r="P21" s="447">
        <f>IFERROR(__xludf.DUMMYFUNCTION("""COMPUTED_VALUE"""),0.0)</f>
        <v>0</v>
      </c>
      <c r="Q21" s="447">
        <f>IFERROR(__xludf.DUMMYFUNCTION("""COMPUTED_VALUE"""),0.0)</f>
        <v>0</v>
      </c>
      <c r="R21" s="447">
        <f>IFERROR(__xludf.DUMMYFUNCTION("""COMPUTED_VALUE"""),0.0)</f>
        <v>0</v>
      </c>
      <c r="S21" s="447">
        <f>IFERROR(__xludf.DUMMYFUNCTION("""COMPUTED_VALUE"""),0.0)</f>
        <v>0</v>
      </c>
      <c r="T21" s="447">
        <f>IFERROR(__xludf.DUMMYFUNCTION("""COMPUTED_VALUE"""),0.0)</f>
        <v>0</v>
      </c>
      <c r="U21" s="447">
        <f>IFERROR(__xludf.DUMMYFUNCTION("""COMPUTED_VALUE"""),4.0)</f>
        <v>4</v>
      </c>
      <c r="V21" s="447">
        <f>IFERROR(__xludf.DUMMYFUNCTION("""COMPUTED_VALUE"""),0.0)</f>
        <v>0</v>
      </c>
      <c r="W21" s="447">
        <f>IFERROR(__xludf.DUMMYFUNCTION("""COMPUTED_VALUE"""),0.0)</f>
        <v>0</v>
      </c>
      <c r="X21" s="447">
        <f>IFERROR(__xludf.DUMMYFUNCTION("""COMPUTED_VALUE"""),0.0)</f>
        <v>0</v>
      </c>
      <c r="Y21" s="447">
        <f>IFERROR(__xludf.DUMMYFUNCTION("""COMPUTED_VALUE"""),0.0)</f>
        <v>0</v>
      </c>
      <c r="Z21" s="447">
        <f>IFERROR(__xludf.DUMMYFUNCTION("""COMPUTED_VALUE"""),0.0)</f>
        <v>0</v>
      </c>
      <c r="AA21" s="447">
        <f>IFERROR(__xludf.DUMMYFUNCTION("""COMPUTED_VALUE"""),2.0)</f>
        <v>2</v>
      </c>
      <c r="AB21" s="447">
        <f>IFERROR(__xludf.DUMMYFUNCTION("""COMPUTED_VALUE"""),0.0)</f>
        <v>0</v>
      </c>
      <c r="AC21" s="447">
        <f>IFERROR(__xludf.DUMMYFUNCTION("""COMPUTED_VALUE"""),0.0)</f>
        <v>0</v>
      </c>
      <c r="AD21" s="447">
        <f>IFERROR(__xludf.DUMMYFUNCTION("""COMPUTED_VALUE"""),50.0)</f>
        <v>50</v>
      </c>
      <c r="AE21" s="447">
        <f>IFERROR(__xludf.DUMMYFUNCTION("""COMPUTED_VALUE"""),8.0)</f>
        <v>8</v>
      </c>
      <c r="AF21" s="447">
        <f>IFERROR(__xludf.DUMMYFUNCTION("""COMPUTED_VALUE"""),6.0)</f>
        <v>6</v>
      </c>
      <c r="AG21" s="443" t="s">
        <v>83</v>
      </c>
      <c r="AH21" s="443" t="s">
        <v>343</v>
      </c>
      <c r="AI21" s="443"/>
      <c r="AJ21" s="443"/>
      <c r="AK21" s="443"/>
      <c r="AL21" s="443"/>
      <c r="AM21" s="443"/>
      <c r="AN21" s="443"/>
      <c r="AO21" s="443"/>
      <c r="AP21" s="443"/>
      <c r="AQ21" s="443"/>
      <c r="AR21" s="443"/>
      <c r="AS21" s="443"/>
      <c r="AT21" s="443"/>
      <c r="AU21" s="443"/>
      <c r="AV21" s="443"/>
      <c r="AW21" s="443"/>
      <c r="AX21" s="443"/>
      <c r="AY21" s="443"/>
      <c r="AZ21" s="443"/>
      <c r="BA21" s="443"/>
      <c r="BB21" s="443"/>
      <c r="BC21" s="443"/>
      <c r="BD21" s="443"/>
      <c r="BE21" s="443"/>
    </row>
    <row r="22" hidden="1">
      <c r="A22" s="445">
        <f t="shared" si="5"/>
        <v>45312</v>
      </c>
      <c r="B22" s="434">
        <v>0.0</v>
      </c>
      <c r="C22" s="443"/>
      <c r="D22" s="443"/>
      <c r="E22" s="436" t="str">
        <f t="array" ref="E22">IF(B22=0,"",(J22+K22)/60)</f>
        <v/>
      </c>
      <c r="F22" s="437" t="str">
        <f t="shared" si="1"/>
        <v/>
      </c>
      <c r="G22" s="438" t="str">
        <f t="shared" si="2"/>
        <v/>
      </c>
      <c r="H22" s="438" t="str">
        <f t="shared" si="3"/>
        <v/>
      </c>
      <c r="I22" s="436" t="str">
        <f t="shared" si="4"/>
        <v/>
      </c>
      <c r="J22" s="439"/>
      <c r="K22" s="464"/>
      <c r="L22" s="443"/>
      <c r="M22" s="447">
        <f>IFERROR(__xludf.DUMMYFUNCTION("""COMPUTED_VALUE"""),57.0)</f>
        <v>57</v>
      </c>
      <c r="N22" s="447">
        <f>IFERROR(__xludf.DUMMYFUNCTION("""COMPUTED_VALUE"""),51.0)</f>
        <v>51</v>
      </c>
      <c r="O22" s="447">
        <f>IFERROR(__xludf.DUMMYFUNCTION("""COMPUTED_VALUE"""),0.0)</f>
        <v>0</v>
      </c>
      <c r="P22" s="447">
        <f>IFERROR(__xludf.DUMMYFUNCTION("""COMPUTED_VALUE"""),0.0)</f>
        <v>0</v>
      </c>
      <c r="Q22" s="447">
        <f>IFERROR(__xludf.DUMMYFUNCTION("""COMPUTED_VALUE"""),0.0)</f>
        <v>0</v>
      </c>
      <c r="R22" s="447">
        <f>IFERROR(__xludf.DUMMYFUNCTION("""COMPUTED_VALUE"""),0.0)</f>
        <v>0</v>
      </c>
      <c r="S22" s="447">
        <f>IFERROR(__xludf.DUMMYFUNCTION("""COMPUTED_VALUE"""),0.0)</f>
        <v>0</v>
      </c>
      <c r="T22" s="447">
        <f>IFERROR(__xludf.DUMMYFUNCTION("""COMPUTED_VALUE"""),0.0)</f>
        <v>0</v>
      </c>
      <c r="U22" s="447">
        <f>IFERROR(__xludf.DUMMYFUNCTION("""COMPUTED_VALUE"""),4.0)</f>
        <v>4</v>
      </c>
      <c r="V22" s="447">
        <f>IFERROR(__xludf.DUMMYFUNCTION("""COMPUTED_VALUE"""),0.0)</f>
        <v>0</v>
      </c>
      <c r="W22" s="447">
        <f>IFERROR(__xludf.DUMMYFUNCTION("""COMPUTED_VALUE"""),0.0)</f>
        <v>0</v>
      </c>
      <c r="X22" s="447">
        <f>IFERROR(__xludf.DUMMYFUNCTION("""COMPUTED_VALUE"""),0.0)</f>
        <v>0</v>
      </c>
      <c r="Y22" s="447">
        <f>IFERROR(__xludf.DUMMYFUNCTION("""COMPUTED_VALUE"""),0.0)</f>
        <v>0</v>
      </c>
      <c r="Z22" s="447">
        <f>IFERROR(__xludf.DUMMYFUNCTION("""COMPUTED_VALUE"""),0.0)</f>
        <v>0</v>
      </c>
      <c r="AA22" s="447">
        <f>IFERROR(__xludf.DUMMYFUNCTION("""COMPUTED_VALUE"""),0.0)</f>
        <v>0</v>
      </c>
      <c r="AB22" s="447">
        <f>IFERROR(__xludf.DUMMYFUNCTION("""COMPUTED_VALUE"""),0.0)</f>
        <v>0</v>
      </c>
      <c r="AC22" s="447">
        <f>IFERROR(__xludf.DUMMYFUNCTION("""COMPUTED_VALUE"""),0.0)</f>
        <v>0</v>
      </c>
      <c r="AD22" s="447">
        <f>IFERROR(__xludf.DUMMYFUNCTION("""COMPUTED_VALUE"""),0.0)</f>
        <v>0</v>
      </c>
      <c r="AE22" s="447">
        <f>IFERROR(__xludf.DUMMYFUNCTION("""COMPUTED_VALUE"""),6.0)</f>
        <v>6</v>
      </c>
      <c r="AF22" s="447">
        <f>IFERROR(__xludf.DUMMYFUNCTION("""COMPUTED_VALUE"""),6.0)</f>
        <v>6</v>
      </c>
      <c r="AG22" s="443" t="s">
        <v>83</v>
      </c>
      <c r="AH22" s="443" t="s">
        <v>343</v>
      </c>
      <c r="AI22" s="443"/>
      <c r="AJ22" s="443"/>
      <c r="AK22" s="443"/>
      <c r="AL22" s="443"/>
      <c r="AM22" s="443"/>
      <c r="AN22" s="443"/>
      <c r="AO22" s="443"/>
      <c r="AP22" s="443"/>
      <c r="AQ22" s="443"/>
      <c r="AR22" s="443"/>
      <c r="AS22" s="443"/>
      <c r="AT22" s="443"/>
      <c r="AU22" s="443"/>
      <c r="AV22" s="443"/>
      <c r="AW22" s="443"/>
      <c r="AX22" s="443"/>
      <c r="AY22" s="443"/>
      <c r="AZ22" s="443"/>
      <c r="BA22" s="443"/>
      <c r="BB22" s="443"/>
      <c r="BC22" s="443"/>
      <c r="BD22" s="443"/>
      <c r="BE22" s="443"/>
    </row>
    <row r="23" hidden="1">
      <c r="A23" s="445">
        <f t="shared" si="5"/>
        <v>45313</v>
      </c>
      <c r="B23" s="434">
        <v>391.0</v>
      </c>
      <c r="C23" s="462">
        <v>0.5159722222222223</v>
      </c>
      <c r="D23" s="462">
        <v>0.8305555555555556</v>
      </c>
      <c r="E23" s="436">
        <f t="array" ref="E23">IF(B23=0,"",(J23+K23)/60)</f>
        <v>0.25</v>
      </c>
      <c r="F23" s="437">
        <f t="shared" si="1"/>
        <v>7.55</v>
      </c>
      <c r="G23" s="438">
        <f t="shared" si="2"/>
        <v>51.78807947</v>
      </c>
      <c r="H23" s="438">
        <f t="shared" si="3"/>
        <v>53.56164384</v>
      </c>
      <c r="I23" s="436">
        <f t="shared" si="4"/>
        <v>1.078918322</v>
      </c>
      <c r="J23" s="439">
        <v>15.0</v>
      </c>
      <c r="K23" s="464"/>
      <c r="L23" s="443"/>
      <c r="M23" s="447">
        <f>IFERROR(__xludf.DUMMYFUNCTION("""COMPUTED_VALUE"""),57.0)</f>
        <v>57</v>
      </c>
      <c r="N23" s="447">
        <f>IFERROR(__xludf.DUMMYFUNCTION("""COMPUTED_VALUE"""),51.0)</f>
        <v>51</v>
      </c>
      <c r="O23" s="447">
        <f>IFERROR(__xludf.DUMMYFUNCTION("""COMPUTED_VALUE"""),1.0)</f>
        <v>1</v>
      </c>
      <c r="P23" s="447">
        <f>IFERROR(__xludf.DUMMYFUNCTION("""COMPUTED_VALUE"""),0.0)</f>
        <v>0</v>
      </c>
      <c r="Q23" s="447">
        <f>IFERROR(__xludf.DUMMYFUNCTION("""COMPUTED_VALUE"""),0.0)</f>
        <v>0</v>
      </c>
      <c r="R23" s="447">
        <f>IFERROR(__xludf.DUMMYFUNCTION("""COMPUTED_VALUE"""),0.0)</f>
        <v>0</v>
      </c>
      <c r="S23" s="447">
        <f>IFERROR(__xludf.DUMMYFUNCTION("""COMPUTED_VALUE"""),0.0)</f>
        <v>0</v>
      </c>
      <c r="T23" s="447">
        <f>IFERROR(__xludf.DUMMYFUNCTION("""COMPUTED_VALUE"""),0.0)</f>
        <v>0</v>
      </c>
      <c r="U23" s="447">
        <f>IFERROR(__xludf.DUMMYFUNCTION("""COMPUTED_VALUE"""),4.0)</f>
        <v>4</v>
      </c>
      <c r="V23" s="447">
        <f>IFERROR(__xludf.DUMMYFUNCTION("""COMPUTED_VALUE"""),3.0)</f>
        <v>3</v>
      </c>
      <c r="W23" s="447">
        <f>IFERROR(__xludf.DUMMYFUNCTION("""COMPUTED_VALUE"""),0.0)</f>
        <v>0</v>
      </c>
      <c r="X23" s="447">
        <f>IFERROR(__xludf.DUMMYFUNCTION("""COMPUTED_VALUE"""),0.0)</f>
        <v>0</v>
      </c>
      <c r="Y23" s="447">
        <f>IFERROR(__xludf.DUMMYFUNCTION("""COMPUTED_VALUE"""),0.0)</f>
        <v>0</v>
      </c>
      <c r="Z23" s="447">
        <f>IFERROR(__xludf.DUMMYFUNCTION("""COMPUTED_VALUE"""),0.0)</f>
        <v>0</v>
      </c>
      <c r="AA23" s="447">
        <f>IFERROR(__xludf.DUMMYFUNCTION("""COMPUTED_VALUE"""),0.0)</f>
        <v>0</v>
      </c>
      <c r="AB23" s="447">
        <f>IFERROR(__xludf.DUMMYFUNCTION("""COMPUTED_VALUE"""),0.0)</f>
        <v>0</v>
      </c>
      <c r="AC23" s="447">
        <f>IFERROR(__xludf.DUMMYFUNCTION("""COMPUTED_VALUE"""),0.0)</f>
        <v>0</v>
      </c>
      <c r="AD23" s="447">
        <f>IFERROR(__xludf.DUMMYFUNCTION("""COMPUTED_VALUE"""),48.0)</f>
        <v>48</v>
      </c>
      <c r="AE23" s="447">
        <f>IFERROR(__xludf.DUMMYFUNCTION("""COMPUTED_VALUE"""),10.0)</f>
        <v>10</v>
      </c>
      <c r="AF23" s="447">
        <f>IFERROR(__xludf.DUMMYFUNCTION("""COMPUTED_VALUE"""),6.0)</f>
        <v>6</v>
      </c>
      <c r="AG23" s="443" t="s">
        <v>83</v>
      </c>
      <c r="AH23" s="443" t="s">
        <v>343</v>
      </c>
      <c r="AI23" s="443"/>
      <c r="AJ23" s="443"/>
      <c r="AK23" s="443"/>
      <c r="AL23" s="443"/>
      <c r="AM23" s="443"/>
      <c r="AN23" s="443"/>
      <c r="AO23" s="443"/>
      <c r="AP23" s="443"/>
      <c r="AQ23" s="443"/>
      <c r="AR23" s="443"/>
      <c r="AS23" s="443"/>
      <c r="AT23" s="443"/>
      <c r="AU23" s="443"/>
      <c r="AV23" s="443"/>
      <c r="AW23" s="443"/>
      <c r="AX23" s="443"/>
      <c r="AY23" s="443"/>
      <c r="AZ23" s="443"/>
      <c r="BA23" s="443"/>
      <c r="BB23" s="443"/>
      <c r="BC23" s="443"/>
      <c r="BD23" s="443"/>
      <c r="BE23" s="443"/>
    </row>
    <row r="24" hidden="1">
      <c r="A24" s="445">
        <f t="shared" si="5"/>
        <v>45314</v>
      </c>
      <c r="B24" s="434">
        <v>533.0</v>
      </c>
      <c r="C24" s="462">
        <v>0.5166666666666667</v>
      </c>
      <c r="D24" s="462">
        <v>0.9166666666666666</v>
      </c>
      <c r="E24" s="436">
        <f t="array" ref="E24">IF(B24=0,"",(J24+K24)/60)</f>
        <v>0.25</v>
      </c>
      <c r="F24" s="437">
        <f t="shared" si="1"/>
        <v>9.6</v>
      </c>
      <c r="G24" s="438">
        <f t="shared" si="2"/>
        <v>55.52083333</v>
      </c>
      <c r="H24" s="438">
        <f t="shared" si="3"/>
        <v>57.00534759</v>
      </c>
      <c r="I24" s="436">
        <f t="shared" si="4"/>
        <v>1.133078231</v>
      </c>
      <c r="J24" s="439">
        <v>15.0</v>
      </c>
      <c r="K24" s="464"/>
      <c r="L24" s="443"/>
      <c r="M24" s="447">
        <f>IFERROR(__xludf.DUMMYFUNCTION("""COMPUTED_VALUE"""),57.0)</f>
        <v>57</v>
      </c>
      <c r="N24" s="447">
        <f>IFERROR(__xludf.DUMMYFUNCTION("""COMPUTED_VALUE"""),54.0)</f>
        <v>54</v>
      </c>
      <c r="O24" s="447">
        <f>IFERROR(__xludf.DUMMYFUNCTION("""COMPUTED_VALUE"""),0.0)</f>
        <v>0</v>
      </c>
      <c r="P24" s="447">
        <f>IFERROR(__xludf.DUMMYFUNCTION("""COMPUTED_VALUE"""),1.0)</f>
        <v>1</v>
      </c>
      <c r="Q24" s="447">
        <f>IFERROR(__xludf.DUMMYFUNCTION("""COMPUTED_VALUE"""),0.0)</f>
        <v>0</v>
      </c>
      <c r="R24" s="447">
        <f>IFERROR(__xludf.DUMMYFUNCTION("""COMPUTED_VALUE"""),0.0)</f>
        <v>0</v>
      </c>
      <c r="S24" s="447">
        <f>IFERROR(__xludf.DUMMYFUNCTION("""COMPUTED_VALUE"""),0.0)</f>
        <v>0</v>
      </c>
      <c r="T24" s="447">
        <f>IFERROR(__xludf.DUMMYFUNCTION("""COMPUTED_VALUE"""),0.0)</f>
        <v>0</v>
      </c>
      <c r="U24" s="447">
        <f>IFERROR(__xludf.DUMMYFUNCTION("""COMPUTED_VALUE"""),1.0)</f>
        <v>1</v>
      </c>
      <c r="V24" s="447">
        <f>IFERROR(__xludf.DUMMYFUNCTION("""COMPUTED_VALUE"""),3.0)</f>
        <v>3</v>
      </c>
      <c r="W24" s="447">
        <f>IFERROR(__xludf.DUMMYFUNCTION("""COMPUTED_VALUE"""),0.0)</f>
        <v>0</v>
      </c>
      <c r="X24" s="447">
        <f>IFERROR(__xludf.DUMMYFUNCTION("""COMPUTED_VALUE"""),0.0)</f>
        <v>0</v>
      </c>
      <c r="Y24" s="447">
        <f>IFERROR(__xludf.DUMMYFUNCTION("""COMPUTED_VALUE"""),0.0)</f>
        <v>0</v>
      </c>
      <c r="Z24" s="447">
        <f>IFERROR(__xludf.DUMMYFUNCTION("""COMPUTED_VALUE"""),0.0)</f>
        <v>0</v>
      </c>
      <c r="AA24" s="447">
        <f>IFERROR(__xludf.DUMMYFUNCTION("""COMPUTED_VALUE"""),0.0)</f>
        <v>0</v>
      </c>
      <c r="AB24" s="447">
        <f>IFERROR(__xludf.DUMMYFUNCTION("""COMPUTED_VALUE"""),2.0)</f>
        <v>2</v>
      </c>
      <c r="AC24" s="447">
        <f>IFERROR(__xludf.DUMMYFUNCTION("""COMPUTED_VALUE"""),0.0)</f>
        <v>0</v>
      </c>
      <c r="AD24" s="447">
        <f>IFERROR(__xludf.DUMMYFUNCTION("""COMPUTED_VALUE"""),49.0)</f>
        <v>49</v>
      </c>
      <c r="AE24" s="447">
        <f>IFERROR(__xludf.DUMMYFUNCTION("""COMPUTED_VALUE"""),7.0)</f>
        <v>7</v>
      </c>
      <c r="AF24" s="447">
        <f>IFERROR(__xludf.DUMMYFUNCTION("""COMPUTED_VALUE"""),3.0)</f>
        <v>3</v>
      </c>
      <c r="AG24" s="443" t="s">
        <v>83</v>
      </c>
      <c r="AH24" s="443" t="s">
        <v>343</v>
      </c>
      <c r="AI24" s="443"/>
      <c r="AJ24" s="443"/>
      <c r="AK24" s="443"/>
      <c r="AL24" s="443"/>
      <c r="AM24" s="443"/>
      <c r="AN24" s="443"/>
      <c r="AO24" s="443"/>
      <c r="AP24" s="443"/>
      <c r="AQ24" s="443"/>
      <c r="AR24" s="443"/>
      <c r="AS24" s="443"/>
      <c r="AT24" s="443"/>
      <c r="AU24" s="443"/>
      <c r="AV24" s="443"/>
      <c r="AW24" s="443"/>
      <c r="AX24" s="443"/>
      <c r="AY24" s="443"/>
      <c r="AZ24" s="443"/>
      <c r="BA24" s="443"/>
      <c r="BB24" s="443"/>
      <c r="BC24" s="443"/>
      <c r="BD24" s="443"/>
      <c r="BE24" s="443"/>
    </row>
    <row r="25" hidden="1">
      <c r="A25" s="445">
        <f t="shared" si="5"/>
        <v>45315</v>
      </c>
      <c r="B25" s="434">
        <v>516.0</v>
      </c>
      <c r="C25" s="462">
        <v>0.6</v>
      </c>
      <c r="D25" s="462">
        <v>0.9638888888888889</v>
      </c>
      <c r="E25" s="436">
        <f t="array" ref="E25">IF(B25=0,"",(J25+K25)/60)</f>
        <v>0.25</v>
      </c>
      <c r="F25" s="437">
        <f t="shared" si="1"/>
        <v>8.733333333</v>
      </c>
      <c r="G25" s="438">
        <f t="shared" si="2"/>
        <v>59.08396947</v>
      </c>
      <c r="H25" s="438">
        <f t="shared" si="3"/>
        <v>60.82514735</v>
      </c>
      <c r="I25" s="436">
        <f t="shared" si="4"/>
        <v>1.158509205</v>
      </c>
      <c r="J25" s="439">
        <v>15.0</v>
      </c>
      <c r="K25" s="464"/>
      <c r="L25" s="443"/>
      <c r="M25" s="447">
        <f>IFERROR(__xludf.DUMMYFUNCTION("""COMPUTED_VALUE"""),57.0)</f>
        <v>57</v>
      </c>
      <c r="N25" s="447">
        <f>IFERROR(__xludf.DUMMYFUNCTION("""COMPUTED_VALUE"""),54.0)</f>
        <v>54</v>
      </c>
      <c r="O25" s="447">
        <f>IFERROR(__xludf.DUMMYFUNCTION("""COMPUTED_VALUE"""),1.0)</f>
        <v>1</v>
      </c>
      <c r="P25" s="447">
        <f>IFERROR(__xludf.DUMMYFUNCTION("""COMPUTED_VALUE"""),0.0)</f>
        <v>0</v>
      </c>
      <c r="Q25" s="447">
        <f>IFERROR(__xludf.DUMMYFUNCTION("""COMPUTED_VALUE"""),0.0)</f>
        <v>0</v>
      </c>
      <c r="R25" s="447">
        <f>IFERROR(__xludf.DUMMYFUNCTION("""COMPUTED_VALUE"""),0.0)</f>
        <v>0</v>
      </c>
      <c r="S25" s="447">
        <f>IFERROR(__xludf.DUMMYFUNCTION("""COMPUTED_VALUE"""),0.0)</f>
        <v>0</v>
      </c>
      <c r="T25" s="447">
        <f>IFERROR(__xludf.DUMMYFUNCTION("""COMPUTED_VALUE"""),0.0)</f>
        <v>0</v>
      </c>
      <c r="U25" s="447">
        <f>IFERROR(__xludf.DUMMYFUNCTION("""COMPUTED_VALUE"""),1.0)</f>
        <v>1</v>
      </c>
      <c r="V25" s="447">
        <f>IFERROR(__xludf.DUMMYFUNCTION("""COMPUTED_VALUE"""),3.0)</f>
        <v>3</v>
      </c>
      <c r="W25" s="447">
        <f>IFERROR(__xludf.DUMMYFUNCTION("""COMPUTED_VALUE"""),0.0)</f>
        <v>0</v>
      </c>
      <c r="X25" s="447">
        <f>IFERROR(__xludf.DUMMYFUNCTION("""COMPUTED_VALUE"""),0.0)</f>
        <v>0</v>
      </c>
      <c r="Y25" s="447">
        <f>IFERROR(__xludf.DUMMYFUNCTION("""COMPUTED_VALUE"""),0.0)</f>
        <v>0</v>
      </c>
      <c r="Z25" s="447">
        <f>IFERROR(__xludf.DUMMYFUNCTION("""COMPUTED_VALUE"""),0.0)</f>
        <v>0</v>
      </c>
      <c r="AA25" s="447">
        <f>IFERROR(__xludf.DUMMYFUNCTION("""COMPUTED_VALUE"""),0.0)</f>
        <v>0</v>
      </c>
      <c r="AB25" s="447">
        <f>IFERROR(__xludf.DUMMYFUNCTION("""COMPUTED_VALUE"""),0.0)</f>
        <v>0</v>
      </c>
      <c r="AC25" s="447">
        <f>IFERROR(__xludf.DUMMYFUNCTION("""COMPUTED_VALUE"""),0.0)</f>
        <v>0</v>
      </c>
      <c r="AD25" s="447">
        <f>IFERROR(__xludf.DUMMYFUNCTION("""COMPUTED_VALUE"""),51.0)</f>
        <v>51</v>
      </c>
      <c r="AE25" s="447">
        <f>IFERROR(__xludf.DUMMYFUNCTION("""COMPUTED_VALUE"""),7.0)</f>
        <v>7</v>
      </c>
      <c r="AF25" s="447">
        <f>IFERROR(__xludf.DUMMYFUNCTION("""COMPUTED_VALUE"""),3.0)</f>
        <v>3</v>
      </c>
      <c r="AG25" s="443" t="s">
        <v>83</v>
      </c>
      <c r="AH25" s="443" t="s">
        <v>343</v>
      </c>
      <c r="AI25" s="443"/>
      <c r="AJ25" s="443"/>
      <c r="AK25" s="443"/>
      <c r="AL25" s="443"/>
      <c r="AM25" s="443"/>
      <c r="AN25" s="443"/>
      <c r="AO25" s="443"/>
      <c r="AP25" s="443"/>
      <c r="AQ25" s="443"/>
      <c r="AR25" s="443"/>
      <c r="AS25" s="443"/>
      <c r="AT25" s="443"/>
      <c r="AU25" s="443"/>
      <c r="AV25" s="443"/>
      <c r="AW25" s="443"/>
      <c r="AX25" s="443"/>
      <c r="AY25" s="443"/>
      <c r="AZ25" s="443"/>
      <c r="BA25" s="443"/>
      <c r="BB25" s="443"/>
      <c r="BC25" s="443"/>
      <c r="BD25" s="443"/>
      <c r="BE25" s="443"/>
    </row>
    <row r="26" hidden="1">
      <c r="A26" s="445">
        <f t="shared" si="5"/>
        <v>45316</v>
      </c>
      <c r="B26" s="434">
        <v>526.0</v>
      </c>
      <c r="C26" s="462">
        <v>0.5993055555555555</v>
      </c>
      <c r="D26" s="462">
        <v>0.98125</v>
      </c>
      <c r="E26" s="436">
        <f t="array" ref="E26">IF(B26=0,"",(J26+K26)/60)</f>
        <v>0.25</v>
      </c>
      <c r="F26" s="437">
        <f t="shared" si="1"/>
        <v>9.166666667</v>
      </c>
      <c r="G26" s="438">
        <f t="shared" si="2"/>
        <v>57.38181818</v>
      </c>
      <c r="H26" s="438">
        <f t="shared" si="3"/>
        <v>58.99065421</v>
      </c>
      <c r="I26" s="436">
        <f t="shared" si="4"/>
        <v>1.147636364</v>
      </c>
      <c r="J26" s="439">
        <v>15.0</v>
      </c>
      <c r="K26" s="464"/>
      <c r="L26" s="443"/>
      <c r="M26" s="447">
        <f>IFERROR(__xludf.DUMMYFUNCTION("""COMPUTED_VALUE"""),57.0)</f>
        <v>57</v>
      </c>
      <c r="N26" s="447">
        <f>IFERROR(__xludf.DUMMYFUNCTION("""COMPUTED_VALUE"""),54.0)</f>
        <v>54</v>
      </c>
      <c r="O26" s="447">
        <f>IFERROR(__xludf.DUMMYFUNCTION("""COMPUTED_VALUE"""),1.0)</f>
        <v>1</v>
      </c>
      <c r="P26" s="447">
        <f>IFERROR(__xludf.DUMMYFUNCTION("""COMPUTED_VALUE"""),0.0)</f>
        <v>0</v>
      </c>
      <c r="Q26" s="447">
        <f>IFERROR(__xludf.DUMMYFUNCTION("""COMPUTED_VALUE"""),0.0)</f>
        <v>0</v>
      </c>
      <c r="R26" s="447">
        <f>IFERROR(__xludf.DUMMYFUNCTION("""COMPUTED_VALUE"""),0.0)</f>
        <v>0</v>
      </c>
      <c r="S26" s="447">
        <f>IFERROR(__xludf.DUMMYFUNCTION("""COMPUTED_VALUE"""),1.0)</f>
        <v>1</v>
      </c>
      <c r="T26" s="447">
        <f>IFERROR(__xludf.DUMMYFUNCTION("""COMPUTED_VALUE"""),0.0)</f>
        <v>0</v>
      </c>
      <c r="U26" s="447">
        <f>IFERROR(__xludf.DUMMYFUNCTION("""COMPUTED_VALUE"""),1.0)</f>
        <v>1</v>
      </c>
      <c r="V26" s="447">
        <f>IFERROR(__xludf.DUMMYFUNCTION("""COMPUTED_VALUE"""),3.0)</f>
        <v>3</v>
      </c>
      <c r="W26" s="447">
        <f>IFERROR(__xludf.DUMMYFUNCTION("""COMPUTED_VALUE"""),0.0)</f>
        <v>0</v>
      </c>
      <c r="X26" s="447">
        <f>IFERROR(__xludf.DUMMYFUNCTION("""COMPUTED_VALUE"""),0.0)</f>
        <v>0</v>
      </c>
      <c r="Y26" s="447">
        <f>IFERROR(__xludf.DUMMYFUNCTION("""COMPUTED_VALUE"""),0.0)</f>
        <v>0</v>
      </c>
      <c r="Z26" s="447">
        <f>IFERROR(__xludf.DUMMYFUNCTION("""COMPUTED_VALUE"""),0.0)</f>
        <v>0</v>
      </c>
      <c r="AA26" s="447">
        <f>IFERROR(__xludf.DUMMYFUNCTION("""COMPUTED_VALUE"""),0.0)</f>
        <v>0</v>
      </c>
      <c r="AB26" s="447">
        <f>IFERROR(__xludf.DUMMYFUNCTION("""COMPUTED_VALUE"""),0.0)</f>
        <v>0</v>
      </c>
      <c r="AC26" s="447">
        <f>IFERROR(__xludf.DUMMYFUNCTION("""COMPUTED_VALUE"""),0.0)</f>
        <v>0</v>
      </c>
      <c r="AD26" s="447">
        <f>IFERROR(__xludf.DUMMYFUNCTION("""COMPUTED_VALUE"""),50.0)</f>
        <v>50</v>
      </c>
      <c r="AE26" s="447">
        <f>IFERROR(__xludf.DUMMYFUNCTION("""COMPUTED_VALUE"""),8.0)</f>
        <v>8</v>
      </c>
      <c r="AF26" s="447">
        <f>IFERROR(__xludf.DUMMYFUNCTION("""COMPUTED_VALUE"""),3.0)</f>
        <v>3</v>
      </c>
      <c r="AG26" s="443" t="s">
        <v>83</v>
      </c>
      <c r="AH26" s="443" t="s">
        <v>343</v>
      </c>
      <c r="AI26" s="443"/>
      <c r="AJ26" s="443"/>
      <c r="AK26" s="443"/>
      <c r="AL26" s="443"/>
      <c r="AM26" s="443"/>
      <c r="AN26" s="443"/>
      <c r="AO26" s="443"/>
      <c r="AP26" s="443"/>
      <c r="AQ26" s="443"/>
      <c r="AR26" s="443"/>
      <c r="AS26" s="443"/>
      <c r="AT26" s="443"/>
      <c r="AU26" s="443"/>
      <c r="AV26" s="443"/>
      <c r="AW26" s="443"/>
      <c r="AX26" s="443"/>
      <c r="AY26" s="443"/>
      <c r="AZ26" s="443"/>
      <c r="BA26" s="443"/>
      <c r="BB26" s="443"/>
      <c r="BC26" s="443"/>
      <c r="BD26" s="443"/>
      <c r="BE26" s="443"/>
    </row>
    <row r="27" hidden="1">
      <c r="A27" s="445">
        <f t="shared" si="5"/>
        <v>45317</v>
      </c>
      <c r="B27" s="434">
        <v>476.0</v>
      </c>
      <c r="C27" s="462">
        <v>0.6</v>
      </c>
      <c r="D27" s="462">
        <v>0.9652777777777778</v>
      </c>
      <c r="E27" s="436">
        <f t="array" ref="E27">IF(B27=0,"",(J27+K27)/60)</f>
        <v>0.25</v>
      </c>
      <c r="F27" s="437">
        <f t="shared" si="1"/>
        <v>8.766666667</v>
      </c>
      <c r="G27" s="438">
        <f t="shared" si="2"/>
        <v>54.29657795</v>
      </c>
      <c r="H27" s="438">
        <f t="shared" si="3"/>
        <v>55.89041096</v>
      </c>
      <c r="I27" s="436">
        <f t="shared" si="4"/>
        <v>1.064638783</v>
      </c>
      <c r="J27" s="439">
        <v>15.0</v>
      </c>
      <c r="K27" s="464"/>
      <c r="L27" s="443"/>
      <c r="M27" s="447">
        <f>IFERROR(__xludf.DUMMYFUNCTION("""COMPUTED_VALUE"""),57.0)</f>
        <v>57</v>
      </c>
      <c r="N27" s="447">
        <f>IFERROR(__xludf.DUMMYFUNCTION("""COMPUTED_VALUE"""),54.0)</f>
        <v>54</v>
      </c>
      <c r="O27" s="447">
        <f>IFERROR(__xludf.DUMMYFUNCTION("""COMPUTED_VALUE"""),0.0)</f>
        <v>0</v>
      </c>
      <c r="P27" s="447">
        <f>IFERROR(__xludf.DUMMYFUNCTION("""COMPUTED_VALUE"""),0.0)</f>
        <v>0</v>
      </c>
      <c r="Q27" s="447">
        <f>IFERROR(__xludf.DUMMYFUNCTION("""COMPUTED_VALUE"""),0.0)</f>
        <v>0</v>
      </c>
      <c r="R27" s="447">
        <f>IFERROR(__xludf.DUMMYFUNCTION("""COMPUTED_VALUE"""),0.0)</f>
        <v>0</v>
      </c>
      <c r="S27" s="447">
        <f>IFERROR(__xludf.DUMMYFUNCTION("""COMPUTED_VALUE"""),1.0)</f>
        <v>1</v>
      </c>
      <c r="T27" s="447">
        <f>IFERROR(__xludf.DUMMYFUNCTION("""COMPUTED_VALUE"""),0.0)</f>
        <v>0</v>
      </c>
      <c r="U27" s="447">
        <f>IFERROR(__xludf.DUMMYFUNCTION("""COMPUTED_VALUE"""),1.0)</f>
        <v>1</v>
      </c>
      <c r="V27" s="447">
        <f>IFERROR(__xludf.DUMMYFUNCTION("""COMPUTED_VALUE"""),3.0)</f>
        <v>3</v>
      </c>
      <c r="W27" s="447">
        <f>IFERROR(__xludf.DUMMYFUNCTION("""COMPUTED_VALUE"""),0.0)</f>
        <v>0</v>
      </c>
      <c r="X27" s="447">
        <f>IFERROR(__xludf.DUMMYFUNCTION("""COMPUTED_VALUE"""),0.0)</f>
        <v>0</v>
      </c>
      <c r="Y27" s="447">
        <f>IFERROR(__xludf.DUMMYFUNCTION("""COMPUTED_VALUE"""),0.0)</f>
        <v>0</v>
      </c>
      <c r="Z27" s="447">
        <f>IFERROR(__xludf.DUMMYFUNCTION("""COMPUTED_VALUE"""),0.0)</f>
        <v>0</v>
      </c>
      <c r="AA27" s="447">
        <f>IFERROR(__xludf.DUMMYFUNCTION("""COMPUTED_VALUE"""),0.0)</f>
        <v>0</v>
      </c>
      <c r="AB27" s="447">
        <f>IFERROR(__xludf.DUMMYFUNCTION("""COMPUTED_VALUE"""),0.0)</f>
        <v>0</v>
      </c>
      <c r="AC27" s="447">
        <f>IFERROR(__xludf.DUMMYFUNCTION("""COMPUTED_VALUE"""),0.0)</f>
        <v>0</v>
      </c>
      <c r="AD27" s="447">
        <f>IFERROR(__xludf.DUMMYFUNCTION("""COMPUTED_VALUE"""),51.0)</f>
        <v>51</v>
      </c>
      <c r="AE27" s="447">
        <f>IFERROR(__xludf.DUMMYFUNCTION("""COMPUTED_VALUE"""),7.0)</f>
        <v>7</v>
      </c>
      <c r="AF27" s="447">
        <f>IFERROR(__xludf.DUMMYFUNCTION("""COMPUTED_VALUE"""),3.0)</f>
        <v>3</v>
      </c>
      <c r="AG27" s="443" t="s">
        <v>83</v>
      </c>
      <c r="AH27" s="443" t="s">
        <v>343</v>
      </c>
      <c r="AI27" s="443"/>
      <c r="AJ27" s="443"/>
      <c r="AK27" s="443"/>
      <c r="AL27" s="443"/>
      <c r="AM27" s="443"/>
      <c r="AN27" s="443"/>
      <c r="AO27" s="443"/>
      <c r="AP27" s="443"/>
      <c r="AQ27" s="443"/>
      <c r="AR27" s="443"/>
      <c r="AS27" s="443"/>
      <c r="AT27" s="443"/>
      <c r="AU27" s="443"/>
      <c r="AV27" s="443"/>
      <c r="AW27" s="443"/>
      <c r="AX27" s="443"/>
      <c r="AY27" s="443"/>
      <c r="AZ27" s="443"/>
      <c r="BA27" s="443"/>
      <c r="BB27" s="443"/>
      <c r="BC27" s="443"/>
      <c r="BD27" s="443"/>
      <c r="BE27" s="443"/>
    </row>
    <row r="28" hidden="1">
      <c r="A28" s="445">
        <f t="shared" si="5"/>
        <v>45318</v>
      </c>
      <c r="B28" s="434">
        <v>346.0</v>
      </c>
      <c r="C28" s="462">
        <v>0.6</v>
      </c>
      <c r="D28" s="462">
        <v>0.875</v>
      </c>
      <c r="E28" s="436">
        <f t="array" ref="E28">IF(B28=0,"",(J28+K28)/60)</f>
        <v>0.75</v>
      </c>
      <c r="F28" s="437">
        <f t="shared" si="1"/>
        <v>6.6</v>
      </c>
      <c r="G28" s="438">
        <f t="shared" si="2"/>
        <v>52.42424242</v>
      </c>
      <c r="H28" s="438">
        <f t="shared" si="3"/>
        <v>59.14529915</v>
      </c>
      <c r="I28" s="436">
        <f t="shared" si="4"/>
        <v>1.069882498</v>
      </c>
      <c r="J28" s="439">
        <v>0.0</v>
      </c>
      <c r="K28" s="460">
        <v>45.0</v>
      </c>
      <c r="L28" s="443"/>
      <c r="M28" s="447">
        <f>IFERROR(__xludf.DUMMYFUNCTION("""COMPUTED_VALUE"""),57.0)</f>
        <v>57</v>
      </c>
      <c r="N28" s="447">
        <f>IFERROR(__xludf.DUMMYFUNCTION("""COMPUTED_VALUE"""),54.0)</f>
        <v>54</v>
      </c>
      <c r="O28" s="447">
        <f>IFERROR(__xludf.DUMMYFUNCTION("""COMPUTED_VALUE"""),1.0)</f>
        <v>1</v>
      </c>
      <c r="P28" s="447">
        <f>IFERROR(__xludf.DUMMYFUNCTION("""COMPUTED_VALUE"""),1.0)</f>
        <v>1</v>
      </c>
      <c r="Q28" s="447">
        <f>IFERROR(__xludf.DUMMYFUNCTION("""COMPUTED_VALUE"""),0.0)</f>
        <v>0</v>
      </c>
      <c r="R28" s="447">
        <f>IFERROR(__xludf.DUMMYFUNCTION("""COMPUTED_VALUE"""),0.0)</f>
        <v>0</v>
      </c>
      <c r="S28" s="447">
        <f>IFERROR(__xludf.DUMMYFUNCTION("""COMPUTED_VALUE"""),1.0)</f>
        <v>1</v>
      </c>
      <c r="T28" s="447">
        <f>IFERROR(__xludf.DUMMYFUNCTION("""COMPUTED_VALUE"""),0.0)</f>
        <v>0</v>
      </c>
      <c r="U28" s="447">
        <f>IFERROR(__xludf.DUMMYFUNCTION("""COMPUTED_VALUE"""),1.0)</f>
        <v>1</v>
      </c>
      <c r="V28" s="447">
        <f>IFERROR(__xludf.DUMMYFUNCTION("""COMPUTED_VALUE"""),3.0)</f>
        <v>3</v>
      </c>
      <c r="W28" s="447">
        <f>IFERROR(__xludf.DUMMYFUNCTION("""COMPUTED_VALUE"""),0.0)</f>
        <v>0</v>
      </c>
      <c r="X28" s="447">
        <f>IFERROR(__xludf.DUMMYFUNCTION("""COMPUTED_VALUE"""),0.0)</f>
        <v>0</v>
      </c>
      <c r="Y28" s="447">
        <f>IFERROR(__xludf.DUMMYFUNCTION("""COMPUTED_VALUE"""),0.0)</f>
        <v>0</v>
      </c>
      <c r="Z28" s="447">
        <f>IFERROR(__xludf.DUMMYFUNCTION("""COMPUTED_VALUE"""),0.0)</f>
        <v>0</v>
      </c>
      <c r="AA28" s="447">
        <f>IFERROR(__xludf.DUMMYFUNCTION("""COMPUTED_VALUE"""),0.0)</f>
        <v>0</v>
      </c>
      <c r="AB28" s="447">
        <f>IFERROR(__xludf.DUMMYFUNCTION("""COMPUTED_VALUE"""),0.0)</f>
        <v>0</v>
      </c>
      <c r="AC28" s="447">
        <f>IFERROR(__xludf.DUMMYFUNCTION("""COMPUTED_VALUE"""),0.0)</f>
        <v>0</v>
      </c>
      <c r="AD28" s="447">
        <f>IFERROR(__xludf.DUMMYFUNCTION("""COMPUTED_VALUE"""),49.0)</f>
        <v>49</v>
      </c>
      <c r="AE28" s="447">
        <f>IFERROR(__xludf.DUMMYFUNCTION("""COMPUTED_VALUE"""),9.0)</f>
        <v>9</v>
      </c>
      <c r="AF28" s="447">
        <f>IFERROR(__xludf.DUMMYFUNCTION("""COMPUTED_VALUE"""),3.0)</f>
        <v>3</v>
      </c>
      <c r="AG28" s="443" t="s">
        <v>83</v>
      </c>
      <c r="AH28" s="443" t="s">
        <v>343</v>
      </c>
      <c r="AI28" s="443"/>
      <c r="AJ28" s="443"/>
      <c r="AK28" s="443"/>
      <c r="AL28" s="443"/>
      <c r="AM28" s="443"/>
      <c r="AN28" s="443"/>
      <c r="AO28" s="443"/>
      <c r="AP28" s="443"/>
      <c r="AQ28" s="443"/>
      <c r="AR28" s="443"/>
      <c r="AS28" s="443"/>
      <c r="AT28" s="443"/>
      <c r="AU28" s="443"/>
      <c r="AV28" s="443"/>
      <c r="AW28" s="443"/>
      <c r="AX28" s="443"/>
      <c r="AY28" s="443"/>
      <c r="AZ28" s="443"/>
      <c r="BA28" s="443"/>
      <c r="BB28" s="443"/>
      <c r="BC28" s="443"/>
      <c r="BD28" s="443"/>
      <c r="BE28" s="443"/>
    </row>
    <row r="29" hidden="1">
      <c r="A29" s="445">
        <f t="shared" si="5"/>
        <v>45319</v>
      </c>
      <c r="B29" s="434">
        <v>0.0</v>
      </c>
      <c r="C29" s="443"/>
      <c r="D29" s="443"/>
      <c r="E29" s="436" t="str">
        <f t="array" ref="E29">IF(B29=0,"",(J29+K29)/60)</f>
        <v/>
      </c>
      <c r="F29" s="437" t="str">
        <f t="shared" si="1"/>
        <v/>
      </c>
      <c r="G29" s="438" t="str">
        <f t="shared" si="2"/>
        <v/>
      </c>
      <c r="H29" s="438" t="str">
        <f t="shared" si="3"/>
        <v/>
      </c>
      <c r="I29" s="436" t="str">
        <f t="shared" si="4"/>
        <v/>
      </c>
      <c r="J29" s="439"/>
      <c r="K29" s="464"/>
      <c r="L29" s="443"/>
      <c r="M29" s="447">
        <f>IFERROR(__xludf.DUMMYFUNCTION("""COMPUTED_VALUE"""),57.0)</f>
        <v>57</v>
      </c>
      <c r="N29" s="447">
        <f>IFERROR(__xludf.DUMMYFUNCTION("""COMPUTED_VALUE"""),54.0)</f>
        <v>54</v>
      </c>
      <c r="O29" s="447">
        <f>IFERROR(__xludf.DUMMYFUNCTION("""COMPUTED_VALUE"""),0.0)</f>
        <v>0</v>
      </c>
      <c r="P29" s="447">
        <f>IFERROR(__xludf.DUMMYFUNCTION("""COMPUTED_VALUE"""),0.0)</f>
        <v>0</v>
      </c>
      <c r="Q29" s="447">
        <f>IFERROR(__xludf.DUMMYFUNCTION("""COMPUTED_VALUE"""),0.0)</f>
        <v>0</v>
      </c>
      <c r="R29" s="447">
        <f>IFERROR(__xludf.DUMMYFUNCTION("""COMPUTED_VALUE"""),0.0)</f>
        <v>0</v>
      </c>
      <c r="S29" s="447">
        <f>IFERROR(__xludf.DUMMYFUNCTION("""COMPUTED_VALUE"""),0.0)</f>
        <v>0</v>
      </c>
      <c r="T29" s="447">
        <f>IFERROR(__xludf.DUMMYFUNCTION("""COMPUTED_VALUE"""),0.0)</f>
        <v>0</v>
      </c>
      <c r="U29" s="447">
        <f>IFERROR(__xludf.DUMMYFUNCTION("""COMPUTED_VALUE"""),1.0)</f>
        <v>1</v>
      </c>
      <c r="V29" s="447">
        <f>IFERROR(__xludf.DUMMYFUNCTION("""COMPUTED_VALUE"""),0.0)</f>
        <v>0</v>
      </c>
      <c r="W29" s="447">
        <f>IFERROR(__xludf.DUMMYFUNCTION("""COMPUTED_VALUE"""),0.0)</f>
        <v>0</v>
      </c>
      <c r="X29" s="447">
        <f>IFERROR(__xludf.DUMMYFUNCTION("""COMPUTED_VALUE"""),0.0)</f>
        <v>0</v>
      </c>
      <c r="Y29" s="447">
        <f>IFERROR(__xludf.DUMMYFUNCTION("""COMPUTED_VALUE"""),0.0)</f>
        <v>0</v>
      </c>
      <c r="Z29" s="447">
        <f>IFERROR(__xludf.DUMMYFUNCTION("""COMPUTED_VALUE"""),0.0)</f>
        <v>0</v>
      </c>
      <c r="AA29" s="447">
        <f>IFERROR(__xludf.DUMMYFUNCTION("""COMPUTED_VALUE"""),0.0)</f>
        <v>0</v>
      </c>
      <c r="AB29" s="447">
        <f>IFERROR(__xludf.DUMMYFUNCTION("""COMPUTED_VALUE"""),0.0)</f>
        <v>0</v>
      </c>
      <c r="AC29" s="447">
        <f>IFERROR(__xludf.DUMMYFUNCTION("""COMPUTED_VALUE"""),0.0)</f>
        <v>0</v>
      </c>
      <c r="AD29" s="447">
        <f>IFERROR(__xludf.DUMMYFUNCTION("""COMPUTED_VALUE"""),0.0)</f>
        <v>0</v>
      </c>
      <c r="AE29" s="447">
        <f>IFERROR(__xludf.DUMMYFUNCTION("""COMPUTED_VALUE"""),3.0)</f>
        <v>3</v>
      </c>
      <c r="AF29" s="447">
        <f>IFERROR(__xludf.DUMMYFUNCTION("""COMPUTED_VALUE"""),3.0)</f>
        <v>3</v>
      </c>
      <c r="AG29" s="443" t="s">
        <v>83</v>
      </c>
      <c r="AH29" s="443" t="s">
        <v>343</v>
      </c>
      <c r="AI29" s="443"/>
      <c r="AJ29" s="443"/>
      <c r="AK29" s="443"/>
      <c r="AL29" s="443"/>
      <c r="AM29" s="443"/>
      <c r="AN29" s="443"/>
      <c r="AO29" s="443"/>
      <c r="AP29" s="443"/>
      <c r="AQ29" s="443"/>
      <c r="AR29" s="443"/>
      <c r="AS29" s="443"/>
      <c r="AT29" s="443"/>
      <c r="AU29" s="443"/>
      <c r="AV29" s="443"/>
      <c r="AW29" s="443"/>
      <c r="AX29" s="443"/>
      <c r="AY29" s="443"/>
      <c r="AZ29" s="443"/>
      <c r="BA29" s="443"/>
      <c r="BB29" s="443"/>
      <c r="BC29" s="443"/>
      <c r="BD29" s="443"/>
      <c r="BE29" s="443"/>
    </row>
    <row r="30" hidden="1">
      <c r="A30" s="445">
        <f t="shared" si="5"/>
        <v>45320</v>
      </c>
      <c r="B30" s="434">
        <v>270.0</v>
      </c>
      <c r="C30" s="462">
        <v>0.6</v>
      </c>
      <c r="D30" s="462">
        <v>0.81875</v>
      </c>
      <c r="E30" s="436">
        <f t="array" ref="E30">IF(B30=0,"",(J30+K30)/60)</f>
        <v>0.25</v>
      </c>
      <c r="F30" s="437">
        <f t="shared" si="1"/>
        <v>5.25</v>
      </c>
      <c r="G30" s="438">
        <f t="shared" si="2"/>
        <v>51.42857143</v>
      </c>
      <c r="H30" s="438">
        <f t="shared" si="3"/>
        <v>54</v>
      </c>
      <c r="I30" s="436">
        <f t="shared" si="4"/>
        <v>0.989010989</v>
      </c>
      <c r="J30" s="439">
        <v>15.0</v>
      </c>
      <c r="K30" s="464"/>
      <c r="L30" s="443"/>
      <c r="M30" s="447">
        <f>IFERROR(__xludf.DUMMYFUNCTION("""COMPUTED_VALUE"""),57.0)</f>
        <v>57</v>
      </c>
      <c r="N30" s="447">
        <f>IFERROR(__xludf.DUMMYFUNCTION("""COMPUTED_VALUE"""),54.0)</f>
        <v>54</v>
      </c>
      <c r="O30" s="447">
        <f>IFERROR(__xludf.DUMMYFUNCTION("""COMPUTED_VALUE"""),0.0)</f>
        <v>0</v>
      </c>
      <c r="P30" s="447">
        <f>IFERROR(__xludf.DUMMYFUNCTION("""COMPUTED_VALUE"""),0.0)</f>
        <v>0</v>
      </c>
      <c r="Q30" s="447">
        <f>IFERROR(__xludf.DUMMYFUNCTION("""COMPUTED_VALUE"""),0.0)</f>
        <v>0</v>
      </c>
      <c r="R30" s="447">
        <f>IFERROR(__xludf.DUMMYFUNCTION("""COMPUTED_VALUE"""),0.0)</f>
        <v>0</v>
      </c>
      <c r="S30" s="447">
        <f>IFERROR(__xludf.DUMMYFUNCTION("""COMPUTED_VALUE"""),0.0)</f>
        <v>0</v>
      </c>
      <c r="T30" s="447">
        <f>IFERROR(__xludf.DUMMYFUNCTION("""COMPUTED_VALUE"""),0.0)</f>
        <v>0</v>
      </c>
      <c r="U30" s="447">
        <f>IFERROR(__xludf.DUMMYFUNCTION("""COMPUTED_VALUE"""),1.0)</f>
        <v>1</v>
      </c>
      <c r="V30" s="447">
        <f>IFERROR(__xludf.DUMMYFUNCTION("""COMPUTED_VALUE"""),3.0)</f>
        <v>3</v>
      </c>
      <c r="W30" s="447">
        <f>IFERROR(__xludf.DUMMYFUNCTION("""COMPUTED_VALUE"""),0.0)</f>
        <v>0</v>
      </c>
      <c r="X30" s="447">
        <f>IFERROR(__xludf.DUMMYFUNCTION("""COMPUTED_VALUE"""),0.0)</f>
        <v>0</v>
      </c>
      <c r="Y30" s="447">
        <f>IFERROR(__xludf.DUMMYFUNCTION("""COMPUTED_VALUE"""),0.0)</f>
        <v>0</v>
      </c>
      <c r="Z30" s="447">
        <f>IFERROR(__xludf.DUMMYFUNCTION("""COMPUTED_VALUE"""),0.0)</f>
        <v>0</v>
      </c>
      <c r="AA30" s="447">
        <f>IFERROR(__xludf.DUMMYFUNCTION("""COMPUTED_VALUE"""),0.0)</f>
        <v>0</v>
      </c>
      <c r="AB30" s="447">
        <f>IFERROR(__xludf.DUMMYFUNCTION("""COMPUTED_VALUE"""),0.0)</f>
        <v>0</v>
      </c>
      <c r="AC30" s="447">
        <f>IFERROR(__xludf.DUMMYFUNCTION("""COMPUTED_VALUE"""),0.0)</f>
        <v>0</v>
      </c>
      <c r="AD30" s="447">
        <f>IFERROR(__xludf.DUMMYFUNCTION("""COMPUTED_VALUE"""),52.0)</f>
        <v>52</v>
      </c>
      <c r="AE30" s="447">
        <f>IFERROR(__xludf.DUMMYFUNCTION("""COMPUTED_VALUE"""),6.0)</f>
        <v>6</v>
      </c>
      <c r="AF30" s="447">
        <f>IFERROR(__xludf.DUMMYFUNCTION("""COMPUTED_VALUE"""),3.0)</f>
        <v>3</v>
      </c>
      <c r="AG30" s="443" t="s">
        <v>83</v>
      </c>
      <c r="AH30" s="443" t="s">
        <v>343</v>
      </c>
      <c r="AI30" s="443"/>
      <c r="AJ30" s="443"/>
      <c r="AK30" s="443"/>
      <c r="AL30" s="443"/>
      <c r="AM30" s="443"/>
      <c r="AN30" s="443"/>
      <c r="AO30" s="443"/>
      <c r="AP30" s="443"/>
      <c r="AQ30" s="443"/>
      <c r="AR30" s="443"/>
      <c r="AS30" s="443"/>
      <c r="AT30" s="443"/>
      <c r="AU30" s="443"/>
      <c r="AV30" s="443"/>
      <c r="AW30" s="443"/>
      <c r="AX30" s="443"/>
      <c r="AY30" s="443"/>
      <c r="AZ30" s="443"/>
      <c r="BA30" s="443"/>
      <c r="BB30" s="443"/>
      <c r="BC30" s="443"/>
      <c r="BD30" s="443"/>
      <c r="BE30" s="443"/>
    </row>
    <row r="31" hidden="1">
      <c r="A31" s="445">
        <f t="shared" si="5"/>
        <v>45321</v>
      </c>
      <c r="B31" s="434">
        <v>390.0</v>
      </c>
      <c r="C31" s="462">
        <v>0.6</v>
      </c>
      <c r="D31" s="462">
        <v>0.8958333333333334</v>
      </c>
      <c r="E31" s="436">
        <f t="array" ref="E31">IF(B31=0,"",(J31+K31)/60)</f>
        <v>0.25</v>
      </c>
      <c r="F31" s="437">
        <f t="shared" si="1"/>
        <v>7.1</v>
      </c>
      <c r="G31" s="438">
        <f t="shared" si="2"/>
        <v>54.92957746</v>
      </c>
      <c r="H31" s="438">
        <f t="shared" si="3"/>
        <v>56.93430657</v>
      </c>
      <c r="I31" s="436">
        <f t="shared" si="4"/>
        <v>1.077050539</v>
      </c>
      <c r="J31" s="439">
        <v>15.0</v>
      </c>
      <c r="K31" s="464"/>
      <c r="L31" s="443"/>
      <c r="M31" s="447">
        <f>IFERROR(__xludf.DUMMYFUNCTION("""COMPUTED_VALUE"""),57.0)</f>
        <v>57</v>
      </c>
      <c r="N31" s="447">
        <f>IFERROR(__xludf.DUMMYFUNCTION("""COMPUTED_VALUE"""),54.0)</f>
        <v>54</v>
      </c>
      <c r="O31" s="447">
        <f>IFERROR(__xludf.DUMMYFUNCTION("""COMPUTED_VALUE"""),0.0)</f>
        <v>0</v>
      </c>
      <c r="P31" s="447">
        <f>IFERROR(__xludf.DUMMYFUNCTION("""COMPUTED_VALUE"""),0.0)</f>
        <v>0</v>
      </c>
      <c r="Q31" s="447">
        <f>IFERROR(__xludf.DUMMYFUNCTION("""COMPUTED_VALUE"""),0.0)</f>
        <v>0</v>
      </c>
      <c r="R31" s="447">
        <f>IFERROR(__xludf.DUMMYFUNCTION("""COMPUTED_VALUE"""),0.0)</f>
        <v>0</v>
      </c>
      <c r="S31" s="447">
        <f>IFERROR(__xludf.DUMMYFUNCTION("""COMPUTED_VALUE"""),1.0)</f>
        <v>1</v>
      </c>
      <c r="T31" s="447">
        <f>IFERROR(__xludf.DUMMYFUNCTION("""COMPUTED_VALUE"""),0.0)</f>
        <v>0</v>
      </c>
      <c r="U31" s="447">
        <f>IFERROR(__xludf.DUMMYFUNCTION("""COMPUTED_VALUE"""),1.0)</f>
        <v>1</v>
      </c>
      <c r="V31" s="447">
        <f>IFERROR(__xludf.DUMMYFUNCTION("""COMPUTED_VALUE"""),3.0)</f>
        <v>3</v>
      </c>
      <c r="W31" s="447">
        <f>IFERROR(__xludf.DUMMYFUNCTION("""COMPUTED_VALUE"""),0.0)</f>
        <v>0</v>
      </c>
      <c r="X31" s="447">
        <f>IFERROR(__xludf.DUMMYFUNCTION("""COMPUTED_VALUE"""),0.0)</f>
        <v>0</v>
      </c>
      <c r="Y31" s="447">
        <f>IFERROR(__xludf.DUMMYFUNCTION("""COMPUTED_VALUE"""),0.0)</f>
        <v>0</v>
      </c>
      <c r="Z31" s="447">
        <f>IFERROR(__xludf.DUMMYFUNCTION("""COMPUTED_VALUE"""),0.0)</f>
        <v>0</v>
      </c>
      <c r="AA31" s="447">
        <f>IFERROR(__xludf.DUMMYFUNCTION("""COMPUTED_VALUE"""),0.0)</f>
        <v>0</v>
      </c>
      <c r="AB31" s="447">
        <f>IFERROR(__xludf.DUMMYFUNCTION("""COMPUTED_VALUE"""),0.0)</f>
        <v>0</v>
      </c>
      <c r="AC31" s="447">
        <f>IFERROR(__xludf.DUMMYFUNCTION("""COMPUTED_VALUE"""),0.0)</f>
        <v>0</v>
      </c>
      <c r="AD31" s="447">
        <f>IFERROR(__xludf.DUMMYFUNCTION("""COMPUTED_VALUE"""),51.0)</f>
        <v>51</v>
      </c>
      <c r="AE31" s="447">
        <f>IFERROR(__xludf.DUMMYFUNCTION("""COMPUTED_VALUE"""),7.0)</f>
        <v>7</v>
      </c>
      <c r="AF31" s="447">
        <f>IFERROR(__xludf.DUMMYFUNCTION("""COMPUTED_VALUE"""),3.0)</f>
        <v>3</v>
      </c>
      <c r="AG31" s="443" t="s">
        <v>83</v>
      </c>
      <c r="AH31" s="443" t="s">
        <v>343</v>
      </c>
      <c r="AI31" s="443"/>
      <c r="AJ31" s="443"/>
      <c r="AK31" s="443"/>
      <c r="AL31" s="443"/>
      <c r="AM31" s="443"/>
      <c r="AN31" s="443"/>
      <c r="AO31" s="443"/>
      <c r="AP31" s="443"/>
      <c r="AQ31" s="443"/>
      <c r="AR31" s="443"/>
      <c r="AS31" s="443"/>
      <c r="AT31" s="443"/>
      <c r="AU31" s="443"/>
      <c r="AV31" s="443"/>
      <c r="AW31" s="443"/>
      <c r="AX31" s="443"/>
      <c r="AY31" s="443"/>
      <c r="AZ31" s="443"/>
      <c r="BA31" s="443"/>
      <c r="BB31" s="443"/>
      <c r="BC31" s="443"/>
      <c r="BD31" s="443"/>
      <c r="BE31" s="443"/>
    </row>
    <row r="32" hidden="1">
      <c r="A32" s="445">
        <f t="shared" si="5"/>
        <v>45322</v>
      </c>
      <c r="B32" s="434">
        <v>518.0</v>
      </c>
      <c r="C32" s="462">
        <v>0.5583333333333333</v>
      </c>
      <c r="D32" s="462">
        <v>0.9222222222222223</v>
      </c>
      <c r="E32" s="436">
        <f t="array" ref="E32">IF(B32=0,"",(J32+K32)/60)</f>
        <v>0.25</v>
      </c>
      <c r="F32" s="437">
        <f t="shared" si="1"/>
        <v>8.733333333</v>
      </c>
      <c r="G32" s="438">
        <f t="shared" si="2"/>
        <v>59.3129771</v>
      </c>
      <c r="H32" s="438">
        <f t="shared" si="3"/>
        <v>61.06090373</v>
      </c>
      <c r="I32" s="436">
        <f t="shared" si="4"/>
        <v>1.162999551</v>
      </c>
      <c r="J32" s="439">
        <v>15.0</v>
      </c>
      <c r="K32" s="464"/>
      <c r="L32" s="443"/>
      <c r="M32" s="447">
        <f>IFERROR(__xludf.DUMMYFUNCTION("""COMPUTED_VALUE"""),57.0)</f>
        <v>57</v>
      </c>
      <c r="N32" s="447">
        <f>IFERROR(__xludf.DUMMYFUNCTION("""COMPUTED_VALUE"""),54.0)</f>
        <v>54</v>
      </c>
      <c r="O32" s="447">
        <f>IFERROR(__xludf.DUMMYFUNCTION("""COMPUTED_VALUE"""),0.0)</f>
        <v>0</v>
      </c>
      <c r="P32" s="447">
        <f>IFERROR(__xludf.DUMMYFUNCTION("""COMPUTED_VALUE"""),0.0)</f>
        <v>0</v>
      </c>
      <c r="Q32" s="447">
        <f>IFERROR(__xludf.DUMMYFUNCTION("""COMPUTED_VALUE"""),0.0)</f>
        <v>0</v>
      </c>
      <c r="R32" s="447">
        <f>IFERROR(__xludf.DUMMYFUNCTION("""COMPUTED_VALUE"""),0.0)</f>
        <v>0</v>
      </c>
      <c r="S32" s="447">
        <f>IFERROR(__xludf.DUMMYFUNCTION("""COMPUTED_VALUE"""),1.0)</f>
        <v>1</v>
      </c>
      <c r="T32" s="447">
        <f>IFERROR(__xludf.DUMMYFUNCTION("""COMPUTED_VALUE"""),0.0)</f>
        <v>0</v>
      </c>
      <c r="U32" s="447">
        <f>IFERROR(__xludf.DUMMYFUNCTION("""COMPUTED_VALUE"""),1.0)</f>
        <v>1</v>
      </c>
      <c r="V32" s="447">
        <f>IFERROR(__xludf.DUMMYFUNCTION("""COMPUTED_VALUE"""),3.0)</f>
        <v>3</v>
      </c>
      <c r="W32" s="447">
        <f>IFERROR(__xludf.DUMMYFUNCTION("""COMPUTED_VALUE"""),0.0)</f>
        <v>0</v>
      </c>
      <c r="X32" s="447">
        <f>IFERROR(__xludf.DUMMYFUNCTION("""COMPUTED_VALUE"""),0.0)</f>
        <v>0</v>
      </c>
      <c r="Y32" s="447">
        <f>IFERROR(__xludf.DUMMYFUNCTION("""COMPUTED_VALUE"""),0.0)</f>
        <v>0</v>
      </c>
      <c r="Z32" s="447">
        <f>IFERROR(__xludf.DUMMYFUNCTION("""COMPUTED_VALUE"""),0.0)</f>
        <v>0</v>
      </c>
      <c r="AA32" s="447">
        <f>IFERROR(__xludf.DUMMYFUNCTION("""COMPUTED_VALUE"""),0.0)</f>
        <v>0</v>
      </c>
      <c r="AB32" s="447">
        <f>IFERROR(__xludf.DUMMYFUNCTION("""COMPUTED_VALUE"""),0.0)</f>
        <v>0</v>
      </c>
      <c r="AC32" s="447">
        <f>IFERROR(__xludf.DUMMYFUNCTION("""COMPUTED_VALUE"""),0.0)</f>
        <v>0</v>
      </c>
      <c r="AD32" s="447">
        <f>IFERROR(__xludf.DUMMYFUNCTION("""COMPUTED_VALUE"""),51.0)</f>
        <v>51</v>
      </c>
      <c r="AE32" s="447">
        <f>IFERROR(__xludf.DUMMYFUNCTION("""COMPUTED_VALUE"""),7.0)</f>
        <v>7</v>
      </c>
      <c r="AF32" s="447">
        <f>IFERROR(__xludf.DUMMYFUNCTION("""COMPUTED_VALUE"""),3.0)</f>
        <v>3</v>
      </c>
      <c r="AG32" s="443" t="s">
        <v>83</v>
      </c>
      <c r="AH32" s="443" t="s">
        <v>343</v>
      </c>
      <c r="AI32" s="443"/>
      <c r="AJ32" s="443"/>
      <c r="AK32" s="443"/>
      <c r="AL32" s="443"/>
      <c r="AM32" s="443"/>
      <c r="AN32" s="443"/>
      <c r="AO32" s="443"/>
      <c r="AP32" s="443"/>
      <c r="AQ32" s="443"/>
      <c r="AR32" s="443"/>
      <c r="AS32" s="443"/>
      <c r="AT32" s="443"/>
      <c r="AU32" s="443"/>
      <c r="AV32" s="443"/>
      <c r="AW32" s="443"/>
      <c r="AX32" s="443"/>
      <c r="AY32" s="443"/>
      <c r="AZ32" s="443"/>
      <c r="BA32" s="443"/>
      <c r="BB32" s="443"/>
      <c r="BC32" s="443"/>
      <c r="BD32" s="443"/>
      <c r="BE32" s="443"/>
    </row>
    <row r="33" hidden="1">
      <c r="A33" s="445">
        <f t="shared" si="5"/>
        <v>45323</v>
      </c>
      <c r="B33" s="434">
        <v>518.0</v>
      </c>
      <c r="C33" s="462">
        <v>0.5652777777777778</v>
      </c>
      <c r="D33" s="462">
        <v>0.9166666666666666</v>
      </c>
      <c r="E33" s="436">
        <f t="array" ref="E33">IF(B33=0,"",(J33+K33)/60)</f>
        <v>0.5</v>
      </c>
      <c r="F33" s="437">
        <f t="shared" si="1"/>
        <v>8.433333333</v>
      </c>
      <c r="G33" s="438">
        <f t="shared" si="2"/>
        <v>61.4229249</v>
      </c>
      <c r="H33" s="438">
        <f t="shared" si="3"/>
        <v>65.29411765</v>
      </c>
      <c r="I33" s="436">
        <f t="shared" si="4"/>
        <v>1.335280976</v>
      </c>
      <c r="J33" s="439">
        <v>15.0</v>
      </c>
      <c r="K33" s="460">
        <v>15.0</v>
      </c>
      <c r="L33" s="443"/>
      <c r="M33" s="469">
        <f>IFERROR(__xludf.DUMMYFUNCTION("TRANSPOSE(IMPORTRANGE(""https://docs.google.com/spreadsheets/d/1CNeKSHTeNNJnfn5EymHwGg5Mkuk6EcepW7_9QkJxalc/edit#gid=1218471306"",""FEBRERO 2024!F2:AH21""))"),57.0)</f>
        <v>57</v>
      </c>
      <c r="N33" s="447">
        <f>IFERROR(__xludf.DUMMYFUNCTION("""COMPUTED_VALUE"""),54.0)</f>
        <v>54</v>
      </c>
      <c r="O33" s="447">
        <f>IFERROR(__xludf.DUMMYFUNCTION("""COMPUTED_VALUE"""),1.0)</f>
        <v>1</v>
      </c>
      <c r="P33" s="447">
        <f>IFERROR(__xludf.DUMMYFUNCTION("""COMPUTED_VALUE"""),1.0)</f>
        <v>1</v>
      </c>
      <c r="Q33" s="447">
        <f>IFERROR(__xludf.DUMMYFUNCTION("""COMPUTED_VALUE"""),0.0)</f>
        <v>0</v>
      </c>
      <c r="R33" s="447">
        <f>IFERROR(__xludf.DUMMYFUNCTION("""COMPUTED_VALUE"""),0.0)</f>
        <v>0</v>
      </c>
      <c r="S33" s="447">
        <f>IFERROR(__xludf.DUMMYFUNCTION("""COMPUTED_VALUE"""),4.0)</f>
        <v>4</v>
      </c>
      <c r="T33" s="447">
        <f>IFERROR(__xludf.DUMMYFUNCTION("""COMPUTED_VALUE"""),0.0)</f>
        <v>0</v>
      </c>
      <c r="U33" s="447">
        <f>IFERROR(__xludf.DUMMYFUNCTION("""COMPUTED_VALUE"""),1.0)</f>
        <v>1</v>
      </c>
      <c r="V33" s="447">
        <f>IFERROR(__xludf.DUMMYFUNCTION("""COMPUTED_VALUE"""),2.0)</f>
        <v>2</v>
      </c>
      <c r="W33" s="447">
        <f>IFERROR(__xludf.DUMMYFUNCTION("""COMPUTED_VALUE"""),0.0)</f>
        <v>0</v>
      </c>
      <c r="X33" s="447">
        <f>IFERROR(__xludf.DUMMYFUNCTION("""COMPUTED_VALUE"""),0.0)</f>
        <v>0</v>
      </c>
      <c r="Y33" s="447">
        <f>IFERROR(__xludf.DUMMYFUNCTION("""COMPUTED_VALUE"""),0.0)</f>
        <v>0</v>
      </c>
      <c r="Z33" s="447">
        <f>IFERROR(__xludf.DUMMYFUNCTION("""COMPUTED_VALUE"""),0.0)</f>
        <v>0</v>
      </c>
      <c r="AA33" s="447">
        <f>IFERROR(__xludf.DUMMYFUNCTION("""COMPUTED_VALUE"""),0.0)</f>
        <v>0</v>
      </c>
      <c r="AB33" s="447">
        <f>IFERROR(__xludf.DUMMYFUNCTION("""COMPUTED_VALUE"""),1.0)</f>
        <v>1</v>
      </c>
      <c r="AC33" s="447">
        <f>IFERROR(__xludf.DUMMYFUNCTION("""COMPUTED_VALUE"""),0.0)</f>
        <v>0</v>
      </c>
      <c r="AD33" s="447">
        <f>IFERROR(__xludf.DUMMYFUNCTION("""COMPUTED_VALUE"""),46.0)</f>
        <v>46</v>
      </c>
      <c r="AE33" s="447">
        <f>IFERROR(__xludf.DUMMYFUNCTION("""COMPUTED_VALUE"""),11.0)</f>
        <v>11</v>
      </c>
      <c r="AF33" s="447">
        <f>IFERROR(__xludf.DUMMYFUNCTION("""COMPUTED_VALUE"""),3.0)</f>
        <v>3</v>
      </c>
      <c r="AG33" s="443" t="s">
        <v>91</v>
      </c>
      <c r="AH33" s="443" t="s">
        <v>343</v>
      </c>
      <c r="AI33" s="443"/>
      <c r="AJ33" s="443"/>
      <c r="AK33" s="443"/>
      <c r="AL33" s="443"/>
      <c r="AM33" s="443"/>
      <c r="AN33" s="443"/>
      <c r="AO33" s="443"/>
      <c r="AP33" s="443"/>
      <c r="AQ33" s="443"/>
      <c r="AR33" s="443"/>
      <c r="AS33" s="443"/>
      <c r="AT33" s="443"/>
      <c r="AU33" s="443"/>
      <c r="AV33" s="443"/>
      <c r="AW33" s="443"/>
      <c r="AX33" s="443"/>
      <c r="AY33" s="443"/>
      <c r="AZ33" s="443"/>
      <c r="BA33" s="443"/>
      <c r="BB33" s="443"/>
      <c r="BC33" s="443"/>
      <c r="BD33" s="443"/>
      <c r="BE33" s="443"/>
    </row>
    <row r="34" hidden="1">
      <c r="A34" s="445">
        <f t="shared" si="5"/>
        <v>45324</v>
      </c>
      <c r="B34" s="434">
        <v>423.0</v>
      </c>
      <c r="C34" s="462">
        <v>0.6</v>
      </c>
      <c r="D34" s="462">
        <v>0.9166666666666666</v>
      </c>
      <c r="E34" s="436">
        <f t="array" ref="E34">IF(B34=0,"",(J34+K34)/60)</f>
        <v>0.25</v>
      </c>
      <c r="F34" s="437">
        <f t="shared" si="1"/>
        <v>7.6</v>
      </c>
      <c r="G34" s="438">
        <f t="shared" si="2"/>
        <v>55.65789474</v>
      </c>
      <c r="H34" s="438">
        <f t="shared" si="3"/>
        <v>57.55102041</v>
      </c>
      <c r="I34" s="436">
        <f t="shared" si="4"/>
        <v>1.159539474</v>
      </c>
      <c r="J34" s="439">
        <v>15.0</v>
      </c>
      <c r="K34" s="464"/>
      <c r="L34" s="443"/>
      <c r="M34" s="447">
        <f>IFERROR(__xludf.DUMMYFUNCTION("""COMPUTED_VALUE"""),57.0)</f>
        <v>57</v>
      </c>
      <c r="N34" s="447">
        <f>IFERROR(__xludf.DUMMYFUNCTION("""COMPUTED_VALUE"""),54.0)</f>
        <v>54</v>
      </c>
      <c r="O34" s="447">
        <f>IFERROR(__xludf.DUMMYFUNCTION("""COMPUTED_VALUE"""),0.0)</f>
        <v>0</v>
      </c>
      <c r="P34" s="447">
        <f>IFERROR(__xludf.DUMMYFUNCTION("""COMPUTED_VALUE"""),0.0)</f>
        <v>0</v>
      </c>
      <c r="Q34" s="447">
        <f>IFERROR(__xludf.DUMMYFUNCTION("""COMPUTED_VALUE"""),2.0)</f>
        <v>2</v>
      </c>
      <c r="R34" s="447">
        <f>IFERROR(__xludf.DUMMYFUNCTION("""COMPUTED_VALUE"""),0.0)</f>
        <v>0</v>
      </c>
      <c r="S34" s="447">
        <f>IFERROR(__xludf.DUMMYFUNCTION("""COMPUTED_VALUE"""),3.0)</f>
        <v>3</v>
      </c>
      <c r="T34" s="447">
        <f>IFERROR(__xludf.DUMMYFUNCTION("""COMPUTED_VALUE"""),0.0)</f>
        <v>0</v>
      </c>
      <c r="U34" s="447">
        <f>IFERROR(__xludf.DUMMYFUNCTION("""COMPUTED_VALUE"""),1.0)</f>
        <v>1</v>
      </c>
      <c r="V34" s="447">
        <f>IFERROR(__xludf.DUMMYFUNCTION("""COMPUTED_VALUE"""),2.0)</f>
        <v>2</v>
      </c>
      <c r="W34" s="447">
        <f>IFERROR(__xludf.DUMMYFUNCTION("""COMPUTED_VALUE"""),0.0)</f>
        <v>0</v>
      </c>
      <c r="X34" s="447">
        <f>IFERROR(__xludf.DUMMYFUNCTION("""COMPUTED_VALUE"""),0.0)</f>
        <v>0</v>
      </c>
      <c r="Y34" s="447">
        <f>IFERROR(__xludf.DUMMYFUNCTION("""COMPUTED_VALUE"""),0.0)</f>
        <v>0</v>
      </c>
      <c r="Z34" s="447">
        <f>IFERROR(__xludf.DUMMYFUNCTION("""COMPUTED_VALUE"""),0.0)</f>
        <v>0</v>
      </c>
      <c r="AA34" s="447">
        <f>IFERROR(__xludf.DUMMYFUNCTION("""COMPUTED_VALUE"""),0.0)</f>
        <v>0</v>
      </c>
      <c r="AB34" s="447">
        <f>IFERROR(__xludf.DUMMYFUNCTION("""COMPUTED_VALUE"""),0.0)</f>
        <v>0</v>
      </c>
      <c r="AC34" s="447">
        <f>IFERROR(__xludf.DUMMYFUNCTION("""COMPUTED_VALUE"""),0.0)</f>
        <v>0</v>
      </c>
      <c r="AD34" s="447">
        <f>IFERROR(__xludf.DUMMYFUNCTION("""COMPUTED_VALUE"""),48.0)</f>
        <v>48</v>
      </c>
      <c r="AE34" s="447">
        <f>IFERROR(__xludf.DUMMYFUNCTION("""COMPUTED_VALUE"""),10.0)</f>
        <v>10</v>
      </c>
      <c r="AF34" s="447">
        <f>IFERROR(__xludf.DUMMYFUNCTION("""COMPUTED_VALUE"""),3.0)</f>
        <v>3</v>
      </c>
      <c r="AG34" s="443" t="s">
        <v>91</v>
      </c>
      <c r="AH34" s="443" t="s">
        <v>343</v>
      </c>
      <c r="AI34" s="443"/>
      <c r="AJ34" s="443"/>
      <c r="AK34" s="443"/>
      <c r="AL34" s="443"/>
      <c r="AM34" s="443"/>
      <c r="AN34" s="443"/>
      <c r="AO34" s="443"/>
      <c r="AP34" s="443"/>
      <c r="AQ34" s="443"/>
      <c r="AR34" s="443"/>
      <c r="AS34" s="443"/>
      <c r="AT34" s="443"/>
      <c r="AU34" s="443"/>
      <c r="AV34" s="443"/>
      <c r="AW34" s="443"/>
      <c r="AX34" s="443"/>
      <c r="AY34" s="443"/>
      <c r="AZ34" s="443"/>
      <c r="BA34" s="443"/>
      <c r="BB34" s="443"/>
      <c r="BC34" s="443"/>
      <c r="BD34" s="443"/>
      <c r="BE34" s="443"/>
    </row>
    <row r="35" hidden="1">
      <c r="A35" s="445">
        <f t="shared" si="5"/>
        <v>45325</v>
      </c>
      <c r="B35" s="434">
        <v>382.0</v>
      </c>
      <c r="C35" s="462">
        <v>0.5166666666666667</v>
      </c>
      <c r="D35" s="462">
        <v>0.8055555555555556</v>
      </c>
      <c r="E35" s="436">
        <f t="array" ref="E35">IF(B35=0,"",(J35+K35)/60)</f>
        <v>0.25</v>
      </c>
      <c r="F35" s="437">
        <f t="shared" si="1"/>
        <v>6.933333333</v>
      </c>
      <c r="G35" s="438">
        <f t="shared" si="2"/>
        <v>55.09615385</v>
      </c>
      <c r="H35" s="438">
        <f t="shared" si="3"/>
        <v>57.15710723</v>
      </c>
      <c r="I35" s="436">
        <f t="shared" si="4"/>
        <v>1.101923077</v>
      </c>
      <c r="J35" s="439">
        <v>15.0</v>
      </c>
      <c r="K35" s="464"/>
      <c r="L35" s="443"/>
      <c r="M35" s="447">
        <f>IFERROR(__xludf.DUMMYFUNCTION("""COMPUTED_VALUE"""),57.0)</f>
        <v>57</v>
      </c>
      <c r="N35" s="447">
        <f>IFERROR(__xludf.DUMMYFUNCTION("""COMPUTED_VALUE"""),54.0)</f>
        <v>54</v>
      </c>
      <c r="O35" s="447">
        <f>IFERROR(__xludf.DUMMYFUNCTION("""COMPUTED_VALUE"""),0.0)</f>
        <v>0</v>
      </c>
      <c r="P35" s="447">
        <f>IFERROR(__xludf.DUMMYFUNCTION("""COMPUTED_VALUE"""),1.0)</f>
        <v>1</v>
      </c>
      <c r="Q35" s="447">
        <f>IFERROR(__xludf.DUMMYFUNCTION("""COMPUTED_VALUE"""),1.0)</f>
        <v>1</v>
      </c>
      <c r="R35" s="447">
        <f>IFERROR(__xludf.DUMMYFUNCTION("""COMPUTED_VALUE"""),0.0)</f>
        <v>0</v>
      </c>
      <c r="S35" s="447">
        <f>IFERROR(__xludf.DUMMYFUNCTION("""COMPUTED_VALUE"""),1.0)</f>
        <v>1</v>
      </c>
      <c r="T35" s="447">
        <f>IFERROR(__xludf.DUMMYFUNCTION("""COMPUTED_VALUE"""),0.0)</f>
        <v>0</v>
      </c>
      <c r="U35" s="447">
        <f>IFERROR(__xludf.DUMMYFUNCTION("""COMPUTED_VALUE"""),1.0)</f>
        <v>1</v>
      </c>
      <c r="V35" s="447">
        <f>IFERROR(__xludf.DUMMYFUNCTION("""COMPUTED_VALUE"""),2.0)</f>
        <v>2</v>
      </c>
      <c r="W35" s="447">
        <f>IFERROR(__xludf.DUMMYFUNCTION("""COMPUTED_VALUE"""),0.0)</f>
        <v>0</v>
      </c>
      <c r="X35" s="447">
        <f>IFERROR(__xludf.DUMMYFUNCTION("""COMPUTED_VALUE"""),0.0)</f>
        <v>0</v>
      </c>
      <c r="Y35" s="447">
        <f>IFERROR(__xludf.DUMMYFUNCTION("""COMPUTED_VALUE"""),0.0)</f>
        <v>0</v>
      </c>
      <c r="Z35" s="447">
        <f>IFERROR(__xludf.DUMMYFUNCTION("""COMPUTED_VALUE"""),0.0)</f>
        <v>0</v>
      </c>
      <c r="AA35" s="447">
        <f>IFERROR(__xludf.DUMMYFUNCTION("""COMPUTED_VALUE"""),0.0)</f>
        <v>0</v>
      </c>
      <c r="AB35" s="447">
        <f>IFERROR(__xludf.DUMMYFUNCTION("""COMPUTED_VALUE"""),0.0)</f>
        <v>0</v>
      </c>
      <c r="AC35" s="447">
        <f>IFERROR(__xludf.DUMMYFUNCTION("""COMPUTED_VALUE"""),0.0)</f>
        <v>0</v>
      </c>
      <c r="AD35" s="447">
        <f>IFERROR(__xludf.DUMMYFUNCTION("""COMPUTED_VALUE"""),50.0)</f>
        <v>50</v>
      </c>
      <c r="AE35" s="447">
        <f>IFERROR(__xludf.DUMMYFUNCTION("""COMPUTED_VALUE"""),8.0)</f>
        <v>8</v>
      </c>
      <c r="AF35" s="447">
        <f>IFERROR(__xludf.DUMMYFUNCTION("""COMPUTED_VALUE"""),3.0)</f>
        <v>3</v>
      </c>
      <c r="AG35" s="443" t="s">
        <v>91</v>
      </c>
      <c r="AH35" s="443" t="s">
        <v>343</v>
      </c>
      <c r="AI35" s="443"/>
      <c r="AJ35" s="443"/>
      <c r="AK35" s="443"/>
      <c r="AL35" s="443"/>
      <c r="AM35" s="443"/>
      <c r="AN35" s="443"/>
      <c r="AO35" s="443"/>
      <c r="AP35" s="443"/>
      <c r="AQ35" s="443"/>
      <c r="AR35" s="443"/>
      <c r="AS35" s="443"/>
      <c r="AT35" s="443"/>
      <c r="AU35" s="443"/>
      <c r="AV35" s="443"/>
      <c r="AW35" s="443"/>
      <c r="AX35" s="443"/>
      <c r="AY35" s="443"/>
      <c r="AZ35" s="443"/>
      <c r="BA35" s="443"/>
      <c r="BB35" s="443"/>
      <c r="BC35" s="443"/>
      <c r="BD35" s="443"/>
      <c r="BE35" s="443"/>
    </row>
    <row r="36" hidden="1">
      <c r="A36" s="445">
        <f t="shared" si="5"/>
        <v>45326</v>
      </c>
      <c r="B36" s="434">
        <v>0.0</v>
      </c>
      <c r="C36" s="443"/>
      <c r="D36" s="443"/>
      <c r="E36" s="436" t="str">
        <f t="array" ref="E36">IF(B36=0,"",(J36+K36)/60)</f>
        <v/>
      </c>
      <c r="F36" s="437" t="str">
        <f t="shared" si="1"/>
        <v/>
      </c>
      <c r="G36" s="438" t="str">
        <f t="shared" si="2"/>
        <v/>
      </c>
      <c r="H36" s="438" t="str">
        <f t="shared" si="3"/>
        <v/>
      </c>
      <c r="I36" s="436" t="str">
        <f t="shared" si="4"/>
        <v/>
      </c>
      <c r="J36" s="439"/>
      <c r="K36" s="464"/>
      <c r="L36" s="443"/>
      <c r="M36" s="447">
        <f>IFERROR(__xludf.DUMMYFUNCTION("""COMPUTED_VALUE"""),57.0)</f>
        <v>57</v>
      </c>
      <c r="N36" s="447">
        <f>IFERROR(__xludf.DUMMYFUNCTION("""COMPUTED_VALUE"""),55.0)</f>
        <v>55</v>
      </c>
      <c r="O36" s="447">
        <f>IFERROR(__xludf.DUMMYFUNCTION("""COMPUTED_VALUE"""),0.0)</f>
        <v>0</v>
      </c>
      <c r="P36" s="447">
        <f>IFERROR(__xludf.DUMMYFUNCTION("""COMPUTED_VALUE"""),0.0)</f>
        <v>0</v>
      </c>
      <c r="Q36" s="447">
        <f>IFERROR(__xludf.DUMMYFUNCTION("""COMPUTED_VALUE"""),0.0)</f>
        <v>0</v>
      </c>
      <c r="R36" s="447">
        <f>IFERROR(__xludf.DUMMYFUNCTION("""COMPUTED_VALUE"""),0.0)</f>
        <v>0</v>
      </c>
      <c r="S36" s="447">
        <f>IFERROR(__xludf.DUMMYFUNCTION("""COMPUTED_VALUE"""),0.0)</f>
        <v>0</v>
      </c>
      <c r="T36" s="447">
        <f>IFERROR(__xludf.DUMMYFUNCTION("""COMPUTED_VALUE"""),0.0)</f>
        <v>0</v>
      </c>
      <c r="U36" s="447">
        <f>IFERROR(__xludf.DUMMYFUNCTION("""COMPUTED_VALUE"""),0.0)</f>
        <v>0</v>
      </c>
      <c r="V36" s="447">
        <f>IFERROR(__xludf.DUMMYFUNCTION("""COMPUTED_VALUE"""),0.0)</f>
        <v>0</v>
      </c>
      <c r="W36" s="447">
        <f>IFERROR(__xludf.DUMMYFUNCTION("""COMPUTED_VALUE"""),0.0)</f>
        <v>0</v>
      </c>
      <c r="X36" s="447">
        <f>IFERROR(__xludf.DUMMYFUNCTION("""COMPUTED_VALUE"""),0.0)</f>
        <v>0</v>
      </c>
      <c r="Y36" s="447">
        <f>IFERROR(__xludf.DUMMYFUNCTION("""COMPUTED_VALUE"""),0.0)</f>
        <v>0</v>
      </c>
      <c r="Z36" s="447">
        <f>IFERROR(__xludf.DUMMYFUNCTION("""COMPUTED_VALUE"""),0.0)</f>
        <v>0</v>
      </c>
      <c r="AA36" s="447">
        <f>IFERROR(__xludf.DUMMYFUNCTION("""COMPUTED_VALUE"""),0.0)</f>
        <v>0</v>
      </c>
      <c r="AB36" s="447">
        <f>IFERROR(__xludf.DUMMYFUNCTION("""COMPUTED_VALUE"""),0.0)</f>
        <v>0</v>
      </c>
      <c r="AC36" s="447">
        <f>IFERROR(__xludf.DUMMYFUNCTION("""COMPUTED_VALUE"""),0.0)</f>
        <v>0</v>
      </c>
      <c r="AD36" s="447">
        <f>IFERROR(__xludf.DUMMYFUNCTION("""COMPUTED_VALUE"""),0.0)</f>
        <v>0</v>
      </c>
      <c r="AE36" s="447">
        <f>IFERROR(__xludf.DUMMYFUNCTION("""COMPUTED_VALUE"""),2.0)</f>
        <v>2</v>
      </c>
      <c r="AF36" s="447">
        <f>IFERROR(__xludf.DUMMYFUNCTION("""COMPUTED_VALUE"""),2.0)</f>
        <v>2</v>
      </c>
      <c r="AG36" s="443" t="s">
        <v>91</v>
      </c>
      <c r="AH36" s="443" t="s">
        <v>343</v>
      </c>
      <c r="AI36" s="443"/>
      <c r="AJ36" s="443"/>
      <c r="AK36" s="443"/>
      <c r="AL36" s="443"/>
      <c r="AM36" s="443"/>
      <c r="AN36" s="443"/>
      <c r="AO36" s="443"/>
      <c r="AP36" s="443"/>
      <c r="AQ36" s="443"/>
      <c r="AR36" s="443"/>
      <c r="AS36" s="443"/>
      <c r="AT36" s="443"/>
      <c r="AU36" s="443"/>
      <c r="AV36" s="443"/>
      <c r="AW36" s="443"/>
      <c r="AX36" s="443"/>
      <c r="AY36" s="443"/>
      <c r="AZ36" s="443"/>
      <c r="BA36" s="443"/>
      <c r="BB36" s="443"/>
      <c r="BC36" s="443"/>
      <c r="BD36" s="443"/>
      <c r="BE36" s="443"/>
    </row>
    <row r="37" hidden="1">
      <c r="A37" s="445">
        <f t="shared" si="5"/>
        <v>45327</v>
      </c>
      <c r="B37" s="434">
        <v>503.0</v>
      </c>
      <c r="C37" s="462">
        <v>0.5166666666666667</v>
      </c>
      <c r="D37" s="462">
        <v>0.8993055555555556</v>
      </c>
      <c r="E37" s="436">
        <f t="array" ref="E37">IF(B37=0,"",(J37+K37)/60)</f>
        <v>0.25</v>
      </c>
      <c r="F37" s="437">
        <f t="shared" si="1"/>
        <v>9.183333333</v>
      </c>
      <c r="G37" s="438">
        <f t="shared" si="2"/>
        <v>54.77313975</v>
      </c>
      <c r="H37" s="438">
        <f t="shared" si="3"/>
        <v>56.30597015</v>
      </c>
      <c r="I37" s="436">
        <f t="shared" si="4"/>
        <v>1.165385952</v>
      </c>
      <c r="J37" s="439">
        <v>15.0</v>
      </c>
      <c r="K37" s="470"/>
      <c r="L37" s="443"/>
      <c r="M37" s="447">
        <f>IFERROR(__xludf.DUMMYFUNCTION("""COMPUTED_VALUE"""),57.0)</f>
        <v>57</v>
      </c>
      <c r="N37" s="447">
        <f>IFERROR(__xludf.DUMMYFUNCTION("""COMPUTED_VALUE"""),54.0)</f>
        <v>54</v>
      </c>
      <c r="O37" s="447">
        <f>IFERROR(__xludf.DUMMYFUNCTION("""COMPUTED_VALUE"""),0.0)</f>
        <v>0</v>
      </c>
      <c r="P37" s="447">
        <f>IFERROR(__xludf.DUMMYFUNCTION("""COMPUTED_VALUE"""),0.0)</f>
        <v>0</v>
      </c>
      <c r="Q37" s="447">
        <f>IFERROR(__xludf.DUMMYFUNCTION("""COMPUTED_VALUE"""),2.0)</f>
        <v>2</v>
      </c>
      <c r="R37" s="447">
        <f>IFERROR(__xludf.DUMMYFUNCTION("""COMPUTED_VALUE"""),0.0)</f>
        <v>0</v>
      </c>
      <c r="S37" s="447">
        <f>IFERROR(__xludf.DUMMYFUNCTION("""COMPUTED_VALUE"""),2.0)</f>
        <v>2</v>
      </c>
      <c r="T37" s="447">
        <f>IFERROR(__xludf.DUMMYFUNCTION("""COMPUTED_VALUE"""),0.0)</f>
        <v>0</v>
      </c>
      <c r="U37" s="447">
        <f>IFERROR(__xludf.DUMMYFUNCTION("""COMPUTED_VALUE"""),1.0)</f>
        <v>1</v>
      </c>
      <c r="V37" s="447">
        <f>IFERROR(__xludf.DUMMYFUNCTION("""COMPUTED_VALUE"""),2.0)</f>
        <v>2</v>
      </c>
      <c r="W37" s="447">
        <f>IFERROR(__xludf.DUMMYFUNCTION("""COMPUTED_VALUE"""),1.0)</f>
        <v>1</v>
      </c>
      <c r="X37" s="447">
        <f>IFERROR(__xludf.DUMMYFUNCTION("""COMPUTED_VALUE"""),0.0)</f>
        <v>0</v>
      </c>
      <c r="Y37" s="447">
        <f>IFERROR(__xludf.DUMMYFUNCTION("""COMPUTED_VALUE"""),0.0)</f>
        <v>0</v>
      </c>
      <c r="Z37" s="447">
        <f>IFERROR(__xludf.DUMMYFUNCTION("""COMPUTED_VALUE"""),0.0)</f>
        <v>0</v>
      </c>
      <c r="AA37" s="447">
        <f>IFERROR(__xludf.DUMMYFUNCTION("""COMPUTED_VALUE"""),0.0)</f>
        <v>0</v>
      </c>
      <c r="AB37" s="447">
        <f>IFERROR(__xludf.DUMMYFUNCTION("""COMPUTED_VALUE"""),0.0)</f>
        <v>0</v>
      </c>
      <c r="AC37" s="447">
        <f>IFERROR(__xludf.DUMMYFUNCTION("""COMPUTED_VALUE"""),0.0)</f>
        <v>0</v>
      </c>
      <c r="AD37" s="447">
        <f>IFERROR(__xludf.DUMMYFUNCTION("""COMPUTED_VALUE"""),47.0)</f>
        <v>47</v>
      </c>
      <c r="AE37" s="447">
        <f>IFERROR(__xludf.DUMMYFUNCTION("""COMPUTED_VALUE"""),10.0)</f>
        <v>10</v>
      </c>
      <c r="AF37" s="447">
        <f>IFERROR(__xludf.DUMMYFUNCTION("""COMPUTED_VALUE"""),3.0)</f>
        <v>3</v>
      </c>
      <c r="AG37" s="443" t="s">
        <v>91</v>
      </c>
      <c r="AH37" s="443" t="s">
        <v>343</v>
      </c>
      <c r="AI37" s="443"/>
      <c r="AJ37" s="443"/>
      <c r="AK37" s="443"/>
      <c r="AL37" s="443"/>
      <c r="AM37" s="443"/>
      <c r="AN37" s="443"/>
      <c r="AO37" s="443"/>
      <c r="AP37" s="443"/>
      <c r="AQ37" s="443"/>
      <c r="AR37" s="443"/>
      <c r="AS37" s="443"/>
      <c r="AT37" s="443"/>
      <c r="AU37" s="443"/>
      <c r="AV37" s="443"/>
      <c r="AW37" s="443"/>
      <c r="AX37" s="443"/>
      <c r="AY37" s="443"/>
      <c r="AZ37" s="443"/>
      <c r="BA37" s="443"/>
      <c r="BB37" s="443"/>
      <c r="BC37" s="443"/>
      <c r="BD37" s="443"/>
      <c r="BE37" s="443"/>
    </row>
    <row r="38" hidden="1">
      <c r="A38" s="445">
        <f t="shared" si="5"/>
        <v>45328</v>
      </c>
      <c r="B38" s="434">
        <v>567.0</v>
      </c>
      <c r="C38" s="462">
        <v>0.43333333333333335</v>
      </c>
      <c r="D38" s="462">
        <v>0.8541666666666666</v>
      </c>
      <c r="E38" s="436">
        <f t="array" ref="E38">IF(B38=0,"",(J38+K38)/60)</f>
        <v>1</v>
      </c>
      <c r="F38" s="437">
        <f t="shared" si="1"/>
        <v>10.1</v>
      </c>
      <c r="G38" s="438">
        <f t="shared" si="2"/>
        <v>56.13861386</v>
      </c>
      <c r="H38" s="438">
        <f t="shared" si="3"/>
        <v>62.30769231</v>
      </c>
      <c r="I38" s="436">
        <f t="shared" si="4"/>
        <v>1.145685997</v>
      </c>
      <c r="J38" s="439">
        <v>60.0</v>
      </c>
      <c r="K38" s="471"/>
      <c r="L38" s="443"/>
      <c r="M38" s="447">
        <f>IFERROR(__xludf.DUMMYFUNCTION("""COMPUTED_VALUE"""),57.0)</f>
        <v>57</v>
      </c>
      <c r="N38" s="447">
        <f>IFERROR(__xludf.DUMMYFUNCTION("""COMPUTED_VALUE"""),53.0)</f>
        <v>53</v>
      </c>
      <c r="O38" s="447">
        <f>IFERROR(__xludf.DUMMYFUNCTION("""COMPUTED_VALUE"""),0.0)</f>
        <v>0</v>
      </c>
      <c r="P38" s="447">
        <f>IFERROR(__xludf.DUMMYFUNCTION("""COMPUTED_VALUE"""),0.0)</f>
        <v>0</v>
      </c>
      <c r="Q38" s="447">
        <f>IFERROR(__xludf.DUMMYFUNCTION("""COMPUTED_VALUE"""),0.0)</f>
        <v>0</v>
      </c>
      <c r="R38" s="447">
        <f>IFERROR(__xludf.DUMMYFUNCTION("""COMPUTED_VALUE"""),0.0)</f>
        <v>0</v>
      </c>
      <c r="S38" s="447">
        <f>IFERROR(__xludf.DUMMYFUNCTION("""COMPUTED_VALUE"""),2.0)</f>
        <v>2</v>
      </c>
      <c r="T38" s="447">
        <f>IFERROR(__xludf.DUMMYFUNCTION("""COMPUTED_VALUE"""),0.0)</f>
        <v>0</v>
      </c>
      <c r="U38" s="447">
        <f>IFERROR(__xludf.DUMMYFUNCTION("""COMPUTED_VALUE"""),2.0)</f>
        <v>2</v>
      </c>
      <c r="V38" s="447">
        <f>IFERROR(__xludf.DUMMYFUNCTION("""COMPUTED_VALUE"""),2.0)</f>
        <v>2</v>
      </c>
      <c r="W38" s="447">
        <f>IFERROR(__xludf.DUMMYFUNCTION("""COMPUTED_VALUE"""),0.0)</f>
        <v>0</v>
      </c>
      <c r="X38" s="447">
        <f>IFERROR(__xludf.DUMMYFUNCTION("""COMPUTED_VALUE"""),0.0)</f>
        <v>0</v>
      </c>
      <c r="Y38" s="447">
        <f>IFERROR(__xludf.DUMMYFUNCTION("""COMPUTED_VALUE"""),0.0)</f>
        <v>0</v>
      </c>
      <c r="Z38" s="447">
        <f>IFERROR(__xludf.DUMMYFUNCTION("""COMPUTED_VALUE"""),0.0)</f>
        <v>0</v>
      </c>
      <c r="AA38" s="447">
        <f>IFERROR(__xludf.DUMMYFUNCTION("""COMPUTED_VALUE"""),0.0)</f>
        <v>0</v>
      </c>
      <c r="AB38" s="447">
        <f>IFERROR(__xludf.DUMMYFUNCTION("""COMPUTED_VALUE"""),0.0)</f>
        <v>0</v>
      </c>
      <c r="AC38" s="447">
        <f>IFERROR(__xludf.DUMMYFUNCTION("""COMPUTED_VALUE"""),0.0)</f>
        <v>0</v>
      </c>
      <c r="AD38" s="447">
        <f>IFERROR(__xludf.DUMMYFUNCTION("""COMPUTED_VALUE"""),49.0)</f>
        <v>49</v>
      </c>
      <c r="AE38" s="447">
        <f>IFERROR(__xludf.DUMMYFUNCTION("""COMPUTED_VALUE"""),8.0)</f>
        <v>8</v>
      </c>
      <c r="AF38" s="447">
        <f>IFERROR(__xludf.DUMMYFUNCTION("""COMPUTED_VALUE"""),4.0)</f>
        <v>4</v>
      </c>
      <c r="AG38" s="443" t="s">
        <v>91</v>
      </c>
      <c r="AH38" s="443" t="s">
        <v>343</v>
      </c>
      <c r="AI38" s="443"/>
      <c r="AJ38" s="443"/>
      <c r="AK38" s="443"/>
      <c r="AL38" s="443"/>
      <c r="AM38" s="443"/>
      <c r="AN38" s="443"/>
      <c r="AO38" s="443"/>
      <c r="AP38" s="443"/>
      <c r="AQ38" s="443"/>
      <c r="AR38" s="443"/>
      <c r="AS38" s="443"/>
      <c r="AT38" s="443"/>
      <c r="AU38" s="443"/>
      <c r="AV38" s="443"/>
      <c r="AW38" s="443"/>
      <c r="AX38" s="443"/>
      <c r="AY38" s="443"/>
      <c r="AZ38" s="443"/>
      <c r="BA38" s="443"/>
      <c r="BB38" s="443"/>
      <c r="BC38" s="443"/>
      <c r="BD38" s="443"/>
      <c r="BE38" s="443"/>
    </row>
    <row r="39" hidden="1">
      <c r="A39" s="445">
        <f t="shared" si="5"/>
        <v>45329</v>
      </c>
      <c r="B39" s="434">
        <v>479.0</v>
      </c>
      <c r="C39" s="462">
        <v>0.5166666666666667</v>
      </c>
      <c r="D39" s="462">
        <v>0.9201388888888888</v>
      </c>
      <c r="E39" s="436">
        <f t="array" ref="E39">IF(B39=0,"",(J39+K39)/60)</f>
        <v>2.5</v>
      </c>
      <c r="F39" s="437">
        <f t="shared" si="1"/>
        <v>9.683333333</v>
      </c>
      <c r="G39" s="438">
        <f t="shared" si="2"/>
        <v>49.46643718</v>
      </c>
      <c r="H39" s="438">
        <f t="shared" si="3"/>
        <v>66.68213457</v>
      </c>
      <c r="I39" s="436">
        <f t="shared" si="4"/>
        <v>1.030550775</v>
      </c>
      <c r="J39" s="439">
        <v>15.0</v>
      </c>
      <c r="K39" s="449">
        <v>135.0</v>
      </c>
      <c r="L39" s="443"/>
      <c r="M39" s="447">
        <f>IFERROR(__xludf.DUMMYFUNCTION("""COMPUTED_VALUE"""),57.0)</f>
        <v>57</v>
      </c>
      <c r="N39" s="447">
        <f>IFERROR(__xludf.DUMMYFUNCTION("""COMPUTED_VALUE"""),52.0)</f>
        <v>52</v>
      </c>
      <c r="O39" s="447">
        <f>IFERROR(__xludf.DUMMYFUNCTION("""COMPUTED_VALUE"""),0.0)</f>
        <v>0</v>
      </c>
      <c r="P39" s="447">
        <f>IFERROR(__xludf.DUMMYFUNCTION("""COMPUTED_VALUE"""),0.0)</f>
        <v>0</v>
      </c>
      <c r="Q39" s="447">
        <f>IFERROR(__xludf.DUMMYFUNCTION("""COMPUTED_VALUE"""),0.0)</f>
        <v>0</v>
      </c>
      <c r="R39" s="447">
        <f>IFERROR(__xludf.DUMMYFUNCTION("""COMPUTED_VALUE"""),1.0)</f>
        <v>1</v>
      </c>
      <c r="S39" s="447">
        <f>IFERROR(__xludf.DUMMYFUNCTION("""COMPUTED_VALUE"""),2.0)</f>
        <v>2</v>
      </c>
      <c r="T39" s="447">
        <f>IFERROR(__xludf.DUMMYFUNCTION("""COMPUTED_VALUE"""),0.0)</f>
        <v>0</v>
      </c>
      <c r="U39" s="447">
        <f>IFERROR(__xludf.DUMMYFUNCTION("""COMPUTED_VALUE"""),2.0)</f>
        <v>2</v>
      </c>
      <c r="V39" s="447">
        <f>IFERROR(__xludf.DUMMYFUNCTION("""COMPUTED_VALUE"""),2.0)</f>
        <v>2</v>
      </c>
      <c r="W39" s="447">
        <f>IFERROR(__xludf.DUMMYFUNCTION("""COMPUTED_VALUE"""),0.0)</f>
        <v>0</v>
      </c>
      <c r="X39" s="447">
        <f>IFERROR(__xludf.DUMMYFUNCTION("""COMPUTED_VALUE"""),0.0)</f>
        <v>0</v>
      </c>
      <c r="Y39" s="447">
        <f>IFERROR(__xludf.DUMMYFUNCTION("""COMPUTED_VALUE"""),0.0)</f>
        <v>0</v>
      </c>
      <c r="Z39" s="447">
        <f>IFERROR(__xludf.DUMMYFUNCTION("""COMPUTED_VALUE"""),0.0)</f>
        <v>0</v>
      </c>
      <c r="AA39" s="447">
        <f>IFERROR(__xludf.DUMMYFUNCTION("""COMPUTED_VALUE"""),0.0)</f>
        <v>0</v>
      </c>
      <c r="AB39" s="447">
        <f>IFERROR(__xludf.DUMMYFUNCTION("""COMPUTED_VALUE"""),0.0)</f>
        <v>0</v>
      </c>
      <c r="AC39" s="447">
        <f>IFERROR(__xludf.DUMMYFUNCTION("""COMPUTED_VALUE"""),0.0)</f>
        <v>0</v>
      </c>
      <c r="AD39" s="447">
        <f>IFERROR(__xludf.DUMMYFUNCTION("""COMPUTED_VALUE"""),48.0)</f>
        <v>48</v>
      </c>
      <c r="AE39" s="447">
        <f>IFERROR(__xludf.DUMMYFUNCTION("""COMPUTED_VALUE"""),8.0)</f>
        <v>8</v>
      </c>
      <c r="AF39" s="447">
        <f>IFERROR(__xludf.DUMMYFUNCTION("""COMPUTED_VALUE"""),5.0)</f>
        <v>5</v>
      </c>
      <c r="AG39" s="443" t="s">
        <v>91</v>
      </c>
      <c r="AH39" s="443" t="s">
        <v>343</v>
      </c>
      <c r="AI39" s="443"/>
      <c r="AJ39" s="443"/>
      <c r="AK39" s="443"/>
      <c r="AL39" s="443"/>
      <c r="AM39" s="443"/>
      <c r="AN39" s="443"/>
      <c r="AO39" s="443"/>
      <c r="AP39" s="443"/>
      <c r="AQ39" s="443"/>
      <c r="AR39" s="443"/>
      <c r="AS39" s="443"/>
      <c r="AT39" s="443"/>
      <c r="AU39" s="443"/>
      <c r="AV39" s="443"/>
      <c r="AW39" s="443"/>
      <c r="AX39" s="443"/>
      <c r="AY39" s="443"/>
      <c r="AZ39" s="443"/>
      <c r="BA39" s="443"/>
      <c r="BB39" s="443"/>
      <c r="BC39" s="443"/>
      <c r="BD39" s="443"/>
      <c r="BE39" s="443"/>
    </row>
    <row r="40" hidden="1">
      <c r="A40" s="445">
        <f t="shared" si="5"/>
        <v>45330</v>
      </c>
      <c r="B40" s="434">
        <v>480.0</v>
      </c>
      <c r="C40" s="462">
        <v>0.6</v>
      </c>
      <c r="D40" s="462">
        <v>0.9715277777777778</v>
      </c>
      <c r="E40" s="436">
        <f t="array" ref="E40">IF(B40=0,"",(J40+K40)/60)</f>
        <v>0.25</v>
      </c>
      <c r="F40" s="437">
        <f t="shared" si="1"/>
        <v>8.916666667</v>
      </c>
      <c r="G40" s="438">
        <f t="shared" si="2"/>
        <v>53.8317757</v>
      </c>
      <c r="H40" s="438">
        <f t="shared" si="3"/>
        <v>55.38461538</v>
      </c>
      <c r="I40" s="436">
        <f t="shared" si="4"/>
        <v>1.170255993</v>
      </c>
      <c r="J40" s="439">
        <v>15.0</v>
      </c>
      <c r="K40" s="443"/>
      <c r="L40" s="443"/>
      <c r="M40" s="447">
        <f>IFERROR(__xludf.DUMMYFUNCTION("""COMPUTED_VALUE"""),57.0)</f>
        <v>57</v>
      </c>
      <c r="N40" s="447">
        <f>IFERROR(__xludf.DUMMYFUNCTION("""COMPUTED_VALUE"""),52.0)</f>
        <v>52</v>
      </c>
      <c r="O40" s="447">
        <f>IFERROR(__xludf.DUMMYFUNCTION("""COMPUTED_VALUE"""),1.0)</f>
        <v>1</v>
      </c>
      <c r="P40" s="447">
        <f>IFERROR(__xludf.DUMMYFUNCTION("""COMPUTED_VALUE"""),1.0)</f>
        <v>1</v>
      </c>
      <c r="Q40" s="447">
        <f>IFERROR(__xludf.DUMMYFUNCTION("""COMPUTED_VALUE"""),0.0)</f>
        <v>0</v>
      </c>
      <c r="R40" s="447">
        <f>IFERROR(__xludf.DUMMYFUNCTION("""COMPUTED_VALUE"""),0.0)</f>
        <v>0</v>
      </c>
      <c r="S40" s="447">
        <f>IFERROR(__xludf.DUMMYFUNCTION("""COMPUTED_VALUE"""),2.0)</f>
        <v>2</v>
      </c>
      <c r="T40" s="447">
        <f>IFERROR(__xludf.DUMMYFUNCTION("""COMPUTED_VALUE"""),0.0)</f>
        <v>0</v>
      </c>
      <c r="U40" s="447">
        <f>IFERROR(__xludf.DUMMYFUNCTION("""COMPUTED_VALUE"""),3.0)</f>
        <v>3</v>
      </c>
      <c r="V40" s="447">
        <f>IFERROR(__xludf.DUMMYFUNCTION("""COMPUTED_VALUE"""),0.0)</f>
        <v>0</v>
      </c>
      <c r="W40" s="447">
        <f>IFERROR(__xludf.DUMMYFUNCTION("""COMPUTED_VALUE"""),0.0)</f>
        <v>0</v>
      </c>
      <c r="X40" s="447">
        <f>IFERROR(__xludf.DUMMYFUNCTION("""COMPUTED_VALUE"""),0.0)</f>
        <v>0</v>
      </c>
      <c r="Y40" s="447">
        <f>IFERROR(__xludf.DUMMYFUNCTION("""COMPUTED_VALUE"""),0.0)</f>
        <v>0</v>
      </c>
      <c r="Z40" s="447">
        <f>IFERROR(__xludf.DUMMYFUNCTION("""COMPUTED_VALUE"""),0.0)</f>
        <v>0</v>
      </c>
      <c r="AA40" s="447">
        <f>IFERROR(__xludf.DUMMYFUNCTION("""COMPUTED_VALUE"""),2.0)</f>
        <v>2</v>
      </c>
      <c r="AB40" s="447">
        <f>IFERROR(__xludf.DUMMYFUNCTION("""COMPUTED_VALUE"""),0.0)</f>
        <v>0</v>
      </c>
      <c r="AC40" s="447">
        <f>IFERROR(__xludf.DUMMYFUNCTION("""COMPUTED_VALUE"""),0.0)</f>
        <v>0</v>
      </c>
      <c r="AD40" s="447">
        <f>IFERROR(__xludf.DUMMYFUNCTION("""COMPUTED_VALUE"""),46.0)</f>
        <v>46</v>
      </c>
      <c r="AE40" s="447">
        <f>IFERROR(__xludf.DUMMYFUNCTION("""COMPUTED_VALUE"""),11.0)</f>
        <v>11</v>
      </c>
      <c r="AF40" s="447">
        <f>IFERROR(__xludf.DUMMYFUNCTION("""COMPUTED_VALUE"""),5.0)</f>
        <v>5</v>
      </c>
      <c r="AG40" s="443" t="s">
        <v>91</v>
      </c>
      <c r="AH40" s="443" t="s">
        <v>343</v>
      </c>
      <c r="AI40" s="443"/>
      <c r="AJ40" s="443"/>
      <c r="AK40" s="443"/>
      <c r="AL40" s="443"/>
      <c r="AM40" s="443"/>
      <c r="AN40" s="443"/>
      <c r="AO40" s="443"/>
      <c r="AP40" s="443"/>
      <c r="AQ40" s="443"/>
      <c r="AR40" s="443"/>
      <c r="AS40" s="443"/>
      <c r="AT40" s="443"/>
      <c r="AU40" s="443"/>
      <c r="AV40" s="443"/>
      <c r="AW40" s="443"/>
      <c r="AX40" s="443"/>
      <c r="AY40" s="443"/>
      <c r="AZ40" s="443"/>
      <c r="BA40" s="443"/>
      <c r="BB40" s="443"/>
      <c r="BC40" s="443"/>
      <c r="BD40" s="443"/>
      <c r="BE40" s="443"/>
    </row>
    <row r="41" hidden="1">
      <c r="A41" s="445">
        <f t="shared" si="5"/>
        <v>45331</v>
      </c>
      <c r="B41" s="434">
        <v>460.0</v>
      </c>
      <c r="C41" s="462">
        <v>0.5583333333333333</v>
      </c>
      <c r="D41" s="462">
        <v>0.8993055555555556</v>
      </c>
      <c r="E41" s="436">
        <f t="array" ref="E41">IF(B41=0,"",(J41+K41)/60)</f>
        <v>0.25</v>
      </c>
      <c r="F41" s="437">
        <f t="shared" si="1"/>
        <v>8.183333333</v>
      </c>
      <c r="G41" s="438">
        <f t="shared" si="2"/>
        <v>56.21181263</v>
      </c>
      <c r="H41" s="438">
        <f t="shared" si="3"/>
        <v>57.98319328</v>
      </c>
      <c r="I41" s="436">
        <f t="shared" si="4"/>
        <v>1.17107943</v>
      </c>
      <c r="J41" s="439">
        <v>15.0</v>
      </c>
      <c r="K41" s="471"/>
      <c r="L41" s="443"/>
      <c r="M41" s="447">
        <f>IFERROR(__xludf.DUMMYFUNCTION("""COMPUTED_VALUE"""),57.0)</f>
        <v>57</v>
      </c>
      <c r="N41" s="447">
        <f>IFERROR(__xludf.DUMMYFUNCTION("""COMPUTED_VALUE"""),52.0)</f>
        <v>52</v>
      </c>
      <c r="O41" s="447">
        <f>IFERROR(__xludf.DUMMYFUNCTION("""COMPUTED_VALUE"""),1.0)</f>
        <v>1</v>
      </c>
      <c r="P41" s="447">
        <f>IFERROR(__xludf.DUMMYFUNCTION("""COMPUTED_VALUE"""),0.0)</f>
        <v>0</v>
      </c>
      <c r="Q41" s="447">
        <f>IFERROR(__xludf.DUMMYFUNCTION("""COMPUTED_VALUE"""),0.0)</f>
        <v>0</v>
      </c>
      <c r="R41" s="447">
        <f>IFERROR(__xludf.DUMMYFUNCTION("""COMPUTED_VALUE"""),0.0)</f>
        <v>0</v>
      </c>
      <c r="S41" s="447">
        <f>IFERROR(__xludf.DUMMYFUNCTION("""COMPUTED_VALUE"""),1.0)</f>
        <v>1</v>
      </c>
      <c r="T41" s="447">
        <f>IFERROR(__xludf.DUMMYFUNCTION("""COMPUTED_VALUE"""),0.0)</f>
        <v>0</v>
      </c>
      <c r="U41" s="447">
        <f>IFERROR(__xludf.DUMMYFUNCTION("""COMPUTED_VALUE"""),3.0)</f>
        <v>3</v>
      </c>
      <c r="V41" s="447">
        <f>IFERROR(__xludf.DUMMYFUNCTION("""COMPUTED_VALUE"""),2.0)</f>
        <v>2</v>
      </c>
      <c r="W41" s="447">
        <f>IFERROR(__xludf.DUMMYFUNCTION("""COMPUTED_VALUE"""),0.0)</f>
        <v>0</v>
      </c>
      <c r="X41" s="447">
        <f>IFERROR(__xludf.DUMMYFUNCTION("""COMPUTED_VALUE"""),0.0)</f>
        <v>0</v>
      </c>
      <c r="Y41" s="447">
        <f>IFERROR(__xludf.DUMMYFUNCTION("""COMPUTED_VALUE"""),0.0)</f>
        <v>0</v>
      </c>
      <c r="Z41" s="447">
        <f>IFERROR(__xludf.DUMMYFUNCTION("""COMPUTED_VALUE"""),0.0)</f>
        <v>0</v>
      </c>
      <c r="AA41" s="447">
        <f>IFERROR(__xludf.DUMMYFUNCTION("""COMPUTED_VALUE"""),0.0)</f>
        <v>0</v>
      </c>
      <c r="AB41" s="447">
        <f>IFERROR(__xludf.DUMMYFUNCTION("""COMPUTED_VALUE"""),0.0)</f>
        <v>0</v>
      </c>
      <c r="AC41" s="447">
        <f>IFERROR(__xludf.DUMMYFUNCTION("""COMPUTED_VALUE"""),0.0)</f>
        <v>0</v>
      </c>
      <c r="AD41" s="447">
        <f>IFERROR(__xludf.DUMMYFUNCTION("""COMPUTED_VALUE"""),48.0)</f>
        <v>48</v>
      </c>
      <c r="AE41" s="447">
        <f>IFERROR(__xludf.DUMMYFUNCTION("""COMPUTED_VALUE"""),9.0)</f>
        <v>9</v>
      </c>
      <c r="AF41" s="447">
        <f>IFERROR(__xludf.DUMMYFUNCTION("""COMPUTED_VALUE"""),5.0)</f>
        <v>5</v>
      </c>
      <c r="AG41" s="443" t="s">
        <v>91</v>
      </c>
      <c r="AH41" s="443" t="s">
        <v>343</v>
      </c>
      <c r="AI41" s="443"/>
      <c r="AJ41" s="443"/>
      <c r="AK41" s="443"/>
      <c r="AL41" s="443"/>
      <c r="AM41" s="443"/>
      <c r="AN41" s="443"/>
      <c r="AO41" s="443"/>
      <c r="AP41" s="443"/>
      <c r="AQ41" s="443"/>
      <c r="AR41" s="443"/>
      <c r="AS41" s="443"/>
      <c r="AT41" s="443"/>
      <c r="AU41" s="443"/>
      <c r="AV41" s="443"/>
      <c r="AW41" s="443"/>
      <c r="AX41" s="443"/>
      <c r="AY41" s="443"/>
      <c r="AZ41" s="443"/>
      <c r="BA41" s="443"/>
      <c r="BB41" s="443"/>
      <c r="BC41" s="443"/>
      <c r="BD41" s="443"/>
      <c r="BE41" s="443"/>
    </row>
    <row r="42" hidden="1">
      <c r="A42" s="445">
        <f t="shared" si="5"/>
        <v>45332</v>
      </c>
      <c r="B42" s="434">
        <v>335.0</v>
      </c>
      <c r="C42" s="462">
        <v>0.5166666666666667</v>
      </c>
      <c r="D42" s="462">
        <v>0.7708333333333334</v>
      </c>
      <c r="E42" s="436">
        <f t="array" ref="E42">IF(B42=0,"",(J42+K42)/60)</f>
        <v>0.25</v>
      </c>
      <c r="F42" s="437">
        <f t="shared" si="1"/>
        <v>6.1</v>
      </c>
      <c r="G42" s="438">
        <f t="shared" si="2"/>
        <v>54.91803279</v>
      </c>
      <c r="H42" s="438">
        <f t="shared" si="3"/>
        <v>57.26495726</v>
      </c>
      <c r="I42" s="436">
        <f t="shared" si="4"/>
        <v>1.120776179</v>
      </c>
      <c r="J42" s="439">
        <v>15.0</v>
      </c>
      <c r="K42" s="472"/>
      <c r="L42" s="443"/>
      <c r="M42" s="447">
        <f>IFERROR(__xludf.DUMMYFUNCTION("""COMPUTED_VALUE"""),57.0)</f>
        <v>57</v>
      </c>
      <c r="N42" s="447">
        <f>IFERROR(__xludf.DUMMYFUNCTION("""COMPUTED_VALUE"""),52.0)</f>
        <v>52</v>
      </c>
      <c r="O42" s="447">
        <f>IFERROR(__xludf.DUMMYFUNCTION("""COMPUTED_VALUE"""),0.0)</f>
        <v>0</v>
      </c>
      <c r="P42" s="447">
        <f>IFERROR(__xludf.DUMMYFUNCTION("""COMPUTED_VALUE"""),0.0)</f>
        <v>0</v>
      </c>
      <c r="Q42" s="447">
        <f>IFERROR(__xludf.DUMMYFUNCTION("""COMPUTED_VALUE"""),0.0)</f>
        <v>0</v>
      </c>
      <c r="R42" s="447">
        <f>IFERROR(__xludf.DUMMYFUNCTION("""COMPUTED_VALUE"""),0.0)</f>
        <v>0</v>
      </c>
      <c r="S42" s="447">
        <f>IFERROR(__xludf.DUMMYFUNCTION("""COMPUTED_VALUE"""),1.0)</f>
        <v>1</v>
      </c>
      <c r="T42" s="447">
        <f>IFERROR(__xludf.DUMMYFUNCTION("""COMPUTED_VALUE"""),0.0)</f>
        <v>0</v>
      </c>
      <c r="U42" s="447">
        <f>IFERROR(__xludf.DUMMYFUNCTION("""COMPUTED_VALUE"""),3.0)</f>
        <v>3</v>
      </c>
      <c r="V42" s="447">
        <f>IFERROR(__xludf.DUMMYFUNCTION("""COMPUTED_VALUE"""),2.0)</f>
        <v>2</v>
      </c>
      <c r="W42" s="447">
        <f>IFERROR(__xludf.DUMMYFUNCTION("""COMPUTED_VALUE"""),0.0)</f>
        <v>0</v>
      </c>
      <c r="X42" s="447">
        <f>IFERROR(__xludf.DUMMYFUNCTION("""COMPUTED_VALUE"""),0.0)</f>
        <v>0</v>
      </c>
      <c r="Y42" s="447">
        <f>IFERROR(__xludf.DUMMYFUNCTION("""COMPUTED_VALUE"""),0.0)</f>
        <v>0</v>
      </c>
      <c r="Z42" s="447">
        <f>IFERROR(__xludf.DUMMYFUNCTION("""COMPUTED_VALUE"""),0.0)</f>
        <v>0</v>
      </c>
      <c r="AA42" s="447">
        <f>IFERROR(__xludf.DUMMYFUNCTION("""COMPUTED_VALUE"""),0.0)</f>
        <v>0</v>
      </c>
      <c r="AB42" s="447">
        <f>IFERROR(__xludf.DUMMYFUNCTION("""COMPUTED_VALUE"""),0.0)</f>
        <v>0</v>
      </c>
      <c r="AC42" s="447">
        <f>IFERROR(__xludf.DUMMYFUNCTION("""COMPUTED_VALUE"""),0.0)</f>
        <v>0</v>
      </c>
      <c r="AD42" s="447">
        <f>IFERROR(__xludf.DUMMYFUNCTION("""COMPUTED_VALUE"""),49.0)</f>
        <v>49</v>
      </c>
      <c r="AE42" s="447">
        <f>IFERROR(__xludf.DUMMYFUNCTION("""COMPUTED_VALUE"""),8.0)</f>
        <v>8</v>
      </c>
      <c r="AF42" s="447">
        <f>IFERROR(__xludf.DUMMYFUNCTION("""COMPUTED_VALUE"""),5.0)</f>
        <v>5</v>
      </c>
      <c r="AG42" s="443" t="s">
        <v>91</v>
      </c>
      <c r="AH42" s="443" t="s">
        <v>343</v>
      </c>
      <c r="AI42" s="443"/>
      <c r="AJ42" s="443"/>
      <c r="AK42" s="443"/>
      <c r="AL42" s="443"/>
      <c r="AM42" s="443"/>
      <c r="AN42" s="443"/>
      <c r="AO42" s="443"/>
      <c r="AP42" s="443"/>
      <c r="AQ42" s="443"/>
      <c r="AR42" s="443"/>
      <c r="AS42" s="443"/>
      <c r="AT42" s="443"/>
      <c r="AU42" s="443"/>
      <c r="AV42" s="443"/>
      <c r="AW42" s="443"/>
      <c r="AX42" s="443"/>
      <c r="AY42" s="443"/>
      <c r="AZ42" s="443"/>
      <c r="BA42" s="443"/>
      <c r="BB42" s="443"/>
      <c r="BC42" s="443"/>
      <c r="BD42" s="443"/>
      <c r="BE42" s="443"/>
    </row>
    <row r="43" hidden="1">
      <c r="A43" s="445">
        <f t="shared" si="5"/>
        <v>45333</v>
      </c>
      <c r="B43" s="434">
        <v>0.0</v>
      </c>
      <c r="C43" s="443"/>
      <c r="D43" s="443"/>
      <c r="E43" s="436" t="str">
        <f t="array" ref="E43">IF(B43=0,"",(J43+K43)/60)</f>
        <v/>
      </c>
      <c r="F43" s="437" t="str">
        <f t="shared" si="1"/>
        <v/>
      </c>
      <c r="G43" s="438" t="str">
        <f t="shared" si="2"/>
        <v/>
      </c>
      <c r="H43" s="438" t="str">
        <f t="shared" si="3"/>
        <v/>
      </c>
      <c r="I43" s="436" t="str">
        <f t="shared" si="4"/>
        <v/>
      </c>
      <c r="J43" s="473"/>
      <c r="K43" s="471"/>
      <c r="L43" s="443"/>
      <c r="M43" s="447">
        <f>IFERROR(__xludf.DUMMYFUNCTION("""COMPUTED_VALUE"""),57.0)</f>
        <v>57</v>
      </c>
      <c r="N43" s="447">
        <f>IFERROR(__xludf.DUMMYFUNCTION("""COMPUTED_VALUE"""),53.0)</f>
        <v>53</v>
      </c>
      <c r="O43" s="447">
        <f>IFERROR(__xludf.DUMMYFUNCTION("""COMPUTED_VALUE"""),0.0)</f>
        <v>0</v>
      </c>
      <c r="P43" s="447">
        <f>IFERROR(__xludf.DUMMYFUNCTION("""COMPUTED_VALUE"""),0.0)</f>
        <v>0</v>
      </c>
      <c r="Q43" s="447">
        <f>IFERROR(__xludf.DUMMYFUNCTION("""COMPUTED_VALUE"""),0.0)</f>
        <v>0</v>
      </c>
      <c r="R43" s="447">
        <f>IFERROR(__xludf.DUMMYFUNCTION("""COMPUTED_VALUE"""),0.0)</f>
        <v>0</v>
      </c>
      <c r="S43" s="447">
        <f>IFERROR(__xludf.DUMMYFUNCTION("""COMPUTED_VALUE"""),0.0)</f>
        <v>0</v>
      </c>
      <c r="T43" s="447">
        <f>IFERROR(__xludf.DUMMYFUNCTION("""COMPUTED_VALUE"""),0.0)</f>
        <v>0</v>
      </c>
      <c r="U43" s="447">
        <f>IFERROR(__xludf.DUMMYFUNCTION("""COMPUTED_VALUE"""),2.0)</f>
        <v>2</v>
      </c>
      <c r="V43" s="447">
        <f>IFERROR(__xludf.DUMMYFUNCTION("""COMPUTED_VALUE"""),0.0)</f>
        <v>0</v>
      </c>
      <c r="W43" s="447">
        <f>IFERROR(__xludf.DUMMYFUNCTION("""COMPUTED_VALUE"""),0.0)</f>
        <v>0</v>
      </c>
      <c r="X43" s="447">
        <f>IFERROR(__xludf.DUMMYFUNCTION("""COMPUTED_VALUE"""),0.0)</f>
        <v>0</v>
      </c>
      <c r="Y43" s="447">
        <f>IFERROR(__xludf.DUMMYFUNCTION("""COMPUTED_VALUE"""),0.0)</f>
        <v>0</v>
      </c>
      <c r="Z43" s="447">
        <f>IFERROR(__xludf.DUMMYFUNCTION("""COMPUTED_VALUE"""),0.0)</f>
        <v>0</v>
      </c>
      <c r="AA43" s="447">
        <f>IFERROR(__xludf.DUMMYFUNCTION("""COMPUTED_VALUE"""),0.0)</f>
        <v>0</v>
      </c>
      <c r="AB43" s="447">
        <f>IFERROR(__xludf.DUMMYFUNCTION("""COMPUTED_VALUE"""),0.0)</f>
        <v>0</v>
      </c>
      <c r="AC43" s="447">
        <f>IFERROR(__xludf.DUMMYFUNCTION("""COMPUTED_VALUE"""),0.0)</f>
        <v>0</v>
      </c>
      <c r="AD43" s="447">
        <f>IFERROR(__xludf.DUMMYFUNCTION("""COMPUTED_VALUE"""),0.0)</f>
        <v>0</v>
      </c>
      <c r="AE43" s="447">
        <f>IFERROR(__xludf.DUMMYFUNCTION("""COMPUTED_VALUE"""),4.0)</f>
        <v>4</v>
      </c>
      <c r="AF43" s="447">
        <f>IFERROR(__xludf.DUMMYFUNCTION("""COMPUTED_VALUE"""),4.0)</f>
        <v>4</v>
      </c>
      <c r="AG43" s="443" t="s">
        <v>91</v>
      </c>
      <c r="AH43" s="443" t="s">
        <v>343</v>
      </c>
      <c r="AI43" s="443"/>
      <c r="AJ43" s="443"/>
      <c r="AK43" s="443"/>
      <c r="AL43" s="443"/>
      <c r="AM43" s="443"/>
      <c r="AN43" s="443"/>
      <c r="AO43" s="443"/>
      <c r="AP43" s="443"/>
      <c r="AQ43" s="443"/>
      <c r="AR43" s="443"/>
      <c r="AS43" s="443"/>
      <c r="AT43" s="443"/>
      <c r="AU43" s="443"/>
      <c r="AV43" s="443"/>
      <c r="AW43" s="443"/>
      <c r="AX43" s="443"/>
      <c r="AY43" s="443"/>
      <c r="AZ43" s="443"/>
      <c r="BA43" s="443"/>
      <c r="BB43" s="443"/>
      <c r="BC43" s="443"/>
      <c r="BD43" s="443"/>
      <c r="BE43" s="443"/>
    </row>
    <row r="44" hidden="1">
      <c r="A44" s="445">
        <f t="shared" si="5"/>
        <v>45334</v>
      </c>
      <c r="B44" s="434">
        <v>510.0</v>
      </c>
      <c r="C44" s="462">
        <v>0.5583333333333333</v>
      </c>
      <c r="D44" s="462">
        <v>0.9430555555555555</v>
      </c>
      <c r="E44" s="436">
        <f t="array" ref="E44">IF(B44=0,"",(J44+K44)/60)</f>
        <v>0.25</v>
      </c>
      <c r="F44" s="437">
        <f t="shared" si="1"/>
        <v>9.233333333</v>
      </c>
      <c r="G44" s="438">
        <f t="shared" si="2"/>
        <v>55.23465704</v>
      </c>
      <c r="H44" s="438">
        <f t="shared" si="3"/>
        <v>56.77179963</v>
      </c>
      <c r="I44" s="436">
        <f t="shared" si="4"/>
        <v>1.127237899</v>
      </c>
      <c r="J44" s="474">
        <v>15.0</v>
      </c>
      <c r="K44" s="471"/>
      <c r="L44" s="443"/>
      <c r="M44" s="447">
        <f>IFERROR(__xludf.DUMMYFUNCTION("""COMPUTED_VALUE"""),57.0)</f>
        <v>57</v>
      </c>
      <c r="N44" s="447">
        <f>IFERROR(__xludf.DUMMYFUNCTION("""COMPUTED_VALUE"""),52.0)</f>
        <v>52</v>
      </c>
      <c r="O44" s="447">
        <f>IFERROR(__xludf.DUMMYFUNCTION("""COMPUTED_VALUE"""),0.0)</f>
        <v>0</v>
      </c>
      <c r="P44" s="447">
        <f>IFERROR(__xludf.DUMMYFUNCTION("""COMPUTED_VALUE"""),0.0)</f>
        <v>0</v>
      </c>
      <c r="Q44" s="447">
        <f>IFERROR(__xludf.DUMMYFUNCTION("""COMPUTED_VALUE"""),0.0)</f>
        <v>0</v>
      </c>
      <c r="R44" s="447">
        <f>IFERROR(__xludf.DUMMYFUNCTION("""COMPUTED_VALUE"""),0.0)</f>
        <v>0</v>
      </c>
      <c r="S44" s="447">
        <f>IFERROR(__xludf.DUMMYFUNCTION("""COMPUTED_VALUE"""),1.0)</f>
        <v>1</v>
      </c>
      <c r="T44" s="447">
        <f>IFERROR(__xludf.DUMMYFUNCTION("""COMPUTED_VALUE"""),0.0)</f>
        <v>0</v>
      </c>
      <c r="U44" s="447">
        <f>IFERROR(__xludf.DUMMYFUNCTION("""COMPUTED_VALUE"""),3.0)</f>
        <v>3</v>
      </c>
      <c r="V44" s="447">
        <f>IFERROR(__xludf.DUMMYFUNCTION("""COMPUTED_VALUE"""),2.0)</f>
        <v>2</v>
      </c>
      <c r="W44" s="447">
        <f>IFERROR(__xludf.DUMMYFUNCTION("""COMPUTED_VALUE"""),0.0)</f>
        <v>0</v>
      </c>
      <c r="X44" s="447">
        <f>IFERROR(__xludf.DUMMYFUNCTION("""COMPUTED_VALUE"""),0.0)</f>
        <v>0</v>
      </c>
      <c r="Y44" s="447">
        <f>IFERROR(__xludf.DUMMYFUNCTION("""COMPUTED_VALUE"""),0.0)</f>
        <v>0</v>
      </c>
      <c r="Z44" s="447">
        <f>IFERROR(__xludf.DUMMYFUNCTION("""COMPUTED_VALUE"""),0.0)</f>
        <v>0</v>
      </c>
      <c r="AA44" s="447">
        <f>IFERROR(__xludf.DUMMYFUNCTION("""COMPUTED_VALUE"""),0.0)</f>
        <v>0</v>
      </c>
      <c r="AB44" s="447">
        <f>IFERROR(__xludf.DUMMYFUNCTION("""COMPUTED_VALUE"""),0.0)</f>
        <v>0</v>
      </c>
      <c r="AC44" s="447">
        <f>IFERROR(__xludf.DUMMYFUNCTION("""COMPUTED_VALUE"""),0.0)</f>
        <v>0</v>
      </c>
      <c r="AD44" s="447">
        <f>IFERROR(__xludf.DUMMYFUNCTION("""COMPUTED_VALUE"""),49.0)</f>
        <v>49</v>
      </c>
      <c r="AE44" s="447">
        <f>IFERROR(__xludf.DUMMYFUNCTION("""COMPUTED_VALUE"""),8.0)</f>
        <v>8</v>
      </c>
      <c r="AF44" s="447">
        <f>IFERROR(__xludf.DUMMYFUNCTION("""COMPUTED_VALUE"""),5.0)</f>
        <v>5</v>
      </c>
      <c r="AG44" s="443" t="s">
        <v>91</v>
      </c>
      <c r="AH44" s="443" t="s">
        <v>343</v>
      </c>
      <c r="AI44" s="443"/>
      <c r="AJ44" s="443"/>
      <c r="AK44" s="443"/>
      <c r="AL44" s="443"/>
      <c r="AM44" s="443"/>
      <c r="AN44" s="443"/>
      <c r="AO44" s="443"/>
      <c r="AP44" s="443"/>
      <c r="AQ44" s="443"/>
      <c r="AR44" s="443"/>
      <c r="AS44" s="443"/>
      <c r="AT44" s="443"/>
      <c r="AU44" s="443"/>
      <c r="AV44" s="443"/>
      <c r="AW44" s="443"/>
      <c r="AX44" s="443"/>
      <c r="AY44" s="443"/>
      <c r="AZ44" s="443"/>
      <c r="BA44" s="443"/>
      <c r="BB44" s="443"/>
      <c r="BC44" s="443"/>
      <c r="BD44" s="443"/>
      <c r="BE44" s="443"/>
    </row>
    <row r="45" hidden="1">
      <c r="A45" s="445">
        <f t="shared" si="5"/>
        <v>45335</v>
      </c>
      <c r="B45" s="434">
        <v>566.0</v>
      </c>
      <c r="C45" s="462">
        <v>0.5166666666666667</v>
      </c>
      <c r="D45" s="462">
        <v>0.9583333333333334</v>
      </c>
      <c r="E45" s="436">
        <f t="array" ref="E45">IF(B45=0,"",(J45+K45)/60)</f>
        <v>1.666666667</v>
      </c>
      <c r="F45" s="437">
        <f t="shared" si="1"/>
        <v>10.6</v>
      </c>
      <c r="G45" s="438">
        <f t="shared" si="2"/>
        <v>53.39622642</v>
      </c>
      <c r="H45" s="438">
        <f t="shared" si="3"/>
        <v>63.35820896</v>
      </c>
      <c r="I45" s="436">
        <f t="shared" si="4"/>
        <v>1.112421384</v>
      </c>
      <c r="J45" s="439">
        <v>60.0</v>
      </c>
      <c r="K45" s="449">
        <v>40.0</v>
      </c>
      <c r="L45" s="443"/>
      <c r="M45" s="447">
        <f>IFERROR(__xludf.DUMMYFUNCTION("""COMPUTED_VALUE"""),57.0)</f>
        <v>57</v>
      </c>
      <c r="N45" s="447">
        <f>IFERROR(__xludf.DUMMYFUNCTION("""COMPUTED_VALUE"""),52.0)</f>
        <v>52</v>
      </c>
      <c r="O45" s="447">
        <f>IFERROR(__xludf.DUMMYFUNCTION("""COMPUTED_VALUE"""),1.0)</f>
        <v>1</v>
      </c>
      <c r="P45" s="447">
        <f>IFERROR(__xludf.DUMMYFUNCTION("""COMPUTED_VALUE"""),0.0)</f>
        <v>0</v>
      </c>
      <c r="Q45" s="447">
        <f>IFERROR(__xludf.DUMMYFUNCTION("""COMPUTED_VALUE"""),0.0)</f>
        <v>0</v>
      </c>
      <c r="R45" s="447">
        <f>IFERROR(__xludf.DUMMYFUNCTION("""COMPUTED_VALUE"""),0.0)</f>
        <v>0</v>
      </c>
      <c r="S45" s="447">
        <f>IFERROR(__xludf.DUMMYFUNCTION("""COMPUTED_VALUE"""),1.0)</f>
        <v>1</v>
      </c>
      <c r="T45" s="447">
        <f>IFERROR(__xludf.DUMMYFUNCTION("""COMPUTED_VALUE"""),0.0)</f>
        <v>0</v>
      </c>
      <c r="U45" s="447">
        <f>IFERROR(__xludf.DUMMYFUNCTION("""COMPUTED_VALUE"""),3.0)</f>
        <v>3</v>
      </c>
      <c r="V45" s="447">
        <f>IFERROR(__xludf.DUMMYFUNCTION("""COMPUTED_VALUE"""),2.0)</f>
        <v>2</v>
      </c>
      <c r="W45" s="447">
        <f>IFERROR(__xludf.DUMMYFUNCTION("""COMPUTED_VALUE"""),0.0)</f>
        <v>0</v>
      </c>
      <c r="X45" s="447">
        <f>IFERROR(__xludf.DUMMYFUNCTION("""COMPUTED_VALUE"""),0.0)</f>
        <v>0</v>
      </c>
      <c r="Y45" s="447">
        <f>IFERROR(__xludf.DUMMYFUNCTION("""COMPUTED_VALUE"""),0.0)</f>
        <v>0</v>
      </c>
      <c r="Z45" s="447">
        <f>IFERROR(__xludf.DUMMYFUNCTION("""COMPUTED_VALUE"""),0.0)</f>
        <v>0</v>
      </c>
      <c r="AA45" s="447">
        <f>IFERROR(__xludf.DUMMYFUNCTION("""COMPUTED_VALUE"""),0.0)</f>
        <v>0</v>
      </c>
      <c r="AB45" s="447">
        <f>IFERROR(__xludf.DUMMYFUNCTION("""COMPUTED_VALUE"""),0.0)</f>
        <v>0</v>
      </c>
      <c r="AC45" s="447">
        <f>IFERROR(__xludf.DUMMYFUNCTION("""COMPUTED_VALUE"""),0.0)</f>
        <v>0</v>
      </c>
      <c r="AD45" s="447">
        <f>IFERROR(__xludf.DUMMYFUNCTION("""COMPUTED_VALUE"""),48.0)</f>
        <v>48</v>
      </c>
      <c r="AE45" s="447">
        <f>IFERROR(__xludf.DUMMYFUNCTION("""COMPUTED_VALUE"""),9.0)</f>
        <v>9</v>
      </c>
      <c r="AF45" s="447">
        <f>IFERROR(__xludf.DUMMYFUNCTION("""COMPUTED_VALUE"""),5.0)</f>
        <v>5</v>
      </c>
      <c r="AG45" s="443" t="s">
        <v>91</v>
      </c>
      <c r="AH45" s="443" t="s">
        <v>343</v>
      </c>
      <c r="AI45" s="443"/>
      <c r="AJ45" s="443"/>
      <c r="AK45" s="443"/>
      <c r="AL45" s="443"/>
      <c r="AM45" s="443"/>
      <c r="AN45" s="443"/>
      <c r="AO45" s="443"/>
      <c r="AP45" s="443"/>
      <c r="AQ45" s="443"/>
      <c r="AR45" s="443"/>
      <c r="AS45" s="443"/>
      <c r="AT45" s="443"/>
      <c r="AU45" s="443"/>
      <c r="AV45" s="443"/>
      <c r="AW45" s="443"/>
      <c r="AX45" s="443"/>
      <c r="AY45" s="443"/>
      <c r="AZ45" s="443"/>
      <c r="BA45" s="443"/>
      <c r="BB45" s="443"/>
      <c r="BC45" s="443"/>
      <c r="BD45" s="443"/>
      <c r="BE45" s="443"/>
    </row>
    <row r="46" hidden="1">
      <c r="A46" s="445">
        <f t="shared" si="5"/>
        <v>45336</v>
      </c>
      <c r="B46" s="434">
        <v>432.0</v>
      </c>
      <c r="C46" s="462">
        <v>0.5166666666666667</v>
      </c>
      <c r="D46" s="462">
        <v>0.8548611111111111</v>
      </c>
      <c r="E46" s="436">
        <f t="array" ref="E46">IF(B46=0,"",(J46+K46)/60)</f>
        <v>0.25</v>
      </c>
      <c r="F46" s="437">
        <f t="shared" si="1"/>
        <v>8.116666667</v>
      </c>
      <c r="G46" s="438">
        <f t="shared" si="2"/>
        <v>53.2238193</v>
      </c>
      <c r="H46" s="438">
        <f t="shared" si="3"/>
        <v>54.91525424</v>
      </c>
      <c r="I46" s="436">
        <f t="shared" si="4"/>
        <v>1.064476386</v>
      </c>
      <c r="J46" s="474">
        <v>15.0</v>
      </c>
      <c r="K46" s="471"/>
      <c r="L46" s="443"/>
      <c r="M46" s="447">
        <f>IFERROR(__xludf.DUMMYFUNCTION("""COMPUTED_VALUE"""),57.0)</f>
        <v>57</v>
      </c>
      <c r="N46" s="447">
        <f>IFERROR(__xludf.DUMMYFUNCTION("""COMPUTED_VALUE"""),54.0)</f>
        <v>54</v>
      </c>
      <c r="O46" s="447">
        <f>IFERROR(__xludf.DUMMYFUNCTION("""COMPUTED_VALUE"""),0.0)</f>
        <v>0</v>
      </c>
      <c r="P46" s="447">
        <f>IFERROR(__xludf.DUMMYFUNCTION("""COMPUTED_VALUE"""),0.0)</f>
        <v>0</v>
      </c>
      <c r="Q46" s="447">
        <f>IFERROR(__xludf.DUMMYFUNCTION("""COMPUTED_VALUE"""),0.0)</f>
        <v>0</v>
      </c>
      <c r="R46" s="447">
        <f>IFERROR(__xludf.DUMMYFUNCTION("""COMPUTED_VALUE"""),0.0)</f>
        <v>0</v>
      </c>
      <c r="S46" s="447">
        <f>IFERROR(__xludf.DUMMYFUNCTION("""COMPUTED_VALUE"""),2.0)</f>
        <v>2</v>
      </c>
      <c r="T46" s="447">
        <f>IFERROR(__xludf.DUMMYFUNCTION("""COMPUTED_VALUE"""),0.0)</f>
        <v>0</v>
      </c>
      <c r="U46" s="447">
        <f>IFERROR(__xludf.DUMMYFUNCTION("""COMPUTED_VALUE"""),1.0)</f>
        <v>1</v>
      </c>
      <c r="V46" s="447">
        <f>IFERROR(__xludf.DUMMYFUNCTION("""COMPUTED_VALUE"""),2.0)</f>
        <v>2</v>
      </c>
      <c r="W46" s="447">
        <f>IFERROR(__xludf.DUMMYFUNCTION("""COMPUTED_VALUE"""),0.0)</f>
        <v>0</v>
      </c>
      <c r="X46" s="447">
        <f>IFERROR(__xludf.DUMMYFUNCTION("""COMPUTED_VALUE"""),0.0)</f>
        <v>0</v>
      </c>
      <c r="Y46" s="447">
        <f>IFERROR(__xludf.DUMMYFUNCTION("""COMPUTED_VALUE"""),0.0)</f>
        <v>0</v>
      </c>
      <c r="Z46" s="447">
        <f>IFERROR(__xludf.DUMMYFUNCTION("""COMPUTED_VALUE"""),0.0)</f>
        <v>0</v>
      </c>
      <c r="AA46" s="447">
        <f>IFERROR(__xludf.DUMMYFUNCTION("""COMPUTED_VALUE"""),0.0)</f>
        <v>0</v>
      </c>
      <c r="AB46" s="447">
        <f>IFERROR(__xludf.DUMMYFUNCTION("""COMPUTED_VALUE"""),0.0)</f>
        <v>0</v>
      </c>
      <c r="AC46" s="447">
        <f>IFERROR(__xludf.DUMMYFUNCTION("""COMPUTED_VALUE"""),0.0)</f>
        <v>0</v>
      </c>
      <c r="AD46" s="447">
        <f>IFERROR(__xludf.DUMMYFUNCTION("""COMPUTED_VALUE"""),50.0)</f>
        <v>50</v>
      </c>
      <c r="AE46" s="447">
        <f>IFERROR(__xludf.DUMMYFUNCTION("""COMPUTED_VALUE"""),7.0)</f>
        <v>7</v>
      </c>
      <c r="AF46" s="447">
        <f>IFERROR(__xludf.DUMMYFUNCTION("""COMPUTED_VALUE"""),3.0)</f>
        <v>3</v>
      </c>
      <c r="AG46" s="443" t="s">
        <v>91</v>
      </c>
      <c r="AH46" s="443" t="s">
        <v>343</v>
      </c>
      <c r="AI46" s="443"/>
      <c r="AJ46" s="443"/>
      <c r="AK46" s="443"/>
      <c r="AL46" s="443"/>
      <c r="AM46" s="443"/>
      <c r="AN46" s="443"/>
      <c r="AO46" s="443"/>
      <c r="AP46" s="443"/>
      <c r="AQ46" s="443"/>
      <c r="AR46" s="443"/>
      <c r="AS46" s="443"/>
      <c r="AT46" s="443"/>
      <c r="AU46" s="443"/>
      <c r="AV46" s="443"/>
      <c r="AW46" s="443"/>
      <c r="AX46" s="443"/>
      <c r="AY46" s="443"/>
      <c r="AZ46" s="443"/>
      <c r="BA46" s="443"/>
      <c r="BB46" s="443"/>
      <c r="BC46" s="443"/>
      <c r="BD46" s="443"/>
      <c r="BE46" s="443"/>
    </row>
    <row r="47" hidden="1">
      <c r="A47" s="445">
        <f t="shared" si="5"/>
        <v>45337</v>
      </c>
      <c r="B47" s="434">
        <v>530.0</v>
      </c>
      <c r="C47" s="462">
        <v>0.5166666666666667</v>
      </c>
      <c r="D47" s="462">
        <v>0.9340277777777778</v>
      </c>
      <c r="E47" s="436">
        <f t="array" ref="E47">IF(B47=0,"",(J47+K47)/60)</f>
        <v>1</v>
      </c>
      <c r="F47" s="437">
        <f t="shared" si="1"/>
        <v>10.01666667</v>
      </c>
      <c r="G47" s="438">
        <f t="shared" si="2"/>
        <v>52.91181364</v>
      </c>
      <c r="H47" s="438">
        <f t="shared" si="3"/>
        <v>58.78003697</v>
      </c>
      <c r="I47" s="436">
        <f t="shared" si="4"/>
        <v>1.125783269</v>
      </c>
      <c r="J47" s="474">
        <v>60.0</v>
      </c>
      <c r="K47" s="443"/>
      <c r="L47" s="443"/>
      <c r="M47" s="447">
        <f>IFERROR(__xludf.DUMMYFUNCTION("""COMPUTED_VALUE"""),57.0)</f>
        <v>57</v>
      </c>
      <c r="N47" s="447">
        <f>IFERROR(__xludf.DUMMYFUNCTION("""COMPUTED_VALUE"""),54.0)</f>
        <v>54</v>
      </c>
      <c r="O47" s="447">
        <f>IFERROR(__xludf.DUMMYFUNCTION("""COMPUTED_VALUE"""),1.0)</f>
        <v>1</v>
      </c>
      <c r="P47" s="447">
        <f>IFERROR(__xludf.DUMMYFUNCTION("""COMPUTED_VALUE"""),0.0)</f>
        <v>0</v>
      </c>
      <c r="Q47" s="447">
        <f>IFERROR(__xludf.DUMMYFUNCTION("""COMPUTED_VALUE"""),1.0)</f>
        <v>1</v>
      </c>
      <c r="R47" s="447">
        <f>IFERROR(__xludf.DUMMYFUNCTION("""COMPUTED_VALUE"""),0.0)</f>
        <v>0</v>
      </c>
      <c r="S47" s="447">
        <f>IFERROR(__xludf.DUMMYFUNCTION("""COMPUTED_VALUE"""),3.0)</f>
        <v>3</v>
      </c>
      <c r="T47" s="447">
        <f>IFERROR(__xludf.DUMMYFUNCTION("""COMPUTED_VALUE"""),0.0)</f>
        <v>0</v>
      </c>
      <c r="U47" s="447">
        <f>IFERROR(__xludf.DUMMYFUNCTION("""COMPUTED_VALUE"""),1.0)</f>
        <v>1</v>
      </c>
      <c r="V47" s="447">
        <f>IFERROR(__xludf.DUMMYFUNCTION("""COMPUTED_VALUE"""),2.0)</f>
        <v>2</v>
      </c>
      <c r="W47" s="447">
        <f>IFERROR(__xludf.DUMMYFUNCTION("""COMPUTED_VALUE"""),0.0)</f>
        <v>0</v>
      </c>
      <c r="X47" s="447">
        <f>IFERROR(__xludf.DUMMYFUNCTION("""COMPUTED_VALUE"""),0.0)</f>
        <v>0</v>
      </c>
      <c r="Y47" s="447">
        <f>IFERROR(__xludf.DUMMYFUNCTION("""COMPUTED_VALUE"""),0.0)</f>
        <v>0</v>
      </c>
      <c r="Z47" s="447">
        <f>IFERROR(__xludf.DUMMYFUNCTION("""COMPUTED_VALUE"""),0.0)</f>
        <v>0</v>
      </c>
      <c r="AA47" s="447">
        <f>IFERROR(__xludf.DUMMYFUNCTION("""COMPUTED_VALUE"""),0.0)</f>
        <v>0</v>
      </c>
      <c r="AB47" s="447">
        <f>IFERROR(__xludf.DUMMYFUNCTION("""COMPUTED_VALUE"""),0.0)</f>
        <v>0</v>
      </c>
      <c r="AC47" s="447">
        <f>IFERROR(__xludf.DUMMYFUNCTION("""COMPUTED_VALUE"""),0.0)</f>
        <v>0</v>
      </c>
      <c r="AD47" s="447">
        <f>IFERROR(__xludf.DUMMYFUNCTION("""COMPUTED_VALUE"""),47.0)</f>
        <v>47</v>
      </c>
      <c r="AE47" s="447">
        <f>IFERROR(__xludf.DUMMYFUNCTION("""COMPUTED_VALUE"""),10.0)</f>
        <v>10</v>
      </c>
      <c r="AF47" s="447">
        <f>IFERROR(__xludf.DUMMYFUNCTION("""COMPUTED_VALUE"""),3.0)</f>
        <v>3</v>
      </c>
      <c r="AG47" s="443" t="s">
        <v>91</v>
      </c>
      <c r="AH47" s="443" t="s">
        <v>343</v>
      </c>
      <c r="AI47" s="443"/>
      <c r="AJ47" s="443"/>
      <c r="AK47" s="443"/>
      <c r="AL47" s="443"/>
      <c r="AM47" s="443"/>
      <c r="AN47" s="443"/>
      <c r="AO47" s="443"/>
      <c r="AP47" s="443"/>
      <c r="AQ47" s="443"/>
      <c r="AR47" s="443"/>
      <c r="AS47" s="443"/>
      <c r="AT47" s="443"/>
      <c r="AU47" s="443"/>
      <c r="AV47" s="443"/>
      <c r="AW47" s="443"/>
      <c r="AX47" s="443"/>
      <c r="AY47" s="443"/>
      <c r="AZ47" s="443"/>
      <c r="BA47" s="443"/>
      <c r="BB47" s="443"/>
      <c r="BC47" s="443"/>
      <c r="BD47" s="443"/>
      <c r="BE47" s="443"/>
    </row>
    <row r="48" hidden="1">
      <c r="A48" s="445">
        <f t="shared" si="5"/>
        <v>45338</v>
      </c>
      <c r="B48" s="434">
        <v>371.0</v>
      </c>
      <c r="C48" s="462">
        <v>0.6</v>
      </c>
      <c r="D48" s="462">
        <v>0.8881944444444444</v>
      </c>
      <c r="E48" s="436">
        <f t="array" ref="E48">IF(B48=0,"",(J48+K48)/60)</f>
        <v>0</v>
      </c>
      <c r="F48" s="437">
        <f t="shared" si="1"/>
        <v>6.916666667</v>
      </c>
      <c r="G48" s="438">
        <f t="shared" si="2"/>
        <v>53.63855422</v>
      </c>
      <c r="H48" s="438">
        <f t="shared" si="3"/>
        <v>53.63855422</v>
      </c>
      <c r="I48" s="436">
        <f t="shared" si="4"/>
        <v>1.141245834</v>
      </c>
      <c r="J48" s="474">
        <v>0.0</v>
      </c>
      <c r="K48" s="471"/>
      <c r="L48" s="443"/>
      <c r="M48" s="447">
        <f>IFERROR(__xludf.DUMMYFUNCTION("""COMPUTED_VALUE"""),57.0)</f>
        <v>57</v>
      </c>
      <c r="N48" s="447">
        <f>IFERROR(__xludf.DUMMYFUNCTION("""COMPUTED_VALUE"""),54.0)</f>
        <v>54</v>
      </c>
      <c r="O48" s="447">
        <f>IFERROR(__xludf.DUMMYFUNCTION("""COMPUTED_VALUE"""),1.0)</f>
        <v>1</v>
      </c>
      <c r="P48" s="447">
        <f>IFERROR(__xludf.DUMMYFUNCTION("""COMPUTED_VALUE"""),0.0)</f>
        <v>0</v>
      </c>
      <c r="Q48" s="447">
        <f>IFERROR(__xludf.DUMMYFUNCTION("""COMPUTED_VALUE"""),1.0)</f>
        <v>1</v>
      </c>
      <c r="R48" s="447">
        <f>IFERROR(__xludf.DUMMYFUNCTION("""COMPUTED_VALUE"""),0.0)</f>
        <v>0</v>
      </c>
      <c r="S48" s="447">
        <f>IFERROR(__xludf.DUMMYFUNCTION("""COMPUTED_VALUE"""),3.0)</f>
        <v>3</v>
      </c>
      <c r="T48" s="447">
        <f>IFERROR(__xludf.DUMMYFUNCTION("""COMPUTED_VALUE"""),0.0)</f>
        <v>0</v>
      </c>
      <c r="U48" s="447">
        <f>IFERROR(__xludf.DUMMYFUNCTION("""COMPUTED_VALUE"""),1.0)</f>
        <v>1</v>
      </c>
      <c r="V48" s="447">
        <f>IFERROR(__xludf.DUMMYFUNCTION("""COMPUTED_VALUE"""),2.0)</f>
        <v>2</v>
      </c>
      <c r="W48" s="447">
        <f>IFERROR(__xludf.DUMMYFUNCTION("""COMPUTED_VALUE"""),0.0)</f>
        <v>0</v>
      </c>
      <c r="X48" s="447">
        <f>IFERROR(__xludf.DUMMYFUNCTION("""COMPUTED_VALUE"""),0.0)</f>
        <v>0</v>
      </c>
      <c r="Y48" s="447">
        <f>IFERROR(__xludf.DUMMYFUNCTION("""COMPUTED_VALUE"""),0.0)</f>
        <v>0</v>
      </c>
      <c r="Z48" s="447">
        <f>IFERROR(__xludf.DUMMYFUNCTION("""COMPUTED_VALUE"""),0.0)</f>
        <v>0</v>
      </c>
      <c r="AA48" s="447">
        <f>IFERROR(__xludf.DUMMYFUNCTION("""COMPUTED_VALUE"""),0.0)</f>
        <v>0</v>
      </c>
      <c r="AB48" s="447">
        <f>IFERROR(__xludf.DUMMYFUNCTION("""COMPUTED_VALUE"""),0.0)</f>
        <v>0</v>
      </c>
      <c r="AC48" s="447">
        <f>IFERROR(__xludf.DUMMYFUNCTION("""COMPUTED_VALUE"""),0.0)</f>
        <v>0</v>
      </c>
      <c r="AD48" s="447">
        <f>IFERROR(__xludf.DUMMYFUNCTION("""COMPUTED_VALUE"""),47.0)</f>
        <v>47</v>
      </c>
      <c r="AE48" s="447">
        <f>IFERROR(__xludf.DUMMYFUNCTION("""COMPUTED_VALUE"""),10.0)</f>
        <v>10</v>
      </c>
      <c r="AF48" s="447">
        <f>IFERROR(__xludf.DUMMYFUNCTION("""COMPUTED_VALUE"""),3.0)</f>
        <v>3</v>
      </c>
      <c r="AG48" s="443" t="s">
        <v>91</v>
      </c>
      <c r="AH48" s="443" t="s">
        <v>343</v>
      </c>
      <c r="AI48" s="443"/>
      <c r="AJ48" s="443"/>
      <c r="AK48" s="443"/>
      <c r="AL48" s="443"/>
      <c r="AM48" s="443"/>
      <c r="AN48" s="443"/>
      <c r="AO48" s="443"/>
      <c r="AP48" s="443"/>
      <c r="AQ48" s="443"/>
      <c r="AR48" s="443"/>
      <c r="AS48" s="443"/>
      <c r="AT48" s="443"/>
      <c r="AU48" s="443"/>
      <c r="AV48" s="443"/>
      <c r="AW48" s="443"/>
      <c r="AX48" s="443"/>
      <c r="AY48" s="443"/>
      <c r="AZ48" s="443"/>
      <c r="BA48" s="443"/>
      <c r="BB48" s="443"/>
      <c r="BC48" s="443"/>
      <c r="BD48" s="443"/>
      <c r="BE48" s="443"/>
    </row>
    <row r="49" hidden="1">
      <c r="A49" s="445">
        <f t="shared" si="5"/>
        <v>45339</v>
      </c>
      <c r="B49" s="434">
        <v>324.0</v>
      </c>
      <c r="C49" s="462">
        <v>0.5166666666666667</v>
      </c>
      <c r="D49" s="462">
        <v>0.7861111111111111</v>
      </c>
      <c r="E49" s="436">
        <f t="array" ref="E49">IF(B49=0,"",(J49+K49)/60)</f>
        <v>0</v>
      </c>
      <c r="F49" s="437">
        <f t="shared" si="1"/>
        <v>6.466666667</v>
      </c>
      <c r="G49" s="438">
        <f t="shared" si="2"/>
        <v>50.10309278</v>
      </c>
      <c r="H49" s="438">
        <f t="shared" si="3"/>
        <v>50.10309278</v>
      </c>
      <c r="I49" s="436">
        <f t="shared" si="4"/>
        <v>1.043814433</v>
      </c>
      <c r="J49" s="474">
        <v>0.0</v>
      </c>
      <c r="K49" s="471"/>
      <c r="L49" s="443"/>
      <c r="M49" s="447">
        <f>IFERROR(__xludf.DUMMYFUNCTION("""COMPUTED_VALUE"""),57.0)</f>
        <v>57</v>
      </c>
      <c r="N49" s="447">
        <f>IFERROR(__xludf.DUMMYFUNCTION("""COMPUTED_VALUE"""),54.0)</f>
        <v>54</v>
      </c>
      <c r="O49" s="447">
        <f>IFERROR(__xludf.DUMMYFUNCTION("""COMPUTED_VALUE"""),0.0)</f>
        <v>0</v>
      </c>
      <c r="P49" s="447">
        <f>IFERROR(__xludf.DUMMYFUNCTION("""COMPUTED_VALUE"""),0.0)</f>
        <v>0</v>
      </c>
      <c r="Q49" s="447">
        <f>IFERROR(__xludf.DUMMYFUNCTION("""COMPUTED_VALUE"""),1.0)</f>
        <v>1</v>
      </c>
      <c r="R49" s="447">
        <f>IFERROR(__xludf.DUMMYFUNCTION("""COMPUTED_VALUE"""),0.0)</f>
        <v>0</v>
      </c>
      <c r="S49" s="447">
        <f>IFERROR(__xludf.DUMMYFUNCTION("""COMPUTED_VALUE"""),3.0)</f>
        <v>3</v>
      </c>
      <c r="T49" s="447">
        <f>IFERROR(__xludf.DUMMYFUNCTION("""COMPUTED_VALUE"""),0.0)</f>
        <v>0</v>
      </c>
      <c r="U49" s="447">
        <f>IFERROR(__xludf.DUMMYFUNCTION("""COMPUTED_VALUE"""),1.0)</f>
        <v>1</v>
      </c>
      <c r="V49" s="447">
        <f>IFERROR(__xludf.DUMMYFUNCTION("""COMPUTED_VALUE"""),2.0)</f>
        <v>2</v>
      </c>
      <c r="W49" s="447">
        <f>IFERROR(__xludf.DUMMYFUNCTION("""COMPUTED_VALUE"""),0.0)</f>
        <v>0</v>
      </c>
      <c r="X49" s="447">
        <f>IFERROR(__xludf.DUMMYFUNCTION("""COMPUTED_VALUE"""),0.0)</f>
        <v>0</v>
      </c>
      <c r="Y49" s="447">
        <f>IFERROR(__xludf.DUMMYFUNCTION("""COMPUTED_VALUE"""),0.0)</f>
        <v>0</v>
      </c>
      <c r="Z49" s="447">
        <f>IFERROR(__xludf.DUMMYFUNCTION("""COMPUTED_VALUE"""),0.0)</f>
        <v>0</v>
      </c>
      <c r="AA49" s="447">
        <f>IFERROR(__xludf.DUMMYFUNCTION("""COMPUTED_VALUE"""),0.0)</f>
        <v>0</v>
      </c>
      <c r="AB49" s="447">
        <f>IFERROR(__xludf.DUMMYFUNCTION("""COMPUTED_VALUE"""),0.0)</f>
        <v>0</v>
      </c>
      <c r="AC49" s="447">
        <f>IFERROR(__xludf.DUMMYFUNCTION("""COMPUTED_VALUE"""),0.0)</f>
        <v>0</v>
      </c>
      <c r="AD49" s="447">
        <f>IFERROR(__xludf.DUMMYFUNCTION("""COMPUTED_VALUE"""),48.0)</f>
        <v>48</v>
      </c>
      <c r="AE49" s="447">
        <f>IFERROR(__xludf.DUMMYFUNCTION("""COMPUTED_VALUE"""),9.0)</f>
        <v>9</v>
      </c>
      <c r="AF49" s="447">
        <f>IFERROR(__xludf.DUMMYFUNCTION("""COMPUTED_VALUE"""),3.0)</f>
        <v>3</v>
      </c>
      <c r="AG49" s="443" t="s">
        <v>91</v>
      </c>
      <c r="AH49" s="443" t="s">
        <v>343</v>
      </c>
      <c r="AI49" s="443"/>
      <c r="AJ49" s="443"/>
      <c r="AK49" s="443"/>
      <c r="AL49" s="443"/>
      <c r="AM49" s="443"/>
      <c r="AN49" s="443"/>
      <c r="AO49" s="443"/>
      <c r="AP49" s="443"/>
      <c r="AQ49" s="443"/>
      <c r="AR49" s="443"/>
      <c r="AS49" s="443"/>
      <c r="AT49" s="443"/>
      <c r="AU49" s="443"/>
      <c r="AV49" s="443"/>
      <c r="AW49" s="443"/>
      <c r="AX49" s="443"/>
      <c r="AY49" s="443"/>
      <c r="AZ49" s="443"/>
      <c r="BA49" s="443"/>
      <c r="BB49" s="443"/>
      <c r="BC49" s="443"/>
      <c r="BD49" s="443"/>
      <c r="BE49" s="443"/>
    </row>
    <row r="50" hidden="1">
      <c r="A50" s="445">
        <f t="shared" si="5"/>
        <v>45340</v>
      </c>
      <c r="B50" s="434">
        <v>0.0</v>
      </c>
      <c r="C50" s="443"/>
      <c r="D50" s="443"/>
      <c r="E50" s="436" t="str">
        <f t="array" ref="E50">IF(B50=0,"",(J50+K50)/60)</f>
        <v/>
      </c>
      <c r="F50" s="437" t="str">
        <f t="shared" si="1"/>
        <v/>
      </c>
      <c r="G50" s="438" t="str">
        <f t="shared" si="2"/>
        <v/>
      </c>
      <c r="H50" s="438" t="str">
        <f t="shared" si="3"/>
        <v/>
      </c>
      <c r="I50" s="436" t="str">
        <f t="shared" si="4"/>
        <v/>
      </c>
      <c r="J50" s="476"/>
      <c r="K50" s="471"/>
      <c r="L50" s="443"/>
      <c r="M50" s="447">
        <f>IFERROR(__xludf.DUMMYFUNCTION("""COMPUTED_VALUE"""),57.0)</f>
        <v>57</v>
      </c>
      <c r="N50" s="447">
        <f>IFERROR(__xludf.DUMMYFUNCTION("""COMPUTED_VALUE"""),55.0)</f>
        <v>55</v>
      </c>
      <c r="O50" s="447">
        <f>IFERROR(__xludf.DUMMYFUNCTION("""COMPUTED_VALUE"""),0.0)</f>
        <v>0</v>
      </c>
      <c r="P50" s="447">
        <f>IFERROR(__xludf.DUMMYFUNCTION("""COMPUTED_VALUE"""),0.0)</f>
        <v>0</v>
      </c>
      <c r="Q50" s="447">
        <f>IFERROR(__xludf.DUMMYFUNCTION("""COMPUTED_VALUE"""),0.0)</f>
        <v>0</v>
      </c>
      <c r="R50" s="447">
        <f>IFERROR(__xludf.DUMMYFUNCTION("""COMPUTED_VALUE"""),0.0)</f>
        <v>0</v>
      </c>
      <c r="S50" s="447">
        <f>IFERROR(__xludf.DUMMYFUNCTION("""COMPUTED_VALUE"""),0.0)</f>
        <v>0</v>
      </c>
      <c r="T50" s="447">
        <f>IFERROR(__xludf.DUMMYFUNCTION("""COMPUTED_VALUE"""),0.0)</f>
        <v>0</v>
      </c>
      <c r="U50" s="447">
        <f>IFERROR(__xludf.DUMMYFUNCTION("""COMPUTED_VALUE"""),0.0)</f>
        <v>0</v>
      </c>
      <c r="V50" s="447">
        <f>IFERROR(__xludf.DUMMYFUNCTION("""COMPUTED_VALUE"""),0.0)</f>
        <v>0</v>
      </c>
      <c r="W50" s="447">
        <f>IFERROR(__xludf.DUMMYFUNCTION("""COMPUTED_VALUE"""),0.0)</f>
        <v>0</v>
      </c>
      <c r="X50" s="447">
        <f>IFERROR(__xludf.DUMMYFUNCTION("""COMPUTED_VALUE"""),0.0)</f>
        <v>0</v>
      </c>
      <c r="Y50" s="447">
        <f>IFERROR(__xludf.DUMMYFUNCTION("""COMPUTED_VALUE"""),0.0)</f>
        <v>0</v>
      </c>
      <c r="Z50" s="447">
        <f>IFERROR(__xludf.DUMMYFUNCTION("""COMPUTED_VALUE"""),0.0)</f>
        <v>0</v>
      </c>
      <c r="AA50" s="447">
        <f>IFERROR(__xludf.DUMMYFUNCTION("""COMPUTED_VALUE"""),0.0)</f>
        <v>0</v>
      </c>
      <c r="AB50" s="447">
        <f>IFERROR(__xludf.DUMMYFUNCTION("""COMPUTED_VALUE"""),0.0)</f>
        <v>0</v>
      </c>
      <c r="AC50" s="447">
        <f>IFERROR(__xludf.DUMMYFUNCTION("""COMPUTED_VALUE"""),0.0)</f>
        <v>0</v>
      </c>
      <c r="AD50" s="447">
        <f>IFERROR(__xludf.DUMMYFUNCTION("""COMPUTED_VALUE"""),0.0)</f>
        <v>0</v>
      </c>
      <c r="AE50" s="447">
        <f>IFERROR(__xludf.DUMMYFUNCTION("""COMPUTED_VALUE"""),2.0)</f>
        <v>2</v>
      </c>
      <c r="AF50" s="447">
        <f>IFERROR(__xludf.DUMMYFUNCTION("""COMPUTED_VALUE"""),2.0)</f>
        <v>2</v>
      </c>
      <c r="AG50" s="443" t="s">
        <v>91</v>
      </c>
      <c r="AH50" s="443" t="s">
        <v>343</v>
      </c>
      <c r="AI50" s="443"/>
      <c r="AJ50" s="443"/>
      <c r="AK50" s="443"/>
      <c r="AL50" s="443"/>
      <c r="AM50" s="443"/>
      <c r="AN50" s="443"/>
      <c r="AO50" s="443"/>
      <c r="AP50" s="443"/>
      <c r="AQ50" s="443"/>
      <c r="AR50" s="443"/>
      <c r="AS50" s="443"/>
      <c r="AT50" s="443"/>
      <c r="AU50" s="443"/>
      <c r="AV50" s="443"/>
      <c r="AW50" s="443"/>
      <c r="AX50" s="443"/>
      <c r="AY50" s="443"/>
      <c r="AZ50" s="443"/>
      <c r="BA50" s="443"/>
      <c r="BB50" s="443"/>
      <c r="BC50" s="443"/>
      <c r="BD50" s="443"/>
      <c r="BE50" s="443"/>
    </row>
    <row r="51" hidden="1">
      <c r="A51" s="445">
        <f t="shared" si="5"/>
        <v>45341</v>
      </c>
      <c r="B51" s="434">
        <v>427.0</v>
      </c>
      <c r="C51" s="462">
        <v>0.5583333333333333</v>
      </c>
      <c r="D51" s="462">
        <v>0.8986111111111111</v>
      </c>
      <c r="E51" s="436">
        <f t="array" ref="E51">IF(B51=0,"",(J51+K51)/60)</f>
        <v>0.25</v>
      </c>
      <c r="F51" s="437">
        <f t="shared" si="1"/>
        <v>8.166666667</v>
      </c>
      <c r="G51" s="438">
        <f t="shared" si="2"/>
        <v>52.28571429</v>
      </c>
      <c r="H51" s="438">
        <f t="shared" si="3"/>
        <v>53.93684211</v>
      </c>
      <c r="I51" s="436">
        <f t="shared" si="4"/>
        <v>1.089285714</v>
      </c>
      <c r="J51" s="474">
        <v>15.0</v>
      </c>
      <c r="K51" s="471"/>
      <c r="L51" s="443"/>
      <c r="M51" s="447">
        <f>IFERROR(__xludf.DUMMYFUNCTION("""COMPUTED_VALUE"""),57.0)</f>
        <v>57</v>
      </c>
      <c r="N51" s="447">
        <f>IFERROR(__xludf.DUMMYFUNCTION("""COMPUTED_VALUE"""),54.0)</f>
        <v>54</v>
      </c>
      <c r="O51" s="447">
        <f>IFERROR(__xludf.DUMMYFUNCTION("""COMPUTED_VALUE"""),0.0)</f>
        <v>0</v>
      </c>
      <c r="P51" s="447">
        <f>IFERROR(__xludf.DUMMYFUNCTION("""COMPUTED_VALUE"""),0.0)</f>
        <v>0</v>
      </c>
      <c r="Q51" s="447">
        <f>IFERROR(__xludf.DUMMYFUNCTION("""COMPUTED_VALUE"""),3.0)</f>
        <v>3</v>
      </c>
      <c r="R51" s="447">
        <f>IFERROR(__xludf.DUMMYFUNCTION("""COMPUTED_VALUE"""),0.0)</f>
        <v>0</v>
      </c>
      <c r="S51" s="447">
        <f>IFERROR(__xludf.DUMMYFUNCTION("""COMPUTED_VALUE"""),1.0)</f>
        <v>1</v>
      </c>
      <c r="T51" s="447">
        <f>IFERROR(__xludf.DUMMYFUNCTION("""COMPUTED_VALUE"""),0.0)</f>
        <v>0</v>
      </c>
      <c r="U51" s="447">
        <f>IFERROR(__xludf.DUMMYFUNCTION("""COMPUTED_VALUE"""),1.0)</f>
        <v>1</v>
      </c>
      <c r="V51" s="447">
        <f>IFERROR(__xludf.DUMMYFUNCTION("""COMPUTED_VALUE"""),2.0)</f>
        <v>2</v>
      </c>
      <c r="W51" s="447">
        <f>IFERROR(__xludf.DUMMYFUNCTION("""COMPUTED_VALUE"""),0.0)</f>
        <v>0</v>
      </c>
      <c r="X51" s="447">
        <f>IFERROR(__xludf.DUMMYFUNCTION("""COMPUTED_VALUE"""),0.0)</f>
        <v>0</v>
      </c>
      <c r="Y51" s="447">
        <f>IFERROR(__xludf.DUMMYFUNCTION("""COMPUTED_VALUE"""),0.0)</f>
        <v>0</v>
      </c>
      <c r="Z51" s="447">
        <f>IFERROR(__xludf.DUMMYFUNCTION("""COMPUTED_VALUE"""),0.0)</f>
        <v>0</v>
      </c>
      <c r="AA51" s="447">
        <f>IFERROR(__xludf.DUMMYFUNCTION("""COMPUTED_VALUE"""),0.0)</f>
        <v>0</v>
      </c>
      <c r="AB51" s="447">
        <f>IFERROR(__xludf.DUMMYFUNCTION("""COMPUTED_VALUE"""),0.0)</f>
        <v>0</v>
      </c>
      <c r="AC51" s="447">
        <f>IFERROR(__xludf.DUMMYFUNCTION("""COMPUTED_VALUE"""),0.0)</f>
        <v>0</v>
      </c>
      <c r="AD51" s="447">
        <f>IFERROR(__xludf.DUMMYFUNCTION("""COMPUTED_VALUE"""),48.0)</f>
        <v>48</v>
      </c>
      <c r="AE51" s="447">
        <f>IFERROR(__xludf.DUMMYFUNCTION("""COMPUTED_VALUE"""),9.0)</f>
        <v>9</v>
      </c>
      <c r="AF51" s="447">
        <f>IFERROR(__xludf.DUMMYFUNCTION("""COMPUTED_VALUE"""),3.0)</f>
        <v>3</v>
      </c>
      <c r="AG51" s="443" t="s">
        <v>91</v>
      </c>
      <c r="AH51" s="443" t="s">
        <v>343</v>
      </c>
      <c r="AI51" s="443"/>
      <c r="AJ51" s="443"/>
      <c r="AK51" s="443"/>
      <c r="AL51" s="443"/>
      <c r="AM51" s="443"/>
      <c r="AN51" s="443"/>
      <c r="AO51" s="443"/>
      <c r="AP51" s="443"/>
      <c r="AQ51" s="443"/>
      <c r="AR51" s="443"/>
      <c r="AS51" s="443"/>
      <c r="AT51" s="443"/>
      <c r="AU51" s="443"/>
      <c r="AV51" s="443"/>
      <c r="AW51" s="443"/>
      <c r="AX51" s="443"/>
      <c r="AY51" s="443"/>
      <c r="AZ51" s="443"/>
      <c r="BA51" s="443"/>
      <c r="BB51" s="443"/>
      <c r="BC51" s="443"/>
      <c r="BD51" s="443"/>
      <c r="BE51" s="443"/>
    </row>
    <row r="52" hidden="1">
      <c r="A52" s="445">
        <f t="shared" si="5"/>
        <v>45342</v>
      </c>
      <c r="B52" s="434">
        <v>388.0</v>
      </c>
      <c r="C52" s="462">
        <v>0.5583333333333333</v>
      </c>
      <c r="D52" s="462">
        <v>0.8451388888888889</v>
      </c>
      <c r="E52" s="436">
        <f t="array" ref="E52">IF(B52=0,"",(J52+K52)/60)</f>
        <v>0.25</v>
      </c>
      <c r="F52" s="437">
        <f t="shared" si="1"/>
        <v>6.883333333</v>
      </c>
      <c r="G52" s="438">
        <f t="shared" si="2"/>
        <v>56.36803874</v>
      </c>
      <c r="H52" s="438">
        <f t="shared" si="3"/>
        <v>58.49246231</v>
      </c>
      <c r="I52" s="436">
        <f t="shared" si="4"/>
        <v>1.150368138</v>
      </c>
      <c r="J52" s="439">
        <v>15.0</v>
      </c>
      <c r="K52" s="471"/>
      <c r="L52" s="443"/>
      <c r="M52" s="447">
        <f>IFERROR(__xludf.DUMMYFUNCTION("""COMPUTED_VALUE"""),57.0)</f>
        <v>57</v>
      </c>
      <c r="N52" s="447">
        <f>IFERROR(__xludf.DUMMYFUNCTION("""COMPUTED_VALUE"""),55.0)</f>
        <v>55</v>
      </c>
      <c r="O52" s="447">
        <f>IFERROR(__xludf.DUMMYFUNCTION("""COMPUTED_VALUE"""),0.0)</f>
        <v>0</v>
      </c>
      <c r="P52" s="447">
        <f>IFERROR(__xludf.DUMMYFUNCTION("""COMPUTED_VALUE"""),0.0)</f>
        <v>0</v>
      </c>
      <c r="Q52" s="447">
        <f>IFERROR(__xludf.DUMMYFUNCTION("""COMPUTED_VALUE"""),1.0)</f>
        <v>1</v>
      </c>
      <c r="R52" s="447">
        <f>IFERROR(__xludf.DUMMYFUNCTION("""COMPUTED_VALUE"""),0.0)</f>
        <v>0</v>
      </c>
      <c r="S52" s="447">
        <f>IFERROR(__xludf.DUMMYFUNCTION("""COMPUTED_VALUE"""),2.0)</f>
        <v>2</v>
      </c>
      <c r="T52" s="447">
        <f>IFERROR(__xludf.DUMMYFUNCTION("""COMPUTED_VALUE"""),0.0)</f>
        <v>0</v>
      </c>
      <c r="U52" s="447">
        <f>IFERROR(__xludf.DUMMYFUNCTION("""COMPUTED_VALUE"""),0.0)</f>
        <v>0</v>
      </c>
      <c r="V52" s="447">
        <f>IFERROR(__xludf.DUMMYFUNCTION("""COMPUTED_VALUE"""),2.0)</f>
        <v>2</v>
      </c>
      <c r="W52" s="447">
        <f>IFERROR(__xludf.DUMMYFUNCTION("""COMPUTED_VALUE"""),0.0)</f>
        <v>0</v>
      </c>
      <c r="X52" s="447">
        <f>IFERROR(__xludf.DUMMYFUNCTION("""COMPUTED_VALUE"""),0.0)</f>
        <v>0</v>
      </c>
      <c r="Y52" s="447">
        <f>IFERROR(__xludf.DUMMYFUNCTION("""COMPUTED_VALUE"""),0.0)</f>
        <v>0</v>
      </c>
      <c r="Z52" s="447">
        <f>IFERROR(__xludf.DUMMYFUNCTION("""COMPUTED_VALUE"""),0.0)</f>
        <v>0</v>
      </c>
      <c r="AA52" s="447">
        <f>IFERROR(__xludf.DUMMYFUNCTION("""COMPUTED_VALUE"""),0.0)</f>
        <v>0</v>
      </c>
      <c r="AB52" s="447">
        <f>IFERROR(__xludf.DUMMYFUNCTION("""COMPUTED_VALUE"""),1.0)</f>
        <v>1</v>
      </c>
      <c r="AC52" s="447">
        <f>IFERROR(__xludf.DUMMYFUNCTION("""COMPUTED_VALUE"""),0.0)</f>
        <v>0</v>
      </c>
      <c r="AD52" s="447">
        <f>IFERROR(__xludf.DUMMYFUNCTION("""COMPUTED_VALUE"""),49.0)</f>
        <v>49</v>
      </c>
      <c r="AE52" s="447">
        <f>IFERROR(__xludf.DUMMYFUNCTION("""COMPUTED_VALUE"""),7.0)</f>
        <v>7</v>
      </c>
      <c r="AF52" s="447">
        <f>IFERROR(__xludf.DUMMYFUNCTION("""COMPUTED_VALUE"""),2.0)</f>
        <v>2</v>
      </c>
      <c r="AG52" s="443" t="s">
        <v>91</v>
      </c>
      <c r="AH52" s="443" t="s">
        <v>343</v>
      </c>
      <c r="AI52" s="443"/>
      <c r="AJ52" s="443"/>
      <c r="AK52" s="443"/>
      <c r="AL52" s="443"/>
      <c r="AM52" s="443"/>
      <c r="AN52" s="443"/>
      <c r="AO52" s="443"/>
      <c r="AP52" s="443"/>
      <c r="AQ52" s="443"/>
      <c r="AR52" s="443"/>
      <c r="AS52" s="443"/>
      <c r="AT52" s="443"/>
      <c r="AU52" s="443"/>
      <c r="AV52" s="443"/>
      <c r="AW52" s="443"/>
      <c r="AX52" s="443"/>
      <c r="AY52" s="443"/>
      <c r="AZ52" s="443"/>
      <c r="BA52" s="443"/>
      <c r="BB52" s="443"/>
      <c r="BC52" s="443"/>
      <c r="BD52" s="443"/>
      <c r="BE52" s="443"/>
    </row>
    <row r="53" hidden="1">
      <c r="A53" s="445">
        <f t="shared" si="5"/>
        <v>45343</v>
      </c>
      <c r="B53" s="434">
        <v>514.0</v>
      </c>
      <c r="C53" s="462">
        <v>0.5583333333333333</v>
      </c>
      <c r="D53" s="462">
        <v>0.9444444444444444</v>
      </c>
      <c r="E53" s="436">
        <f t="array" ref="E53">IF(B53=0,"",(J53+K53)/60)</f>
        <v>0.25</v>
      </c>
      <c r="F53" s="437">
        <f t="shared" si="1"/>
        <v>9.266666667</v>
      </c>
      <c r="G53" s="438">
        <f t="shared" si="2"/>
        <v>55.4676259</v>
      </c>
      <c r="H53" s="438">
        <f t="shared" si="3"/>
        <v>57.00554529</v>
      </c>
      <c r="I53" s="436">
        <f t="shared" si="4"/>
        <v>1.131992365</v>
      </c>
      <c r="J53" s="439">
        <v>15.0</v>
      </c>
      <c r="K53" s="471"/>
      <c r="L53" s="443"/>
      <c r="M53" s="447">
        <f>IFERROR(__xludf.DUMMYFUNCTION("""COMPUTED_VALUE"""),57.0)</f>
        <v>57</v>
      </c>
      <c r="N53" s="447">
        <f>IFERROR(__xludf.DUMMYFUNCTION("""COMPUTED_VALUE"""),55.0)</f>
        <v>55</v>
      </c>
      <c r="O53" s="447">
        <f>IFERROR(__xludf.DUMMYFUNCTION("""COMPUTED_VALUE"""),0.0)</f>
        <v>0</v>
      </c>
      <c r="P53" s="447">
        <f>IFERROR(__xludf.DUMMYFUNCTION("""COMPUTED_VALUE"""),0.0)</f>
        <v>0</v>
      </c>
      <c r="Q53" s="447">
        <f>IFERROR(__xludf.DUMMYFUNCTION("""COMPUTED_VALUE"""),2.0)</f>
        <v>2</v>
      </c>
      <c r="R53" s="447">
        <f>IFERROR(__xludf.DUMMYFUNCTION("""COMPUTED_VALUE"""),0.0)</f>
        <v>0</v>
      </c>
      <c r="S53" s="447">
        <f>IFERROR(__xludf.DUMMYFUNCTION("""COMPUTED_VALUE"""),2.0)</f>
        <v>2</v>
      </c>
      <c r="T53" s="447">
        <f>IFERROR(__xludf.DUMMYFUNCTION("""COMPUTED_VALUE"""),0.0)</f>
        <v>0</v>
      </c>
      <c r="U53" s="447">
        <f>IFERROR(__xludf.DUMMYFUNCTION("""COMPUTED_VALUE"""),0.0)</f>
        <v>0</v>
      </c>
      <c r="V53" s="447">
        <f>IFERROR(__xludf.DUMMYFUNCTION("""COMPUTED_VALUE"""),2.0)</f>
        <v>2</v>
      </c>
      <c r="W53" s="447">
        <f>IFERROR(__xludf.DUMMYFUNCTION("""COMPUTED_VALUE"""),0.0)</f>
        <v>0</v>
      </c>
      <c r="X53" s="447">
        <f>IFERROR(__xludf.DUMMYFUNCTION("""COMPUTED_VALUE"""),0.0)</f>
        <v>0</v>
      </c>
      <c r="Y53" s="447">
        <f>IFERROR(__xludf.DUMMYFUNCTION("""COMPUTED_VALUE"""),0.0)</f>
        <v>0</v>
      </c>
      <c r="Z53" s="447">
        <f>IFERROR(__xludf.DUMMYFUNCTION("""COMPUTED_VALUE"""),0.0)</f>
        <v>0</v>
      </c>
      <c r="AA53" s="447">
        <f>IFERROR(__xludf.DUMMYFUNCTION("""COMPUTED_VALUE"""),0.0)</f>
        <v>0</v>
      </c>
      <c r="AB53" s="447">
        <f>IFERROR(__xludf.DUMMYFUNCTION("""COMPUTED_VALUE"""),0.0)</f>
        <v>0</v>
      </c>
      <c r="AC53" s="447">
        <f>IFERROR(__xludf.DUMMYFUNCTION("""COMPUTED_VALUE"""),0.0)</f>
        <v>0</v>
      </c>
      <c r="AD53" s="447">
        <f>IFERROR(__xludf.DUMMYFUNCTION("""COMPUTED_VALUE"""),49.0)</f>
        <v>49</v>
      </c>
      <c r="AE53" s="447">
        <f>IFERROR(__xludf.DUMMYFUNCTION("""COMPUTED_VALUE"""),8.0)</f>
        <v>8</v>
      </c>
      <c r="AF53" s="447">
        <f>IFERROR(__xludf.DUMMYFUNCTION("""COMPUTED_VALUE"""),2.0)</f>
        <v>2</v>
      </c>
      <c r="AG53" s="443" t="s">
        <v>91</v>
      </c>
      <c r="AH53" s="443" t="s">
        <v>343</v>
      </c>
      <c r="AI53" s="443"/>
      <c r="AJ53" s="443"/>
      <c r="AK53" s="443"/>
      <c r="AL53" s="443"/>
      <c r="AM53" s="443"/>
      <c r="AN53" s="443"/>
      <c r="AO53" s="443"/>
      <c r="AP53" s="443"/>
      <c r="AQ53" s="443"/>
      <c r="AR53" s="443"/>
      <c r="AS53" s="443"/>
      <c r="AT53" s="443"/>
      <c r="AU53" s="443"/>
      <c r="AV53" s="443"/>
      <c r="AW53" s="443"/>
      <c r="AX53" s="443"/>
      <c r="AY53" s="443"/>
      <c r="AZ53" s="443"/>
      <c r="BA53" s="443"/>
      <c r="BB53" s="443"/>
      <c r="BC53" s="443"/>
      <c r="BD53" s="443"/>
      <c r="BE53" s="443"/>
    </row>
    <row r="54" hidden="1">
      <c r="A54" s="445">
        <f t="shared" si="5"/>
        <v>45344</v>
      </c>
      <c r="B54" s="434">
        <v>438.0</v>
      </c>
      <c r="C54" s="462">
        <v>0.5583333333333333</v>
      </c>
      <c r="D54" s="462">
        <v>0.9222222222222223</v>
      </c>
      <c r="E54" s="436">
        <f t="array" ref="E54">IF(B54=0,"",(J54+K54)/60)</f>
        <v>0</v>
      </c>
      <c r="F54" s="437">
        <f t="shared" si="1"/>
        <v>8.733333333</v>
      </c>
      <c r="G54" s="438">
        <f t="shared" si="2"/>
        <v>50.15267176</v>
      </c>
      <c r="H54" s="438">
        <f t="shared" si="3"/>
        <v>50.15267176</v>
      </c>
      <c r="I54" s="436">
        <f t="shared" si="4"/>
        <v>1.044847328</v>
      </c>
      <c r="J54" s="439">
        <v>0.0</v>
      </c>
      <c r="K54" s="443"/>
      <c r="L54" s="443"/>
      <c r="M54" s="447">
        <f>IFERROR(__xludf.DUMMYFUNCTION("""COMPUTED_VALUE"""),57.0)</f>
        <v>57</v>
      </c>
      <c r="N54" s="447">
        <f>IFERROR(__xludf.DUMMYFUNCTION("""COMPUTED_VALUE"""),55.0)</f>
        <v>55</v>
      </c>
      <c r="O54" s="447">
        <f>IFERROR(__xludf.DUMMYFUNCTION("""COMPUTED_VALUE"""),1.0)</f>
        <v>1</v>
      </c>
      <c r="P54" s="447">
        <f>IFERROR(__xludf.DUMMYFUNCTION("""COMPUTED_VALUE"""),0.0)</f>
        <v>0</v>
      </c>
      <c r="Q54" s="447">
        <f>IFERROR(__xludf.DUMMYFUNCTION("""COMPUTED_VALUE"""),2.0)</f>
        <v>2</v>
      </c>
      <c r="R54" s="447">
        <f>IFERROR(__xludf.DUMMYFUNCTION("""COMPUTED_VALUE"""),0.0)</f>
        <v>0</v>
      </c>
      <c r="S54" s="447">
        <f>IFERROR(__xludf.DUMMYFUNCTION("""COMPUTED_VALUE"""),2.0)</f>
        <v>2</v>
      </c>
      <c r="T54" s="447">
        <f>IFERROR(__xludf.DUMMYFUNCTION("""COMPUTED_VALUE"""),0.0)</f>
        <v>0</v>
      </c>
      <c r="U54" s="447">
        <f>IFERROR(__xludf.DUMMYFUNCTION("""COMPUTED_VALUE"""),0.0)</f>
        <v>0</v>
      </c>
      <c r="V54" s="447">
        <f>IFERROR(__xludf.DUMMYFUNCTION("""COMPUTED_VALUE"""),2.0)</f>
        <v>2</v>
      </c>
      <c r="W54" s="447">
        <f>IFERROR(__xludf.DUMMYFUNCTION("""COMPUTED_VALUE"""),0.0)</f>
        <v>0</v>
      </c>
      <c r="X54" s="447">
        <f>IFERROR(__xludf.DUMMYFUNCTION("""COMPUTED_VALUE"""),0.0)</f>
        <v>0</v>
      </c>
      <c r="Y54" s="447">
        <f>IFERROR(__xludf.DUMMYFUNCTION("""COMPUTED_VALUE"""),0.0)</f>
        <v>0</v>
      </c>
      <c r="Z54" s="447">
        <f>IFERROR(__xludf.DUMMYFUNCTION("""COMPUTED_VALUE"""),0.0)</f>
        <v>0</v>
      </c>
      <c r="AA54" s="447">
        <f>IFERROR(__xludf.DUMMYFUNCTION("""COMPUTED_VALUE"""),0.0)</f>
        <v>0</v>
      </c>
      <c r="AB54" s="447">
        <f>IFERROR(__xludf.DUMMYFUNCTION("""COMPUTED_VALUE"""),0.0)</f>
        <v>0</v>
      </c>
      <c r="AC54" s="447">
        <f>IFERROR(__xludf.DUMMYFUNCTION("""COMPUTED_VALUE"""),0.0)</f>
        <v>0</v>
      </c>
      <c r="AD54" s="447">
        <f>IFERROR(__xludf.DUMMYFUNCTION("""COMPUTED_VALUE"""),48.0)</f>
        <v>48</v>
      </c>
      <c r="AE54" s="447">
        <f>IFERROR(__xludf.DUMMYFUNCTION("""COMPUTED_VALUE"""),9.0)</f>
        <v>9</v>
      </c>
      <c r="AF54" s="447">
        <f>IFERROR(__xludf.DUMMYFUNCTION("""COMPUTED_VALUE"""),2.0)</f>
        <v>2</v>
      </c>
      <c r="AG54" s="443" t="s">
        <v>91</v>
      </c>
      <c r="AH54" s="443" t="s">
        <v>343</v>
      </c>
      <c r="AI54" s="443"/>
      <c r="AJ54" s="443"/>
      <c r="AK54" s="443"/>
      <c r="AL54" s="443"/>
      <c r="AM54" s="443"/>
      <c r="AN54" s="443"/>
      <c r="AO54" s="443"/>
      <c r="AP54" s="443"/>
      <c r="AQ54" s="443"/>
      <c r="AR54" s="443"/>
      <c r="AS54" s="443"/>
      <c r="AT54" s="443"/>
      <c r="AU54" s="443"/>
      <c r="AV54" s="443"/>
      <c r="AW54" s="443"/>
      <c r="AX54" s="443"/>
      <c r="AY54" s="443"/>
      <c r="AZ54" s="443"/>
      <c r="BA54" s="443"/>
      <c r="BB54" s="443"/>
      <c r="BC54" s="443"/>
      <c r="BD54" s="443"/>
      <c r="BE54" s="443"/>
    </row>
    <row r="55" hidden="1">
      <c r="A55" s="445">
        <f t="shared" si="5"/>
        <v>45345</v>
      </c>
      <c r="B55" s="434">
        <v>374.0</v>
      </c>
      <c r="C55" s="462">
        <v>0.5583333333333333</v>
      </c>
      <c r="D55" s="462">
        <v>0.8388888888888889</v>
      </c>
      <c r="E55" s="436">
        <f t="array" ref="E55">IF(B55=0,"",(J55+K55)/60)</f>
        <v>0.25</v>
      </c>
      <c r="F55" s="437">
        <f t="shared" si="1"/>
        <v>6.733333333</v>
      </c>
      <c r="G55" s="438">
        <f t="shared" si="2"/>
        <v>55.54455446</v>
      </c>
      <c r="H55" s="438">
        <f t="shared" si="3"/>
        <v>57.68637532</v>
      </c>
      <c r="I55" s="436">
        <f t="shared" si="4"/>
        <v>1.181799031</v>
      </c>
      <c r="J55" s="474">
        <v>15.0</v>
      </c>
      <c r="K55" s="471"/>
      <c r="L55" s="443"/>
      <c r="M55" s="447">
        <f>IFERROR(__xludf.DUMMYFUNCTION("""COMPUTED_VALUE"""),57.0)</f>
        <v>57</v>
      </c>
      <c r="N55" s="447">
        <f>IFERROR(__xludf.DUMMYFUNCTION("""COMPUTED_VALUE"""),54.0)</f>
        <v>54</v>
      </c>
      <c r="O55" s="447">
        <f>IFERROR(__xludf.DUMMYFUNCTION("""COMPUTED_VALUE"""),1.0)</f>
        <v>1</v>
      </c>
      <c r="P55" s="447">
        <f>IFERROR(__xludf.DUMMYFUNCTION("""COMPUTED_VALUE"""),1.0)</f>
        <v>1</v>
      </c>
      <c r="Q55" s="447">
        <f>IFERROR(__xludf.DUMMYFUNCTION("""COMPUTED_VALUE"""),1.0)</f>
        <v>1</v>
      </c>
      <c r="R55" s="447">
        <f>IFERROR(__xludf.DUMMYFUNCTION("""COMPUTED_VALUE"""),1.0)</f>
        <v>1</v>
      </c>
      <c r="S55" s="447">
        <f>IFERROR(__xludf.DUMMYFUNCTION("""COMPUTED_VALUE"""),2.0)</f>
        <v>2</v>
      </c>
      <c r="T55" s="447">
        <f>IFERROR(__xludf.DUMMYFUNCTION("""COMPUTED_VALUE"""),0.0)</f>
        <v>0</v>
      </c>
      <c r="U55" s="447">
        <f>IFERROR(__xludf.DUMMYFUNCTION("""COMPUTED_VALUE"""),0.0)</f>
        <v>0</v>
      </c>
      <c r="V55" s="447">
        <f>IFERROR(__xludf.DUMMYFUNCTION("""COMPUTED_VALUE"""),2.0)</f>
        <v>2</v>
      </c>
      <c r="W55" s="447">
        <f>IFERROR(__xludf.DUMMYFUNCTION("""COMPUTED_VALUE"""),0.0)</f>
        <v>0</v>
      </c>
      <c r="X55" s="447">
        <f>IFERROR(__xludf.DUMMYFUNCTION("""COMPUTED_VALUE"""),0.0)</f>
        <v>0</v>
      </c>
      <c r="Y55" s="447">
        <f>IFERROR(__xludf.DUMMYFUNCTION("""COMPUTED_VALUE"""),0.0)</f>
        <v>0</v>
      </c>
      <c r="Z55" s="447">
        <f>IFERROR(__xludf.DUMMYFUNCTION("""COMPUTED_VALUE"""),0.0)</f>
        <v>0</v>
      </c>
      <c r="AA55" s="447">
        <f>IFERROR(__xludf.DUMMYFUNCTION("""COMPUTED_VALUE"""),0.0)</f>
        <v>0</v>
      </c>
      <c r="AB55" s="447">
        <f>IFERROR(__xludf.DUMMYFUNCTION("""COMPUTED_VALUE"""),0.0)</f>
        <v>0</v>
      </c>
      <c r="AC55" s="447">
        <f>IFERROR(__xludf.DUMMYFUNCTION("""COMPUTED_VALUE"""),0.0)</f>
        <v>0</v>
      </c>
      <c r="AD55" s="447">
        <f>IFERROR(__xludf.DUMMYFUNCTION("""COMPUTED_VALUE"""),47.0)</f>
        <v>47</v>
      </c>
      <c r="AE55" s="447">
        <f>IFERROR(__xludf.DUMMYFUNCTION("""COMPUTED_VALUE"""),9.0)</f>
        <v>9</v>
      </c>
      <c r="AF55" s="447">
        <f>IFERROR(__xludf.DUMMYFUNCTION("""COMPUTED_VALUE"""),3.0)</f>
        <v>3</v>
      </c>
      <c r="AG55" s="443" t="s">
        <v>91</v>
      </c>
      <c r="AH55" s="443" t="s">
        <v>343</v>
      </c>
      <c r="AI55" s="443"/>
      <c r="AJ55" s="443"/>
      <c r="AK55" s="443"/>
      <c r="AL55" s="443"/>
      <c r="AM55" s="443"/>
      <c r="AN55" s="443"/>
      <c r="AO55" s="443"/>
      <c r="AP55" s="443"/>
      <c r="AQ55" s="443"/>
      <c r="AR55" s="443"/>
      <c r="AS55" s="443"/>
      <c r="AT55" s="443"/>
      <c r="AU55" s="443"/>
      <c r="AV55" s="443"/>
      <c r="AW55" s="443"/>
      <c r="AX55" s="443"/>
      <c r="AY55" s="443"/>
      <c r="AZ55" s="443"/>
      <c r="BA55" s="443"/>
      <c r="BB55" s="443"/>
      <c r="BC55" s="443"/>
      <c r="BD55" s="443"/>
      <c r="BE55" s="443"/>
    </row>
    <row r="56" hidden="1">
      <c r="A56" s="445">
        <f t="shared" si="5"/>
        <v>45346</v>
      </c>
      <c r="B56" s="434">
        <v>424.0</v>
      </c>
      <c r="C56" s="462">
        <v>0.5166666666666667</v>
      </c>
      <c r="D56" s="462">
        <v>0.8402777777777778</v>
      </c>
      <c r="E56" s="436">
        <f t="array" ref="E56">IF(B56=0,"",(J56+K56)/60)</f>
        <v>0.25</v>
      </c>
      <c r="F56" s="437">
        <f t="shared" si="1"/>
        <v>7.766666667</v>
      </c>
      <c r="G56" s="438">
        <f t="shared" si="2"/>
        <v>54.59227468</v>
      </c>
      <c r="H56" s="438">
        <f t="shared" si="3"/>
        <v>56.40798226</v>
      </c>
      <c r="I56" s="436">
        <f t="shared" si="4"/>
        <v>1.091845494</v>
      </c>
      <c r="J56" s="439">
        <v>15.0</v>
      </c>
      <c r="K56" s="471"/>
      <c r="L56" s="443"/>
      <c r="M56" s="447">
        <f>IFERROR(__xludf.DUMMYFUNCTION("""COMPUTED_VALUE"""),57.0)</f>
        <v>57</v>
      </c>
      <c r="N56" s="447">
        <f>IFERROR(__xludf.DUMMYFUNCTION("""COMPUTED_VALUE"""),54.0)</f>
        <v>54</v>
      </c>
      <c r="O56" s="447">
        <f>IFERROR(__xludf.DUMMYFUNCTION("""COMPUTED_VALUE"""),0.0)</f>
        <v>0</v>
      </c>
      <c r="P56" s="447">
        <f>IFERROR(__xludf.DUMMYFUNCTION("""COMPUTED_VALUE"""),0.0)</f>
        <v>0</v>
      </c>
      <c r="Q56" s="447">
        <f>IFERROR(__xludf.DUMMYFUNCTION("""COMPUTED_VALUE"""),1.0)</f>
        <v>1</v>
      </c>
      <c r="R56" s="447">
        <f>IFERROR(__xludf.DUMMYFUNCTION("""COMPUTED_VALUE"""),0.0)</f>
        <v>0</v>
      </c>
      <c r="S56" s="447">
        <f>IFERROR(__xludf.DUMMYFUNCTION("""COMPUTED_VALUE"""),1.0)</f>
        <v>1</v>
      </c>
      <c r="T56" s="447">
        <f>IFERROR(__xludf.DUMMYFUNCTION("""COMPUTED_VALUE"""),0.0)</f>
        <v>0</v>
      </c>
      <c r="U56" s="447">
        <f>IFERROR(__xludf.DUMMYFUNCTION("""COMPUTED_VALUE"""),1.0)</f>
        <v>1</v>
      </c>
      <c r="V56" s="447">
        <f>IFERROR(__xludf.DUMMYFUNCTION("""COMPUTED_VALUE"""),2.0)</f>
        <v>2</v>
      </c>
      <c r="W56" s="447">
        <f>IFERROR(__xludf.DUMMYFUNCTION("""COMPUTED_VALUE"""),0.0)</f>
        <v>0</v>
      </c>
      <c r="X56" s="447">
        <f>IFERROR(__xludf.DUMMYFUNCTION("""COMPUTED_VALUE"""),0.0)</f>
        <v>0</v>
      </c>
      <c r="Y56" s="447">
        <f>IFERROR(__xludf.DUMMYFUNCTION("""COMPUTED_VALUE"""),0.0)</f>
        <v>0</v>
      </c>
      <c r="Z56" s="447">
        <f>IFERROR(__xludf.DUMMYFUNCTION("""COMPUTED_VALUE"""),0.0)</f>
        <v>0</v>
      </c>
      <c r="AA56" s="447">
        <f>IFERROR(__xludf.DUMMYFUNCTION("""COMPUTED_VALUE"""),0.0)</f>
        <v>0</v>
      </c>
      <c r="AB56" s="447">
        <f>IFERROR(__xludf.DUMMYFUNCTION("""COMPUTED_VALUE"""),0.0)</f>
        <v>0</v>
      </c>
      <c r="AC56" s="447">
        <f>IFERROR(__xludf.DUMMYFUNCTION("""COMPUTED_VALUE"""),0.0)</f>
        <v>0</v>
      </c>
      <c r="AD56" s="447">
        <f>IFERROR(__xludf.DUMMYFUNCTION("""COMPUTED_VALUE"""),50.0)</f>
        <v>50</v>
      </c>
      <c r="AE56" s="447">
        <f>IFERROR(__xludf.DUMMYFUNCTION("""COMPUTED_VALUE"""),7.0)</f>
        <v>7</v>
      </c>
      <c r="AF56" s="447">
        <f>IFERROR(__xludf.DUMMYFUNCTION("""COMPUTED_VALUE"""),3.0)</f>
        <v>3</v>
      </c>
      <c r="AG56" s="443" t="s">
        <v>91</v>
      </c>
      <c r="AH56" s="443" t="s">
        <v>343</v>
      </c>
      <c r="AI56" s="443"/>
      <c r="AJ56" s="443"/>
      <c r="AK56" s="443"/>
      <c r="AL56" s="443"/>
      <c r="AM56" s="443"/>
      <c r="AN56" s="443"/>
      <c r="AO56" s="443"/>
      <c r="AP56" s="443"/>
      <c r="AQ56" s="443"/>
      <c r="AR56" s="443"/>
      <c r="AS56" s="443"/>
      <c r="AT56" s="443"/>
      <c r="AU56" s="443"/>
      <c r="AV56" s="443"/>
      <c r="AW56" s="443"/>
      <c r="AX56" s="443"/>
      <c r="AY56" s="443"/>
      <c r="AZ56" s="443"/>
      <c r="BA56" s="443"/>
      <c r="BB56" s="443"/>
      <c r="BC56" s="443"/>
      <c r="BD56" s="443"/>
      <c r="BE56" s="443"/>
    </row>
    <row r="57" hidden="1">
      <c r="A57" s="445">
        <f t="shared" si="5"/>
        <v>45347</v>
      </c>
      <c r="B57" s="434">
        <v>0.0</v>
      </c>
      <c r="C57" s="443"/>
      <c r="D57" s="443"/>
      <c r="E57" s="436" t="str">
        <f t="array" ref="E57">IF(B57=0,"",(J57+K57)/60)</f>
        <v/>
      </c>
      <c r="F57" s="437" t="str">
        <f t="shared" si="1"/>
        <v/>
      </c>
      <c r="G57" s="438" t="str">
        <f t="shared" si="2"/>
        <v/>
      </c>
      <c r="H57" s="438" t="str">
        <f t="shared" si="3"/>
        <v/>
      </c>
      <c r="I57" s="436" t="str">
        <f t="shared" si="4"/>
        <v/>
      </c>
      <c r="J57" s="473"/>
      <c r="K57" s="471"/>
      <c r="L57" s="443"/>
      <c r="M57" s="447">
        <f>IFERROR(__xludf.DUMMYFUNCTION("""COMPUTED_VALUE"""),57.0)</f>
        <v>57</v>
      </c>
      <c r="N57" s="447">
        <f>IFERROR(__xludf.DUMMYFUNCTION("""COMPUTED_VALUE"""),54.0)</f>
        <v>54</v>
      </c>
      <c r="O57" s="447">
        <f>IFERROR(__xludf.DUMMYFUNCTION("""COMPUTED_VALUE"""),0.0)</f>
        <v>0</v>
      </c>
      <c r="P57" s="447">
        <f>IFERROR(__xludf.DUMMYFUNCTION("""COMPUTED_VALUE"""),0.0)</f>
        <v>0</v>
      </c>
      <c r="Q57" s="447">
        <f>IFERROR(__xludf.DUMMYFUNCTION("""COMPUTED_VALUE"""),0.0)</f>
        <v>0</v>
      </c>
      <c r="R57" s="447">
        <f>IFERROR(__xludf.DUMMYFUNCTION("""COMPUTED_VALUE"""),0.0)</f>
        <v>0</v>
      </c>
      <c r="S57" s="447">
        <f>IFERROR(__xludf.DUMMYFUNCTION("""COMPUTED_VALUE"""),0.0)</f>
        <v>0</v>
      </c>
      <c r="T57" s="447">
        <f>IFERROR(__xludf.DUMMYFUNCTION("""COMPUTED_VALUE"""),0.0)</f>
        <v>0</v>
      </c>
      <c r="U57" s="447">
        <f>IFERROR(__xludf.DUMMYFUNCTION("""COMPUTED_VALUE"""),1.0)</f>
        <v>1</v>
      </c>
      <c r="V57" s="447">
        <f>IFERROR(__xludf.DUMMYFUNCTION("""COMPUTED_VALUE"""),0.0)</f>
        <v>0</v>
      </c>
      <c r="W57" s="447">
        <f>IFERROR(__xludf.DUMMYFUNCTION("""COMPUTED_VALUE"""),0.0)</f>
        <v>0</v>
      </c>
      <c r="X57" s="447">
        <f>IFERROR(__xludf.DUMMYFUNCTION("""COMPUTED_VALUE"""),0.0)</f>
        <v>0</v>
      </c>
      <c r="Y57" s="447">
        <f>IFERROR(__xludf.DUMMYFUNCTION("""COMPUTED_VALUE"""),0.0)</f>
        <v>0</v>
      </c>
      <c r="Z57" s="447">
        <f>IFERROR(__xludf.DUMMYFUNCTION("""COMPUTED_VALUE"""),0.0)</f>
        <v>0</v>
      </c>
      <c r="AA57" s="447">
        <f>IFERROR(__xludf.DUMMYFUNCTION("""COMPUTED_VALUE"""),0.0)</f>
        <v>0</v>
      </c>
      <c r="AB57" s="447">
        <f>IFERROR(__xludf.DUMMYFUNCTION("""COMPUTED_VALUE"""),0.0)</f>
        <v>0</v>
      </c>
      <c r="AC57" s="447">
        <f>IFERROR(__xludf.DUMMYFUNCTION("""COMPUTED_VALUE"""),0.0)</f>
        <v>0</v>
      </c>
      <c r="AD57" s="447">
        <f>IFERROR(__xludf.DUMMYFUNCTION("""COMPUTED_VALUE"""),0.0)</f>
        <v>0</v>
      </c>
      <c r="AE57" s="447">
        <f>IFERROR(__xludf.DUMMYFUNCTION("""COMPUTED_VALUE"""),3.0)</f>
        <v>3</v>
      </c>
      <c r="AF57" s="447">
        <f>IFERROR(__xludf.DUMMYFUNCTION("""COMPUTED_VALUE"""),3.0)</f>
        <v>3</v>
      </c>
      <c r="AG57" s="443" t="s">
        <v>91</v>
      </c>
      <c r="AH57" s="443" t="s">
        <v>343</v>
      </c>
      <c r="AI57" s="443"/>
      <c r="AJ57" s="443"/>
      <c r="AK57" s="443"/>
      <c r="AL57" s="443"/>
      <c r="AM57" s="443"/>
      <c r="AN57" s="443"/>
      <c r="AO57" s="443"/>
      <c r="AP57" s="443"/>
      <c r="AQ57" s="443"/>
      <c r="AR57" s="443"/>
      <c r="AS57" s="443"/>
      <c r="AT57" s="443"/>
      <c r="AU57" s="443"/>
      <c r="AV57" s="443"/>
      <c r="AW57" s="443"/>
      <c r="AX57" s="443"/>
      <c r="AY57" s="443"/>
      <c r="AZ57" s="443"/>
      <c r="BA57" s="443"/>
      <c r="BB57" s="443"/>
      <c r="BC57" s="443"/>
      <c r="BD57" s="443"/>
      <c r="BE57" s="443"/>
    </row>
    <row r="58" hidden="1">
      <c r="A58" s="445">
        <f t="shared" si="5"/>
        <v>45348</v>
      </c>
      <c r="B58" s="434">
        <v>394.0</v>
      </c>
      <c r="C58" s="462">
        <v>0.5583333333333333</v>
      </c>
      <c r="D58" s="462">
        <v>0.8541666666666666</v>
      </c>
      <c r="E58" s="436">
        <f t="array" ref="E58">IF(B58=0,"",(J58+K58)/60)</f>
        <v>0.25</v>
      </c>
      <c r="F58" s="437">
        <f t="shared" si="1"/>
        <v>7.1</v>
      </c>
      <c r="G58" s="438">
        <f t="shared" si="2"/>
        <v>55.49295775</v>
      </c>
      <c r="H58" s="438">
        <f t="shared" si="3"/>
        <v>57.51824818</v>
      </c>
      <c r="I58" s="436">
        <f t="shared" si="4"/>
        <v>1.109859155</v>
      </c>
      <c r="J58" s="474">
        <v>15.0</v>
      </c>
      <c r="K58" s="471"/>
      <c r="L58" s="443"/>
      <c r="M58" s="447">
        <f>IFERROR(__xludf.DUMMYFUNCTION("""COMPUTED_VALUE"""),57.0)</f>
        <v>57</v>
      </c>
      <c r="N58" s="447">
        <f>IFERROR(__xludf.DUMMYFUNCTION("""COMPUTED_VALUE"""),56.0)</f>
        <v>56</v>
      </c>
      <c r="O58" s="447">
        <f>IFERROR(__xludf.DUMMYFUNCTION("""COMPUTED_VALUE"""),0.0)</f>
        <v>0</v>
      </c>
      <c r="P58" s="447">
        <f>IFERROR(__xludf.DUMMYFUNCTION("""COMPUTED_VALUE"""),0.0)</f>
        <v>0</v>
      </c>
      <c r="Q58" s="447">
        <f>IFERROR(__xludf.DUMMYFUNCTION("""COMPUTED_VALUE"""),0.0)</f>
        <v>0</v>
      </c>
      <c r="R58" s="447">
        <f>IFERROR(__xludf.DUMMYFUNCTION("""COMPUTED_VALUE"""),0.0)</f>
        <v>0</v>
      </c>
      <c r="S58" s="447">
        <f>IFERROR(__xludf.DUMMYFUNCTION("""COMPUTED_VALUE"""),2.0)</f>
        <v>2</v>
      </c>
      <c r="T58" s="447">
        <f>IFERROR(__xludf.DUMMYFUNCTION("""COMPUTED_VALUE"""),0.0)</f>
        <v>0</v>
      </c>
      <c r="U58" s="447">
        <f>IFERROR(__xludf.DUMMYFUNCTION("""COMPUTED_VALUE"""),1.0)</f>
        <v>1</v>
      </c>
      <c r="V58" s="447">
        <f>IFERROR(__xludf.DUMMYFUNCTION("""COMPUTED_VALUE"""),2.0)</f>
        <v>2</v>
      </c>
      <c r="W58" s="447">
        <f>IFERROR(__xludf.DUMMYFUNCTION("""COMPUTED_VALUE"""),0.0)</f>
        <v>0</v>
      </c>
      <c r="X58" s="447">
        <f>IFERROR(__xludf.DUMMYFUNCTION("""COMPUTED_VALUE"""),0.0)</f>
        <v>0</v>
      </c>
      <c r="Y58" s="447">
        <f>IFERROR(__xludf.DUMMYFUNCTION("""COMPUTED_VALUE"""),0.0)</f>
        <v>0</v>
      </c>
      <c r="Z58" s="447">
        <f>IFERROR(__xludf.DUMMYFUNCTION("""COMPUTED_VALUE"""),0.0)</f>
        <v>0</v>
      </c>
      <c r="AA58" s="447">
        <f>IFERROR(__xludf.DUMMYFUNCTION("""COMPUTED_VALUE"""),0.0)</f>
        <v>0</v>
      </c>
      <c r="AB58" s="447">
        <f>IFERROR(__xludf.DUMMYFUNCTION("""COMPUTED_VALUE"""),0.0)</f>
        <v>0</v>
      </c>
      <c r="AC58" s="447">
        <f>IFERROR(__xludf.DUMMYFUNCTION("""COMPUTED_VALUE"""),0.0)</f>
        <v>0</v>
      </c>
      <c r="AD58" s="447">
        <f>IFERROR(__xludf.DUMMYFUNCTION("""COMPUTED_VALUE"""),50.0)</f>
        <v>50</v>
      </c>
      <c r="AE58" s="447">
        <f>IFERROR(__xludf.DUMMYFUNCTION("""COMPUTED_VALUE"""),5.0)</f>
        <v>5</v>
      </c>
      <c r="AF58" s="447">
        <f>IFERROR(__xludf.DUMMYFUNCTION("""COMPUTED_VALUE"""),1.0)</f>
        <v>1</v>
      </c>
      <c r="AG58" s="443" t="s">
        <v>91</v>
      </c>
      <c r="AH58" s="443" t="s">
        <v>343</v>
      </c>
      <c r="AI58" s="443"/>
      <c r="AJ58" s="443"/>
      <c r="AK58" s="443"/>
      <c r="AL58" s="443"/>
      <c r="AM58" s="443"/>
      <c r="AN58" s="443"/>
      <c r="AO58" s="443"/>
      <c r="AP58" s="443"/>
      <c r="AQ58" s="443"/>
      <c r="AR58" s="443"/>
      <c r="AS58" s="443"/>
      <c r="AT58" s="443"/>
      <c r="AU58" s="443"/>
      <c r="AV58" s="443"/>
      <c r="AW58" s="443"/>
      <c r="AX58" s="443"/>
      <c r="AY58" s="443"/>
      <c r="AZ58" s="443"/>
      <c r="BA58" s="443"/>
      <c r="BB58" s="443"/>
      <c r="BC58" s="443"/>
      <c r="BD58" s="443"/>
      <c r="BE58" s="443"/>
    </row>
    <row r="59" hidden="1">
      <c r="A59" s="445">
        <f t="shared" si="5"/>
        <v>45349</v>
      </c>
      <c r="B59" s="434">
        <v>461.0</v>
      </c>
      <c r="C59" s="462">
        <v>0.5583333333333333</v>
      </c>
      <c r="D59" s="462">
        <v>0.90625</v>
      </c>
      <c r="E59" s="436">
        <f t="array" ref="E59">IF(B59=0,"",(J59+K59)/60)</f>
        <v>0.25</v>
      </c>
      <c r="F59" s="437">
        <f t="shared" si="1"/>
        <v>8.35</v>
      </c>
      <c r="G59" s="438">
        <f t="shared" si="2"/>
        <v>55.20958084</v>
      </c>
      <c r="H59" s="438">
        <f t="shared" si="3"/>
        <v>56.91358025</v>
      </c>
      <c r="I59" s="436">
        <f t="shared" si="4"/>
        <v>1.061722708</v>
      </c>
      <c r="J59" s="439">
        <v>15.0</v>
      </c>
      <c r="K59" s="471"/>
      <c r="L59" s="443"/>
      <c r="M59" s="447">
        <f>IFERROR(__xludf.DUMMYFUNCTION("""COMPUTED_VALUE"""),57.0)</f>
        <v>57</v>
      </c>
      <c r="N59" s="447">
        <f>IFERROR(__xludf.DUMMYFUNCTION("""COMPUTED_VALUE"""),56.0)</f>
        <v>56</v>
      </c>
      <c r="O59" s="447">
        <f>IFERROR(__xludf.DUMMYFUNCTION("""COMPUTED_VALUE"""),0.0)</f>
        <v>0</v>
      </c>
      <c r="P59" s="447">
        <f>IFERROR(__xludf.DUMMYFUNCTION("""COMPUTED_VALUE"""),0.0)</f>
        <v>0</v>
      </c>
      <c r="Q59" s="447">
        <f>IFERROR(__xludf.DUMMYFUNCTION("""COMPUTED_VALUE"""),0.0)</f>
        <v>0</v>
      </c>
      <c r="R59" s="447">
        <f>IFERROR(__xludf.DUMMYFUNCTION("""COMPUTED_VALUE"""),0.0)</f>
        <v>0</v>
      </c>
      <c r="S59" s="447">
        <f>IFERROR(__xludf.DUMMYFUNCTION("""COMPUTED_VALUE"""),2.0)</f>
        <v>2</v>
      </c>
      <c r="T59" s="447">
        <f>IFERROR(__xludf.DUMMYFUNCTION("""COMPUTED_VALUE"""),0.0)</f>
        <v>0</v>
      </c>
      <c r="U59" s="447">
        <f>IFERROR(__xludf.DUMMYFUNCTION("""COMPUTED_VALUE"""),1.0)</f>
        <v>1</v>
      </c>
      <c r="V59" s="447">
        <f>IFERROR(__xludf.DUMMYFUNCTION("""COMPUTED_VALUE"""),0.0)</f>
        <v>0</v>
      </c>
      <c r="W59" s="447">
        <f>IFERROR(__xludf.DUMMYFUNCTION("""COMPUTED_VALUE"""),0.0)</f>
        <v>0</v>
      </c>
      <c r="X59" s="447">
        <f>IFERROR(__xludf.DUMMYFUNCTION("""COMPUTED_VALUE"""),0.0)</f>
        <v>0</v>
      </c>
      <c r="Y59" s="447">
        <f>IFERROR(__xludf.DUMMYFUNCTION("""COMPUTED_VALUE"""),0.0)</f>
        <v>0</v>
      </c>
      <c r="Z59" s="447">
        <f>IFERROR(__xludf.DUMMYFUNCTION("""COMPUTED_VALUE"""),0.0)</f>
        <v>0</v>
      </c>
      <c r="AA59" s="447">
        <f>IFERROR(__xludf.DUMMYFUNCTION("""COMPUTED_VALUE"""),2.0)</f>
        <v>2</v>
      </c>
      <c r="AB59" s="447">
        <f>IFERROR(__xludf.DUMMYFUNCTION("""COMPUTED_VALUE"""),0.0)</f>
        <v>0</v>
      </c>
      <c r="AC59" s="447">
        <f>IFERROR(__xludf.DUMMYFUNCTION("""COMPUTED_VALUE"""),0.0)</f>
        <v>0</v>
      </c>
      <c r="AD59" s="447">
        <f>IFERROR(__xludf.DUMMYFUNCTION("""COMPUTED_VALUE"""),52.0)</f>
        <v>52</v>
      </c>
      <c r="AE59" s="447">
        <f>IFERROR(__xludf.DUMMYFUNCTION("""COMPUTED_VALUE"""),5.0)</f>
        <v>5</v>
      </c>
      <c r="AF59" s="447">
        <f>IFERROR(__xludf.DUMMYFUNCTION("""COMPUTED_VALUE"""),1.0)</f>
        <v>1</v>
      </c>
      <c r="AG59" s="443" t="s">
        <v>91</v>
      </c>
      <c r="AH59" s="443" t="s">
        <v>343</v>
      </c>
      <c r="AI59" s="443"/>
      <c r="AJ59" s="443"/>
      <c r="AK59" s="443"/>
      <c r="AL59" s="443"/>
      <c r="AM59" s="443"/>
      <c r="AN59" s="443"/>
      <c r="AO59" s="443"/>
      <c r="AP59" s="443"/>
      <c r="AQ59" s="443"/>
      <c r="AR59" s="443"/>
      <c r="AS59" s="443"/>
      <c r="AT59" s="443"/>
      <c r="AU59" s="443"/>
      <c r="AV59" s="443"/>
      <c r="AW59" s="443"/>
      <c r="AX59" s="443"/>
      <c r="AY59" s="443"/>
      <c r="AZ59" s="443"/>
      <c r="BA59" s="443"/>
      <c r="BB59" s="443"/>
      <c r="BC59" s="443"/>
      <c r="BD59" s="443"/>
      <c r="BE59" s="443"/>
    </row>
    <row r="60" hidden="1">
      <c r="A60" s="445">
        <f t="shared" si="5"/>
        <v>45350</v>
      </c>
      <c r="B60" s="434">
        <v>493.0</v>
      </c>
      <c r="C60" s="462">
        <v>0.5583333333333333</v>
      </c>
      <c r="D60" s="462">
        <v>0.9291666666666667</v>
      </c>
      <c r="E60" s="436">
        <f t="array" ref="E60">IF(B60=0,"",(J60+K60)/60)</f>
        <v>0.25</v>
      </c>
      <c r="F60" s="437">
        <f t="shared" si="1"/>
        <v>8.9</v>
      </c>
      <c r="G60" s="438">
        <f t="shared" si="2"/>
        <v>55.39325843</v>
      </c>
      <c r="H60" s="438">
        <f t="shared" si="3"/>
        <v>56.99421965</v>
      </c>
      <c r="I60" s="436">
        <f t="shared" si="4"/>
        <v>1.107865169</v>
      </c>
      <c r="J60" s="439">
        <v>15.0</v>
      </c>
      <c r="K60" s="471"/>
      <c r="L60" s="443"/>
      <c r="M60" s="447">
        <f>IFERROR(__xludf.DUMMYFUNCTION("""COMPUTED_VALUE"""),57.0)</f>
        <v>57</v>
      </c>
      <c r="N60" s="447">
        <f>IFERROR(__xludf.DUMMYFUNCTION("""COMPUTED_VALUE"""),56.0)</f>
        <v>56</v>
      </c>
      <c r="O60" s="447">
        <f>IFERROR(__xludf.DUMMYFUNCTION("""COMPUTED_VALUE"""),0.0)</f>
        <v>0</v>
      </c>
      <c r="P60" s="447">
        <f>IFERROR(__xludf.DUMMYFUNCTION("""COMPUTED_VALUE"""),0.0)</f>
        <v>0</v>
      </c>
      <c r="Q60" s="447">
        <f>IFERROR(__xludf.DUMMYFUNCTION("""COMPUTED_VALUE"""),0.0)</f>
        <v>0</v>
      </c>
      <c r="R60" s="447">
        <f>IFERROR(__xludf.DUMMYFUNCTION("""COMPUTED_VALUE"""),0.0)</f>
        <v>0</v>
      </c>
      <c r="S60" s="447">
        <f>IFERROR(__xludf.DUMMYFUNCTION("""COMPUTED_VALUE"""),2.0)</f>
        <v>2</v>
      </c>
      <c r="T60" s="447">
        <f>IFERROR(__xludf.DUMMYFUNCTION("""COMPUTED_VALUE"""),0.0)</f>
        <v>0</v>
      </c>
      <c r="U60" s="447">
        <f>IFERROR(__xludf.DUMMYFUNCTION("""COMPUTED_VALUE"""),1.0)</f>
        <v>1</v>
      </c>
      <c r="V60" s="447">
        <f>IFERROR(__xludf.DUMMYFUNCTION("""COMPUTED_VALUE"""),3.0)</f>
        <v>3</v>
      </c>
      <c r="W60" s="447">
        <f>IFERROR(__xludf.DUMMYFUNCTION("""COMPUTED_VALUE"""),1.0)</f>
        <v>1</v>
      </c>
      <c r="X60" s="447">
        <f>IFERROR(__xludf.DUMMYFUNCTION("""COMPUTED_VALUE"""),0.0)</f>
        <v>0</v>
      </c>
      <c r="Y60" s="447">
        <f>IFERROR(__xludf.DUMMYFUNCTION("""COMPUTED_VALUE"""),0.0)</f>
        <v>0</v>
      </c>
      <c r="Z60" s="447">
        <f>IFERROR(__xludf.DUMMYFUNCTION("""COMPUTED_VALUE"""),0.0)</f>
        <v>0</v>
      </c>
      <c r="AA60" s="447">
        <f>IFERROR(__xludf.DUMMYFUNCTION("""COMPUTED_VALUE"""),0.0)</f>
        <v>0</v>
      </c>
      <c r="AB60" s="447">
        <f>IFERROR(__xludf.DUMMYFUNCTION("""COMPUTED_VALUE"""),0.0)</f>
        <v>0</v>
      </c>
      <c r="AC60" s="447">
        <f>IFERROR(__xludf.DUMMYFUNCTION("""COMPUTED_VALUE"""),0.0)</f>
        <v>0</v>
      </c>
      <c r="AD60" s="447">
        <f>IFERROR(__xludf.DUMMYFUNCTION("""COMPUTED_VALUE"""),50.0)</f>
        <v>50</v>
      </c>
      <c r="AE60" s="447">
        <f>IFERROR(__xludf.DUMMYFUNCTION("""COMPUTED_VALUE"""),7.0)</f>
        <v>7</v>
      </c>
      <c r="AF60" s="447">
        <f>IFERROR(__xludf.DUMMYFUNCTION("""COMPUTED_VALUE"""),1.0)</f>
        <v>1</v>
      </c>
      <c r="AG60" s="443" t="s">
        <v>91</v>
      </c>
      <c r="AH60" s="443" t="s">
        <v>343</v>
      </c>
      <c r="AI60" s="443"/>
      <c r="AJ60" s="443"/>
      <c r="AK60" s="443"/>
      <c r="AL60" s="443"/>
      <c r="AM60" s="443"/>
      <c r="AN60" s="443"/>
      <c r="AO60" s="443"/>
      <c r="AP60" s="443"/>
      <c r="AQ60" s="443"/>
      <c r="AR60" s="443"/>
      <c r="AS60" s="443"/>
      <c r="AT60" s="443"/>
      <c r="AU60" s="443"/>
      <c r="AV60" s="443"/>
      <c r="AW60" s="443"/>
      <c r="AX60" s="443"/>
      <c r="AY60" s="443"/>
      <c r="AZ60" s="443"/>
      <c r="BA60" s="443"/>
      <c r="BB60" s="443"/>
      <c r="BC60" s="443"/>
      <c r="BD60" s="443"/>
      <c r="BE60" s="443"/>
    </row>
    <row r="61" hidden="1">
      <c r="A61" s="445">
        <f t="shared" si="5"/>
        <v>45351</v>
      </c>
      <c r="B61" s="434">
        <v>447.0</v>
      </c>
      <c r="C61" s="462">
        <v>0.5583333333333333</v>
      </c>
      <c r="D61" s="462">
        <v>0.9166666666666666</v>
      </c>
      <c r="E61" s="436">
        <f t="array" ref="E61">IF(B61=0,"",(J61+K61)/60)</f>
        <v>0.25</v>
      </c>
      <c r="F61" s="437">
        <f t="shared" si="1"/>
        <v>8.6</v>
      </c>
      <c r="G61" s="438">
        <f t="shared" si="2"/>
        <v>51.97674419</v>
      </c>
      <c r="H61" s="438">
        <f t="shared" si="3"/>
        <v>53.53293413</v>
      </c>
      <c r="I61" s="436">
        <f t="shared" si="4"/>
        <v>1.060749881</v>
      </c>
      <c r="J61" s="439">
        <v>15.0</v>
      </c>
      <c r="K61" s="443"/>
      <c r="L61" s="443"/>
      <c r="M61" s="447">
        <f>IFERROR(__xludf.DUMMYFUNCTION("""COMPUTED_VALUE"""),57.0)</f>
        <v>57</v>
      </c>
      <c r="N61" s="447">
        <f>IFERROR(__xludf.DUMMYFUNCTION("""COMPUTED_VALUE"""),56.0)</f>
        <v>56</v>
      </c>
      <c r="O61" s="447">
        <f>IFERROR(__xludf.DUMMYFUNCTION("""COMPUTED_VALUE"""),1.0)</f>
        <v>1</v>
      </c>
      <c r="P61" s="447">
        <f>IFERROR(__xludf.DUMMYFUNCTION("""COMPUTED_VALUE"""),0.0)</f>
        <v>0</v>
      </c>
      <c r="Q61" s="447">
        <f>IFERROR(__xludf.DUMMYFUNCTION("""COMPUTED_VALUE"""),1.0)</f>
        <v>1</v>
      </c>
      <c r="R61" s="447">
        <f>IFERROR(__xludf.DUMMYFUNCTION("""COMPUTED_VALUE"""),0.0)</f>
        <v>0</v>
      </c>
      <c r="S61" s="447">
        <f>IFERROR(__xludf.DUMMYFUNCTION("""COMPUTED_VALUE"""),2.0)</f>
        <v>2</v>
      </c>
      <c r="T61" s="447">
        <f>IFERROR(__xludf.DUMMYFUNCTION("""COMPUTED_VALUE"""),0.0)</f>
        <v>0</v>
      </c>
      <c r="U61" s="447">
        <f>IFERROR(__xludf.DUMMYFUNCTION("""COMPUTED_VALUE"""),1.0)</f>
        <v>1</v>
      </c>
      <c r="V61" s="447">
        <f>IFERROR(__xludf.DUMMYFUNCTION("""COMPUTED_VALUE"""),3.0)</f>
        <v>3</v>
      </c>
      <c r="W61" s="447">
        <f>IFERROR(__xludf.DUMMYFUNCTION("""COMPUTED_VALUE"""),0.0)</f>
        <v>0</v>
      </c>
      <c r="X61" s="447">
        <f>IFERROR(__xludf.DUMMYFUNCTION("""COMPUTED_VALUE"""),0.0)</f>
        <v>0</v>
      </c>
      <c r="Y61" s="447">
        <f>IFERROR(__xludf.DUMMYFUNCTION("""COMPUTED_VALUE"""),0.0)</f>
        <v>0</v>
      </c>
      <c r="Z61" s="447">
        <f>IFERROR(__xludf.DUMMYFUNCTION("""COMPUTED_VALUE"""),0.0)</f>
        <v>0</v>
      </c>
      <c r="AA61" s="447">
        <f>IFERROR(__xludf.DUMMYFUNCTION("""COMPUTED_VALUE"""),0.0)</f>
        <v>0</v>
      </c>
      <c r="AB61" s="447">
        <f>IFERROR(__xludf.DUMMYFUNCTION("""COMPUTED_VALUE"""),0.0)</f>
        <v>0</v>
      </c>
      <c r="AC61" s="447">
        <f>IFERROR(__xludf.DUMMYFUNCTION("""COMPUTED_VALUE"""),0.0)</f>
        <v>0</v>
      </c>
      <c r="AD61" s="447">
        <f>IFERROR(__xludf.DUMMYFUNCTION("""COMPUTED_VALUE"""),49.0)</f>
        <v>49</v>
      </c>
      <c r="AE61" s="447">
        <f>IFERROR(__xludf.DUMMYFUNCTION("""COMPUTED_VALUE"""),8.0)</f>
        <v>8</v>
      </c>
      <c r="AF61" s="447">
        <f>IFERROR(__xludf.DUMMYFUNCTION("""COMPUTED_VALUE"""),1.0)</f>
        <v>1</v>
      </c>
      <c r="AG61" s="443" t="s">
        <v>91</v>
      </c>
      <c r="AH61" s="443" t="s">
        <v>343</v>
      </c>
      <c r="AI61" s="443"/>
      <c r="AJ61" s="443"/>
      <c r="AK61" s="443"/>
      <c r="AL61" s="443"/>
      <c r="AM61" s="443"/>
      <c r="AN61" s="443"/>
      <c r="AO61" s="443"/>
      <c r="AP61" s="443"/>
      <c r="AQ61" s="443"/>
      <c r="AR61" s="443"/>
      <c r="AS61" s="443"/>
      <c r="AT61" s="443"/>
      <c r="AU61" s="443"/>
      <c r="AV61" s="443"/>
      <c r="AW61" s="443"/>
      <c r="AX61" s="443"/>
      <c r="AY61" s="443"/>
      <c r="AZ61" s="443"/>
      <c r="BA61" s="443"/>
      <c r="BB61" s="443"/>
      <c r="BC61" s="443"/>
      <c r="BD61" s="443"/>
      <c r="BE61" s="443"/>
    </row>
    <row r="62" hidden="1">
      <c r="A62" s="445">
        <f t="shared" si="5"/>
        <v>45352</v>
      </c>
      <c r="B62" s="434">
        <v>463.0</v>
      </c>
      <c r="C62" s="462">
        <v>0.5583333333333333</v>
      </c>
      <c r="D62" s="462">
        <v>0.91875</v>
      </c>
      <c r="E62" s="436">
        <f t="array" ref="E62">IF(B62=0,"",(J62+K62)/60)</f>
        <v>0.25</v>
      </c>
      <c r="F62" s="437">
        <f t="shared" si="1"/>
        <v>8.65</v>
      </c>
      <c r="G62" s="438">
        <f t="shared" si="2"/>
        <v>53.52601156</v>
      </c>
      <c r="H62" s="438">
        <f t="shared" si="3"/>
        <v>55.11904762</v>
      </c>
      <c r="I62" s="436">
        <f t="shared" si="4"/>
        <v>1.049529638</v>
      </c>
      <c r="J62" s="439">
        <v>15.0</v>
      </c>
      <c r="K62" s="471"/>
      <c r="L62" s="443"/>
      <c r="M62" s="469">
        <f>IFERROR(__xludf.DUMMYFUNCTION("TRANSPOSE(IMPORTRANGE(""https://docs.google.com/spreadsheets/d/1CNeKSHTeNNJnfn5EymHwGg5Mkuk6EcepW7_9QkJxalc/edit#gid=1218471306"",""MARZO 2024!F2:AJ21""))"),57.0)</f>
        <v>57</v>
      </c>
      <c r="N62" s="447">
        <f>IFERROR(__xludf.DUMMYFUNCTION("""COMPUTED_VALUE"""),56.0)</f>
        <v>56</v>
      </c>
      <c r="O62" s="447">
        <f>IFERROR(__xludf.DUMMYFUNCTION("""COMPUTED_VALUE"""),0.0)</f>
        <v>0</v>
      </c>
      <c r="P62" s="447">
        <f>IFERROR(__xludf.DUMMYFUNCTION("""COMPUTED_VALUE"""),0.0)</f>
        <v>0</v>
      </c>
      <c r="Q62" s="447">
        <f>IFERROR(__xludf.DUMMYFUNCTION("""COMPUTED_VALUE"""),1.0)</f>
        <v>1</v>
      </c>
      <c r="R62" s="447">
        <f>IFERROR(__xludf.DUMMYFUNCTION("""COMPUTED_VALUE"""),0.0)</f>
        <v>0</v>
      </c>
      <c r="S62" s="447">
        <f>IFERROR(__xludf.DUMMYFUNCTION("""COMPUTED_VALUE"""),2.0)</f>
        <v>2</v>
      </c>
      <c r="T62" s="447">
        <f>IFERROR(__xludf.DUMMYFUNCTION("""COMPUTED_VALUE"""),0.0)</f>
        <v>0</v>
      </c>
      <c r="U62" s="447">
        <f>IFERROR(__xludf.DUMMYFUNCTION("""COMPUTED_VALUE"""),1.0)</f>
        <v>1</v>
      </c>
      <c r="V62" s="447">
        <f>IFERROR(__xludf.DUMMYFUNCTION("""COMPUTED_VALUE"""),3.0)</f>
        <v>3</v>
      </c>
      <c r="W62" s="447">
        <f>IFERROR(__xludf.DUMMYFUNCTION("""COMPUTED_VALUE"""),0.0)</f>
        <v>0</v>
      </c>
      <c r="X62" s="447">
        <f>IFERROR(__xludf.DUMMYFUNCTION("""COMPUTED_VALUE"""),0.0)</f>
        <v>0</v>
      </c>
      <c r="Y62" s="447">
        <f>IFERROR(__xludf.DUMMYFUNCTION("""COMPUTED_VALUE"""),0.0)</f>
        <v>0</v>
      </c>
      <c r="Z62" s="447">
        <f>IFERROR(__xludf.DUMMYFUNCTION("""COMPUTED_VALUE"""),0.0)</f>
        <v>0</v>
      </c>
      <c r="AA62" s="447">
        <f>IFERROR(__xludf.DUMMYFUNCTION("""COMPUTED_VALUE"""),0.0)</f>
        <v>0</v>
      </c>
      <c r="AB62" s="447">
        <f>IFERROR(__xludf.DUMMYFUNCTION("""COMPUTED_VALUE"""),0.0)</f>
        <v>0</v>
      </c>
      <c r="AC62" s="447">
        <f>IFERROR(__xludf.DUMMYFUNCTION("""COMPUTED_VALUE"""),0.0)</f>
        <v>0</v>
      </c>
      <c r="AD62" s="447">
        <f>IFERROR(__xludf.DUMMYFUNCTION("""COMPUTED_VALUE"""),51.0)</f>
        <v>51</v>
      </c>
      <c r="AE62" s="447">
        <f>IFERROR(__xludf.DUMMYFUNCTION("""COMPUTED_VALUE"""),7.0)</f>
        <v>7</v>
      </c>
      <c r="AF62" s="447">
        <f>IFERROR(__xludf.DUMMYFUNCTION("""COMPUTED_VALUE"""),1.0)</f>
        <v>1</v>
      </c>
      <c r="AG62" s="443" t="s">
        <v>98</v>
      </c>
      <c r="AH62" s="443" t="s">
        <v>343</v>
      </c>
      <c r="AI62" s="443"/>
      <c r="AJ62" s="443"/>
      <c r="AK62" s="443"/>
      <c r="AL62" s="443"/>
      <c r="AM62" s="443"/>
      <c r="AN62" s="443"/>
      <c r="AO62" s="443"/>
      <c r="AP62" s="443"/>
      <c r="AQ62" s="443"/>
      <c r="AR62" s="443"/>
      <c r="AS62" s="443"/>
      <c r="AT62" s="443"/>
      <c r="AU62" s="443"/>
      <c r="AV62" s="443"/>
      <c r="AW62" s="443"/>
      <c r="AX62" s="443"/>
      <c r="AY62" s="443"/>
      <c r="AZ62" s="443"/>
      <c r="BA62" s="443"/>
      <c r="BB62" s="443"/>
      <c r="BC62" s="443"/>
      <c r="BD62" s="443"/>
      <c r="BE62" s="443"/>
    </row>
    <row r="63" hidden="1">
      <c r="A63" s="445">
        <f t="shared" si="5"/>
        <v>45353</v>
      </c>
      <c r="B63" s="434">
        <v>316.0</v>
      </c>
      <c r="C63" s="462">
        <v>0.5166666666666667</v>
      </c>
      <c r="D63" s="462">
        <v>0.75</v>
      </c>
      <c r="E63" s="436">
        <f t="array" ref="E63">IF(B63=0,"",(J63+K63)/60)</f>
        <v>0.25</v>
      </c>
      <c r="F63" s="437">
        <f t="shared" si="1"/>
        <v>5.6</v>
      </c>
      <c r="G63" s="438">
        <f t="shared" si="2"/>
        <v>56.42857143</v>
      </c>
      <c r="H63" s="438">
        <f t="shared" si="3"/>
        <v>59.06542056</v>
      </c>
      <c r="I63" s="436">
        <f t="shared" si="4"/>
        <v>1.175595238</v>
      </c>
      <c r="J63" s="439">
        <v>15.0</v>
      </c>
      <c r="K63" s="471"/>
      <c r="L63" s="443"/>
      <c r="M63" s="447">
        <f>IFERROR(__xludf.DUMMYFUNCTION("""COMPUTED_VALUE"""),57.0)</f>
        <v>57</v>
      </c>
      <c r="N63" s="447">
        <f>IFERROR(__xludf.DUMMYFUNCTION("""COMPUTED_VALUE"""),56.0)</f>
        <v>56</v>
      </c>
      <c r="O63" s="447">
        <f>IFERROR(__xludf.DUMMYFUNCTION("""COMPUTED_VALUE"""),0.0)</f>
        <v>0</v>
      </c>
      <c r="P63" s="447">
        <f>IFERROR(__xludf.DUMMYFUNCTION("""COMPUTED_VALUE"""),0.0)</f>
        <v>0</v>
      </c>
      <c r="Q63" s="447">
        <f>IFERROR(__xludf.DUMMYFUNCTION("""COMPUTED_VALUE"""),3.0)</f>
        <v>3</v>
      </c>
      <c r="R63" s="447">
        <f>IFERROR(__xludf.DUMMYFUNCTION("""COMPUTED_VALUE"""),0.0)</f>
        <v>0</v>
      </c>
      <c r="S63" s="447">
        <f>IFERROR(__xludf.DUMMYFUNCTION("""COMPUTED_VALUE"""),2.0)</f>
        <v>2</v>
      </c>
      <c r="T63" s="447">
        <f>IFERROR(__xludf.DUMMYFUNCTION("""COMPUTED_VALUE"""),0.0)</f>
        <v>0</v>
      </c>
      <c r="U63" s="447">
        <f>IFERROR(__xludf.DUMMYFUNCTION("""COMPUTED_VALUE"""),1.0)</f>
        <v>1</v>
      </c>
      <c r="V63" s="447">
        <f>IFERROR(__xludf.DUMMYFUNCTION("""COMPUTED_VALUE"""),4.0)</f>
        <v>4</v>
      </c>
      <c r="W63" s="447">
        <f>IFERROR(__xludf.DUMMYFUNCTION("""COMPUTED_VALUE"""),0.0)</f>
        <v>0</v>
      </c>
      <c r="X63" s="447">
        <f>IFERROR(__xludf.DUMMYFUNCTION("""COMPUTED_VALUE"""),0.0)</f>
        <v>0</v>
      </c>
      <c r="Y63" s="447">
        <f>IFERROR(__xludf.DUMMYFUNCTION("""COMPUTED_VALUE"""),0.0)</f>
        <v>0</v>
      </c>
      <c r="Z63" s="447">
        <f>IFERROR(__xludf.DUMMYFUNCTION("""COMPUTED_VALUE"""),0.0)</f>
        <v>0</v>
      </c>
      <c r="AA63" s="447">
        <f>IFERROR(__xludf.DUMMYFUNCTION("""COMPUTED_VALUE"""),0.0)</f>
        <v>0</v>
      </c>
      <c r="AB63" s="447">
        <f>IFERROR(__xludf.DUMMYFUNCTION("""COMPUTED_VALUE"""),0.0)</f>
        <v>0</v>
      </c>
      <c r="AC63" s="447">
        <f>IFERROR(__xludf.DUMMYFUNCTION("""COMPUTED_VALUE"""),0.0)</f>
        <v>0</v>
      </c>
      <c r="AD63" s="447">
        <f>IFERROR(__xludf.DUMMYFUNCTION("""COMPUTED_VALUE"""),48.0)</f>
        <v>48</v>
      </c>
      <c r="AE63" s="447">
        <f>IFERROR(__xludf.DUMMYFUNCTION("""COMPUTED_VALUE"""),10.0)</f>
        <v>10</v>
      </c>
      <c r="AF63" s="447">
        <f>IFERROR(__xludf.DUMMYFUNCTION("""COMPUTED_VALUE"""),1.0)</f>
        <v>1</v>
      </c>
      <c r="AG63" s="443" t="s">
        <v>98</v>
      </c>
      <c r="AH63" s="443" t="s">
        <v>343</v>
      </c>
      <c r="AI63" s="443"/>
      <c r="AJ63" s="443"/>
      <c r="AK63" s="443"/>
      <c r="AL63" s="443"/>
      <c r="AM63" s="443"/>
      <c r="AN63" s="443"/>
      <c r="AO63" s="443"/>
      <c r="AP63" s="443"/>
      <c r="AQ63" s="443"/>
      <c r="AR63" s="443"/>
      <c r="AS63" s="443"/>
      <c r="AT63" s="443"/>
      <c r="AU63" s="443"/>
      <c r="AV63" s="443"/>
      <c r="AW63" s="443"/>
      <c r="AX63" s="443"/>
      <c r="AY63" s="443"/>
      <c r="AZ63" s="443"/>
      <c r="BA63" s="443"/>
      <c r="BB63" s="443"/>
      <c r="BC63" s="443"/>
      <c r="BD63" s="443"/>
      <c r="BE63" s="443"/>
    </row>
    <row r="64" hidden="1">
      <c r="A64" s="445">
        <f t="shared" si="5"/>
        <v>45354</v>
      </c>
      <c r="B64" s="434">
        <v>0.0</v>
      </c>
      <c r="C64" s="449"/>
      <c r="D64" s="462"/>
      <c r="E64" s="436" t="str">
        <f t="array" ref="E64">IF(B64=0,"",(J64+K64)/60)</f>
        <v/>
      </c>
      <c r="F64" s="437" t="str">
        <f t="shared" si="1"/>
        <v/>
      </c>
      <c r="G64" s="438" t="str">
        <f t="shared" si="2"/>
        <v/>
      </c>
      <c r="H64" s="438" t="str">
        <f t="shared" si="3"/>
        <v/>
      </c>
      <c r="I64" s="436" t="str">
        <f t="shared" si="4"/>
        <v/>
      </c>
      <c r="J64" s="473"/>
      <c r="K64" s="471"/>
      <c r="L64" s="443"/>
      <c r="M64" s="447">
        <f>IFERROR(__xludf.DUMMYFUNCTION("""COMPUTED_VALUE"""),57.0)</f>
        <v>57</v>
      </c>
      <c r="N64" s="447">
        <f>IFERROR(__xludf.DUMMYFUNCTION("""COMPUTED_VALUE"""),57.0)</f>
        <v>57</v>
      </c>
      <c r="O64" s="447">
        <f>IFERROR(__xludf.DUMMYFUNCTION("""COMPUTED_VALUE"""),0.0)</f>
        <v>0</v>
      </c>
      <c r="P64" s="447">
        <f>IFERROR(__xludf.DUMMYFUNCTION("""COMPUTED_VALUE"""),0.0)</f>
        <v>0</v>
      </c>
      <c r="Q64" s="447">
        <f>IFERROR(__xludf.DUMMYFUNCTION("""COMPUTED_VALUE"""),0.0)</f>
        <v>0</v>
      </c>
      <c r="R64" s="447">
        <f>IFERROR(__xludf.DUMMYFUNCTION("""COMPUTED_VALUE"""),0.0)</f>
        <v>0</v>
      </c>
      <c r="S64" s="447">
        <f>IFERROR(__xludf.DUMMYFUNCTION("""COMPUTED_VALUE"""),0.0)</f>
        <v>0</v>
      </c>
      <c r="T64" s="447">
        <f>IFERROR(__xludf.DUMMYFUNCTION("""COMPUTED_VALUE"""),0.0)</f>
        <v>0</v>
      </c>
      <c r="U64" s="447">
        <f>IFERROR(__xludf.DUMMYFUNCTION("""COMPUTED_VALUE"""),0.0)</f>
        <v>0</v>
      </c>
      <c r="V64" s="447">
        <f>IFERROR(__xludf.DUMMYFUNCTION("""COMPUTED_VALUE"""),0.0)</f>
        <v>0</v>
      </c>
      <c r="W64" s="447">
        <f>IFERROR(__xludf.DUMMYFUNCTION("""COMPUTED_VALUE"""),0.0)</f>
        <v>0</v>
      </c>
      <c r="X64" s="447">
        <f>IFERROR(__xludf.DUMMYFUNCTION("""COMPUTED_VALUE"""),0.0)</f>
        <v>0</v>
      </c>
      <c r="Y64" s="447">
        <f>IFERROR(__xludf.DUMMYFUNCTION("""COMPUTED_VALUE"""),0.0)</f>
        <v>0</v>
      </c>
      <c r="Z64" s="447">
        <f>IFERROR(__xludf.DUMMYFUNCTION("""COMPUTED_VALUE"""),0.0)</f>
        <v>0</v>
      </c>
      <c r="AA64" s="447">
        <f>IFERROR(__xludf.DUMMYFUNCTION("""COMPUTED_VALUE"""),0.0)</f>
        <v>0</v>
      </c>
      <c r="AB64" s="447">
        <f>IFERROR(__xludf.DUMMYFUNCTION("""COMPUTED_VALUE"""),0.0)</f>
        <v>0</v>
      </c>
      <c r="AC64" s="447">
        <f>IFERROR(__xludf.DUMMYFUNCTION("""COMPUTED_VALUE"""),0.0)</f>
        <v>0</v>
      </c>
      <c r="AD64" s="447">
        <f>IFERROR(__xludf.DUMMYFUNCTION("""COMPUTED_VALUE"""),0.0)</f>
        <v>0</v>
      </c>
      <c r="AE64" s="447">
        <f>IFERROR(__xludf.DUMMYFUNCTION("""COMPUTED_VALUE"""),0.0)</f>
        <v>0</v>
      </c>
      <c r="AF64" s="447">
        <f>IFERROR(__xludf.DUMMYFUNCTION("""COMPUTED_VALUE"""),0.0)</f>
        <v>0</v>
      </c>
      <c r="AG64" s="443" t="s">
        <v>98</v>
      </c>
      <c r="AH64" s="443" t="s">
        <v>343</v>
      </c>
      <c r="AI64" s="443"/>
      <c r="AJ64" s="443"/>
      <c r="AK64" s="443"/>
      <c r="AL64" s="443"/>
      <c r="AM64" s="443"/>
      <c r="AN64" s="443"/>
      <c r="AO64" s="443"/>
      <c r="AP64" s="443"/>
      <c r="AQ64" s="443"/>
      <c r="AR64" s="443"/>
      <c r="AS64" s="443"/>
      <c r="AT64" s="443"/>
      <c r="AU64" s="443"/>
      <c r="AV64" s="443"/>
      <c r="AW64" s="443"/>
      <c r="AX64" s="443"/>
      <c r="AY64" s="443"/>
      <c r="AZ64" s="443"/>
      <c r="BA64" s="443"/>
      <c r="BB64" s="443"/>
      <c r="BC64" s="443"/>
      <c r="BD64" s="443"/>
      <c r="BE64" s="443"/>
    </row>
    <row r="65" hidden="1">
      <c r="A65" s="445">
        <f t="shared" si="5"/>
        <v>45355</v>
      </c>
      <c r="B65" s="434">
        <v>347.0</v>
      </c>
      <c r="C65" s="462">
        <v>0.5583333333333333</v>
      </c>
      <c r="D65" s="462">
        <v>0.8138888888888889</v>
      </c>
      <c r="E65" s="436">
        <f t="array" ref="E65">IF(B65=0,"",(J65+K65)/60)</f>
        <v>0.25</v>
      </c>
      <c r="F65" s="437">
        <f t="shared" si="1"/>
        <v>6.133333333</v>
      </c>
      <c r="G65" s="438">
        <f t="shared" si="2"/>
        <v>56.57608696</v>
      </c>
      <c r="H65" s="438">
        <f t="shared" si="3"/>
        <v>58.98016997</v>
      </c>
      <c r="I65" s="436">
        <f t="shared" si="4"/>
        <v>1.203746531</v>
      </c>
      <c r="J65" s="474">
        <v>15.0</v>
      </c>
      <c r="K65" s="471"/>
      <c r="L65" s="443"/>
      <c r="M65" s="447">
        <f>IFERROR(__xludf.DUMMYFUNCTION("""COMPUTED_VALUE"""),57.0)</f>
        <v>57</v>
      </c>
      <c r="N65" s="447">
        <f>IFERROR(__xludf.DUMMYFUNCTION("""COMPUTED_VALUE"""),56.0)</f>
        <v>56</v>
      </c>
      <c r="O65" s="447">
        <f>IFERROR(__xludf.DUMMYFUNCTION("""COMPUTED_VALUE"""),2.0)</f>
        <v>2</v>
      </c>
      <c r="P65" s="447">
        <f>IFERROR(__xludf.DUMMYFUNCTION("""COMPUTED_VALUE"""),0.0)</f>
        <v>0</v>
      </c>
      <c r="Q65" s="447">
        <f>IFERROR(__xludf.DUMMYFUNCTION("""COMPUTED_VALUE"""),2.0)</f>
        <v>2</v>
      </c>
      <c r="R65" s="447">
        <f>IFERROR(__xludf.DUMMYFUNCTION("""COMPUTED_VALUE"""),0.0)</f>
        <v>0</v>
      </c>
      <c r="S65" s="447">
        <f>IFERROR(__xludf.DUMMYFUNCTION("""COMPUTED_VALUE"""),2.0)</f>
        <v>2</v>
      </c>
      <c r="T65" s="447">
        <f>IFERROR(__xludf.DUMMYFUNCTION("""COMPUTED_VALUE"""),0.0)</f>
        <v>0</v>
      </c>
      <c r="U65" s="447">
        <f>IFERROR(__xludf.DUMMYFUNCTION("""COMPUTED_VALUE"""),1.0)</f>
        <v>1</v>
      </c>
      <c r="V65" s="447">
        <f>IFERROR(__xludf.DUMMYFUNCTION("""COMPUTED_VALUE"""),4.0)</f>
        <v>4</v>
      </c>
      <c r="W65" s="447">
        <f>IFERROR(__xludf.DUMMYFUNCTION("""COMPUTED_VALUE"""),0.0)</f>
        <v>0</v>
      </c>
      <c r="X65" s="447">
        <f>IFERROR(__xludf.DUMMYFUNCTION("""COMPUTED_VALUE"""),0.0)</f>
        <v>0</v>
      </c>
      <c r="Y65" s="447">
        <f>IFERROR(__xludf.DUMMYFUNCTION("""COMPUTED_VALUE"""),0.0)</f>
        <v>0</v>
      </c>
      <c r="Z65" s="447">
        <f>IFERROR(__xludf.DUMMYFUNCTION("""COMPUTED_VALUE"""),0.0)</f>
        <v>0</v>
      </c>
      <c r="AA65" s="447">
        <f>IFERROR(__xludf.DUMMYFUNCTION("""COMPUTED_VALUE"""),0.0)</f>
        <v>0</v>
      </c>
      <c r="AB65" s="447">
        <f>IFERROR(__xludf.DUMMYFUNCTION("""COMPUTED_VALUE"""),0.0)</f>
        <v>0</v>
      </c>
      <c r="AC65" s="447">
        <f>IFERROR(__xludf.DUMMYFUNCTION("""COMPUTED_VALUE"""),0.0)</f>
        <v>0</v>
      </c>
      <c r="AD65" s="447">
        <f>IFERROR(__xludf.DUMMYFUNCTION("""COMPUTED_VALUE"""),47.0)</f>
        <v>47</v>
      </c>
      <c r="AE65" s="447">
        <f>IFERROR(__xludf.DUMMYFUNCTION("""COMPUTED_VALUE"""),11.0)</f>
        <v>11</v>
      </c>
      <c r="AF65" s="447">
        <f>IFERROR(__xludf.DUMMYFUNCTION("""COMPUTED_VALUE"""),1.0)</f>
        <v>1</v>
      </c>
      <c r="AG65" s="443" t="s">
        <v>98</v>
      </c>
      <c r="AH65" s="443" t="s">
        <v>343</v>
      </c>
      <c r="AI65" s="443"/>
      <c r="AJ65" s="443"/>
      <c r="AK65" s="443"/>
      <c r="AL65" s="443"/>
      <c r="AM65" s="443"/>
      <c r="AN65" s="443"/>
      <c r="AO65" s="443"/>
      <c r="AP65" s="443"/>
      <c r="AQ65" s="443"/>
      <c r="AR65" s="443"/>
      <c r="AS65" s="443"/>
      <c r="AT65" s="443"/>
      <c r="AU65" s="443"/>
      <c r="AV65" s="443"/>
      <c r="AW65" s="443"/>
      <c r="AX65" s="443"/>
      <c r="AY65" s="443"/>
      <c r="AZ65" s="443"/>
      <c r="BA65" s="443"/>
      <c r="BB65" s="443"/>
      <c r="BC65" s="443"/>
      <c r="BD65" s="443"/>
      <c r="BE65" s="443"/>
    </row>
    <row r="66" hidden="1">
      <c r="A66" s="445">
        <f t="shared" si="5"/>
        <v>45356</v>
      </c>
      <c r="B66" s="434">
        <v>452.0</v>
      </c>
      <c r="C66" s="462">
        <v>0.5583333333333333</v>
      </c>
      <c r="D66" s="462">
        <v>0.9020833333333333</v>
      </c>
      <c r="E66" s="436">
        <f t="array" ref="E66">IF(B66=0,"",(J66+K66)/60)</f>
        <v>0.25</v>
      </c>
      <c r="F66" s="437">
        <f t="shared" si="1"/>
        <v>8.25</v>
      </c>
      <c r="G66" s="438">
        <f t="shared" si="2"/>
        <v>54.78787879</v>
      </c>
      <c r="H66" s="438">
        <f t="shared" si="3"/>
        <v>56.5</v>
      </c>
      <c r="I66" s="436">
        <f t="shared" si="4"/>
        <v>1.118119975</v>
      </c>
      <c r="J66" s="439">
        <v>15.0</v>
      </c>
      <c r="K66" s="477"/>
      <c r="L66" s="443"/>
      <c r="M66" s="447">
        <f>IFERROR(__xludf.DUMMYFUNCTION("""COMPUTED_VALUE"""),57.0)</f>
        <v>57</v>
      </c>
      <c r="N66" s="447">
        <f>IFERROR(__xludf.DUMMYFUNCTION("""COMPUTED_VALUE"""),54.0)</f>
        <v>54</v>
      </c>
      <c r="O66" s="447">
        <f>IFERROR(__xludf.DUMMYFUNCTION("""COMPUTED_VALUE"""),0.0)</f>
        <v>0</v>
      </c>
      <c r="P66" s="447">
        <f>IFERROR(__xludf.DUMMYFUNCTION("""COMPUTED_VALUE"""),0.0)</f>
        <v>0</v>
      </c>
      <c r="Q66" s="447">
        <f>IFERROR(__xludf.DUMMYFUNCTION("""COMPUTED_VALUE"""),0.0)</f>
        <v>0</v>
      </c>
      <c r="R66" s="447">
        <f>IFERROR(__xludf.DUMMYFUNCTION("""COMPUTED_VALUE"""),0.0)</f>
        <v>0</v>
      </c>
      <c r="S66" s="447">
        <f>IFERROR(__xludf.DUMMYFUNCTION("""COMPUTED_VALUE"""),2.0)</f>
        <v>2</v>
      </c>
      <c r="T66" s="447">
        <f>IFERROR(__xludf.DUMMYFUNCTION("""COMPUTED_VALUE"""),0.0)</f>
        <v>0</v>
      </c>
      <c r="U66" s="447">
        <f>IFERROR(__xludf.DUMMYFUNCTION("""COMPUTED_VALUE"""),3.0)</f>
        <v>3</v>
      </c>
      <c r="V66" s="447">
        <f>IFERROR(__xludf.DUMMYFUNCTION("""COMPUTED_VALUE"""),4.0)</f>
        <v>4</v>
      </c>
      <c r="W66" s="447">
        <f>IFERROR(__xludf.DUMMYFUNCTION("""COMPUTED_VALUE"""),0.0)</f>
        <v>0</v>
      </c>
      <c r="X66" s="447">
        <f>IFERROR(__xludf.DUMMYFUNCTION("""COMPUTED_VALUE"""),0.0)</f>
        <v>0</v>
      </c>
      <c r="Y66" s="447">
        <f>IFERROR(__xludf.DUMMYFUNCTION("""COMPUTED_VALUE"""),0.0)</f>
        <v>0</v>
      </c>
      <c r="Z66" s="447">
        <f>IFERROR(__xludf.DUMMYFUNCTION("""COMPUTED_VALUE"""),0.0)</f>
        <v>0</v>
      </c>
      <c r="AA66" s="447">
        <f>IFERROR(__xludf.DUMMYFUNCTION("""COMPUTED_VALUE"""),0.0)</f>
        <v>0</v>
      </c>
      <c r="AB66" s="447">
        <f>IFERROR(__xludf.DUMMYFUNCTION("""COMPUTED_VALUE"""),0.0)</f>
        <v>0</v>
      </c>
      <c r="AC66" s="447">
        <f>IFERROR(__xludf.DUMMYFUNCTION("""COMPUTED_VALUE"""),0.0)</f>
        <v>0</v>
      </c>
      <c r="AD66" s="447">
        <f>IFERROR(__xludf.DUMMYFUNCTION("""COMPUTED_VALUE"""),49.0)</f>
        <v>49</v>
      </c>
      <c r="AE66" s="447">
        <f>IFERROR(__xludf.DUMMYFUNCTION("""COMPUTED_VALUE"""),9.0)</f>
        <v>9</v>
      </c>
      <c r="AF66" s="447">
        <f>IFERROR(__xludf.DUMMYFUNCTION("""COMPUTED_VALUE"""),3.0)</f>
        <v>3</v>
      </c>
      <c r="AG66" s="443" t="s">
        <v>98</v>
      </c>
      <c r="AH66" s="443" t="s">
        <v>343</v>
      </c>
      <c r="AI66" s="443"/>
      <c r="AJ66" s="443"/>
      <c r="AK66" s="443"/>
      <c r="AL66" s="443"/>
      <c r="AM66" s="443"/>
      <c r="AN66" s="443"/>
      <c r="AO66" s="443"/>
      <c r="AP66" s="443"/>
      <c r="AQ66" s="443"/>
      <c r="AR66" s="443"/>
      <c r="AS66" s="443"/>
      <c r="AT66" s="443"/>
      <c r="AU66" s="443"/>
      <c r="AV66" s="443"/>
      <c r="AW66" s="443"/>
      <c r="AX66" s="443"/>
      <c r="AY66" s="443"/>
      <c r="AZ66" s="443"/>
      <c r="BA66" s="443"/>
      <c r="BB66" s="443"/>
      <c r="BC66" s="443"/>
      <c r="BD66" s="443"/>
      <c r="BE66" s="443"/>
    </row>
    <row r="67" hidden="1">
      <c r="A67" s="445">
        <f t="shared" si="5"/>
        <v>45357</v>
      </c>
      <c r="B67" s="434">
        <v>398.0</v>
      </c>
      <c r="C67" s="462">
        <v>0.5583333333333333</v>
      </c>
      <c r="D67" s="462">
        <v>0.8666666666666667</v>
      </c>
      <c r="E67" s="436">
        <f t="array" ref="E67">IF(B67=0,"",(J67+K67)/60)</f>
        <v>0.25</v>
      </c>
      <c r="F67" s="437">
        <f t="shared" si="1"/>
        <v>7.4</v>
      </c>
      <c r="G67" s="438">
        <f t="shared" si="2"/>
        <v>53.78378378</v>
      </c>
      <c r="H67" s="438">
        <f t="shared" si="3"/>
        <v>55.66433566</v>
      </c>
      <c r="I67" s="436">
        <f t="shared" si="4"/>
        <v>1.075675676</v>
      </c>
      <c r="J67" s="439">
        <v>15.0</v>
      </c>
      <c r="K67" s="471"/>
      <c r="L67" s="443"/>
      <c r="M67" s="447">
        <f>IFERROR(__xludf.DUMMYFUNCTION("""COMPUTED_VALUE"""),57.0)</f>
        <v>57</v>
      </c>
      <c r="N67" s="447">
        <f>IFERROR(__xludf.DUMMYFUNCTION("""COMPUTED_VALUE"""),54.0)</f>
        <v>54</v>
      </c>
      <c r="O67" s="447">
        <f>IFERROR(__xludf.DUMMYFUNCTION("""COMPUTED_VALUE"""),0.0)</f>
        <v>0</v>
      </c>
      <c r="P67" s="447">
        <f>IFERROR(__xludf.DUMMYFUNCTION("""COMPUTED_VALUE"""),0.0)</f>
        <v>0</v>
      </c>
      <c r="Q67" s="447">
        <f>IFERROR(__xludf.DUMMYFUNCTION("""COMPUTED_VALUE"""),0.0)</f>
        <v>0</v>
      </c>
      <c r="R67" s="447">
        <f>IFERROR(__xludf.DUMMYFUNCTION("""COMPUTED_VALUE"""),0.0)</f>
        <v>0</v>
      </c>
      <c r="S67" s="447">
        <f>IFERROR(__xludf.DUMMYFUNCTION("""COMPUTED_VALUE"""),1.0)</f>
        <v>1</v>
      </c>
      <c r="T67" s="447">
        <f>IFERROR(__xludf.DUMMYFUNCTION("""COMPUTED_VALUE"""),0.0)</f>
        <v>0</v>
      </c>
      <c r="U67" s="447">
        <f>IFERROR(__xludf.DUMMYFUNCTION("""COMPUTED_VALUE"""),3.0)</f>
        <v>3</v>
      </c>
      <c r="V67" s="447">
        <f>IFERROR(__xludf.DUMMYFUNCTION("""COMPUTED_VALUE"""),4.0)</f>
        <v>4</v>
      </c>
      <c r="W67" s="447">
        <f>IFERROR(__xludf.DUMMYFUNCTION("""COMPUTED_VALUE"""),0.0)</f>
        <v>0</v>
      </c>
      <c r="X67" s="447">
        <f>IFERROR(__xludf.DUMMYFUNCTION("""COMPUTED_VALUE"""),0.0)</f>
        <v>0</v>
      </c>
      <c r="Y67" s="447">
        <f>IFERROR(__xludf.DUMMYFUNCTION("""COMPUTED_VALUE"""),0.0)</f>
        <v>0</v>
      </c>
      <c r="Z67" s="447">
        <f>IFERROR(__xludf.DUMMYFUNCTION("""COMPUTED_VALUE"""),0.0)</f>
        <v>0</v>
      </c>
      <c r="AA67" s="447">
        <f>IFERROR(__xludf.DUMMYFUNCTION("""COMPUTED_VALUE"""),0.0)</f>
        <v>0</v>
      </c>
      <c r="AB67" s="447">
        <f>IFERROR(__xludf.DUMMYFUNCTION("""COMPUTED_VALUE"""),0.0)</f>
        <v>0</v>
      </c>
      <c r="AC67" s="447">
        <f>IFERROR(__xludf.DUMMYFUNCTION("""COMPUTED_VALUE"""),0.0)</f>
        <v>0</v>
      </c>
      <c r="AD67" s="447">
        <f>IFERROR(__xludf.DUMMYFUNCTION("""COMPUTED_VALUE"""),50.0)</f>
        <v>50</v>
      </c>
      <c r="AE67" s="447">
        <f>IFERROR(__xludf.DUMMYFUNCTION("""COMPUTED_VALUE"""),8.0)</f>
        <v>8</v>
      </c>
      <c r="AF67" s="447">
        <f>IFERROR(__xludf.DUMMYFUNCTION("""COMPUTED_VALUE"""),3.0)</f>
        <v>3</v>
      </c>
      <c r="AG67" s="443" t="s">
        <v>98</v>
      </c>
      <c r="AH67" s="443" t="s">
        <v>343</v>
      </c>
      <c r="AI67" s="443"/>
      <c r="AJ67" s="443"/>
      <c r="AK67" s="443"/>
      <c r="AL67" s="443"/>
      <c r="AM67" s="443"/>
      <c r="AN67" s="443"/>
      <c r="AO67" s="443"/>
      <c r="AP67" s="443"/>
      <c r="AQ67" s="443"/>
      <c r="AR67" s="443"/>
      <c r="AS67" s="443"/>
      <c r="AT67" s="443"/>
      <c r="AU67" s="443"/>
      <c r="AV67" s="443"/>
      <c r="AW67" s="443"/>
      <c r="AX67" s="443"/>
      <c r="AY67" s="443"/>
      <c r="AZ67" s="443"/>
      <c r="BA67" s="443"/>
      <c r="BB67" s="443"/>
      <c r="BC67" s="443"/>
      <c r="BD67" s="443"/>
      <c r="BE67" s="443"/>
    </row>
    <row r="68" hidden="1">
      <c r="A68" s="445">
        <f t="shared" si="5"/>
        <v>45358</v>
      </c>
      <c r="B68" s="434">
        <v>510.0</v>
      </c>
      <c r="C68" s="462">
        <v>0.5583333333333333</v>
      </c>
      <c r="D68" s="462">
        <v>0.9513888888888888</v>
      </c>
      <c r="E68" s="436">
        <f t="array" ref="E68">IF(B68=0,"",(J68+K68)/60)</f>
        <v>0.25</v>
      </c>
      <c r="F68" s="437">
        <f t="shared" si="1"/>
        <v>9.433333333</v>
      </c>
      <c r="G68" s="438">
        <f t="shared" si="2"/>
        <v>54.06360424</v>
      </c>
      <c r="H68" s="438">
        <f t="shared" si="3"/>
        <v>55.5353902</v>
      </c>
      <c r="I68" s="436">
        <f t="shared" si="4"/>
        <v>1.081272085</v>
      </c>
      <c r="J68" s="439">
        <v>15.0</v>
      </c>
      <c r="K68" s="471"/>
      <c r="L68" s="443"/>
      <c r="M68" s="447">
        <f>IFERROR(__xludf.DUMMYFUNCTION("""COMPUTED_VALUE"""),57.0)</f>
        <v>57</v>
      </c>
      <c r="N68" s="447">
        <f>IFERROR(__xludf.DUMMYFUNCTION("""COMPUTED_VALUE"""),55.0)</f>
        <v>55</v>
      </c>
      <c r="O68" s="447">
        <f>IFERROR(__xludf.DUMMYFUNCTION("""COMPUTED_VALUE"""),1.0)</f>
        <v>1</v>
      </c>
      <c r="P68" s="447">
        <f>IFERROR(__xludf.DUMMYFUNCTION("""COMPUTED_VALUE"""),0.0)</f>
        <v>0</v>
      </c>
      <c r="Q68" s="447">
        <f>IFERROR(__xludf.DUMMYFUNCTION("""COMPUTED_VALUE"""),0.0)</f>
        <v>0</v>
      </c>
      <c r="R68" s="447">
        <f>IFERROR(__xludf.DUMMYFUNCTION("""COMPUTED_VALUE"""),0.0)</f>
        <v>0</v>
      </c>
      <c r="S68" s="447">
        <f>IFERROR(__xludf.DUMMYFUNCTION("""COMPUTED_VALUE"""),1.0)</f>
        <v>1</v>
      </c>
      <c r="T68" s="447">
        <f>IFERROR(__xludf.DUMMYFUNCTION("""COMPUTED_VALUE"""),0.0)</f>
        <v>0</v>
      </c>
      <c r="U68" s="447">
        <f>IFERROR(__xludf.DUMMYFUNCTION("""COMPUTED_VALUE"""),2.0)</f>
        <v>2</v>
      </c>
      <c r="V68" s="447">
        <f>IFERROR(__xludf.DUMMYFUNCTION("""COMPUTED_VALUE"""),4.0)</f>
        <v>4</v>
      </c>
      <c r="W68" s="447">
        <f>IFERROR(__xludf.DUMMYFUNCTION("""COMPUTED_VALUE"""),0.0)</f>
        <v>0</v>
      </c>
      <c r="X68" s="447">
        <f>IFERROR(__xludf.DUMMYFUNCTION("""COMPUTED_VALUE"""),0.0)</f>
        <v>0</v>
      </c>
      <c r="Y68" s="447">
        <f>IFERROR(__xludf.DUMMYFUNCTION("""COMPUTED_VALUE"""),0.0)</f>
        <v>0</v>
      </c>
      <c r="Z68" s="447">
        <f>IFERROR(__xludf.DUMMYFUNCTION("""COMPUTED_VALUE"""),0.0)</f>
        <v>0</v>
      </c>
      <c r="AA68" s="447">
        <f>IFERROR(__xludf.DUMMYFUNCTION("""COMPUTED_VALUE"""),0.0)</f>
        <v>0</v>
      </c>
      <c r="AB68" s="447">
        <f>IFERROR(__xludf.DUMMYFUNCTION("""COMPUTED_VALUE"""),0.0)</f>
        <v>0</v>
      </c>
      <c r="AC68" s="447">
        <f>IFERROR(__xludf.DUMMYFUNCTION("""COMPUTED_VALUE"""),0.0)</f>
        <v>0</v>
      </c>
      <c r="AD68" s="447">
        <f>IFERROR(__xludf.DUMMYFUNCTION("""COMPUTED_VALUE"""),50.0)</f>
        <v>50</v>
      </c>
      <c r="AE68" s="447">
        <f>IFERROR(__xludf.DUMMYFUNCTION("""COMPUTED_VALUE"""),8.0)</f>
        <v>8</v>
      </c>
      <c r="AF68" s="447">
        <f>IFERROR(__xludf.DUMMYFUNCTION("""COMPUTED_VALUE"""),2.0)</f>
        <v>2</v>
      </c>
      <c r="AG68" s="443" t="s">
        <v>98</v>
      </c>
      <c r="AH68" s="443" t="s">
        <v>343</v>
      </c>
      <c r="AI68" s="443"/>
      <c r="AJ68" s="443"/>
      <c r="AK68" s="443"/>
      <c r="AL68" s="443"/>
      <c r="AM68" s="443"/>
      <c r="AN68" s="443"/>
      <c r="AO68" s="443"/>
      <c r="AP68" s="443"/>
      <c r="AQ68" s="443"/>
      <c r="AR68" s="443"/>
      <c r="AS68" s="443"/>
      <c r="AT68" s="443"/>
      <c r="AU68" s="443"/>
      <c r="AV68" s="443"/>
      <c r="AW68" s="443"/>
      <c r="AX68" s="443"/>
      <c r="AY68" s="443"/>
      <c r="AZ68" s="443"/>
      <c r="BA68" s="443"/>
      <c r="BB68" s="443"/>
      <c r="BC68" s="443"/>
      <c r="BD68" s="443"/>
      <c r="BE68" s="443"/>
    </row>
    <row r="69" hidden="1">
      <c r="A69" s="445">
        <f t="shared" si="5"/>
        <v>45359</v>
      </c>
      <c r="B69" s="434">
        <v>408.0</v>
      </c>
      <c r="C69" s="462">
        <v>0.5583333333333333</v>
      </c>
      <c r="D69" s="462">
        <v>0.8625</v>
      </c>
      <c r="E69" s="436">
        <f t="array" ref="E69">IF(B69=0,"",(J69+K69)/60)</f>
        <v>0.25</v>
      </c>
      <c r="F69" s="437">
        <f t="shared" si="1"/>
        <v>7.3</v>
      </c>
      <c r="G69" s="438">
        <f t="shared" si="2"/>
        <v>55.89041096</v>
      </c>
      <c r="H69" s="438">
        <f t="shared" si="3"/>
        <v>57.87234043</v>
      </c>
      <c r="I69" s="436">
        <f t="shared" si="4"/>
        <v>1.164383562</v>
      </c>
      <c r="J69" s="439">
        <v>15.0</v>
      </c>
      <c r="K69" s="471"/>
      <c r="L69" s="443"/>
      <c r="M69" s="447">
        <f>IFERROR(__xludf.DUMMYFUNCTION("""COMPUTED_VALUE"""),57.0)</f>
        <v>57</v>
      </c>
      <c r="N69" s="447">
        <f>IFERROR(__xludf.DUMMYFUNCTION("""COMPUTED_VALUE"""),55.0)</f>
        <v>55</v>
      </c>
      <c r="O69" s="447">
        <f>IFERROR(__xludf.DUMMYFUNCTION("""COMPUTED_VALUE"""),1.0)</f>
        <v>1</v>
      </c>
      <c r="P69" s="447">
        <f>IFERROR(__xludf.DUMMYFUNCTION("""COMPUTED_VALUE"""),0.0)</f>
        <v>0</v>
      </c>
      <c r="Q69" s="447">
        <f>IFERROR(__xludf.DUMMYFUNCTION("""COMPUTED_VALUE"""),1.0)</f>
        <v>1</v>
      </c>
      <c r="R69" s="447">
        <f>IFERROR(__xludf.DUMMYFUNCTION("""COMPUTED_VALUE"""),0.0)</f>
        <v>0</v>
      </c>
      <c r="S69" s="447">
        <f>IFERROR(__xludf.DUMMYFUNCTION("""COMPUTED_VALUE"""),2.0)</f>
        <v>2</v>
      </c>
      <c r="T69" s="447">
        <f>IFERROR(__xludf.DUMMYFUNCTION("""COMPUTED_VALUE"""),0.0)</f>
        <v>0</v>
      </c>
      <c r="U69" s="447">
        <f>IFERROR(__xludf.DUMMYFUNCTION("""COMPUTED_VALUE"""),2.0)</f>
        <v>2</v>
      </c>
      <c r="V69" s="447">
        <f>IFERROR(__xludf.DUMMYFUNCTION("""COMPUTED_VALUE"""),4.0)</f>
        <v>4</v>
      </c>
      <c r="W69" s="447">
        <f>IFERROR(__xludf.DUMMYFUNCTION("""COMPUTED_VALUE"""),0.0)</f>
        <v>0</v>
      </c>
      <c r="X69" s="447">
        <f>IFERROR(__xludf.DUMMYFUNCTION("""COMPUTED_VALUE"""),0.0)</f>
        <v>0</v>
      </c>
      <c r="Y69" s="447">
        <f>IFERROR(__xludf.DUMMYFUNCTION("""COMPUTED_VALUE"""),0.0)</f>
        <v>0</v>
      </c>
      <c r="Z69" s="447">
        <f>IFERROR(__xludf.DUMMYFUNCTION("""COMPUTED_VALUE"""),0.0)</f>
        <v>0</v>
      </c>
      <c r="AA69" s="447">
        <f>IFERROR(__xludf.DUMMYFUNCTION("""COMPUTED_VALUE"""),0.0)</f>
        <v>0</v>
      </c>
      <c r="AB69" s="447">
        <f>IFERROR(__xludf.DUMMYFUNCTION("""COMPUTED_VALUE"""),0.0)</f>
        <v>0</v>
      </c>
      <c r="AC69" s="447">
        <f>IFERROR(__xludf.DUMMYFUNCTION("""COMPUTED_VALUE"""),0.0)</f>
        <v>0</v>
      </c>
      <c r="AD69" s="447">
        <f>IFERROR(__xludf.DUMMYFUNCTION("""COMPUTED_VALUE"""),48.0)</f>
        <v>48</v>
      </c>
      <c r="AE69" s="447">
        <f>IFERROR(__xludf.DUMMYFUNCTION("""COMPUTED_VALUE"""),10.0)</f>
        <v>10</v>
      </c>
      <c r="AF69" s="447">
        <f>IFERROR(__xludf.DUMMYFUNCTION("""COMPUTED_VALUE"""),2.0)</f>
        <v>2</v>
      </c>
      <c r="AG69" s="443" t="s">
        <v>98</v>
      </c>
      <c r="AH69" s="443" t="s">
        <v>343</v>
      </c>
      <c r="AI69" s="443"/>
      <c r="AJ69" s="443"/>
      <c r="AK69" s="443"/>
      <c r="AL69" s="443"/>
      <c r="AM69" s="443"/>
      <c r="AN69" s="443"/>
      <c r="AO69" s="443"/>
      <c r="AP69" s="443"/>
      <c r="AQ69" s="443"/>
      <c r="AR69" s="443"/>
      <c r="AS69" s="443"/>
      <c r="AT69" s="443"/>
      <c r="AU69" s="443"/>
      <c r="AV69" s="443"/>
      <c r="AW69" s="443"/>
      <c r="AX69" s="443"/>
      <c r="AY69" s="443"/>
      <c r="AZ69" s="443"/>
      <c r="BA69" s="443"/>
      <c r="BB69" s="443"/>
      <c r="BC69" s="443"/>
      <c r="BD69" s="443"/>
      <c r="BE69" s="443"/>
    </row>
    <row r="70" hidden="1">
      <c r="A70" s="445">
        <f t="shared" si="5"/>
        <v>45360</v>
      </c>
      <c r="B70" s="434">
        <v>438.0</v>
      </c>
      <c r="C70" s="462">
        <v>0.5583333333333333</v>
      </c>
      <c r="D70" s="462">
        <v>0.91875</v>
      </c>
      <c r="E70" s="436">
        <f t="array" ref="E70">IF(B70=0,"",(J70+K70)/60)</f>
        <v>0.25</v>
      </c>
      <c r="F70" s="437">
        <f t="shared" si="1"/>
        <v>8.65</v>
      </c>
      <c r="G70" s="438">
        <f t="shared" si="2"/>
        <v>50.63583815</v>
      </c>
      <c r="H70" s="438">
        <f t="shared" si="3"/>
        <v>52.14285714</v>
      </c>
      <c r="I70" s="436">
        <f t="shared" si="4"/>
        <v>0.9928595716</v>
      </c>
      <c r="J70" s="439">
        <v>15.0</v>
      </c>
      <c r="K70" s="471"/>
      <c r="L70" s="443"/>
      <c r="M70" s="447">
        <f>IFERROR(__xludf.DUMMYFUNCTION("""COMPUTED_VALUE"""),57.0)</f>
        <v>57</v>
      </c>
      <c r="N70" s="447">
        <f>IFERROR(__xludf.DUMMYFUNCTION("""COMPUTED_VALUE"""),55.0)</f>
        <v>55</v>
      </c>
      <c r="O70" s="447">
        <f>IFERROR(__xludf.DUMMYFUNCTION("""COMPUTED_VALUE"""),0.0)</f>
        <v>0</v>
      </c>
      <c r="P70" s="447">
        <f>IFERROR(__xludf.DUMMYFUNCTION("""COMPUTED_VALUE"""),0.0)</f>
        <v>0</v>
      </c>
      <c r="Q70" s="447">
        <f>IFERROR(__xludf.DUMMYFUNCTION("""COMPUTED_VALUE"""),0.0)</f>
        <v>0</v>
      </c>
      <c r="R70" s="447">
        <f>IFERROR(__xludf.DUMMYFUNCTION("""COMPUTED_VALUE"""),0.0)</f>
        <v>0</v>
      </c>
      <c r="S70" s="447">
        <f>IFERROR(__xludf.DUMMYFUNCTION("""COMPUTED_VALUE"""),2.0)</f>
        <v>2</v>
      </c>
      <c r="T70" s="447">
        <f>IFERROR(__xludf.DUMMYFUNCTION("""COMPUTED_VALUE"""),0.0)</f>
        <v>0</v>
      </c>
      <c r="U70" s="447">
        <f>IFERROR(__xludf.DUMMYFUNCTION("""COMPUTED_VALUE"""),2.0)</f>
        <v>2</v>
      </c>
      <c r="V70" s="447">
        <f>IFERROR(__xludf.DUMMYFUNCTION("""COMPUTED_VALUE"""),3.0)</f>
        <v>3</v>
      </c>
      <c r="W70" s="447">
        <f>IFERROR(__xludf.DUMMYFUNCTION("""COMPUTED_VALUE"""),0.0)</f>
        <v>0</v>
      </c>
      <c r="X70" s="447">
        <f>IFERROR(__xludf.DUMMYFUNCTION("""COMPUTED_VALUE"""),0.0)</f>
        <v>0</v>
      </c>
      <c r="Y70" s="447">
        <f>IFERROR(__xludf.DUMMYFUNCTION("""COMPUTED_VALUE"""),0.0)</f>
        <v>0</v>
      </c>
      <c r="Z70" s="447">
        <f>IFERROR(__xludf.DUMMYFUNCTION("""COMPUTED_VALUE"""),0.0)</f>
        <v>0</v>
      </c>
      <c r="AA70" s="447">
        <f>IFERROR(__xludf.DUMMYFUNCTION("""COMPUTED_VALUE"""),0.0)</f>
        <v>0</v>
      </c>
      <c r="AB70" s="447">
        <f>IFERROR(__xludf.DUMMYFUNCTION("""COMPUTED_VALUE"""),0.0)</f>
        <v>0</v>
      </c>
      <c r="AC70" s="447">
        <f>IFERROR(__xludf.DUMMYFUNCTION("""COMPUTED_VALUE"""),0.0)</f>
        <v>0</v>
      </c>
      <c r="AD70" s="447">
        <f>IFERROR(__xludf.DUMMYFUNCTION("""COMPUTED_VALUE"""),51.0)</f>
        <v>51</v>
      </c>
      <c r="AE70" s="447">
        <f>IFERROR(__xludf.DUMMYFUNCTION("""COMPUTED_VALUE"""),7.0)</f>
        <v>7</v>
      </c>
      <c r="AF70" s="447">
        <f>IFERROR(__xludf.DUMMYFUNCTION("""COMPUTED_VALUE"""),2.0)</f>
        <v>2</v>
      </c>
      <c r="AG70" s="443" t="s">
        <v>98</v>
      </c>
      <c r="AH70" s="443" t="s">
        <v>343</v>
      </c>
      <c r="AI70" s="443"/>
      <c r="AJ70" s="443"/>
      <c r="AK70" s="443"/>
      <c r="AL70" s="443"/>
      <c r="AM70" s="443"/>
      <c r="AN70" s="443"/>
      <c r="AO70" s="443"/>
      <c r="AP70" s="443"/>
      <c r="AQ70" s="443"/>
      <c r="AR70" s="443"/>
      <c r="AS70" s="443"/>
      <c r="AT70" s="443"/>
      <c r="AU70" s="443"/>
      <c r="AV70" s="443"/>
      <c r="AW70" s="443"/>
      <c r="AX70" s="443"/>
      <c r="AY70" s="443"/>
      <c r="AZ70" s="443"/>
      <c r="BA70" s="443"/>
      <c r="BB70" s="443"/>
      <c r="BC70" s="443"/>
      <c r="BD70" s="443"/>
      <c r="BE70" s="443"/>
    </row>
    <row r="71" hidden="1">
      <c r="A71" s="445">
        <f t="shared" si="5"/>
        <v>45361</v>
      </c>
      <c r="B71" s="434">
        <v>0.0</v>
      </c>
      <c r="C71" s="443"/>
      <c r="D71" s="443"/>
      <c r="E71" s="436" t="str">
        <f t="array" ref="E71">IF(B71=0,"",(J71+K71)/60)</f>
        <v/>
      </c>
      <c r="F71" s="437" t="str">
        <f t="shared" si="1"/>
        <v/>
      </c>
      <c r="G71" s="438" t="str">
        <f t="shared" si="2"/>
        <v/>
      </c>
      <c r="H71" s="438" t="str">
        <f t="shared" si="3"/>
        <v/>
      </c>
      <c r="I71" s="436" t="str">
        <f t="shared" si="4"/>
        <v/>
      </c>
      <c r="J71" s="440"/>
      <c r="K71" s="471"/>
      <c r="L71" s="443"/>
      <c r="M71" s="447">
        <f>IFERROR(__xludf.DUMMYFUNCTION("""COMPUTED_VALUE"""),57.0)</f>
        <v>57</v>
      </c>
      <c r="N71" s="447">
        <f>IFERROR(__xludf.DUMMYFUNCTION("""COMPUTED_VALUE"""),55.0)</f>
        <v>55</v>
      </c>
      <c r="O71" s="447">
        <f>IFERROR(__xludf.DUMMYFUNCTION("""COMPUTED_VALUE"""),0.0)</f>
        <v>0</v>
      </c>
      <c r="P71" s="447">
        <f>IFERROR(__xludf.DUMMYFUNCTION("""COMPUTED_VALUE"""),0.0)</f>
        <v>0</v>
      </c>
      <c r="Q71" s="447">
        <f>IFERROR(__xludf.DUMMYFUNCTION("""COMPUTED_VALUE"""),0.0)</f>
        <v>0</v>
      </c>
      <c r="R71" s="447">
        <f>IFERROR(__xludf.DUMMYFUNCTION("""COMPUTED_VALUE"""),0.0)</f>
        <v>0</v>
      </c>
      <c r="S71" s="447">
        <f>IFERROR(__xludf.DUMMYFUNCTION("""COMPUTED_VALUE"""),0.0)</f>
        <v>0</v>
      </c>
      <c r="T71" s="447">
        <f>IFERROR(__xludf.DUMMYFUNCTION("""COMPUTED_VALUE"""),0.0)</f>
        <v>0</v>
      </c>
      <c r="U71" s="447">
        <f>IFERROR(__xludf.DUMMYFUNCTION("""COMPUTED_VALUE"""),2.0)</f>
        <v>2</v>
      </c>
      <c r="V71" s="447">
        <f>IFERROR(__xludf.DUMMYFUNCTION("""COMPUTED_VALUE"""),3.0)</f>
        <v>3</v>
      </c>
      <c r="W71" s="447">
        <f>IFERROR(__xludf.DUMMYFUNCTION("""COMPUTED_VALUE"""),0.0)</f>
        <v>0</v>
      </c>
      <c r="X71" s="447">
        <f>IFERROR(__xludf.DUMMYFUNCTION("""COMPUTED_VALUE"""),0.0)</f>
        <v>0</v>
      </c>
      <c r="Y71" s="447">
        <f>IFERROR(__xludf.DUMMYFUNCTION("""COMPUTED_VALUE"""),0.0)</f>
        <v>0</v>
      </c>
      <c r="Z71" s="447">
        <f>IFERROR(__xludf.DUMMYFUNCTION("""COMPUTED_VALUE"""),0.0)</f>
        <v>0</v>
      </c>
      <c r="AA71" s="447">
        <f>IFERROR(__xludf.DUMMYFUNCTION("""COMPUTED_VALUE"""),0.0)</f>
        <v>0</v>
      </c>
      <c r="AB71" s="447">
        <f>IFERROR(__xludf.DUMMYFUNCTION("""COMPUTED_VALUE"""),0.0)</f>
        <v>0</v>
      </c>
      <c r="AC71" s="447">
        <f>IFERROR(__xludf.DUMMYFUNCTION("""COMPUTED_VALUE"""),0.0)</f>
        <v>0</v>
      </c>
      <c r="AD71" s="447">
        <f>IFERROR(__xludf.DUMMYFUNCTION("""COMPUTED_VALUE"""),0.0)</f>
        <v>0</v>
      </c>
      <c r="AE71" s="447">
        <f>IFERROR(__xludf.DUMMYFUNCTION("""COMPUTED_VALUE"""),5.0)</f>
        <v>5</v>
      </c>
      <c r="AF71" s="447">
        <f>IFERROR(__xludf.DUMMYFUNCTION("""COMPUTED_VALUE"""),2.0)</f>
        <v>2</v>
      </c>
      <c r="AG71" s="443" t="s">
        <v>98</v>
      </c>
      <c r="AH71" s="443" t="s">
        <v>343</v>
      </c>
      <c r="AI71" s="443"/>
      <c r="AJ71" s="443"/>
      <c r="AK71" s="443"/>
      <c r="AL71" s="443"/>
      <c r="AM71" s="443"/>
      <c r="AN71" s="443"/>
      <c r="AO71" s="443"/>
      <c r="AP71" s="443"/>
      <c r="AQ71" s="443"/>
      <c r="AR71" s="443"/>
      <c r="AS71" s="443"/>
      <c r="AT71" s="443"/>
      <c r="AU71" s="443"/>
      <c r="AV71" s="443"/>
      <c r="AW71" s="443"/>
      <c r="AX71" s="443"/>
      <c r="AY71" s="443"/>
      <c r="AZ71" s="443"/>
      <c r="BA71" s="443"/>
      <c r="BB71" s="443"/>
      <c r="BC71" s="443"/>
      <c r="BD71" s="443"/>
      <c r="BE71" s="443"/>
    </row>
    <row r="72" hidden="1">
      <c r="A72" s="445">
        <f t="shared" si="5"/>
        <v>45362</v>
      </c>
      <c r="B72" s="434">
        <v>429.0</v>
      </c>
      <c r="C72" s="462">
        <v>0.6416666666666667</v>
      </c>
      <c r="D72" s="462">
        <v>0.96875</v>
      </c>
      <c r="E72" s="436">
        <f t="array" ref="E72">IF(B72=0,"",(J72+K72)/60)</f>
        <v>0.25</v>
      </c>
      <c r="F72" s="437">
        <f t="shared" si="1"/>
        <v>7.85</v>
      </c>
      <c r="G72" s="438">
        <f t="shared" si="2"/>
        <v>54.64968153</v>
      </c>
      <c r="H72" s="438">
        <f t="shared" si="3"/>
        <v>56.44736842</v>
      </c>
      <c r="I72" s="436">
        <f t="shared" si="4"/>
        <v>1.115299623</v>
      </c>
      <c r="J72" s="474">
        <v>15.0</v>
      </c>
      <c r="K72" s="471"/>
      <c r="L72" s="443"/>
      <c r="M72" s="447">
        <f>IFERROR(__xludf.DUMMYFUNCTION("""COMPUTED_VALUE"""),57.0)</f>
        <v>57</v>
      </c>
      <c r="N72" s="447">
        <f>IFERROR(__xludf.DUMMYFUNCTION("""COMPUTED_VALUE"""),54.0)</f>
        <v>54</v>
      </c>
      <c r="O72" s="447">
        <f>IFERROR(__xludf.DUMMYFUNCTION("""COMPUTED_VALUE"""),0.0)</f>
        <v>0</v>
      </c>
      <c r="P72" s="447">
        <f>IFERROR(__xludf.DUMMYFUNCTION("""COMPUTED_VALUE"""),1.0)</f>
        <v>1</v>
      </c>
      <c r="Q72" s="447">
        <f>IFERROR(__xludf.DUMMYFUNCTION("""COMPUTED_VALUE"""),0.0)</f>
        <v>0</v>
      </c>
      <c r="R72" s="447">
        <f>IFERROR(__xludf.DUMMYFUNCTION("""COMPUTED_VALUE"""),0.0)</f>
        <v>0</v>
      </c>
      <c r="S72" s="447">
        <f>IFERROR(__xludf.DUMMYFUNCTION("""COMPUTED_VALUE"""),2.0)</f>
        <v>2</v>
      </c>
      <c r="T72" s="447">
        <f>IFERROR(__xludf.DUMMYFUNCTION("""COMPUTED_VALUE"""),0.0)</f>
        <v>0</v>
      </c>
      <c r="U72" s="447">
        <f>IFERROR(__xludf.DUMMYFUNCTION("""COMPUTED_VALUE"""),2.0)</f>
        <v>2</v>
      </c>
      <c r="V72" s="447">
        <f>IFERROR(__xludf.DUMMYFUNCTION("""COMPUTED_VALUE"""),3.0)</f>
        <v>3</v>
      </c>
      <c r="W72" s="447">
        <f>IFERROR(__xludf.DUMMYFUNCTION("""COMPUTED_VALUE"""),0.0)</f>
        <v>0</v>
      </c>
      <c r="X72" s="447">
        <f>IFERROR(__xludf.DUMMYFUNCTION("""COMPUTED_VALUE"""),0.0)</f>
        <v>0</v>
      </c>
      <c r="Y72" s="447">
        <f>IFERROR(__xludf.DUMMYFUNCTION("""COMPUTED_VALUE"""),0.0)</f>
        <v>0</v>
      </c>
      <c r="Z72" s="447">
        <f>IFERROR(__xludf.DUMMYFUNCTION("""COMPUTED_VALUE"""),0.0)</f>
        <v>0</v>
      </c>
      <c r="AA72" s="447">
        <f>IFERROR(__xludf.DUMMYFUNCTION("""COMPUTED_VALUE"""),0.0)</f>
        <v>0</v>
      </c>
      <c r="AB72" s="447">
        <f>IFERROR(__xludf.DUMMYFUNCTION("""COMPUTED_VALUE"""),0.0)</f>
        <v>0</v>
      </c>
      <c r="AC72" s="447">
        <f>IFERROR(__xludf.DUMMYFUNCTION("""COMPUTED_VALUE"""),0.0)</f>
        <v>0</v>
      </c>
      <c r="AD72" s="447">
        <f>IFERROR(__xludf.DUMMYFUNCTION("""COMPUTED_VALUE"""),49.0)</f>
        <v>49</v>
      </c>
      <c r="AE72" s="447">
        <f>IFERROR(__xludf.DUMMYFUNCTION("""COMPUTED_VALUE"""),9.0)</f>
        <v>9</v>
      </c>
      <c r="AF72" s="447">
        <f>IFERROR(__xludf.DUMMYFUNCTION("""COMPUTED_VALUE"""),3.0)</f>
        <v>3</v>
      </c>
      <c r="AG72" s="443" t="s">
        <v>98</v>
      </c>
      <c r="AH72" s="443" t="s">
        <v>343</v>
      </c>
      <c r="AI72" s="443"/>
      <c r="AJ72" s="443"/>
      <c r="AK72" s="443"/>
      <c r="AL72" s="443"/>
      <c r="AM72" s="443"/>
      <c r="AN72" s="443"/>
      <c r="AO72" s="443"/>
      <c r="AP72" s="443"/>
      <c r="AQ72" s="443"/>
      <c r="AR72" s="443"/>
      <c r="AS72" s="443"/>
      <c r="AT72" s="443"/>
      <c r="AU72" s="443"/>
      <c r="AV72" s="443"/>
      <c r="AW72" s="443"/>
      <c r="AX72" s="443"/>
      <c r="AY72" s="443"/>
      <c r="AZ72" s="443"/>
      <c r="BA72" s="443"/>
      <c r="BB72" s="443"/>
      <c r="BC72" s="443"/>
      <c r="BD72" s="443"/>
      <c r="BE72" s="443"/>
    </row>
    <row r="73" hidden="1">
      <c r="A73" s="445">
        <f t="shared" si="5"/>
        <v>45363</v>
      </c>
      <c r="B73" s="434">
        <v>392.0</v>
      </c>
      <c r="C73" s="462">
        <v>0.5583333333333333</v>
      </c>
      <c r="D73" s="462">
        <v>0.8777777777777778</v>
      </c>
      <c r="E73" s="436">
        <f t="array" ref="E73">IF(B73=0,"",(J73+K73)/60)</f>
        <v>0.25</v>
      </c>
      <c r="F73" s="437">
        <f t="shared" si="1"/>
        <v>7.666666667</v>
      </c>
      <c r="G73" s="438">
        <f t="shared" si="2"/>
        <v>51.13043478</v>
      </c>
      <c r="H73" s="438">
        <f t="shared" si="3"/>
        <v>52.85393258</v>
      </c>
      <c r="I73" s="436">
        <f t="shared" si="4"/>
        <v>1.043478261</v>
      </c>
      <c r="J73" s="439">
        <v>15.0</v>
      </c>
      <c r="K73" s="471"/>
      <c r="L73" s="443"/>
      <c r="M73" s="447">
        <f>IFERROR(__xludf.DUMMYFUNCTION("""COMPUTED_VALUE"""),57.0)</f>
        <v>57</v>
      </c>
      <c r="N73" s="447">
        <f>IFERROR(__xludf.DUMMYFUNCTION("""COMPUTED_VALUE"""),54.0)</f>
        <v>54</v>
      </c>
      <c r="O73" s="447">
        <f>IFERROR(__xludf.DUMMYFUNCTION("""COMPUTED_VALUE"""),0.0)</f>
        <v>0</v>
      </c>
      <c r="P73" s="447">
        <f>IFERROR(__xludf.DUMMYFUNCTION("""COMPUTED_VALUE"""),1.0)</f>
        <v>1</v>
      </c>
      <c r="Q73" s="447">
        <f>IFERROR(__xludf.DUMMYFUNCTION("""COMPUTED_VALUE"""),0.0)</f>
        <v>0</v>
      </c>
      <c r="R73" s="447">
        <f>IFERROR(__xludf.DUMMYFUNCTION("""COMPUTED_VALUE"""),0.0)</f>
        <v>0</v>
      </c>
      <c r="S73" s="447">
        <f>IFERROR(__xludf.DUMMYFUNCTION("""COMPUTED_VALUE"""),2.0)</f>
        <v>2</v>
      </c>
      <c r="T73" s="447">
        <f>IFERROR(__xludf.DUMMYFUNCTION("""COMPUTED_VALUE"""),0.0)</f>
        <v>0</v>
      </c>
      <c r="U73" s="447">
        <f>IFERROR(__xludf.DUMMYFUNCTION("""COMPUTED_VALUE"""),2.0)</f>
        <v>2</v>
      </c>
      <c r="V73" s="447">
        <f>IFERROR(__xludf.DUMMYFUNCTION("""COMPUTED_VALUE"""),3.0)</f>
        <v>3</v>
      </c>
      <c r="W73" s="447">
        <f>IFERROR(__xludf.DUMMYFUNCTION("""COMPUTED_VALUE"""),0.0)</f>
        <v>0</v>
      </c>
      <c r="X73" s="447">
        <f>IFERROR(__xludf.DUMMYFUNCTION("""COMPUTED_VALUE"""),0.0)</f>
        <v>0</v>
      </c>
      <c r="Y73" s="447">
        <f>IFERROR(__xludf.DUMMYFUNCTION("""COMPUTED_VALUE"""),0.0)</f>
        <v>0</v>
      </c>
      <c r="Z73" s="447">
        <f>IFERROR(__xludf.DUMMYFUNCTION("""COMPUTED_VALUE"""),0.0)</f>
        <v>0</v>
      </c>
      <c r="AA73" s="447">
        <f>IFERROR(__xludf.DUMMYFUNCTION("""COMPUTED_VALUE"""),0.0)</f>
        <v>0</v>
      </c>
      <c r="AB73" s="447">
        <f>IFERROR(__xludf.DUMMYFUNCTION("""COMPUTED_VALUE"""),0.0)</f>
        <v>0</v>
      </c>
      <c r="AC73" s="447">
        <f>IFERROR(__xludf.DUMMYFUNCTION("""COMPUTED_VALUE"""),0.0)</f>
        <v>0</v>
      </c>
      <c r="AD73" s="447">
        <f>IFERROR(__xludf.DUMMYFUNCTION("""COMPUTED_VALUE"""),49.0)</f>
        <v>49</v>
      </c>
      <c r="AE73" s="447">
        <f>IFERROR(__xludf.DUMMYFUNCTION("""COMPUTED_VALUE"""),9.0)</f>
        <v>9</v>
      </c>
      <c r="AF73" s="447">
        <f>IFERROR(__xludf.DUMMYFUNCTION("""COMPUTED_VALUE"""),3.0)</f>
        <v>3</v>
      </c>
      <c r="AG73" s="443" t="s">
        <v>98</v>
      </c>
      <c r="AH73" s="443" t="s">
        <v>343</v>
      </c>
      <c r="AI73" s="443"/>
      <c r="AJ73" s="443"/>
      <c r="AK73" s="443"/>
      <c r="AL73" s="443"/>
      <c r="AM73" s="443"/>
      <c r="AN73" s="443"/>
      <c r="AO73" s="443"/>
      <c r="AP73" s="443"/>
      <c r="AQ73" s="443"/>
      <c r="AR73" s="443"/>
      <c r="AS73" s="443"/>
      <c r="AT73" s="443"/>
      <c r="AU73" s="443"/>
      <c r="AV73" s="443"/>
      <c r="AW73" s="443"/>
      <c r="AX73" s="443"/>
      <c r="AY73" s="443"/>
      <c r="AZ73" s="443"/>
      <c r="BA73" s="443"/>
      <c r="BB73" s="443"/>
      <c r="BC73" s="443"/>
      <c r="BD73" s="443"/>
      <c r="BE73" s="443"/>
    </row>
    <row r="74" hidden="1">
      <c r="A74" s="445">
        <f t="shared" si="5"/>
        <v>45364</v>
      </c>
      <c r="B74" s="434">
        <v>369.0</v>
      </c>
      <c r="C74" s="462">
        <v>0.5583333333333333</v>
      </c>
      <c r="D74" s="462">
        <v>0.85</v>
      </c>
      <c r="E74" s="436">
        <f t="array" ref="E74">IF(B74=0,"",(J74+K74)/60)</f>
        <v>0.25</v>
      </c>
      <c r="F74" s="437">
        <f t="shared" si="1"/>
        <v>7</v>
      </c>
      <c r="G74" s="438">
        <f t="shared" si="2"/>
        <v>52.71428571</v>
      </c>
      <c r="H74" s="438">
        <f t="shared" si="3"/>
        <v>54.66666667</v>
      </c>
      <c r="I74" s="436">
        <f t="shared" si="4"/>
        <v>1.075801749</v>
      </c>
      <c r="J74" s="439">
        <v>15.0</v>
      </c>
      <c r="K74" s="443"/>
      <c r="L74" s="443"/>
      <c r="M74" s="447">
        <f>IFERROR(__xludf.DUMMYFUNCTION("""COMPUTED_VALUE"""),57.0)</f>
        <v>57</v>
      </c>
      <c r="N74" s="447">
        <f>IFERROR(__xludf.DUMMYFUNCTION("""COMPUTED_VALUE"""),55.0)</f>
        <v>55</v>
      </c>
      <c r="O74" s="447">
        <f>IFERROR(__xludf.DUMMYFUNCTION("""COMPUTED_VALUE"""),0.0)</f>
        <v>0</v>
      </c>
      <c r="P74" s="447">
        <f>IFERROR(__xludf.DUMMYFUNCTION("""COMPUTED_VALUE"""),2.0)</f>
        <v>2</v>
      </c>
      <c r="Q74" s="447">
        <f>IFERROR(__xludf.DUMMYFUNCTION("""COMPUTED_VALUE"""),0.0)</f>
        <v>0</v>
      </c>
      <c r="R74" s="447">
        <f>IFERROR(__xludf.DUMMYFUNCTION("""COMPUTED_VALUE"""),0.0)</f>
        <v>0</v>
      </c>
      <c r="S74" s="447">
        <f>IFERROR(__xludf.DUMMYFUNCTION("""COMPUTED_VALUE"""),2.0)</f>
        <v>2</v>
      </c>
      <c r="T74" s="447">
        <f>IFERROR(__xludf.DUMMYFUNCTION("""COMPUTED_VALUE"""),0.0)</f>
        <v>0</v>
      </c>
      <c r="U74" s="447">
        <f>IFERROR(__xludf.DUMMYFUNCTION("""COMPUTED_VALUE"""),1.0)</f>
        <v>1</v>
      </c>
      <c r="V74" s="447">
        <f>IFERROR(__xludf.DUMMYFUNCTION("""COMPUTED_VALUE"""),3.0)</f>
        <v>3</v>
      </c>
      <c r="W74" s="447">
        <f>IFERROR(__xludf.DUMMYFUNCTION("""COMPUTED_VALUE"""),0.0)</f>
        <v>0</v>
      </c>
      <c r="X74" s="447">
        <f>IFERROR(__xludf.DUMMYFUNCTION("""COMPUTED_VALUE"""),0.0)</f>
        <v>0</v>
      </c>
      <c r="Y74" s="447">
        <f>IFERROR(__xludf.DUMMYFUNCTION("""COMPUTED_VALUE"""),0.0)</f>
        <v>0</v>
      </c>
      <c r="Z74" s="447">
        <f>IFERROR(__xludf.DUMMYFUNCTION("""COMPUTED_VALUE"""),0.0)</f>
        <v>0</v>
      </c>
      <c r="AA74" s="447">
        <f>IFERROR(__xludf.DUMMYFUNCTION("""COMPUTED_VALUE"""),0.0)</f>
        <v>0</v>
      </c>
      <c r="AB74" s="447">
        <f>IFERROR(__xludf.DUMMYFUNCTION("""COMPUTED_VALUE"""),0.0)</f>
        <v>0</v>
      </c>
      <c r="AC74" s="447">
        <f>IFERROR(__xludf.DUMMYFUNCTION("""COMPUTED_VALUE"""),0.0)</f>
        <v>0</v>
      </c>
      <c r="AD74" s="447">
        <f>IFERROR(__xludf.DUMMYFUNCTION("""COMPUTED_VALUE"""),49.0)</f>
        <v>49</v>
      </c>
      <c r="AE74" s="447">
        <f>IFERROR(__xludf.DUMMYFUNCTION("""COMPUTED_VALUE"""),9.0)</f>
        <v>9</v>
      </c>
      <c r="AF74" s="447">
        <f>IFERROR(__xludf.DUMMYFUNCTION("""COMPUTED_VALUE"""),2.0)</f>
        <v>2</v>
      </c>
      <c r="AG74" s="443" t="s">
        <v>98</v>
      </c>
      <c r="AH74" s="443" t="s">
        <v>343</v>
      </c>
      <c r="AI74" s="443"/>
      <c r="AJ74" s="443"/>
      <c r="AK74" s="443"/>
      <c r="AL74" s="443"/>
      <c r="AM74" s="443"/>
      <c r="AN74" s="443"/>
      <c r="AO74" s="443"/>
      <c r="AP74" s="443"/>
      <c r="AQ74" s="443"/>
      <c r="AR74" s="443"/>
      <c r="AS74" s="443"/>
      <c r="AT74" s="443"/>
      <c r="AU74" s="443"/>
      <c r="AV74" s="443"/>
      <c r="AW74" s="443"/>
      <c r="AX74" s="443"/>
      <c r="AY74" s="443"/>
      <c r="AZ74" s="443"/>
      <c r="BA74" s="443"/>
      <c r="BB74" s="443"/>
      <c r="BC74" s="443"/>
      <c r="BD74" s="443"/>
      <c r="BE74" s="443"/>
    </row>
    <row r="75" hidden="1">
      <c r="A75" s="445">
        <f t="shared" si="5"/>
        <v>45365</v>
      </c>
      <c r="B75" s="434">
        <v>477.0</v>
      </c>
      <c r="C75" s="462">
        <v>0.5583333333333333</v>
      </c>
      <c r="D75" s="462">
        <v>0.8493055555555555</v>
      </c>
      <c r="E75" s="436">
        <f t="array" ref="E75">IF(B75=0,"",(J75+K75)/60)</f>
        <v>0.25</v>
      </c>
      <c r="F75" s="437">
        <f t="shared" si="1"/>
        <v>6.983333333</v>
      </c>
      <c r="G75" s="438">
        <f t="shared" si="2"/>
        <v>68.30548926</v>
      </c>
      <c r="H75" s="438">
        <f t="shared" si="3"/>
        <v>70.84158416</v>
      </c>
      <c r="I75" s="436">
        <f t="shared" si="4"/>
        <v>1.423031026</v>
      </c>
      <c r="J75" s="439">
        <v>15.0</v>
      </c>
      <c r="K75" s="471"/>
      <c r="L75" s="443"/>
      <c r="M75" s="447">
        <f>IFERROR(__xludf.DUMMYFUNCTION("""COMPUTED_VALUE"""),57.0)</f>
        <v>57</v>
      </c>
      <c r="N75" s="447">
        <f>IFERROR(__xludf.DUMMYFUNCTION("""COMPUTED_VALUE"""),54.0)</f>
        <v>54</v>
      </c>
      <c r="O75" s="447">
        <f>IFERROR(__xludf.DUMMYFUNCTION("""COMPUTED_VALUE"""),1.0)</f>
        <v>1</v>
      </c>
      <c r="P75" s="447">
        <f>IFERROR(__xludf.DUMMYFUNCTION("""COMPUTED_VALUE"""),0.0)</f>
        <v>0</v>
      </c>
      <c r="Q75" s="447">
        <f>IFERROR(__xludf.DUMMYFUNCTION("""COMPUTED_VALUE"""),0.0)</f>
        <v>0</v>
      </c>
      <c r="R75" s="447">
        <f>IFERROR(__xludf.DUMMYFUNCTION("""COMPUTED_VALUE"""),0.0)</f>
        <v>0</v>
      </c>
      <c r="S75" s="447">
        <f>IFERROR(__xludf.DUMMYFUNCTION("""COMPUTED_VALUE"""),3.0)</f>
        <v>3</v>
      </c>
      <c r="T75" s="447">
        <f>IFERROR(__xludf.DUMMYFUNCTION("""COMPUTED_VALUE"""),0.0)</f>
        <v>0</v>
      </c>
      <c r="U75" s="447">
        <f>IFERROR(__xludf.DUMMYFUNCTION("""COMPUTED_VALUE"""),2.0)</f>
        <v>2</v>
      </c>
      <c r="V75" s="447">
        <f>IFERROR(__xludf.DUMMYFUNCTION("""COMPUTED_VALUE"""),3.0)</f>
        <v>3</v>
      </c>
      <c r="W75" s="447">
        <f>IFERROR(__xludf.DUMMYFUNCTION("""COMPUTED_VALUE"""),0.0)</f>
        <v>0</v>
      </c>
      <c r="X75" s="447">
        <f>IFERROR(__xludf.DUMMYFUNCTION("""COMPUTED_VALUE"""),0.0)</f>
        <v>0</v>
      </c>
      <c r="Y75" s="447">
        <f>IFERROR(__xludf.DUMMYFUNCTION("""COMPUTED_VALUE"""),0.0)</f>
        <v>0</v>
      </c>
      <c r="Z75" s="447">
        <f>IFERROR(__xludf.DUMMYFUNCTION("""COMPUTED_VALUE"""),0.0)</f>
        <v>0</v>
      </c>
      <c r="AA75" s="447">
        <f>IFERROR(__xludf.DUMMYFUNCTION("""COMPUTED_VALUE"""),0.0)</f>
        <v>0</v>
      </c>
      <c r="AB75" s="447">
        <f>IFERROR(__xludf.DUMMYFUNCTION("""COMPUTED_VALUE"""),0.0)</f>
        <v>0</v>
      </c>
      <c r="AC75" s="447">
        <f>IFERROR(__xludf.DUMMYFUNCTION("""COMPUTED_VALUE"""),0.0)</f>
        <v>0</v>
      </c>
      <c r="AD75" s="447">
        <f>IFERROR(__xludf.DUMMYFUNCTION("""COMPUTED_VALUE"""),48.0)</f>
        <v>48</v>
      </c>
      <c r="AE75" s="447">
        <f>IFERROR(__xludf.DUMMYFUNCTION("""COMPUTED_VALUE"""),10.0)</f>
        <v>10</v>
      </c>
      <c r="AF75" s="447">
        <f>IFERROR(__xludf.DUMMYFUNCTION("""COMPUTED_VALUE"""),3.0)</f>
        <v>3</v>
      </c>
      <c r="AG75" s="443" t="s">
        <v>98</v>
      </c>
      <c r="AH75" s="443" t="s">
        <v>343</v>
      </c>
      <c r="AI75" s="443"/>
      <c r="AJ75" s="443"/>
      <c r="AK75" s="443"/>
      <c r="AL75" s="443"/>
      <c r="AM75" s="443"/>
      <c r="AN75" s="443"/>
      <c r="AO75" s="443"/>
      <c r="AP75" s="443"/>
      <c r="AQ75" s="443"/>
      <c r="AR75" s="443"/>
      <c r="AS75" s="443"/>
      <c r="AT75" s="443"/>
      <c r="AU75" s="443"/>
      <c r="AV75" s="443"/>
      <c r="AW75" s="443"/>
      <c r="AX75" s="443"/>
      <c r="AY75" s="443"/>
      <c r="AZ75" s="443"/>
      <c r="BA75" s="443"/>
      <c r="BB75" s="443"/>
      <c r="BC75" s="443"/>
      <c r="BD75" s="443"/>
      <c r="BE75" s="443"/>
    </row>
    <row r="76" hidden="1">
      <c r="A76" s="445">
        <f t="shared" si="5"/>
        <v>45366</v>
      </c>
      <c r="B76" s="434">
        <v>570.0</v>
      </c>
      <c r="C76" s="462">
        <v>0.5583333333333333</v>
      </c>
      <c r="D76" s="462">
        <v>0.9847222222222223</v>
      </c>
      <c r="E76" s="436">
        <f t="array" ref="E76">IF(B76=0,"",(J76+K76)/60)</f>
        <v>1</v>
      </c>
      <c r="F76" s="437">
        <f t="shared" si="1"/>
        <v>10.23333333</v>
      </c>
      <c r="G76" s="438">
        <f t="shared" si="2"/>
        <v>55.70032573</v>
      </c>
      <c r="H76" s="438">
        <f t="shared" si="3"/>
        <v>61.73285199</v>
      </c>
      <c r="I76" s="436">
        <f t="shared" si="4"/>
        <v>1.136741341</v>
      </c>
      <c r="J76" s="446">
        <v>60.0</v>
      </c>
      <c r="K76" s="471"/>
      <c r="L76" s="443"/>
      <c r="M76" s="447">
        <f>IFERROR(__xludf.DUMMYFUNCTION("""COMPUTED_VALUE"""),57.0)</f>
        <v>57</v>
      </c>
      <c r="N76" s="447">
        <f>IFERROR(__xludf.DUMMYFUNCTION("""COMPUTED_VALUE"""),54.0)</f>
        <v>54</v>
      </c>
      <c r="O76" s="447">
        <f>IFERROR(__xludf.DUMMYFUNCTION("""COMPUTED_VALUE"""),0.0)</f>
        <v>0</v>
      </c>
      <c r="P76" s="447">
        <f>IFERROR(__xludf.DUMMYFUNCTION("""COMPUTED_VALUE"""),0.0)</f>
        <v>0</v>
      </c>
      <c r="Q76" s="447">
        <f>IFERROR(__xludf.DUMMYFUNCTION("""COMPUTED_VALUE"""),0.0)</f>
        <v>0</v>
      </c>
      <c r="R76" s="447">
        <f>IFERROR(__xludf.DUMMYFUNCTION("""COMPUTED_VALUE"""),0.0)</f>
        <v>0</v>
      </c>
      <c r="S76" s="447">
        <f>IFERROR(__xludf.DUMMYFUNCTION("""COMPUTED_VALUE"""),3.0)</f>
        <v>3</v>
      </c>
      <c r="T76" s="447">
        <f>IFERROR(__xludf.DUMMYFUNCTION("""COMPUTED_VALUE"""),0.0)</f>
        <v>0</v>
      </c>
      <c r="U76" s="447">
        <f>IFERROR(__xludf.DUMMYFUNCTION("""COMPUTED_VALUE"""),2.0)</f>
        <v>2</v>
      </c>
      <c r="V76" s="447">
        <f>IFERROR(__xludf.DUMMYFUNCTION("""COMPUTED_VALUE"""),3.0)</f>
        <v>3</v>
      </c>
      <c r="W76" s="447">
        <f>IFERROR(__xludf.DUMMYFUNCTION("""COMPUTED_VALUE"""),0.0)</f>
        <v>0</v>
      </c>
      <c r="X76" s="447">
        <f>IFERROR(__xludf.DUMMYFUNCTION("""COMPUTED_VALUE"""),0.0)</f>
        <v>0</v>
      </c>
      <c r="Y76" s="447">
        <f>IFERROR(__xludf.DUMMYFUNCTION("""COMPUTED_VALUE"""),0.0)</f>
        <v>0</v>
      </c>
      <c r="Z76" s="447">
        <f>IFERROR(__xludf.DUMMYFUNCTION("""COMPUTED_VALUE"""),0.0)</f>
        <v>0</v>
      </c>
      <c r="AA76" s="447">
        <f>IFERROR(__xludf.DUMMYFUNCTION("""COMPUTED_VALUE"""),0.0)</f>
        <v>0</v>
      </c>
      <c r="AB76" s="447">
        <f>IFERROR(__xludf.DUMMYFUNCTION("""COMPUTED_VALUE"""),0.0)</f>
        <v>0</v>
      </c>
      <c r="AC76" s="447">
        <f>IFERROR(__xludf.DUMMYFUNCTION("""COMPUTED_VALUE"""),0.0)</f>
        <v>0</v>
      </c>
      <c r="AD76" s="447">
        <f>IFERROR(__xludf.DUMMYFUNCTION("""COMPUTED_VALUE"""),49.0)</f>
        <v>49</v>
      </c>
      <c r="AE76" s="447">
        <f>IFERROR(__xludf.DUMMYFUNCTION("""COMPUTED_VALUE"""),9.0)</f>
        <v>9</v>
      </c>
      <c r="AF76" s="447">
        <f>IFERROR(__xludf.DUMMYFUNCTION("""COMPUTED_VALUE"""),3.0)</f>
        <v>3</v>
      </c>
      <c r="AG76" s="443" t="s">
        <v>98</v>
      </c>
      <c r="AH76" s="443" t="s">
        <v>343</v>
      </c>
      <c r="AI76" s="443"/>
      <c r="AJ76" s="443"/>
      <c r="AK76" s="443"/>
      <c r="AL76" s="443"/>
      <c r="AM76" s="443"/>
      <c r="AN76" s="443"/>
      <c r="AO76" s="443"/>
      <c r="AP76" s="443"/>
      <c r="AQ76" s="443"/>
      <c r="AR76" s="443"/>
      <c r="AS76" s="443"/>
      <c r="AT76" s="443"/>
      <c r="AU76" s="443"/>
      <c r="AV76" s="443"/>
      <c r="AW76" s="443"/>
      <c r="AX76" s="443"/>
      <c r="AY76" s="443"/>
      <c r="AZ76" s="443"/>
      <c r="BA76" s="443"/>
      <c r="BB76" s="443"/>
      <c r="BC76" s="443"/>
      <c r="BD76" s="443"/>
      <c r="BE76" s="443"/>
    </row>
    <row r="77" hidden="1">
      <c r="A77" s="445">
        <f t="shared" si="5"/>
        <v>45367</v>
      </c>
      <c r="B77" s="434">
        <v>366.0</v>
      </c>
      <c r="C77" s="462">
        <v>0.5166666666666667</v>
      </c>
      <c r="D77" s="462">
        <v>0.7972222222222223</v>
      </c>
      <c r="E77" s="436">
        <f t="array" ref="E77">IF(B77=0,"",(J77+K77)/60)</f>
        <v>0.25</v>
      </c>
      <c r="F77" s="437">
        <f t="shared" si="1"/>
        <v>6.733333333</v>
      </c>
      <c r="G77" s="438">
        <f t="shared" si="2"/>
        <v>54.35643564</v>
      </c>
      <c r="H77" s="438">
        <f t="shared" si="3"/>
        <v>56.45244216</v>
      </c>
      <c r="I77" s="436">
        <f t="shared" si="4"/>
        <v>1.087128713</v>
      </c>
      <c r="J77" s="474">
        <v>15.0</v>
      </c>
      <c r="K77" s="471"/>
      <c r="L77" s="443"/>
      <c r="M77" s="447">
        <f>IFERROR(__xludf.DUMMYFUNCTION("""COMPUTED_VALUE"""),57.0)</f>
        <v>57</v>
      </c>
      <c r="N77" s="447">
        <f>IFERROR(__xludf.DUMMYFUNCTION("""COMPUTED_VALUE"""),54.0)</f>
        <v>54</v>
      </c>
      <c r="O77" s="447">
        <f>IFERROR(__xludf.DUMMYFUNCTION("""COMPUTED_VALUE"""),0.0)</f>
        <v>0</v>
      </c>
      <c r="P77" s="447">
        <f>IFERROR(__xludf.DUMMYFUNCTION("""COMPUTED_VALUE"""),0.0)</f>
        <v>0</v>
      </c>
      <c r="Q77" s="447">
        <f>IFERROR(__xludf.DUMMYFUNCTION("""COMPUTED_VALUE"""),1.0)</f>
        <v>1</v>
      </c>
      <c r="R77" s="447">
        <f>IFERROR(__xludf.DUMMYFUNCTION("""COMPUTED_VALUE"""),0.0)</f>
        <v>0</v>
      </c>
      <c r="S77" s="447">
        <f>IFERROR(__xludf.DUMMYFUNCTION("""COMPUTED_VALUE"""),1.0)</f>
        <v>1</v>
      </c>
      <c r="T77" s="447">
        <f>IFERROR(__xludf.DUMMYFUNCTION("""COMPUTED_VALUE"""),0.0)</f>
        <v>0</v>
      </c>
      <c r="U77" s="447">
        <f>IFERROR(__xludf.DUMMYFUNCTION("""COMPUTED_VALUE"""),2.0)</f>
        <v>2</v>
      </c>
      <c r="V77" s="447">
        <f>IFERROR(__xludf.DUMMYFUNCTION("""COMPUTED_VALUE"""),0.0)</f>
        <v>0</v>
      </c>
      <c r="W77" s="447">
        <f>IFERROR(__xludf.DUMMYFUNCTION("""COMPUTED_VALUE"""),0.0)</f>
        <v>0</v>
      </c>
      <c r="X77" s="447">
        <f>IFERROR(__xludf.DUMMYFUNCTION("""COMPUTED_VALUE"""),0.0)</f>
        <v>0</v>
      </c>
      <c r="Y77" s="447">
        <f>IFERROR(__xludf.DUMMYFUNCTION("""COMPUTED_VALUE"""),0.0)</f>
        <v>0</v>
      </c>
      <c r="Z77" s="447">
        <f>IFERROR(__xludf.DUMMYFUNCTION("""COMPUTED_VALUE"""),0.0)</f>
        <v>0</v>
      </c>
      <c r="AA77" s="447">
        <f>IFERROR(__xludf.DUMMYFUNCTION("""COMPUTED_VALUE"""),3.0)</f>
        <v>3</v>
      </c>
      <c r="AB77" s="447">
        <f>IFERROR(__xludf.DUMMYFUNCTION("""COMPUTED_VALUE"""),0.0)</f>
        <v>0</v>
      </c>
      <c r="AC77" s="447">
        <f>IFERROR(__xludf.DUMMYFUNCTION("""COMPUTED_VALUE"""),0.0)</f>
        <v>0</v>
      </c>
      <c r="AD77" s="447">
        <f>IFERROR(__xludf.DUMMYFUNCTION("""COMPUTED_VALUE"""),50.0)</f>
        <v>50</v>
      </c>
      <c r="AE77" s="447">
        <f>IFERROR(__xludf.DUMMYFUNCTION("""COMPUTED_VALUE"""),8.0)</f>
        <v>8</v>
      </c>
      <c r="AF77" s="447">
        <f>IFERROR(__xludf.DUMMYFUNCTION("""COMPUTED_VALUE"""),3.0)</f>
        <v>3</v>
      </c>
      <c r="AG77" s="443" t="s">
        <v>98</v>
      </c>
      <c r="AH77" s="443" t="s">
        <v>343</v>
      </c>
      <c r="AI77" s="443"/>
      <c r="AJ77" s="443"/>
      <c r="AK77" s="443"/>
      <c r="AL77" s="443"/>
      <c r="AM77" s="443"/>
      <c r="AN77" s="443"/>
      <c r="AO77" s="443"/>
      <c r="AP77" s="443"/>
      <c r="AQ77" s="443"/>
      <c r="AR77" s="443"/>
      <c r="AS77" s="443"/>
      <c r="AT77" s="443"/>
      <c r="AU77" s="443"/>
      <c r="AV77" s="443"/>
      <c r="AW77" s="443"/>
      <c r="AX77" s="443"/>
      <c r="AY77" s="443"/>
      <c r="AZ77" s="443"/>
      <c r="BA77" s="443"/>
      <c r="BB77" s="443"/>
      <c r="BC77" s="443"/>
      <c r="BD77" s="443"/>
      <c r="BE77" s="443"/>
    </row>
    <row r="78" hidden="1">
      <c r="A78" s="445">
        <f t="shared" si="5"/>
        <v>45368</v>
      </c>
      <c r="B78" s="434">
        <v>0.0</v>
      </c>
      <c r="C78" s="443"/>
      <c r="D78" s="443"/>
      <c r="E78" s="436" t="str">
        <f t="array" ref="E78">IF(B78=0,"",(J78+K78)/60)</f>
        <v/>
      </c>
      <c r="F78" s="437" t="str">
        <f t="shared" si="1"/>
        <v/>
      </c>
      <c r="G78" s="438" t="str">
        <f t="shared" si="2"/>
        <v/>
      </c>
      <c r="H78" s="438" t="str">
        <f t="shared" si="3"/>
        <v/>
      </c>
      <c r="I78" s="436" t="str">
        <f t="shared" si="4"/>
        <v/>
      </c>
      <c r="J78" s="440"/>
      <c r="K78" s="471"/>
      <c r="L78" s="443"/>
      <c r="M78" s="447">
        <f>IFERROR(__xludf.DUMMYFUNCTION("""COMPUTED_VALUE"""),57.0)</f>
        <v>57</v>
      </c>
      <c r="N78" s="447">
        <f>IFERROR(__xludf.DUMMYFUNCTION("""COMPUTED_VALUE"""),57.0)</f>
        <v>57</v>
      </c>
      <c r="O78" s="447">
        <f>IFERROR(__xludf.DUMMYFUNCTION("""COMPUTED_VALUE"""),0.0)</f>
        <v>0</v>
      </c>
      <c r="P78" s="447">
        <f>IFERROR(__xludf.DUMMYFUNCTION("""COMPUTED_VALUE"""),0.0)</f>
        <v>0</v>
      </c>
      <c r="Q78" s="447">
        <f>IFERROR(__xludf.DUMMYFUNCTION("""COMPUTED_VALUE"""),0.0)</f>
        <v>0</v>
      </c>
      <c r="R78" s="447">
        <f>IFERROR(__xludf.DUMMYFUNCTION("""COMPUTED_VALUE"""),0.0)</f>
        <v>0</v>
      </c>
      <c r="S78" s="447">
        <f>IFERROR(__xludf.DUMMYFUNCTION("""COMPUTED_VALUE"""),0.0)</f>
        <v>0</v>
      </c>
      <c r="T78" s="447">
        <f>IFERROR(__xludf.DUMMYFUNCTION("""COMPUTED_VALUE"""),0.0)</f>
        <v>0</v>
      </c>
      <c r="U78" s="447">
        <f>IFERROR(__xludf.DUMMYFUNCTION("""COMPUTED_VALUE"""),0.0)</f>
        <v>0</v>
      </c>
      <c r="V78" s="447">
        <f>IFERROR(__xludf.DUMMYFUNCTION("""COMPUTED_VALUE"""),0.0)</f>
        <v>0</v>
      </c>
      <c r="W78" s="447">
        <f>IFERROR(__xludf.DUMMYFUNCTION("""COMPUTED_VALUE"""),0.0)</f>
        <v>0</v>
      </c>
      <c r="X78" s="447">
        <f>IFERROR(__xludf.DUMMYFUNCTION("""COMPUTED_VALUE"""),0.0)</f>
        <v>0</v>
      </c>
      <c r="Y78" s="447">
        <f>IFERROR(__xludf.DUMMYFUNCTION("""COMPUTED_VALUE"""),0.0)</f>
        <v>0</v>
      </c>
      <c r="Z78" s="447">
        <f>IFERROR(__xludf.DUMMYFUNCTION("""COMPUTED_VALUE"""),0.0)</f>
        <v>0</v>
      </c>
      <c r="AA78" s="447">
        <f>IFERROR(__xludf.DUMMYFUNCTION("""COMPUTED_VALUE"""),0.0)</f>
        <v>0</v>
      </c>
      <c r="AB78" s="447">
        <f>IFERROR(__xludf.DUMMYFUNCTION("""COMPUTED_VALUE"""),0.0)</f>
        <v>0</v>
      </c>
      <c r="AC78" s="447">
        <f>IFERROR(__xludf.DUMMYFUNCTION("""COMPUTED_VALUE"""),0.0)</f>
        <v>0</v>
      </c>
      <c r="AD78" s="447">
        <f>IFERROR(__xludf.DUMMYFUNCTION("""COMPUTED_VALUE"""),0.0)</f>
        <v>0</v>
      </c>
      <c r="AE78" s="447">
        <f>IFERROR(__xludf.DUMMYFUNCTION("""COMPUTED_VALUE"""),0.0)</f>
        <v>0</v>
      </c>
      <c r="AF78" s="447">
        <f>IFERROR(__xludf.DUMMYFUNCTION("""COMPUTED_VALUE"""),0.0)</f>
        <v>0</v>
      </c>
      <c r="AG78" s="443" t="s">
        <v>98</v>
      </c>
      <c r="AH78" s="443" t="s">
        <v>343</v>
      </c>
      <c r="AI78" s="443"/>
      <c r="AJ78" s="443"/>
      <c r="AK78" s="443"/>
      <c r="AL78" s="443"/>
      <c r="AM78" s="443"/>
      <c r="AN78" s="443"/>
      <c r="AO78" s="443"/>
      <c r="AP78" s="443"/>
      <c r="AQ78" s="443"/>
      <c r="AR78" s="443"/>
      <c r="AS78" s="443"/>
      <c r="AT78" s="443"/>
      <c r="AU78" s="443"/>
      <c r="AV78" s="443"/>
      <c r="AW78" s="443"/>
      <c r="AX78" s="443"/>
      <c r="AY78" s="443"/>
      <c r="AZ78" s="443"/>
      <c r="BA78" s="443"/>
      <c r="BB78" s="443"/>
      <c r="BC78" s="443"/>
      <c r="BD78" s="443"/>
      <c r="BE78" s="443"/>
    </row>
    <row r="79" hidden="1">
      <c r="A79" s="445">
        <f t="shared" si="5"/>
        <v>45369</v>
      </c>
      <c r="B79" s="434">
        <v>363.0</v>
      </c>
      <c r="C79" s="462">
        <v>0.5583333333333333</v>
      </c>
      <c r="D79" s="462">
        <v>0.8888888888888888</v>
      </c>
      <c r="E79" s="436">
        <f t="array" ref="E79">IF(B79=0,"",(J79+K79)/60)</f>
        <v>1.05</v>
      </c>
      <c r="F79" s="437">
        <f t="shared" si="1"/>
        <v>7.933333333</v>
      </c>
      <c r="G79" s="438">
        <f t="shared" si="2"/>
        <v>45.75630252</v>
      </c>
      <c r="H79" s="438">
        <f t="shared" si="3"/>
        <v>52.73607748</v>
      </c>
      <c r="I79" s="436">
        <f t="shared" si="4"/>
        <v>0.9532563025</v>
      </c>
      <c r="J79" s="474">
        <v>15.0</v>
      </c>
      <c r="K79" s="449">
        <v>48.0</v>
      </c>
      <c r="L79" s="443"/>
      <c r="M79" s="447">
        <f>IFERROR(__xludf.DUMMYFUNCTION("""COMPUTED_VALUE"""),57.0)</f>
        <v>57</v>
      </c>
      <c r="N79" s="447">
        <f>IFERROR(__xludf.DUMMYFUNCTION("""COMPUTED_VALUE"""),54.0)</f>
        <v>54</v>
      </c>
      <c r="O79" s="447">
        <f>IFERROR(__xludf.DUMMYFUNCTION("""COMPUTED_VALUE"""),0.0)</f>
        <v>0</v>
      </c>
      <c r="P79" s="447">
        <f>IFERROR(__xludf.DUMMYFUNCTION("""COMPUTED_VALUE"""),0.0)</f>
        <v>0</v>
      </c>
      <c r="Q79" s="447">
        <f>IFERROR(__xludf.DUMMYFUNCTION("""COMPUTED_VALUE"""),1.0)</f>
        <v>1</v>
      </c>
      <c r="R79" s="447">
        <f>IFERROR(__xludf.DUMMYFUNCTION("""COMPUTED_VALUE"""),0.0)</f>
        <v>0</v>
      </c>
      <c r="S79" s="447">
        <f>IFERROR(__xludf.DUMMYFUNCTION("""COMPUTED_VALUE"""),2.0)</f>
        <v>2</v>
      </c>
      <c r="T79" s="447">
        <f>IFERROR(__xludf.DUMMYFUNCTION("""COMPUTED_VALUE"""),0.0)</f>
        <v>0</v>
      </c>
      <c r="U79" s="447">
        <f>IFERROR(__xludf.DUMMYFUNCTION("""COMPUTED_VALUE"""),2.0)</f>
        <v>2</v>
      </c>
      <c r="V79" s="447">
        <f>IFERROR(__xludf.DUMMYFUNCTION("""COMPUTED_VALUE"""),3.0)</f>
        <v>3</v>
      </c>
      <c r="W79" s="447">
        <f>IFERROR(__xludf.DUMMYFUNCTION("""COMPUTED_VALUE"""),0.0)</f>
        <v>0</v>
      </c>
      <c r="X79" s="447">
        <f>IFERROR(__xludf.DUMMYFUNCTION("""COMPUTED_VALUE"""),0.0)</f>
        <v>0</v>
      </c>
      <c r="Y79" s="447">
        <f>IFERROR(__xludf.DUMMYFUNCTION("""COMPUTED_VALUE"""),1.0)</f>
        <v>1</v>
      </c>
      <c r="Z79" s="447">
        <f>IFERROR(__xludf.DUMMYFUNCTION("""COMPUTED_VALUE"""),0.0)</f>
        <v>0</v>
      </c>
      <c r="AA79" s="447">
        <f>IFERROR(__xludf.DUMMYFUNCTION("""COMPUTED_VALUE"""),0.0)</f>
        <v>0</v>
      </c>
      <c r="AB79" s="447">
        <f>IFERROR(__xludf.DUMMYFUNCTION("""COMPUTED_VALUE"""),0.0)</f>
        <v>0</v>
      </c>
      <c r="AC79" s="447">
        <f>IFERROR(__xludf.DUMMYFUNCTION("""COMPUTED_VALUE"""),0.0)</f>
        <v>0</v>
      </c>
      <c r="AD79" s="447">
        <f>IFERROR(__xludf.DUMMYFUNCTION("""COMPUTED_VALUE"""),48.0)</f>
        <v>48</v>
      </c>
      <c r="AE79" s="447">
        <f>IFERROR(__xludf.DUMMYFUNCTION("""COMPUTED_VALUE"""),10.0)</f>
        <v>10</v>
      </c>
      <c r="AF79" s="447">
        <f>IFERROR(__xludf.DUMMYFUNCTION("""COMPUTED_VALUE"""),3.0)</f>
        <v>3</v>
      </c>
      <c r="AG79" s="443" t="s">
        <v>98</v>
      </c>
      <c r="AH79" s="443" t="s">
        <v>343</v>
      </c>
      <c r="AI79" s="443"/>
      <c r="AJ79" s="443"/>
      <c r="AK79" s="443"/>
      <c r="AL79" s="443"/>
      <c r="AM79" s="443"/>
      <c r="AN79" s="443"/>
      <c r="AO79" s="443"/>
      <c r="AP79" s="443"/>
      <c r="AQ79" s="443"/>
      <c r="AR79" s="443"/>
      <c r="AS79" s="443"/>
      <c r="AT79" s="443"/>
      <c r="AU79" s="443"/>
      <c r="AV79" s="443"/>
      <c r="AW79" s="443"/>
      <c r="AX79" s="443"/>
      <c r="AY79" s="443"/>
      <c r="AZ79" s="443"/>
      <c r="BA79" s="443"/>
      <c r="BB79" s="443"/>
      <c r="BC79" s="443"/>
      <c r="BD79" s="443"/>
      <c r="BE79" s="443"/>
    </row>
    <row r="80" hidden="1">
      <c r="A80" s="445">
        <f t="shared" si="5"/>
        <v>45370</v>
      </c>
      <c r="B80" s="434">
        <v>442.0</v>
      </c>
      <c r="C80" s="462">
        <v>0.5583333333333333</v>
      </c>
      <c r="D80" s="462">
        <v>0.91875</v>
      </c>
      <c r="E80" s="436">
        <f t="array" ref="E80">IF(B80=0,"",(J80+K80)/60)</f>
        <v>0.25</v>
      </c>
      <c r="F80" s="437">
        <f t="shared" si="1"/>
        <v>8.65</v>
      </c>
      <c r="G80" s="438">
        <f t="shared" si="2"/>
        <v>51.0982659</v>
      </c>
      <c r="H80" s="438">
        <f t="shared" si="3"/>
        <v>52.61904762</v>
      </c>
      <c r="I80" s="436">
        <f t="shared" si="4"/>
        <v>1.087197147</v>
      </c>
      <c r="J80" s="439">
        <v>15.0</v>
      </c>
      <c r="K80" s="471"/>
      <c r="L80" s="443"/>
      <c r="M80" s="447">
        <f>IFERROR(__xludf.DUMMYFUNCTION("""COMPUTED_VALUE"""),57.0)</f>
        <v>57</v>
      </c>
      <c r="N80" s="447">
        <f>IFERROR(__xludf.DUMMYFUNCTION("""COMPUTED_VALUE"""),54.0)</f>
        <v>54</v>
      </c>
      <c r="O80" s="447">
        <f>IFERROR(__xludf.DUMMYFUNCTION("""COMPUTED_VALUE"""),0.0)</f>
        <v>0</v>
      </c>
      <c r="P80" s="447">
        <f>IFERROR(__xludf.DUMMYFUNCTION("""COMPUTED_VALUE"""),0.0)</f>
        <v>0</v>
      </c>
      <c r="Q80" s="447">
        <f>IFERROR(__xludf.DUMMYFUNCTION("""COMPUTED_VALUE"""),1.0)</f>
        <v>1</v>
      </c>
      <c r="R80" s="447">
        <f>IFERROR(__xludf.DUMMYFUNCTION("""COMPUTED_VALUE"""),0.0)</f>
        <v>0</v>
      </c>
      <c r="S80" s="447">
        <f>IFERROR(__xludf.DUMMYFUNCTION("""COMPUTED_VALUE"""),3.0)</f>
        <v>3</v>
      </c>
      <c r="T80" s="447">
        <f>IFERROR(__xludf.DUMMYFUNCTION("""COMPUTED_VALUE"""),0.0)</f>
        <v>0</v>
      </c>
      <c r="U80" s="447">
        <f>IFERROR(__xludf.DUMMYFUNCTION("""COMPUTED_VALUE"""),2.0)</f>
        <v>2</v>
      </c>
      <c r="V80" s="447">
        <f>IFERROR(__xludf.DUMMYFUNCTION("""COMPUTED_VALUE"""),3.0)</f>
        <v>3</v>
      </c>
      <c r="W80" s="447">
        <f>IFERROR(__xludf.DUMMYFUNCTION("""COMPUTED_VALUE"""),0.0)</f>
        <v>0</v>
      </c>
      <c r="X80" s="447">
        <f>IFERROR(__xludf.DUMMYFUNCTION("""COMPUTED_VALUE"""),0.0)</f>
        <v>0</v>
      </c>
      <c r="Y80" s="447">
        <f>IFERROR(__xludf.DUMMYFUNCTION("""COMPUTED_VALUE"""),1.0)</f>
        <v>1</v>
      </c>
      <c r="Z80" s="447">
        <f>IFERROR(__xludf.DUMMYFUNCTION("""COMPUTED_VALUE"""),0.0)</f>
        <v>0</v>
      </c>
      <c r="AA80" s="447">
        <f>IFERROR(__xludf.DUMMYFUNCTION("""COMPUTED_VALUE"""),0.0)</f>
        <v>0</v>
      </c>
      <c r="AB80" s="447">
        <f>IFERROR(__xludf.DUMMYFUNCTION("""COMPUTED_VALUE"""),0.0)</f>
        <v>0</v>
      </c>
      <c r="AC80" s="447">
        <f>IFERROR(__xludf.DUMMYFUNCTION("""COMPUTED_VALUE"""),0.0)</f>
        <v>0</v>
      </c>
      <c r="AD80" s="447">
        <f>IFERROR(__xludf.DUMMYFUNCTION("""COMPUTED_VALUE"""),47.0)</f>
        <v>47</v>
      </c>
      <c r="AE80" s="447">
        <f>IFERROR(__xludf.DUMMYFUNCTION("""COMPUTED_VALUE"""),11.0)</f>
        <v>11</v>
      </c>
      <c r="AF80" s="447">
        <f>IFERROR(__xludf.DUMMYFUNCTION("""COMPUTED_VALUE"""),3.0)</f>
        <v>3</v>
      </c>
      <c r="AG80" s="443" t="s">
        <v>98</v>
      </c>
      <c r="AH80" s="443" t="s">
        <v>343</v>
      </c>
      <c r="AI80" s="443"/>
      <c r="AJ80" s="443"/>
      <c r="AK80" s="443"/>
      <c r="AL80" s="443"/>
      <c r="AM80" s="443"/>
      <c r="AN80" s="443"/>
      <c r="AO80" s="443"/>
      <c r="AP80" s="443"/>
      <c r="AQ80" s="443"/>
      <c r="AR80" s="443"/>
      <c r="AS80" s="443"/>
      <c r="AT80" s="443"/>
      <c r="AU80" s="443"/>
      <c r="AV80" s="443"/>
      <c r="AW80" s="443"/>
      <c r="AX80" s="443"/>
      <c r="AY80" s="443"/>
      <c r="AZ80" s="443"/>
      <c r="BA80" s="443"/>
      <c r="BB80" s="443"/>
      <c r="BC80" s="443"/>
      <c r="BD80" s="443"/>
      <c r="BE80" s="443"/>
    </row>
    <row r="81" hidden="1">
      <c r="A81" s="445">
        <f t="shared" si="5"/>
        <v>45371</v>
      </c>
      <c r="B81" s="434">
        <v>408.0</v>
      </c>
      <c r="C81" s="462">
        <v>0.5583333333333333</v>
      </c>
      <c r="D81" s="462">
        <v>0.8701388888888889</v>
      </c>
      <c r="E81" s="436">
        <f t="array" ref="E81">IF(B81=0,"",(J81+K81)/60)</f>
        <v>0.25</v>
      </c>
      <c r="F81" s="437">
        <f t="shared" si="1"/>
        <v>7.483333333</v>
      </c>
      <c r="G81" s="438">
        <f t="shared" si="2"/>
        <v>54.52115813</v>
      </c>
      <c r="H81" s="438">
        <f t="shared" si="3"/>
        <v>56.40552995</v>
      </c>
      <c r="I81" s="436">
        <f t="shared" si="4"/>
        <v>1.112676697</v>
      </c>
      <c r="J81" s="439">
        <v>15.0</v>
      </c>
      <c r="K81" s="443"/>
      <c r="L81" s="443"/>
      <c r="M81" s="447">
        <f>IFERROR(__xludf.DUMMYFUNCTION("""COMPUTED_VALUE"""),57.0)</f>
        <v>57</v>
      </c>
      <c r="N81" s="447">
        <f>IFERROR(__xludf.DUMMYFUNCTION("""COMPUTED_VALUE"""),56.0)</f>
        <v>56</v>
      </c>
      <c r="O81" s="447">
        <f>IFERROR(__xludf.DUMMYFUNCTION("""COMPUTED_VALUE"""),0.0)</f>
        <v>0</v>
      </c>
      <c r="P81" s="447">
        <f>IFERROR(__xludf.DUMMYFUNCTION("""COMPUTED_VALUE"""),0.0)</f>
        <v>0</v>
      </c>
      <c r="Q81" s="447">
        <f>IFERROR(__xludf.DUMMYFUNCTION("""COMPUTED_VALUE"""),1.0)</f>
        <v>1</v>
      </c>
      <c r="R81" s="447">
        <f>IFERROR(__xludf.DUMMYFUNCTION("""COMPUTED_VALUE"""),0.0)</f>
        <v>0</v>
      </c>
      <c r="S81" s="447">
        <f>IFERROR(__xludf.DUMMYFUNCTION("""COMPUTED_VALUE"""),2.0)</f>
        <v>2</v>
      </c>
      <c r="T81" s="447">
        <f>IFERROR(__xludf.DUMMYFUNCTION("""COMPUTED_VALUE"""),0.0)</f>
        <v>0</v>
      </c>
      <c r="U81" s="447">
        <f>IFERROR(__xludf.DUMMYFUNCTION("""COMPUTED_VALUE"""),0.0)</f>
        <v>0</v>
      </c>
      <c r="V81" s="447">
        <f>IFERROR(__xludf.DUMMYFUNCTION("""COMPUTED_VALUE"""),3.0)</f>
        <v>3</v>
      </c>
      <c r="W81" s="447">
        <f>IFERROR(__xludf.DUMMYFUNCTION("""COMPUTED_VALUE"""),1.0)</f>
        <v>1</v>
      </c>
      <c r="X81" s="447">
        <f>IFERROR(__xludf.DUMMYFUNCTION("""COMPUTED_VALUE"""),0.0)</f>
        <v>0</v>
      </c>
      <c r="Y81" s="447">
        <f>IFERROR(__xludf.DUMMYFUNCTION("""COMPUTED_VALUE"""),1.0)</f>
        <v>1</v>
      </c>
      <c r="Z81" s="447">
        <f>IFERROR(__xludf.DUMMYFUNCTION("""COMPUTED_VALUE"""),0.0)</f>
        <v>0</v>
      </c>
      <c r="AA81" s="447">
        <f>IFERROR(__xludf.DUMMYFUNCTION("""COMPUTED_VALUE"""),0.0)</f>
        <v>0</v>
      </c>
      <c r="AB81" s="447">
        <f>IFERROR(__xludf.DUMMYFUNCTION("""COMPUTED_VALUE"""),0.0)</f>
        <v>0</v>
      </c>
      <c r="AC81" s="447">
        <f>IFERROR(__xludf.DUMMYFUNCTION("""COMPUTED_VALUE"""),0.0)</f>
        <v>0</v>
      </c>
      <c r="AD81" s="447">
        <f>IFERROR(__xludf.DUMMYFUNCTION("""COMPUTED_VALUE"""),49.0)</f>
        <v>49</v>
      </c>
      <c r="AE81" s="447">
        <f>IFERROR(__xludf.DUMMYFUNCTION("""COMPUTED_VALUE"""),9.0)</f>
        <v>9</v>
      </c>
      <c r="AF81" s="447">
        <f>IFERROR(__xludf.DUMMYFUNCTION("""COMPUTED_VALUE"""),1.0)</f>
        <v>1</v>
      </c>
      <c r="AG81" s="443" t="s">
        <v>98</v>
      </c>
      <c r="AH81" s="443" t="s">
        <v>343</v>
      </c>
      <c r="AI81" s="443"/>
      <c r="AJ81" s="443"/>
      <c r="AK81" s="443"/>
      <c r="AL81" s="443"/>
      <c r="AM81" s="443"/>
      <c r="AN81" s="443"/>
      <c r="AO81" s="443"/>
      <c r="AP81" s="443"/>
      <c r="AQ81" s="443"/>
      <c r="AR81" s="443"/>
      <c r="AS81" s="443"/>
      <c r="AT81" s="443"/>
      <c r="AU81" s="443"/>
      <c r="AV81" s="443"/>
      <c r="AW81" s="443"/>
      <c r="AX81" s="443"/>
      <c r="AY81" s="443"/>
      <c r="AZ81" s="443"/>
      <c r="BA81" s="443"/>
      <c r="BB81" s="443"/>
      <c r="BC81" s="443"/>
      <c r="BD81" s="443"/>
      <c r="BE81" s="443"/>
    </row>
    <row r="82" hidden="1">
      <c r="A82" s="445">
        <f t="shared" si="5"/>
        <v>45372</v>
      </c>
      <c r="B82" s="434">
        <v>441.0</v>
      </c>
      <c r="C82" s="462">
        <v>0.5583333333333333</v>
      </c>
      <c r="D82" s="462">
        <v>0.8944444444444445</v>
      </c>
      <c r="E82" s="436">
        <f t="array" ref="E82">IF(B82=0,"",(J82+K82)/60)</f>
        <v>0.25</v>
      </c>
      <c r="F82" s="437">
        <f t="shared" si="1"/>
        <v>8.066666667</v>
      </c>
      <c r="G82" s="438">
        <f t="shared" si="2"/>
        <v>54.66942149</v>
      </c>
      <c r="H82" s="438">
        <f t="shared" si="3"/>
        <v>56.41791045</v>
      </c>
      <c r="I82" s="436">
        <f t="shared" si="4"/>
        <v>1.115702479</v>
      </c>
      <c r="J82" s="439">
        <v>15.0</v>
      </c>
      <c r="K82" s="471"/>
      <c r="L82" s="443"/>
      <c r="M82" s="447">
        <f>IFERROR(__xludf.DUMMYFUNCTION("""COMPUTED_VALUE"""),57.0)</f>
        <v>57</v>
      </c>
      <c r="N82" s="447">
        <f>IFERROR(__xludf.DUMMYFUNCTION("""COMPUTED_VALUE"""),56.0)</f>
        <v>56</v>
      </c>
      <c r="O82" s="447">
        <f>IFERROR(__xludf.DUMMYFUNCTION("""COMPUTED_VALUE"""),0.0)</f>
        <v>0</v>
      </c>
      <c r="P82" s="447">
        <f>IFERROR(__xludf.DUMMYFUNCTION("""COMPUTED_VALUE"""),0.0)</f>
        <v>0</v>
      </c>
      <c r="Q82" s="447">
        <f>IFERROR(__xludf.DUMMYFUNCTION("""COMPUTED_VALUE"""),1.0)</f>
        <v>1</v>
      </c>
      <c r="R82" s="447">
        <f>IFERROR(__xludf.DUMMYFUNCTION("""COMPUTED_VALUE"""),0.0)</f>
        <v>0</v>
      </c>
      <c r="S82" s="447">
        <f>IFERROR(__xludf.DUMMYFUNCTION("""COMPUTED_VALUE"""),2.0)</f>
        <v>2</v>
      </c>
      <c r="T82" s="447">
        <f>IFERROR(__xludf.DUMMYFUNCTION("""COMPUTED_VALUE"""),0.0)</f>
        <v>0</v>
      </c>
      <c r="U82" s="447">
        <f>IFERROR(__xludf.DUMMYFUNCTION("""COMPUTED_VALUE"""),0.0)</f>
        <v>0</v>
      </c>
      <c r="V82" s="447">
        <f>IFERROR(__xludf.DUMMYFUNCTION("""COMPUTED_VALUE"""),3.0)</f>
        <v>3</v>
      </c>
      <c r="W82" s="447">
        <f>IFERROR(__xludf.DUMMYFUNCTION("""COMPUTED_VALUE"""),1.0)</f>
        <v>1</v>
      </c>
      <c r="X82" s="447">
        <f>IFERROR(__xludf.DUMMYFUNCTION("""COMPUTED_VALUE"""),0.0)</f>
        <v>0</v>
      </c>
      <c r="Y82" s="447">
        <f>IFERROR(__xludf.DUMMYFUNCTION("""COMPUTED_VALUE"""),1.0)</f>
        <v>1</v>
      </c>
      <c r="Z82" s="447">
        <f>IFERROR(__xludf.DUMMYFUNCTION("""COMPUTED_VALUE"""),0.0)</f>
        <v>0</v>
      </c>
      <c r="AA82" s="447">
        <f>IFERROR(__xludf.DUMMYFUNCTION("""COMPUTED_VALUE"""),0.0)</f>
        <v>0</v>
      </c>
      <c r="AB82" s="447">
        <f>IFERROR(__xludf.DUMMYFUNCTION("""COMPUTED_VALUE"""),0.0)</f>
        <v>0</v>
      </c>
      <c r="AC82" s="447">
        <f>IFERROR(__xludf.DUMMYFUNCTION("""COMPUTED_VALUE"""),0.0)</f>
        <v>0</v>
      </c>
      <c r="AD82" s="447">
        <f>IFERROR(__xludf.DUMMYFUNCTION("""COMPUTED_VALUE"""),49.0)</f>
        <v>49</v>
      </c>
      <c r="AE82" s="447">
        <f>IFERROR(__xludf.DUMMYFUNCTION("""COMPUTED_VALUE"""),9.0)</f>
        <v>9</v>
      </c>
      <c r="AF82" s="447">
        <f>IFERROR(__xludf.DUMMYFUNCTION("""COMPUTED_VALUE"""),1.0)</f>
        <v>1</v>
      </c>
      <c r="AG82" s="443" t="s">
        <v>98</v>
      </c>
      <c r="AH82" s="443" t="s">
        <v>343</v>
      </c>
      <c r="AI82" s="443"/>
      <c r="AJ82" s="443"/>
      <c r="AK82" s="443"/>
      <c r="AL82" s="443"/>
      <c r="AM82" s="443"/>
      <c r="AN82" s="443"/>
      <c r="AO82" s="443"/>
      <c r="AP82" s="443"/>
      <c r="AQ82" s="443"/>
      <c r="AR82" s="443"/>
      <c r="AS82" s="443"/>
      <c r="AT82" s="443"/>
      <c r="AU82" s="443"/>
      <c r="AV82" s="443"/>
      <c r="AW82" s="443"/>
      <c r="AX82" s="443"/>
      <c r="AY82" s="443"/>
      <c r="AZ82" s="443"/>
      <c r="BA82" s="443"/>
      <c r="BB82" s="443"/>
      <c r="BC82" s="443"/>
      <c r="BD82" s="443"/>
      <c r="BE82" s="443"/>
    </row>
    <row r="83" hidden="1">
      <c r="A83" s="445">
        <f t="shared" si="5"/>
        <v>45373</v>
      </c>
      <c r="B83" s="434">
        <v>521.0</v>
      </c>
      <c r="C83" s="462">
        <v>0.5583333333333333</v>
      </c>
      <c r="D83" s="462">
        <v>0.8958333333333334</v>
      </c>
      <c r="E83" s="436">
        <f t="array" ref="E83">IF(B83=0,"",(J83+K83)/60)</f>
        <v>0.25</v>
      </c>
      <c r="F83" s="437">
        <f t="shared" si="1"/>
        <v>8.1</v>
      </c>
      <c r="G83" s="438">
        <f t="shared" si="2"/>
        <v>64.32098765</v>
      </c>
      <c r="H83" s="438">
        <f t="shared" si="3"/>
        <v>66.36942675</v>
      </c>
      <c r="I83" s="436">
        <f t="shared" si="4"/>
        <v>1.312673217</v>
      </c>
      <c r="J83" s="439">
        <v>15.0</v>
      </c>
      <c r="K83" s="471"/>
      <c r="L83" s="443"/>
      <c r="M83" s="447">
        <f>IFERROR(__xludf.DUMMYFUNCTION("""COMPUTED_VALUE"""),57.0)</f>
        <v>57</v>
      </c>
      <c r="N83" s="447">
        <f>IFERROR(__xludf.DUMMYFUNCTION("""COMPUTED_VALUE"""),56.0)</f>
        <v>56</v>
      </c>
      <c r="O83" s="447">
        <f>IFERROR(__xludf.DUMMYFUNCTION("""COMPUTED_VALUE"""),1.0)</f>
        <v>1</v>
      </c>
      <c r="P83" s="447">
        <f>IFERROR(__xludf.DUMMYFUNCTION("""COMPUTED_VALUE"""),0.0)</f>
        <v>0</v>
      </c>
      <c r="Q83" s="447">
        <f>IFERROR(__xludf.DUMMYFUNCTION("""COMPUTED_VALUE"""),0.0)</f>
        <v>0</v>
      </c>
      <c r="R83" s="447">
        <f>IFERROR(__xludf.DUMMYFUNCTION("""COMPUTED_VALUE"""),0.0)</f>
        <v>0</v>
      </c>
      <c r="S83" s="447">
        <f>IFERROR(__xludf.DUMMYFUNCTION("""COMPUTED_VALUE"""),3.0)</f>
        <v>3</v>
      </c>
      <c r="T83" s="447">
        <f>IFERROR(__xludf.DUMMYFUNCTION("""COMPUTED_VALUE"""),0.0)</f>
        <v>0</v>
      </c>
      <c r="U83" s="447">
        <f>IFERROR(__xludf.DUMMYFUNCTION("""COMPUTED_VALUE"""),0.0)</f>
        <v>0</v>
      </c>
      <c r="V83" s="447">
        <f>IFERROR(__xludf.DUMMYFUNCTION("""COMPUTED_VALUE"""),3.0)</f>
        <v>3</v>
      </c>
      <c r="W83" s="447">
        <f>IFERROR(__xludf.DUMMYFUNCTION("""COMPUTED_VALUE"""),0.0)</f>
        <v>0</v>
      </c>
      <c r="X83" s="447">
        <f>IFERROR(__xludf.DUMMYFUNCTION("""COMPUTED_VALUE"""),0.0)</f>
        <v>0</v>
      </c>
      <c r="Y83" s="447">
        <f>IFERROR(__xludf.DUMMYFUNCTION("""COMPUTED_VALUE"""),1.0)</f>
        <v>1</v>
      </c>
      <c r="Z83" s="447">
        <f>IFERROR(__xludf.DUMMYFUNCTION("""COMPUTED_VALUE"""),0.0)</f>
        <v>0</v>
      </c>
      <c r="AA83" s="447">
        <f>IFERROR(__xludf.DUMMYFUNCTION("""COMPUTED_VALUE"""),0.0)</f>
        <v>0</v>
      </c>
      <c r="AB83" s="447">
        <f>IFERROR(__xludf.DUMMYFUNCTION("""COMPUTED_VALUE"""),0.0)</f>
        <v>0</v>
      </c>
      <c r="AC83" s="447">
        <f>IFERROR(__xludf.DUMMYFUNCTION("""COMPUTED_VALUE"""),0.0)</f>
        <v>0</v>
      </c>
      <c r="AD83" s="447">
        <f>IFERROR(__xludf.DUMMYFUNCTION("""COMPUTED_VALUE"""),49.0)</f>
        <v>49</v>
      </c>
      <c r="AE83" s="447">
        <f>IFERROR(__xludf.DUMMYFUNCTION("""COMPUTED_VALUE"""),9.0)</f>
        <v>9</v>
      </c>
      <c r="AF83" s="447">
        <f>IFERROR(__xludf.DUMMYFUNCTION("""COMPUTED_VALUE"""),1.0)</f>
        <v>1</v>
      </c>
      <c r="AG83" s="443" t="s">
        <v>98</v>
      </c>
      <c r="AH83" s="443" t="s">
        <v>343</v>
      </c>
      <c r="AI83" s="443"/>
      <c r="AJ83" s="443"/>
      <c r="AK83" s="443"/>
      <c r="AL83" s="443"/>
      <c r="AM83" s="443"/>
      <c r="AN83" s="443"/>
      <c r="AO83" s="443"/>
      <c r="AP83" s="443"/>
      <c r="AQ83" s="443"/>
      <c r="AR83" s="443"/>
      <c r="AS83" s="443"/>
      <c r="AT83" s="443"/>
      <c r="AU83" s="443"/>
      <c r="AV83" s="443"/>
      <c r="AW83" s="443"/>
      <c r="AX83" s="443"/>
      <c r="AY83" s="443"/>
      <c r="AZ83" s="443"/>
      <c r="BA83" s="443"/>
      <c r="BB83" s="443"/>
      <c r="BC83" s="443"/>
      <c r="BD83" s="443"/>
      <c r="BE83" s="443"/>
    </row>
    <row r="84" hidden="1">
      <c r="A84" s="445">
        <f t="shared" si="5"/>
        <v>45374</v>
      </c>
      <c r="B84" s="434">
        <v>333.0</v>
      </c>
      <c r="C84" s="462">
        <v>0.5166666666666667</v>
      </c>
      <c r="D84" s="462">
        <v>0.7895833333333333</v>
      </c>
      <c r="E84" s="436">
        <f t="array" ref="E84">IF(B84=0,"",(J84+K84)/60)</f>
        <v>0.25</v>
      </c>
      <c r="F84" s="437">
        <f t="shared" si="1"/>
        <v>6.55</v>
      </c>
      <c r="G84" s="438">
        <f t="shared" si="2"/>
        <v>50.83969466</v>
      </c>
      <c r="H84" s="438">
        <f t="shared" si="3"/>
        <v>52.85714286</v>
      </c>
      <c r="I84" s="436">
        <f t="shared" si="4"/>
        <v>1.059160305</v>
      </c>
      <c r="J84" s="439">
        <v>15.0</v>
      </c>
      <c r="K84" s="471"/>
      <c r="L84" s="443"/>
      <c r="M84" s="447">
        <f>IFERROR(__xludf.DUMMYFUNCTION("""COMPUTED_VALUE"""),57.0)</f>
        <v>57</v>
      </c>
      <c r="N84" s="447">
        <f>IFERROR(__xludf.DUMMYFUNCTION("""COMPUTED_VALUE"""),56.0)</f>
        <v>56</v>
      </c>
      <c r="O84" s="447">
        <f>IFERROR(__xludf.DUMMYFUNCTION("""COMPUTED_VALUE"""),0.0)</f>
        <v>0</v>
      </c>
      <c r="P84" s="447">
        <f>IFERROR(__xludf.DUMMYFUNCTION("""COMPUTED_VALUE"""),2.0)</f>
        <v>2</v>
      </c>
      <c r="Q84" s="447">
        <f>IFERROR(__xludf.DUMMYFUNCTION("""COMPUTED_VALUE"""),0.0)</f>
        <v>0</v>
      </c>
      <c r="R84" s="447">
        <f>IFERROR(__xludf.DUMMYFUNCTION("""COMPUTED_VALUE"""),0.0)</f>
        <v>0</v>
      </c>
      <c r="S84" s="447">
        <f>IFERROR(__xludf.DUMMYFUNCTION("""COMPUTED_VALUE"""),3.0)</f>
        <v>3</v>
      </c>
      <c r="T84" s="447">
        <f>IFERROR(__xludf.DUMMYFUNCTION("""COMPUTED_VALUE"""),0.0)</f>
        <v>0</v>
      </c>
      <c r="U84" s="447">
        <f>IFERROR(__xludf.DUMMYFUNCTION("""COMPUTED_VALUE"""),0.0)</f>
        <v>0</v>
      </c>
      <c r="V84" s="447">
        <f>IFERROR(__xludf.DUMMYFUNCTION("""COMPUTED_VALUE"""),3.0)</f>
        <v>3</v>
      </c>
      <c r="W84" s="447">
        <f>IFERROR(__xludf.DUMMYFUNCTION("""COMPUTED_VALUE"""),0.0)</f>
        <v>0</v>
      </c>
      <c r="X84" s="447">
        <f>IFERROR(__xludf.DUMMYFUNCTION("""COMPUTED_VALUE"""),0.0)</f>
        <v>0</v>
      </c>
      <c r="Y84" s="447">
        <f>IFERROR(__xludf.DUMMYFUNCTION("""COMPUTED_VALUE"""),1.0)</f>
        <v>1</v>
      </c>
      <c r="Z84" s="447">
        <f>IFERROR(__xludf.DUMMYFUNCTION("""COMPUTED_VALUE"""),0.0)</f>
        <v>0</v>
      </c>
      <c r="AA84" s="447">
        <f>IFERROR(__xludf.DUMMYFUNCTION("""COMPUTED_VALUE"""),0.0)</f>
        <v>0</v>
      </c>
      <c r="AB84" s="447">
        <f>IFERROR(__xludf.DUMMYFUNCTION("""COMPUTED_VALUE"""),0.0)</f>
        <v>0</v>
      </c>
      <c r="AC84" s="447">
        <f>IFERROR(__xludf.DUMMYFUNCTION("""COMPUTED_VALUE"""),0.0)</f>
        <v>0</v>
      </c>
      <c r="AD84" s="447">
        <f>IFERROR(__xludf.DUMMYFUNCTION("""COMPUTED_VALUE"""),48.0)</f>
        <v>48</v>
      </c>
      <c r="AE84" s="447">
        <f>IFERROR(__xludf.DUMMYFUNCTION("""COMPUTED_VALUE"""),10.0)</f>
        <v>10</v>
      </c>
      <c r="AF84" s="447">
        <f>IFERROR(__xludf.DUMMYFUNCTION("""COMPUTED_VALUE"""),1.0)</f>
        <v>1</v>
      </c>
      <c r="AG84" s="443" t="s">
        <v>98</v>
      </c>
      <c r="AH84" s="443" t="s">
        <v>343</v>
      </c>
      <c r="AI84" s="443"/>
      <c r="AJ84" s="443"/>
      <c r="AK84" s="443"/>
      <c r="AL84" s="443"/>
      <c r="AM84" s="443"/>
      <c r="AN84" s="443"/>
      <c r="AO84" s="443"/>
      <c r="AP84" s="443"/>
      <c r="AQ84" s="443"/>
      <c r="AR84" s="443"/>
      <c r="AS84" s="443"/>
      <c r="AT84" s="443"/>
      <c r="AU84" s="443"/>
      <c r="AV84" s="443"/>
      <c r="AW84" s="443"/>
      <c r="AX84" s="443"/>
      <c r="AY84" s="443"/>
      <c r="AZ84" s="443"/>
      <c r="BA84" s="443"/>
      <c r="BB84" s="443"/>
      <c r="BC84" s="443"/>
      <c r="BD84" s="443"/>
      <c r="BE84" s="443"/>
    </row>
    <row r="85" hidden="1">
      <c r="A85" s="445">
        <f t="shared" si="5"/>
        <v>45375</v>
      </c>
      <c r="B85" s="434">
        <v>0.0</v>
      </c>
      <c r="C85" s="443"/>
      <c r="D85" s="443"/>
      <c r="E85" s="436" t="str">
        <f t="array" ref="E85">IF(B85=0,"",(J85+K85)/60)</f>
        <v/>
      </c>
      <c r="F85" s="437" t="str">
        <f t="shared" si="1"/>
        <v/>
      </c>
      <c r="G85" s="438" t="str">
        <f t="shared" si="2"/>
        <v/>
      </c>
      <c r="H85" s="438" t="str">
        <f t="shared" si="3"/>
        <v/>
      </c>
      <c r="I85" s="436" t="str">
        <f t="shared" si="4"/>
        <v/>
      </c>
      <c r="J85" s="440"/>
      <c r="K85" s="471"/>
      <c r="L85" s="443"/>
      <c r="M85" s="447">
        <f>IFERROR(__xludf.DUMMYFUNCTION("""COMPUTED_VALUE"""),57.0)</f>
        <v>57</v>
      </c>
      <c r="N85" s="447">
        <f>IFERROR(__xludf.DUMMYFUNCTION("""COMPUTED_VALUE"""),57.0)</f>
        <v>57</v>
      </c>
      <c r="O85" s="447">
        <f>IFERROR(__xludf.DUMMYFUNCTION("""COMPUTED_VALUE"""),0.0)</f>
        <v>0</v>
      </c>
      <c r="P85" s="447">
        <f>IFERROR(__xludf.DUMMYFUNCTION("""COMPUTED_VALUE"""),0.0)</f>
        <v>0</v>
      </c>
      <c r="Q85" s="447">
        <f>IFERROR(__xludf.DUMMYFUNCTION("""COMPUTED_VALUE"""),0.0)</f>
        <v>0</v>
      </c>
      <c r="R85" s="447">
        <f>IFERROR(__xludf.DUMMYFUNCTION("""COMPUTED_VALUE"""),0.0)</f>
        <v>0</v>
      </c>
      <c r="S85" s="447">
        <f>IFERROR(__xludf.DUMMYFUNCTION("""COMPUTED_VALUE"""),0.0)</f>
        <v>0</v>
      </c>
      <c r="T85" s="447">
        <f>IFERROR(__xludf.DUMMYFUNCTION("""COMPUTED_VALUE"""),0.0)</f>
        <v>0</v>
      </c>
      <c r="U85" s="447">
        <f>IFERROR(__xludf.DUMMYFUNCTION("""COMPUTED_VALUE"""),0.0)</f>
        <v>0</v>
      </c>
      <c r="V85" s="447">
        <f>IFERROR(__xludf.DUMMYFUNCTION("""COMPUTED_VALUE"""),0.0)</f>
        <v>0</v>
      </c>
      <c r="W85" s="447">
        <f>IFERROR(__xludf.DUMMYFUNCTION("""COMPUTED_VALUE"""),0.0)</f>
        <v>0</v>
      </c>
      <c r="X85" s="447">
        <f>IFERROR(__xludf.DUMMYFUNCTION("""COMPUTED_VALUE"""),0.0)</f>
        <v>0</v>
      </c>
      <c r="Y85" s="447">
        <f>IFERROR(__xludf.DUMMYFUNCTION("""COMPUTED_VALUE"""),0.0)</f>
        <v>0</v>
      </c>
      <c r="Z85" s="447">
        <f>IFERROR(__xludf.DUMMYFUNCTION("""COMPUTED_VALUE"""),0.0)</f>
        <v>0</v>
      </c>
      <c r="AA85" s="447">
        <f>IFERROR(__xludf.DUMMYFUNCTION("""COMPUTED_VALUE"""),0.0)</f>
        <v>0</v>
      </c>
      <c r="AB85" s="447">
        <f>IFERROR(__xludf.DUMMYFUNCTION("""COMPUTED_VALUE"""),0.0)</f>
        <v>0</v>
      </c>
      <c r="AC85" s="447">
        <f>IFERROR(__xludf.DUMMYFUNCTION("""COMPUTED_VALUE"""),0.0)</f>
        <v>0</v>
      </c>
      <c r="AD85" s="447">
        <f>IFERROR(__xludf.DUMMYFUNCTION("""COMPUTED_VALUE"""),0.0)</f>
        <v>0</v>
      </c>
      <c r="AE85" s="447">
        <f>IFERROR(__xludf.DUMMYFUNCTION("""COMPUTED_VALUE"""),0.0)</f>
        <v>0</v>
      </c>
      <c r="AF85" s="447">
        <f>IFERROR(__xludf.DUMMYFUNCTION("""COMPUTED_VALUE"""),0.0)</f>
        <v>0</v>
      </c>
      <c r="AG85" s="443" t="s">
        <v>98</v>
      </c>
      <c r="AH85" s="443" t="s">
        <v>343</v>
      </c>
      <c r="AI85" s="443"/>
      <c r="AJ85" s="443"/>
      <c r="AK85" s="443"/>
      <c r="AL85" s="443"/>
      <c r="AM85" s="443"/>
      <c r="AN85" s="443"/>
      <c r="AO85" s="443"/>
      <c r="AP85" s="443"/>
      <c r="AQ85" s="443"/>
      <c r="AR85" s="443"/>
      <c r="AS85" s="443"/>
      <c r="AT85" s="443"/>
      <c r="AU85" s="443"/>
      <c r="AV85" s="443"/>
      <c r="AW85" s="443"/>
      <c r="AX85" s="443"/>
      <c r="AY85" s="443"/>
      <c r="AZ85" s="443"/>
      <c r="BA85" s="443"/>
      <c r="BB85" s="443"/>
      <c r="BC85" s="443"/>
      <c r="BD85" s="443"/>
      <c r="BE85" s="443"/>
    </row>
    <row r="86" hidden="1">
      <c r="A86" s="445">
        <f t="shared" si="5"/>
        <v>45376</v>
      </c>
      <c r="B86" s="434">
        <v>624.0</v>
      </c>
      <c r="C86" s="462">
        <v>0.5583333333333333</v>
      </c>
      <c r="D86" s="462">
        <v>1.0138888888888888</v>
      </c>
      <c r="E86" s="436">
        <f t="array" ref="E86">IF(B86=0,"",(J86+K86)/60)</f>
        <v>1</v>
      </c>
      <c r="F86" s="437">
        <f t="shared" si="1"/>
        <v>10.93333333</v>
      </c>
      <c r="G86" s="438">
        <f t="shared" si="2"/>
        <v>57.07317073</v>
      </c>
      <c r="H86" s="438">
        <f t="shared" si="3"/>
        <v>62.81879195</v>
      </c>
      <c r="I86" s="436">
        <f t="shared" si="4"/>
        <v>1.141463415</v>
      </c>
      <c r="J86" s="449">
        <v>60.0</v>
      </c>
      <c r="K86" s="471"/>
      <c r="L86" s="443"/>
      <c r="M86" s="447">
        <f>IFERROR(__xludf.DUMMYFUNCTION("""COMPUTED_VALUE"""),57.0)</f>
        <v>57</v>
      </c>
      <c r="N86" s="447">
        <f>IFERROR(__xludf.DUMMYFUNCTION("""COMPUTED_VALUE"""),56.0)</f>
        <v>56</v>
      </c>
      <c r="O86" s="447">
        <f>IFERROR(__xludf.DUMMYFUNCTION("""COMPUTED_VALUE"""),0.0)</f>
        <v>0</v>
      </c>
      <c r="P86" s="447">
        <f>IFERROR(__xludf.DUMMYFUNCTION("""COMPUTED_VALUE"""),0.0)</f>
        <v>0</v>
      </c>
      <c r="Q86" s="447">
        <f>IFERROR(__xludf.DUMMYFUNCTION("""COMPUTED_VALUE"""),1.0)</f>
        <v>1</v>
      </c>
      <c r="R86" s="447">
        <f>IFERROR(__xludf.DUMMYFUNCTION("""COMPUTED_VALUE"""),0.0)</f>
        <v>0</v>
      </c>
      <c r="S86" s="447">
        <f>IFERROR(__xludf.DUMMYFUNCTION("""COMPUTED_VALUE"""),1.0)</f>
        <v>1</v>
      </c>
      <c r="T86" s="447">
        <f>IFERROR(__xludf.DUMMYFUNCTION("""COMPUTED_VALUE"""),0.0)</f>
        <v>0</v>
      </c>
      <c r="U86" s="447">
        <f>IFERROR(__xludf.DUMMYFUNCTION("""COMPUTED_VALUE"""),0.0)</f>
        <v>0</v>
      </c>
      <c r="V86" s="447">
        <f>IFERROR(__xludf.DUMMYFUNCTION("""COMPUTED_VALUE"""),4.0)</f>
        <v>4</v>
      </c>
      <c r="W86" s="447">
        <f>IFERROR(__xludf.DUMMYFUNCTION("""COMPUTED_VALUE"""),0.0)</f>
        <v>0</v>
      </c>
      <c r="X86" s="447">
        <f>IFERROR(__xludf.DUMMYFUNCTION("""COMPUTED_VALUE"""),0.0)</f>
        <v>0</v>
      </c>
      <c r="Y86" s="447">
        <f>IFERROR(__xludf.DUMMYFUNCTION("""COMPUTED_VALUE"""),1.0)</f>
        <v>1</v>
      </c>
      <c r="Z86" s="447">
        <f>IFERROR(__xludf.DUMMYFUNCTION("""COMPUTED_VALUE"""),0.0)</f>
        <v>0</v>
      </c>
      <c r="AA86" s="447">
        <f>IFERROR(__xludf.DUMMYFUNCTION("""COMPUTED_VALUE"""),0.0)</f>
        <v>0</v>
      </c>
      <c r="AB86" s="447">
        <f>IFERROR(__xludf.DUMMYFUNCTION("""COMPUTED_VALUE"""),0.0)</f>
        <v>0</v>
      </c>
      <c r="AC86" s="447">
        <f>IFERROR(__xludf.DUMMYFUNCTION("""COMPUTED_VALUE"""),0.0)</f>
        <v>0</v>
      </c>
      <c r="AD86" s="447">
        <f>IFERROR(__xludf.DUMMYFUNCTION("""COMPUTED_VALUE"""),50.0)</f>
        <v>50</v>
      </c>
      <c r="AE86" s="447">
        <f>IFERROR(__xludf.DUMMYFUNCTION("""COMPUTED_VALUE"""),8.0)</f>
        <v>8</v>
      </c>
      <c r="AF86" s="447">
        <f>IFERROR(__xludf.DUMMYFUNCTION("""COMPUTED_VALUE"""),1.0)</f>
        <v>1</v>
      </c>
      <c r="AG86" s="443" t="s">
        <v>98</v>
      </c>
      <c r="AH86" s="443" t="s">
        <v>343</v>
      </c>
      <c r="AI86" s="443"/>
      <c r="AJ86" s="443"/>
      <c r="AK86" s="443"/>
      <c r="AL86" s="443"/>
      <c r="AM86" s="443"/>
      <c r="AN86" s="443"/>
      <c r="AO86" s="443"/>
      <c r="AP86" s="443"/>
      <c r="AQ86" s="443"/>
      <c r="AR86" s="443"/>
      <c r="AS86" s="443"/>
      <c r="AT86" s="443"/>
      <c r="AU86" s="443"/>
      <c r="AV86" s="443"/>
      <c r="AW86" s="443"/>
      <c r="AX86" s="443"/>
      <c r="AY86" s="443"/>
      <c r="AZ86" s="443"/>
      <c r="BA86" s="443"/>
      <c r="BB86" s="443"/>
      <c r="BC86" s="443"/>
      <c r="BD86" s="443"/>
      <c r="BE86" s="443"/>
    </row>
    <row r="87" hidden="1">
      <c r="A87" s="445">
        <f t="shared" si="5"/>
        <v>45377</v>
      </c>
      <c r="B87" s="434">
        <v>470.0</v>
      </c>
      <c r="C87" s="462">
        <v>0.5166666666666667</v>
      </c>
      <c r="D87" s="462">
        <v>0.9027777777777778</v>
      </c>
      <c r="E87" s="436">
        <f t="array" ref="E87">IF(B87=0,"",(J87+K87)/60)</f>
        <v>0.5833333333</v>
      </c>
      <c r="F87" s="437">
        <f t="shared" si="1"/>
        <v>9.266666667</v>
      </c>
      <c r="G87" s="438">
        <f t="shared" si="2"/>
        <v>50.71942446</v>
      </c>
      <c r="H87" s="438">
        <f t="shared" si="3"/>
        <v>54.12667946</v>
      </c>
      <c r="I87" s="436">
        <f t="shared" si="4"/>
        <v>1.035090295</v>
      </c>
      <c r="J87" s="449">
        <v>15.0</v>
      </c>
      <c r="K87" s="449">
        <v>20.0</v>
      </c>
      <c r="L87" s="443"/>
      <c r="M87" s="447">
        <f>IFERROR(__xludf.DUMMYFUNCTION("""COMPUTED_VALUE"""),57.0)</f>
        <v>57</v>
      </c>
      <c r="N87" s="447">
        <f>IFERROR(__xludf.DUMMYFUNCTION("""COMPUTED_VALUE"""),56.0)</f>
        <v>56</v>
      </c>
      <c r="O87" s="447">
        <f>IFERROR(__xludf.DUMMYFUNCTION("""COMPUTED_VALUE"""),0.0)</f>
        <v>0</v>
      </c>
      <c r="P87" s="447">
        <f>IFERROR(__xludf.DUMMYFUNCTION("""COMPUTED_VALUE"""),0.0)</f>
        <v>0</v>
      </c>
      <c r="Q87" s="447">
        <f>IFERROR(__xludf.DUMMYFUNCTION("""COMPUTED_VALUE"""),0.0)</f>
        <v>0</v>
      </c>
      <c r="R87" s="447">
        <f>IFERROR(__xludf.DUMMYFUNCTION("""COMPUTED_VALUE"""),0.0)</f>
        <v>0</v>
      </c>
      <c r="S87" s="447">
        <f>IFERROR(__xludf.DUMMYFUNCTION("""COMPUTED_VALUE"""),2.0)</f>
        <v>2</v>
      </c>
      <c r="T87" s="447">
        <f>IFERROR(__xludf.DUMMYFUNCTION("""COMPUTED_VALUE"""),1.0)</f>
        <v>1</v>
      </c>
      <c r="U87" s="447">
        <f>IFERROR(__xludf.DUMMYFUNCTION("""COMPUTED_VALUE"""),0.0)</f>
        <v>0</v>
      </c>
      <c r="V87" s="447">
        <f>IFERROR(__xludf.DUMMYFUNCTION("""COMPUTED_VALUE"""),4.0)</f>
        <v>4</v>
      </c>
      <c r="W87" s="447">
        <f>IFERROR(__xludf.DUMMYFUNCTION("""COMPUTED_VALUE"""),0.0)</f>
        <v>0</v>
      </c>
      <c r="X87" s="447">
        <f>IFERROR(__xludf.DUMMYFUNCTION("""COMPUTED_VALUE"""),0.0)</f>
        <v>0</v>
      </c>
      <c r="Y87" s="447">
        <f>IFERROR(__xludf.DUMMYFUNCTION("""COMPUTED_VALUE"""),1.0)</f>
        <v>1</v>
      </c>
      <c r="Z87" s="447">
        <f>IFERROR(__xludf.DUMMYFUNCTION("""COMPUTED_VALUE"""),0.0)</f>
        <v>0</v>
      </c>
      <c r="AA87" s="447">
        <f>IFERROR(__xludf.DUMMYFUNCTION("""COMPUTED_VALUE"""),0.0)</f>
        <v>0</v>
      </c>
      <c r="AB87" s="447">
        <f>IFERROR(__xludf.DUMMYFUNCTION("""COMPUTED_VALUE"""),0.0)</f>
        <v>0</v>
      </c>
      <c r="AC87" s="447">
        <f>IFERROR(__xludf.DUMMYFUNCTION("""COMPUTED_VALUE"""),0.0)</f>
        <v>0</v>
      </c>
      <c r="AD87" s="447">
        <f>IFERROR(__xludf.DUMMYFUNCTION("""COMPUTED_VALUE"""),49.0)</f>
        <v>49</v>
      </c>
      <c r="AE87" s="447">
        <f>IFERROR(__xludf.DUMMYFUNCTION("""COMPUTED_VALUE"""),9.0)</f>
        <v>9</v>
      </c>
      <c r="AF87" s="447">
        <f>IFERROR(__xludf.DUMMYFUNCTION("""COMPUTED_VALUE"""),1.0)</f>
        <v>1</v>
      </c>
      <c r="AG87" s="443" t="s">
        <v>98</v>
      </c>
      <c r="AH87" s="443" t="s">
        <v>343</v>
      </c>
      <c r="AI87" s="443"/>
      <c r="AJ87" s="443"/>
      <c r="AK87" s="443"/>
      <c r="AL87" s="443"/>
      <c r="AM87" s="443"/>
      <c r="AN87" s="443"/>
      <c r="AO87" s="443"/>
      <c r="AP87" s="443"/>
      <c r="AQ87" s="443"/>
      <c r="AR87" s="443"/>
      <c r="AS87" s="443"/>
      <c r="AT87" s="443"/>
      <c r="AU87" s="443"/>
      <c r="AV87" s="443"/>
      <c r="AW87" s="443"/>
      <c r="AX87" s="443"/>
      <c r="AY87" s="443"/>
      <c r="AZ87" s="443"/>
      <c r="BA87" s="443"/>
      <c r="BB87" s="443"/>
      <c r="BC87" s="443"/>
      <c r="BD87" s="443"/>
      <c r="BE87" s="443"/>
    </row>
    <row r="88" hidden="1">
      <c r="A88" s="445">
        <f t="shared" si="5"/>
        <v>45378</v>
      </c>
      <c r="B88" s="434">
        <v>449.0</v>
      </c>
      <c r="C88" s="462">
        <v>0.39166666666666666</v>
      </c>
      <c r="D88" s="462">
        <v>0.7083333333333334</v>
      </c>
      <c r="E88" s="436">
        <f t="array" ref="E88">IF(B88=0,"",(J88+K88)/60)</f>
        <v>1.2</v>
      </c>
      <c r="F88" s="437">
        <f t="shared" si="1"/>
        <v>7.6</v>
      </c>
      <c r="G88" s="438">
        <f t="shared" si="2"/>
        <v>59.07894737</v>
      </c>
      <c r="H88" s="438">
        <f t="shared" si="3"/>
        <v>70.15625</v>
      </c>
      <c r="I88" s="436">
        <f t="shared" si="4"/>
        <v>1.205692803</v>
      </c>
      <c r="J88" s="449">
        <v>60.0</v>
      </c>
      <c r="K88" s="449">
        <v>12.0</v>
      </c>
      <c r="L88" s="443"/>
      <c r="M88" s="447">
        <f>IFERROR(__xludf.DUMMYFUNCTION("""COMPUTED_VALUE"""),57.0)</f>
        <v>57</v>
      </c>
      <c r="N88" s="447">
        <f>IFERROR(__xludf.DUMMYFUNCTION("""COMPUTED_VALUE"""),56.0)</f>
        <v>56</v>
      </c>
      <c r="O88" s="447">
        <f>IFERROR(__xludf.DUMMYFUNCTION("""COMPUTED_VALUE"""),0.0)</f>
        <v>0</v>
      </c>
      <c r="P88" s="447">
        <f>IFERROR(__xludf.DUMMYFUNCTION("""COMPUTED_VALUE"""),0.0)</f>
        <v>0</v>
      </c>
      <c r="Q88" s="447">
        <f>IFERROR(__xludf.DUMMYFUNCTION("""COMPUTED_VALUE"""),0.0)</f>
        <v>0</v>
      </c>
      <c r="R88" s="447">
        <f>IFERROR(__xludf.DUMMYFUNCTION("""COMPUTED_VALUE"""),0.0)</f>
        <v>0</v>
      </c>
      <c r="S88" s="447">
        <f>IFERROR(__xludf.DUMMYFUNCTION("""COMPUTED_VALUE"""),1.0)</f>
        <v>1</v>
      </c>
      <c r="T88" s="447">
        <f>IFERROR(__xludf.DUMMYFUNCTION("""COMPUTED_VALUE"""),1.0)</f>
        <v>1</v>
      </c>
      <c r="U88" s="447">
        <f>IFERROR(__xludf.DUMMYFUNCTION("""COMPUTED_VALUE"""),0.0)</f>
        <v>0</v>
      </c>
      <c r="V88" s="447">
        <f>IFERROR(__xludf.DUMMYFUNCTION("""COMPUTED_VALUE"""),4.0)</f>
        <v>4</v>
      </c>
      <c r="W88" s="447">
        <f>IFERROR(__xludf.DUMMYFUNCTION("""COMPUTED_VALUE"""),1.0)</f>
        <v>1</v>
      </c>
      <c r="X88" s="447">
        <f>IFERROR(__xludf.DUMMYFUNCTION("""COMPUTED_VALUE"""),0.0)</f>
        <v>0</v>
      </c>
      <c r="Y88" s="447">
        <f>IFERROR(__xludf.DUMMYFUNCTION("""COMPUTED_VALUE"""),1.0)</f>
        <v>1</v>
      </c>
      <c r="Z88" s="447">
        <f>IFERROR(__xludf.DUMMYFUNCTION("""COMPUTED_VALUE"""),0.0)</f>
        <v>0</v>
      </c>
      <c r="AA88" s="447">
        <f>IFERROR(__xludf.DUMMYFUNCTION("""COMPUTED_VALUE"""),0.0)</f>
        <v>0</v>
      </c>
      <c r="AB88" s="447">
        <f>IFERROR(__xludf.DUMMYFUNCTION("""COMPUTED_VALUE"""),0.0)</f>
        <v>0</v>
      </c>
      <c r="AC88" s="447">
        <f>IFERROR(__xludf.DUMMYFUNCTION("""COMPUTED_VALUE"""),0.0)</f>
        <v>0</v>
      </c>
      <c r="AD88" s="447">
        <f>IFERROR(__xludf.DUMMYFUNCTION("""COMPUTED_VALUE"""),49.0)</f>
        <v>49</v>
      </c>
      <c r="AE88" s="447">
        <f>IFERROR(__xludf.DUMMYFUNCTION("""COMPUTED_VALUE"""),9.0)</f>
        <v>9</v>
      </c>
      <c r="AF88" s="447">
        <f>IFERROR(__xludf.DUMMYFUNCTION("""COMPUTED_VALUE"""),1.0)</f>
        <v>1</v>
      </c>
      <c r="AG88" s="443" t="s">
        <v>98</v>
      </c>
      <c r="AH88" s="443" t="s">
        <v>343</v>
      </c>
      <c r="AI88" s="443"/>
      <c r="AJ88" s="443"/>
      <c r="AK88" s="443"/>
      <c r="AL88" s="443"/>
      <c r="AM88" s="443"/>
      <c r="AN88" s="443"/>
      <c r="AO88" s="443"/>
      <c r="AP88" s="443"/>
      <c r="AQ88" s="443"/>
      <c r="AR88" s="443"/>
      <c r="AS88" s="443"/>
      <c r="AT88" s="443"/>
      <c r="AU88" s="443"/>
      <c r="AV88" s="443"/>
      <c r="AW88" s="443"/>
      <c r="AX88" s="443"/>
      <c r="AY88" s="443"/>
      <c r="AZ88" s="443"/>
      <c r="BA88" s="443"/>
      <c r="BB88" s="443"/>
      <c r="BC88" s="443"/>
      <c r="BD88" s="443"/>
      <c r="BE88" s="443"/>
    </row>
    <row r="89" hidden="1">
      <c r="A89" s="445">
        <f t="shared" si="5"/>
        <v>45379</v>
      </c>
      <c r="B89" s="434">
        <v>0.0</v>
      </c>
      <c r="C89" s="449">
        <v>0.0</v>
      </c>
      <c r="D89" s="462"/>
      <c r="E89" s="436" t="str">
        <f t="array" ref="E89">IF(B89=0,"",(J89+K89)/60)</f>
        <v/>
      </c>
      <c r="F89" s="437" t="str">
        <f t="shared" si="1"/>
        <v/>
      </c>
      <c r="G89" s="438" t="str">
        <f t="shared" si="2"/>
        <v/>
      </c>
      <c r="H89" s="438" t="str">
        <f t="shared" si="3"/>
        <v/>
      </c>
      <c r="I89" s="436" t="str">
        <f t="shared" si="4"/>
        <v/>
      </c>
      <c r="J89" s="443"/>
      <c r="K89" s="471"/>
      <c r="L89" s="443"/>
      <c r="M89" s="447">
        <f>IFERROR(__xludf.DUMMYFUNCTION("""COMPUTED_VALUE"""),57.0)</f>
        <v>57</v>
      </c>
      <c r="N89" s="447">
        <f>IFERROR(__xludf.DUMMYFUNCTION("""COMPUTED_VALUE"""),57.0)</f>
        <v>57</v>
      </c>
      <c r="O89" s="447">
        <f>IFERROR(__xludf.DUMMYFUNCTION("""COMPUTED_VALUE"""),0.0)</f>
        <v>0</v>
      </c>
      <c r="P89" s="447">
        <f>IFERROR(__xludf.DUMMYFUNCTION("""COMPUTED_VALUE"""),0.0)</f>
        <v>0</v>
      </c>
      <c r="Q89" s="447">
        <f>IFERROR(__xludf.DUMMYFUNCTION("""COMPUTED_VALUE"""),0.0)</f>
        <v>0</v>
      </c>
      <c r="R89" s="447">
        <f>IFERROR(__xludf.DUMMYFUNCTION("""COMPUTED_VALUE"""),0.0)</f>
        <v>0</v>
      </c>
      <c r="S89" s="447">
        <f>IFERROR(__xludf.DUMMYFUNCTION("""COMPUTED_VALUE"""),0.0)</f>
        <v>0</v>
      </c>
      <c r="T89" s="447">
        <f>IFERROR(__xludf.DUMMYFUNCTION("""COMPUTED_VALUE"""),0.0)</f>
        <v>0</v>
      </c>
      <c r="U89" s="447">
        <f>IFERROR(__xludf.DUMMYFUNCTION("""COMPUTED_VALUE"""),0.0)</f>
        <v>0</v>
      </c>
      <c r="V89" s="447">
        <f>IFERROR(__xludf.DUMMYFUNCTION("""COMPUTED_VALUE"""),0.0)</f>
        <v>0</v>
      </c>
      <c r="W89" s="447">
        <f>IFERROR(__xludf.DUMMYFUNCTION("""COMPUTED_VALUE"""),0.0)</f>
        <v>0</v>
      </c>
      <c r="X89" s="447">
        <f>IFERROR(__xludf.DUMMYFUNCTION("""COMPUTED_VALUE"""),0.0)</f>
        <v>0</v>
      </c>
      <c r="Y89" s="447">
        <f>IFERROR(__xludf.DUMMYFUNCTION("""COMPUTED_VALUE"""),0.0)</f>
        <v>0</v>
      </c>
      <c r="Z89" s="447">
        <f>IFERROR(__xludf.DUMMYFUNCTION("""COMPUTED_VALUE"""),0.0)</f>
        <v>0</v>
      </c>
      <c r="AA89" s="447">
        <f>IFERROR(__xludf.DUMMYFUNCTION("""COMPUTED_VALUE"""),0.0)</f>
        <v>0</v>
      </c>
      <c r="AB89" s="447">
        <f>IFERROR(__xludf.DUMMYFUNCTION("""COMPUTED_VALUE"""),0.0)</f>
        <v>0</v>
      </c>
      <c r="AC89" s="447">
        <f>IFERROR(__xludf.DUMMYFUNCTION("""COMPUTED_VALUE"""),0.0)</f>
        <v>0</v>
      </c>
      <c r="AD89" s="447">
        <f>IFERROR(__xludf.DUMMYFUNCTION("""COMPUTED_VALUE"""),0.0)</f>
        <v>0</v>
      </c>
      <c r="AE89" s="447">
        <f>IFERROR(__xludf.DUMMYFUNCTION("""COMPUTED_VALUE"""),0.0)</f>
        <v>0</v>
      </c>
      <c r="AF89" s="447">
        <f>IFERROR(__xludf.DUMMYFUNCTION("""COMPUTED_VALUE"""),0.0)</f>
        <v>0</v>
      </c>
      <c r="AG89" s="443" t="s">
        <v>98</v>
      </c>
      <c r="AH89" s="443" t="s">
        <v>343</v>
      </c>
      <c r="AI89" s="443"/>
      <c r="AJ89" s="443"/>
      <c r="AK89" s="443"/>
      <c r="AL89" s="443"/>
      <c r="AM89" s="443"/>
      <c r="AN89" s="443"/>
      <c r="AO89" s="443"/>
      <c r="AP89" s="443"/>
      <c r="AQ89" s="443"/>
      <c r="AR89" s="443"/>
      <c r="AS89" s="443"/>
      <c r="AT89" s="443"/>
      <c r="AU89" s="443"/>
      <c r="AV89" s="443"/>
      <c r="AW89" s="443"/>
      <c r="AX89" s="443"/>
      <c r="AY89" s="443"/>
      <c r="AZ89" s="443"/>
      <c r="BA89" s="443"/>
      <c r="BB89" s="443"/>
      <c r="BC89" s="443"/>
      <c r="BD89" s="443"/>
      <c r="BE89" s="443"/>
    </row>
    <row r="90" hidden="1">
      <c r="A90" s="445">
        <f t="shared" si="5"/>
        <v>45380</v>
      </c>
      <c r="B90" s="434">
        <v>0.0</v>
      </c>
      <c r="C90" s="449">
        <v>0.0</v>
      </c>
      <c r="D90" s="509"/>
      <c r="E90" s="436" t="str">
        <f t="array" ref="E90">IF(B90=0,"",(J90+K90)/60)</f>
        <v/>
      </c>
      <c r="F90" s="437" t="str">
        <f t="shared" si="1"/>
        <v/>
      </c>
      <c r="G90" s="438" t="str">
        <f t="shared" si="2"/>
        <v/>
      </c>
      <c r="H90" s="438" t="str">
        <f t="shared" si="3"/>
        <v/>
      </c>
      <c r="I90" s="436" t="str">
        <f t="shared" si="4"/>
        <v/>
      </c>
      <c r="J90" s="443"/>
      <c r="K90" s="471"/>
      <c r="L90" s="443"/>
      <c r="M90" s="447">
        <f>IFERROR(__xludf.DUMMYFUNCTION("""COMPUTED_VALUE"""),57.0)</f>
        <v>57</v>
      </c>
      <c r="N90" s="447">
        <f>IFERROR(__xludf.DUMMYFUNCTION("""COMPUTED_VALUE"""),57.0)</f>
        <v>57</v>
      </c>
      <c r="O90" s="447">
        <f>IFERROR(__xludf.DUMMYFUNCTION("""COMPUTED_VALUE"""),0.0)</f>
        <v>0</v>
      </c>
      <c r="P90" s="447">
        <f>IFERROR(__xludf.DUMMYFUNCTION("""COMPUTED_VALUE"""),0.0)</f>
        <v>0</v>
      </c>
      <c r="Q90" s="447">
        <f>IFERROR(__xludf.DUMMYFUNCTION("""COMPUTED_VALUE"""),0.0)</f>
        <v>0</v>
      </c>
      <c r="R90" s="447">
        <f>IFERROR(__xludf.DUMMYFUNCTION("""COMPUTED_VALUE"""),0.0)</f>
        <v>0</v>
      </c>
      <c r="S90" s="447">
        <f>IFERROR(__xludf.DUMMYFUNCTION("""COMPUTED_VALUE"""),0.0)</f>
        <v>0</v>
      </c>
      <c r="T90" s="447">
        <f>IFERROR(__xludf.DUMMYFUNCTION("""COMPUTED_VALUE"""),0.0)</f>
        <v>0</v>
      </c>
      <c r="U90" s="447">
        <f>IFERROR(__xludf.DUMMYFUNCTION("""COMPUTED_VALUE"""),0.0)</f>
        <v>0</v>
      </c>
      <c r="V90" s="447">
        <f>IFERROR(__xludf.DUMMYFUNCTION("""COMPUTED_VALUE"""),0.0)</f>
        <v>0</v>
      </c>
      <c r="W90" s="447">
        <f>IFERROR(__xludf.DUMMYFUNCTION("""COMPUTED_VALUE"""),0.0)</f>
        <v>0</v>
      </c>
      <c r="X90" s="447">
        <f>IFERROR(__xludf.DUMMYFUNCTION("""COMPUTED_VALUE"""),0.0)</f>
        <v>0</v>
      </c>
      <c r="Y90" s="447">
        <f>IFERROR(__xludf.DUMMYFUNCTION("""COMPUTED_VALUE"""),0.0)</f>
        <v>0</v>
      </c>
      <c r="Z90" s="447">
        <f>IFERROR(__xludf.DUMMYFUNCTION("""COMPUTED_VALUE"""),0.0)</f>
        <v>0</v>
      </c>
      <c r="AA90" s="447">
        <f>IFERROR(__xludf.DUMMYFUNCTION("""COMPUTED_VALUE"""),0.0)</f>
        <v>0</v>
      </c>
      <c r="AB90" s="447">
        <f>IFERROR(__xludf.DUMMYFUNCTION("""COMPUTED_VALUE"""),0.0)</f>
        <v>0</v>
      </c>
      <c r="AC90" s="447">
        <f>IFERROR(__xludf.DUMMYFUNCTION("""COMPUTED_VALUE"""),0.0)</f>
        <v>0</v>
      </c>
      <c r="AD90" s="447">
        <f>IFERROR(__xludf.DUMMYFUNCTION("""COMPUTED_VALUE"""),0.0)</f>
        <v>0</v>
      </c>
      <c r="AE90" s="447">
        <f>IFERROR(__xludf.DUMMYFUNCTION("""COMPUTED_VALUE"""),0.0)</f>
        <v>0</v>
      </c>
      <c r="AF90" s="447">
        <f>IFERROR(__xludf.DUMMYFUNCTION("""COMPUTED_VALUE"""),0.0)</f>
        <v>0</v>
      </c>
      <c r="AG90" s="443" t="s">
        <v>98</v>
      </c>
      <c r="AH90" s="443" t="s">
        <v>343</v>
      </c>
      <c r="AI90" s="443"/>
      <c r="AJ90" s="443"/>
      <c r="AK90" s="443"/>
      <c r="AL90" s="443"/>
      <c r="AM90" s="443"/>
      <c r="AN90" s="443"/>
      <c r="AO90" s="443"/>
      <c r="AP90" s="443"/>
      <c r="AQ90" s="443"/>
      <c r="AR90" s="443"/>
      <c r="AS90" s="443"/>
      <c r="AT90" s="443"/>
      <c r="AU90" s="443"/>
      <c r="AV90" s="443"/>
      <c r="AW90" s="443"/>
      <c r="AX90" s="443"/>
      <c r="AY90" s="443"/>
      <c r="AZ90" s="443"/>
      <c r="BA90" s="443"/>
      <c r="BB90" s="443"/>
      <c r="BC90" s="443"/>
      <c r="BD90" s="443"/>
      <c r="BE90" s="443"/>
    </row>
    <row r="91" hidden="1">
      <c r="A91" s="445">
        <f t="shared" si="5"/>
        <v>45381</v>
      </c>
      <c r="B91" s="434">
        <v>458.0</v>
      </c>
      <c r="C91" s="462">
        <v>0.5583333333333333</v>
      </c>
      <c r="D91" s="462">
        <v>1.0166666666666666</v>
      </c>
      <c r="E91" s="436">
        <f t="array" ref="E91">IF(B91=0,"",(J91+K91)/60)</f>
        <v>2.783333333</v>
      </c>
      <c r="F91" s="437">
        <f t="shared" si="1"/>
        <v>11</v>
      </c>
      <c r="G91" s="438">
        <f t="shared" si="2"/>
        <v>41.63636364</v>
      </c>
      <c r="H91" s="438">
        <f t="shared" si="3"/>
        <v>55.74036511</v>
      </c>
      <c r="I91" s="436">
        <f t="shared" si="4"/>
        <v>0.9913419913</v>
      </c>
      <c r="J91" s="443"/>
      <c r="K91" s="449">
        <v>167.0</v>
      </c>
      <c r="L91" s="443"/>
      <c r="M91" s="447">
        <f>IFERROR(__xludf.DUMMYFUNCTION("""COMPUTED_VALUE"""),57.0)</f>
        <v>57</v>
      </c>
      <c r="N91" s="447">
        <f>IFERROR(__xludf.DUMMYFUNCTION("""COMPUTED_VALUE"""),56.0)</f>
        <v>56</v>
      </c>
      <c r="O91" s="447">
        <f>IFERROR(__xludf.DUMMYFUNCTION("""COMPUTED_VALUE"""),0.0)</f>
        <v>0</v>
      </c>
      <c r="P91" s="447">
        <f>IFERROR(__xludf.DUMMYFUNCTION("""COMPUTED_VALUE"""),0.0)</f>
        <v>0</v>
      </c>
      <c r="Q91" s="447">
        <f>IFERROR(__xludf.DUMMYFUNCTION("""COMPUTED_VALUE"""),3.0)</f>
        <v>3</v>
      </c>
      <c r="R91" s="447">
        <f>IFERROR(__xludf.DUMMYFUNCTION("""COMPUTED_VALUE"""),0.0)</f>
        <v>0</v>
      </c>
      <c r="S91" s="447">
        <f>IFERROR(__xludf.DUMMYFUNCTION("""COMPUTED_VALUE"""),1.0)</f>
        <v>1</v>
      </c>
      <c r="T91" s="447">
        <f>IFERROR(__xludf.DUMMYFUNCTION("""COMPUTED_VALUE"""),2.0)</f>
        <v>2</v>
      </c>
      <c r="U91" s="447">
        <f>IFERROR(__xludf.DUMMYFUNCTION("""COMPUTED_VALUE"""),0.0)</f>
        <v>0</v>
      </c>
      <c r="V91" s="447">
        <f>IFERROR(__xludf.DUMMYFUNCTION("""COMPUTED_VALUE"""),4.0)</f>
        <v>4</v>
      </c>
      <c r="W91" s="447">
        <f>IFERROR(__xludf.DUMMYFUNCTION("""COMPUTED_VALUE"""),0.0)</f>
        <v>0</v>
      </c>
      <c r="X91" s="447">
        <f>IFERROR(__xludf.DUMMYFUNCTION("""COMPUTED_VALUE"""),0.0)</f>
        <v>0</v>
      </c>
      <c r="Y91" s="447">
        <f>IFERROR(__xludf.DUMMYFUNCTION("""COMPUTED_VALUE"""),1.0)</f>
        <v>1</v>
      </c>
      <c r="Z91" s="447">
        <f>IFERROR(__xludf.DUMMYFUNCTION("""COMPUTED_VALUE"""),0.0)</f>
        <v>0</v>
      </c>
      <c r="AA91" s="447">
        <f>IFERROR(__xludf.DUMMYFUNCTION("""COMPUTED_VALUE"""),0.0)</f>
        <v>0</v>
      </c>
      <c r="AB91" s="447">
        <f>IFERROR(__xludf.DUMMYFUNCTION("""COMPUTED_VALUE"""),0.0)</f>
        <v>0</v>
      </c>
      <c r="AC91" s="447">
        <f>IFERROR(__xludf.DUMMYFUNCTION("""COMPUTED_VALUE"""),4.0)</f>
        <v>4</v>
      </c>
      <c r="AD91" s="447">
        <f>IFERROR(__xludf.DUMMYFUNCTION("""COMPUTED_VALUE"""),42.0)</f>
        <v>42</v>
      </c>
      <c r="AE91" s="447">
        <f>IFERROR(__xludf.DUMMYFUNCTION("""COMPUTED_VALUE"""),16.0)</f>
        <v>16</v>
      </c>
      <c r="AF91" s="447">
        <f>IFERROR(__xludf.DUMMYFUNCTION("""COMPUTED_VALUE"""),1.0)</f>
        <v>1</v>
      </c>
      <c r="AG91" s="443" t="s">
        <v>98</v>
      </c>
      <c r="AH91" s="443" t="s">
        <v>343</v>
      </c>
      <c r="AI91" s="443"/>
      <c r="AJ91" s="443"/>
      <c r="AK91" s="443"/>
      <c r="AL91" s="443"/>
      <c r="AM91" s="443"/>
      <c r="AN91" s="443"/>
      <c r="AO91" s="443"/>
      <c r="AP91" s="443"/>
      <c r="AQ91" s="443"/>
      <c r="AR91" s="443"/>
      <c r="AS91" s="443"/>
      <c r="AT91" s="443"/>
      <c r="AU91" s="443"/>
      <c r="AV91" s="443"/>
      <c r="AW91" s="443"/>
      <c r="AX91" s="443"/>
      <c r="AY91" s="443"/>
      <c r="AZ91" s="443"/>
      <c r="BA91" s="443"/>
      <c r="BB91" s="443"/>
      <c r="BC91" s="443"/>
      <c r="BD91" s="443"/>
      <c r="BE91" s="443"/>
    </row>
    <row r="92" hidden="1">
      <c r="A92" s="445">
        <f t="shared" si="5"/>
        <v>45382</v>
      </c>
      <c r="B92" s="434">
        <v>0.0</v>
      </c>
      <c r="C92" s="462"/>
      <c r="D92" s="462"/>
      <c r="E92" s="436" t="str">
        <f t="array" ref="E92">IF(B92=0,"",(J92+K92)/60)</f>
        <v/>
      </c>
      <c r="F92" s="437" t="str">
        <f t="shared" si="1"/>
        <v/>
      </c>
      <c r="G92" s="438" t="str">
        <f t="shared" si="2"/>
        <v/>
      </c>
      <c r="H92" s="438" t="str">
        <f t="shared" si="3"/>
        <v/>
      </c>
      <c r="I92" s="436" t="str">
        <f t="shared" si="4"/>
        <v/>
      </c>
      <c r="J92" s="443"/>
      <c r="K92" s="449"/>
      <c r="L92" s="443"/>
      <c r="M92" s="447">
        <f>IFERROR(__xludf.DUMMYFUNCTION("""COMPUTED_VALUE"""),57.0)</f>
        <v>57</v>
      </c>
      <c r="N92" s="447">
        <f>IFERROR(__xludf.DUMMYFUNCTION("""COMPUTED_VALUE"""),57.0)</f>
        <v>57</v>
      </c>
      <c r="O92" s="447">
        <f>IFERROR(__xludf.DUMMYFUNCTION("""COMPUTED_VALUE"""),0.0)</f>
        <v>0</v>
      </c>
      <c r="P92" s="447">
        <f>IFERROR(__xludf.DUMMYFUNCTION("""COMPUTED_VALUE"""),0.0)</f>
        <v>0</v>
      </c>
      <c r="Q92" s="447">
        <f>IFERROR(__xludf.DUMMYFUNCTION("""COMPUTED_VALUE"""),0.0)</f>
        <v>0</v>
      </c>
      <c r="R92" s="447">
        <f>IFERROR(__xludf.DUMMYFUNCTION("""COMPUTED_VALUE"""),0.0)</f>
        <v>0</v>
      </c>
      <c r="S92" s="447">
        <f>IFERROR(__xludf.DUMMYFUNCTION("""COMPUTED_VALUE"""),0.0)</f>
        <v>0</v>
      </c>
      <c r="T92" s="447">
        <f>IFERROR(__xludf.DUMMYFUNCTION("""COMPUTED_VALUE"""),0.0)</f>
        <v>0</v>
      </c>
      <c r="U92" s="447">
        <f>IFERROR(__xludf.DUMMYFUNCTION("""COMPUTED_VALUE"""),0.0)</f>
        <v>0</v>
      </c>
      <c r="V92" s="447">
        <f>IFERROR(__xludf.DUMMYFUNCTION("""COMPUTED_VALUE"""),0.0)</f>
        <v>0</v>
      </c>
      <c r="W92" s="447">
        <f>IFERROR(__xludf.DUMMYFUNCTION("""COMPUTED_VALUE"""),0.0)</f>
        <v>0</v>
      </c>
      <c r="X92" s="447">
        <f>IFERROR(__xludf.DUMMYFUNCTION("""COMPUTED_VALUE"""),0.0)</f>
        <v>0</v>
      </c>
      <c r="Y92" s="447">
        <f>IFERROR(__xludf.DUMMYFUNCTION("""COMPUTED_VALUE"""),0.0)</f>
        <v>0</v>
      </c>
      <c r="Z92" s="447">
        <f>IFERROR(__xludf.DUMMYFUNCTION("""COMPUTED_VALUE"""),0.0)</f>
        <v>0</v>
      </c>
      <c r="AA92" s="447">
        <f>IFERROR(__xludf.DUMMYFUNCTION("""COMPUTED_VALUE"""),0.0)</f>
        <v>0</v>
      </c>
      <c r="AB92" s="447">
        <f>IFERROR(__xludf.DUMMYFUNCTION("""COMPUTED_VALUE"""),0.0)</f>
        <v>0</v>
      </c>
      <c r="AC92" s="447">
        <f>IFERROR(__xludf.DUMMYFUNCTION("""COMPUTED_VALUE"""),0.0)</f>
        <v>0</v>
      </c>
      <c r="AD92" s="447">
        <f>IFERROR(__xludf.DUMMYFUNCTION("""COMPUTED_VALUE"""),0.0)</f>
        <v>0</v>
      </c>
      <c r="AE92" s="447">
        <f>IFERROR(__xludf.DUMMYFUNCTION("""COMPUTED_VALUE"""),0.0)</f>
        <v>0</v>
      </c>
      <c r="AF92" s="447">
        <f>IFERROR(__xludf.DUMMYFUNCTION("""COMPUTED_VALUE"""),0.0)</f>
        <v>0</v>
      </c>
      <c r="AG92" s="443" t="s">
        <v>98</v>
      </c>
      <c r="AH92" s="443" t="s">
        <v>343</v>
      </c>
      <c r="AI92" s="443"/>
      <c r="AJ92" s="443"/>
      <c r="AK92" s="443"/>
      <c r="AL92" s="443"/>
      <c r="AM92" s="443"/>
      <c r="AN92" s="443"/>
      <c r="AO92" s="443"/>
      <c r="AP92" s="443"/>
      <c r="AQ92" s="443"/>
      <c r="AR92" s="443"/>
      <c r="AS92" s="443"/>
      <c r="AT92" s="443"/>
      <c r="AU92" s="443"/>
      <c r="AV92" s="443"/>
      <c r="AW92" s="443"/>
      <c r="AX92" s="443"/>
      <c r="AY92" s="443"/>
      <c r="AZ92" s="443"/>
      <c r="BA92" s="443"/>
      <c r="BB92" s="443"/>
      <c r="BC92" s="443"/>
      <c r="BD92" s="443"/>
      <c r="BE92" s="443"/>
    </row>
    <row r="93" hidden="1">
      <c r="A93" s="445">
        <f t="shared" si="5"/>
        <v>45383</v>
      </c>
      <c r="B93" s="434">
        <v>444.0</v>
      </c>
      <c r="C93" s="462">
        <v>0.6</v>
      </c>
      <c r="D93" s="462">
        <v>0.9638888888888889</v>
      </c>
      <c r="E93" s="436">
        <f t="array" ref="E93">IF(B93=0,"",(J93+K93)/60)</f>
        <v>0.25</v>
      </c>
      <c r="F93" s="437">
        <f t="shared" si="1"/>
        <v>8.733333333</v>
      </c>
      <c r="G93" s="438">
        <f t="shared" si="2"/>
        <v>50.83969466</v>
      </c>
      <c r="H93" s="438">
        <f t="shared" si="3"/>
        <v>52.33791749</v>
      </c>
      <c r="I93" s="436">
        <f t="shared" si="4"/>
        <v>1.016793893</v>
      </c>
      <c r="J93" s="449">
        <v>15.0</v>
      </c>
      <c r="K93" s="443"/>
      <c r="L93" s="443"/>
      <c r="M93" s="469">
        <f>IFERROR(__xludf.DUMMYFUNCTION("TRANSPOSE(IMPORTRANGE(""https://docs.google.com/spreadsheets/d/1CNeKSHTeNNJnfn5EymHwGg5Mkuk6EcepW7_9QkJxalc/edit#gid=1218471306"",""ABRIL 2024!F2:AI21""))"),57.0)</f>
        <v>57</v>
      </c>
      <c r="N93" s="447">
        <f>IFERROR(__xludf.DUMMYFUNCTION("""COMPUTED_VALUE"""),56.0)</f>
        <v>56</v>
      </c>
      <c r="O93" s="447">
        <f>IFERROR(__xludf.DUMMYFUNCTION("""COMPUTED_VALUE"""),0.0)</f>
        <v>0</v>
      </c>
      <c r="P93" s="447">
        <f>IFERROR(__xludf.DUMMYFUNCTION("""COMPUTED_VALUE"""),0.0)</f>
        <v>0</v>
      </c>
      <c r="Q93" s="447">
        <f>IFERROR(__xludf.DUMMYFUNCTION("""COMPUTED_VALUE"""),1.0)</f>
        <v>1</v>
      </c>
      <c r="R93" s="447">
        <f>IFERROR(__xludf.DUMMYFUNCTION("""COMPUTED_VALUE"""),0.0)</f>
        <v>0</v>
      </c>
      <c r="S93" s="447">
        <f>IFERROR(__xludf.DUMMYFUNCTION("""COMPUTED_VALUE"""),0.0)</f>
        <v>0</v>
      </c>
      <c r="T93" s="447">
        <f>IFERROR(__xludf.DUMMYFUNCTION("""COMPUTED_VALUE"""),1.0)</f>
        <v>1</v>
      </c>
      <c r="U93" s="447">
        <f>IFERROR(__xludf.DUMMYFUNCTION("""COMPUTED_VALUE"""),0.0)</f>
        <v>0</v>
      </c>
      <c r="V93" s="447">
        <f>IFERROR(__xludf.DUMMYFUNCTION("""COMPUTED_VALUE"""),3.0)</f>
        <v>3</v>
      </c>
      <c r="W93" s="447">
        <f>IFERROR(__xludf.DUMMYFUNCTION("""COMPUTED_VALUE"""),0.0)</f>
        <v>0</v>
      </c>
      <c r="X93" s="447">
        <f>IFERROR(__xludf.DUMMYFUNCTION("""COMPUTED_VALUE"""),0.0)</f>
        <v>0</v>
      </c>
      <c r="Y93" s="447">
        <f>IFERROR(__xludf.DUMMYFUNCTION("""COMPUTED_VALUE"""),0.0)</f>
        <v>0</v>
      </c>
      <c r="Z93" s="447">
        <f>IFERROR(__xludf.DUMMYFUNCTION("""COMPUTED_VALUE"""),0.0)</f>
        <v>0</v>
      </c>
      <c r="AA93" s="447">
        <f>IFERROR(__xludf.DUMMYFUNCTION("""COMPUTED_VALUE"""),0.0)</f>
        <v>0</v>
      </c>
      <c r="AB93" s="447">
        <f>IFERROR(__xludf.DUMMYFUNCTION("""COMPUTED_VALUE"""),0.0)</f>
        <v>0</v>
      </c>
      <c r="AC93" s="447">
        <f>IFERROR(__xludf.DUMMYFUNCTION("""COMPUTED_VALUE"""),1.0)</f>
        <v>1</v>
      </c>
      <c r="AD93" s="447">
        <f>IFERROR(__xludf.DUMMYFUNCTION("""COMPUTED_VALUE"""),50.0)</f>
        <v>50</v>
      </c>
      <c r="AE93" s="447">
        <f>IFERROR(__xludf.DUMMYFUNCTION("""COMPUTED_VALUE"""),7.0)</f>
        <v>7</v>
      </c>
      <c r="AF93" s="447">
        <f>IFERROR(__xludf.DUMMYFUNCTION("""COMPUTED_VALUE"""),1.0)</f>
        <v>1</v>
      </c>
      <c r="AG93" s="443" t="s">
        <v>106</v>
      </c>
      <c r="AH93" s="443" t="s">
        <v>343</v>
      </c>
      <c r="AI93" s="443"/>
      <c r="AJ93" s="443"/>
      <c r="AK93" s="443"/>
      <c r="AL93" s="443"/>
      <c r="AM93" s="443"/>
      <c r="AN93" s="443"/>
      <c r="AO93" s="443"/>
      <c r="AP93" s="443"/>
      <c r="AQ93" s="443"/>
      <c r="AR93" s="443"/>
      <c r="AS93" s="443"/>
      <c r="AT93" s="443"/>
      <c r="AU93" s="443"/>
      <c r="AV93" s="443"/>
      <c r="AW93" s="443"/>
      <c r="AX93" s="443"/>
      <c r="AY93" s="443"/>
      <c r="AZ93" s="443"/>
      <c r="BA93" s="443"/>
      <c r="BB93" s="443"/>
      <c r="BC93" s="443"/>
      <c r="BD93" s="443"/>
      <c r="BE93" s="443"/>
    </row>
    <row r="94" hidden="1">
      <c r="A94" s="445">
        <f t="shared" si="5"/>
        <v>45384</v>
      </c>
      <c r="B94" s="434">
        <v>530.0</v>
      </c>
      <c r="C94" s="462">
        <v>0.6</v>
      </c>
      <c r="D94" s="462">
        <v>0.9708333333333333</v>
      </c>
      <c r="E94" s="436">
        <f t="array" ref="E94">IF(B94=0,"",(J94+K94)/60)</f>
        <v>0.5</v>
      </c>
      <c r="F94" s="437">
        <f t="shared" si="1"/>
        <v>8.9</v>
      </c>
      <c r="G94" s="438">
        <f t="shared" si="2"/>
        <v>59.5505618</v>
      </c>
      <c r="H94" s="438">
        <f t="shared" si="3"/>
        <v>63.0952381</v>
      </c>
      <c r="I94" s="436">
        <f t="shared" si="4"/>
        <v>1.191011236</v>
      </c>
      <c r="J94" s="449">
        <v>15.0</v>
      </c>
      <c r="K94" s="449">
        <v>15.0</v>
      </c>
      <c r="L94" s="443"/>
      <c r="M94" s="447">
        <f>IFERROR(__xludf.DUMMYFUNCTION("""COMPUTED_VALUE"""),57.0)</f>
        <v>57</v>
      </c>
      <c r="N94" s="447">
        <f>IFERROR(__xludf.DUMMYFUNCTION("""COMPUTED_VALUE"""),56.0)</f>
        <v>56</v>
      </c>
      <c r="O94" s="447">
        <f>IFERROR(__xludf.DUMMYFUNCTION("""COMPUTED_VALUE"""),0.0)</f>
        <v>0</v>
      </c>
      <c r="P94" s="447">
        <f>IFERROR(__xludf.DUMMYFUNCTION("""COMPUTED_VALUE"""),0.0)</f>
        <v>0</v>
      </c>
      <c r="Q94" s="447">
        <f>IFERROR(__xludf.DUMMYFUNCTION("""COMPUTED_VALUE"""),0.0)</f>
        <v>0</v>
      </c>
      <c r="R94" s="447">
        <f>IFERROR(__xludf.DUMMYFUNCTION("""COMPUTED_VALUE"""),0.0)</f>
        <v>0</v>
      </c>
      <c r="S94" s="447">
        <f>IFERROR(__xludf.DUMMYFUNCTION("""COMPUTED_VALUE"""),1.0)</f>
        <v>1</v>
      </c>
      <c r="T94" s="447">
        <f>IFERROR(__xludf.DUMMYFUNCTION("""COMPUTED_VALUE"""),1.0)</f>
        <v>1</v>
      </c>
      <c r="U94" s="447">
        <f>IFERROR(__xludf.DUMMYFUNCTION("""COMPUTED_VALUE"""),0.0)</f>
        <v>0</v>
      </c>
      <c r="V94" s="447">
        <f>IFERROR(__xludf.DUMMYFUNCTION("""COMPUTED_VALUE"""),3.0)</f>
        <v>3</v>
      </c>
      <c r="W94" s="447">
        <f>IFERROR(__xludf.DUMMYFUNCTION("""COMPUTED_VALUE"""),0.0)</f>
        <v>0</v>
      </c>
      <c r="X94" s="447">
        <f>IFERROR(__xludf.DUMMYFUNCTION("""COMPUTED_VALUE"""),0.0)</f>
        <v>0</v>
      </c>
      <c r="Y94" s="447">
        <f>IFERROR(__xludf.DUMMYFUNCTION("""COMPUTED_VALUE"""),0.0)</f>
        <v>0</v>
      </c>
      <c r="Z94" s="447">
        <f>IFERROR(__xludf.DUMMYFUNCTION("""COMPUTED_VALUE"""),0.0)</f>
        <v>0</v>
      </c>
      <c r="AA94" s="447">
        <f>IFERROR(__xludf.DUMMYFUNCTION("""COMPUTED_VALUE"""),0.0)</f>
        <v>0</v>
      </c>
      <c r="AB94" s="447">
        <f>IFERROR(__xludf.DUMMYFUNCTION("""COMPUTED_VALUE"""),0.0)</f>
        <v>0</v>
      </c>
      <c r="AC94" s="447">
        <f>IFERROR(__xludf.DUMMYFUNCTION("""COMPUTED_VALUE"""),0.0)</f>
        <v>0</v>
      </c>
      <c r="AD94" s="447">
        <f>IFERROR(__xludf.DUMMYFUNCTION("""COMPUTED_VALUE"""),50.0)</f>
        <v>50</v>
      </c>
      <c r="AE94" s="447">
        <f>IFERROR(__xludf.DUMMYFUNCTION("""COMPUTED_VALUE"""),7.0)</f>
        <v>7</v>
      </c>
      <c r="AF94" s="447">
        <f>IFERROR(__xludf.DUMMYFUNCTION("""COMPUTED_VALUE"""),1.0)</f>
        <v>1</v>
      </c>
      <c r="AG94" s="443" t="s">
        <v>106</v>
      </c>
      <c r="AH94" s="443" t="s">
        <v>343</v>
      </c>
      <c r="AI94" s="443"/>
      <c r="AJ94" s="443"/>
      <c r="AK94" s="443"/>
      <c r="AL94" s="443"/>
      <c r="AM94" s="443"/>
      <c r="AN94" s="443"/>
      <c r="AO94" s="443"/>
      <c r="AP94" s="443"/>
      <c r="AQ94" s="443"/>
      <c r="AR94" s="443"/>
      <c r="AS94" s="443"/>
      <c r="AT94" s="443"/>
      <c r="AU94" s="443"/>
      <c r="AV94" s="443"/>
      <c r="AW94" s="443"/>
      <c r="AX94" s="443"/>
      <c r="AY94" s="443"/>
      <c r="AZ94" s="443"/>
      <c r="BA94" s="443"/>
      <c r="BB94" s="443"/>
      <c r="BC94" s="443"/>
      <c r="BD94" s="443"/>
      <c r="BE94" s="443"/>
    </row>
    <row r="95" hidden="1">
      <c r="A95" s="445">
        <f t="shared" si="5"/>
        <v>45385</v>
      </c>
      <c r="B95" s="434">
        <v>408.0</v>
      </c>
      <c r="C95" s="462">
        <v>0.5583333333333333</v>
      </c>
      <c r="D95" s="462">
        <v>0.8861111111111111</v>
      </c>
      <c r="E95" s="436">
        <f t="array" ref="E95">IF(B95=0,"",(J95+K95)/60)</f>
        <v>1.5</v>
      </c>
      <c r="F95" s="437">
        <f t="shared" si="1"/>
        <v>7.866666667</v>
      </c>
      <c r="G95" s="438">
        <f t="shared" si="2"/>
        <v>51.86440678</v>
      </c>
      <c r="H95" s="438">
        <f t="shared" si="3"/>
        <v>64.08376963</v>
      </c>
      <c r="I95" s="436">
        <f t="shared" si="4"/>
        <v>1.016949153</v>
      </c>
      <c r="J95" s="449">
        <v>15.0</v>
      </c>
      <c r="K95" s="449">
        <v>75.0</v>
      </c>
      <c r="L95" s="449" t="s">
        <v>476</v>
      </c>
      <c r="M95" s="447">
        <f>IFERROR(__xludf.DUMMYFUNCTION("""COMPUTED_VALUE"""),57.0)</f>
        <v>57</v>
      </c>
      <c r="N95" s="447">
        <f>IFERROR(__xludf.DUMMYFUNCTION("""COMPUTED_VALUE"""),56.0)</f>
        <v>56</v>
      </c>
      <c r="O95" s="447">
        <f>IFERROR(__xludf.DUMMYFUNCTION("""COMPUTED_VALUE"""),0.0)</f>
        <v>0</v>
      </c>
      <c r="P95" s="447">
        <f>IFERROR(__xludf.DUMMYFUNCTION("""COMPUTED_VALUE"""),0.0)</f>
        <v>0</v>
      </c>
      <c r="Q95" s="447">
        <f>IFERROR(__xludf.DUMMYFUNCTION("""COMPUTED_VALUE"""),0.0)</f>
        <v>0</v>
      </c>
      <c r="R95" s="447">
        <f>IFERROR(__xludf.DUMMYFUNCTION("""COMPUTED_VALUE"""),0.0)</f>
        <v>0</v>
      </c>
      <c r="S95" s="447">
        <f>IFERROR(__xludf.DUMMYFUNCTION("""COMPUTED_VALUE"""),1.0)</f>
        <v>1</v>
      </c>
      <c r="T95" s="447">
        <f>IFERROR(__xludf.DUMMYFUNCTION("""COMPUTED_VALUE"""),1.0)</f>
        <v>1</v>
      </c>
      <c r="U95" s="447">
        <f>IFERROR(__xludf.DUMMYFUNCTION("""COMPUTED_VALUE"""),0.0)</f>
        <v>0</v>
      </c>
      <c r="V95" s="447">
        <f>IFERROR(__xludf.DUMMYFUNCTION("""COMPUTED_VALUE"""),3.0)</f>
        <v>3</v>
      </c>
      <c r="W95" s="447">
        <f>IFERROR(__xludf.DUMMYFUNCTION("""COMPUTED_VALUE"""),0.0)</f>
        <v>0</v>
      </c>
      <c r="X95" s="447">
        <f>IFERROR(__xludf.DUMMYFUNCTION("""COMPUTED_VALUE"""),0.0)</f>
        <v>0</v>
      </c>
      <c r="Y95" s="447">
        <f>IFERROR(__xludf.DUMMYFUNCTION("""COMPUTED_VALUE"""),0.0)</f>
        <v>0</v>
      </c>
      <c r="Z95" s="447">
        <f>IFERROR(__xludf.DUMMYFUNCTION("""COMPUTED_VALUE"""),0.0)</f>
        <v>0</v>
      </c>
      <c r="AA95" s="447">
        <f>IFERROR(__xludf.DUMMYFUNCTION("""COMPUTED_VALUE"""),0.0)</f>
        <v>0</v>
      </c>
      <c r="AB95" s="447">
        <f>IFERROR(__xludf.DUMMYFUNCTION("""COMPUTED_VALUE"""),0.0)</f>
        <v>0</v>
      </c>
      <c r="AC95" s="447">
        <f>IFERROR(__xludf.DUMMYFUNCTION("""COMPUTED_VALUE"""),0.0)</f>
        <v>0</v>
      </c>
      <c r="AD95" s="447">
        <f>IFERROR(__xludf.DUMMYFUNCTION("""COMPUTED_VALUE"""),51.0)</f>
        <v>51</v>
      </c>
      <c r="AE95" s="447">
        <f>IFERROR(__xludf.DUMMYFUNCTION("""COMPUTED_VALUE"""),6.0)</f>
        <v>6</v>
      </c>
      <c r="AF95" s="447">
        <f>IFERROR(__xludf.DUMMYFUNCTION("""COMPUTED_VALUE"""),1.0)</f>
        <v>1</v>
      </c>
      <c r="AG95" s="443" t="s">
        <v>106</v>
      </c>
      <c r="AH95" s="443" t="s">
        <v>343</v>
      </c>
      <c r="AI95" s="443"/>
      <c r="AJ95" s="443"/>
      <c r="AK95" s="443"/>
      <c r="AL95" s="443"/>
      <c r="AM95" s="443"/>
      <c r="AN95" s="443"/>
      <c r="AO95" s="443"/>
      <c r="AP95" s="443"/>
      <c r="AQ95" s="443"/>
      <c r="AR95" s="443"/>
      <c r="AS95" s="443"/>
      <c r="AT95" s="443"/>
      <c r="AU95" s="443"/>
      <c r="AV95" s="443"/>
      <c r="AW95" s="443"/>
      <c r="AX95" s="443"/>
      <c r="AY95" s="443"/>
      <c r="AZ95" s="443"/>
      <c r="BA95" s="443"/>
      <c r="BB95" s="443"/>
      <c r="BC95" s="443"/>
      <c r="BD95" s="443"/>
      <c r="BE95" s="443"/>
    </row>
    <row r="96" hidden="1">
      <c r="A96" s="445">
        <f t="shared" si="5"/>
        <v>45386</v>
      </c>
      <c r="B96" s="434">
        <v>476.0</v>
      </c>
      <c r="C96" s="462">
        <v>0.5583333333333333</v>
      </c>
      <c r="D96" s="462">
        <v>0.9166666666666666</v>
      </c>
      <c r="E96" s="436">
        <f t="array" ref="E96">IF(B96=0,"",(J96+K96)/60)</f>
        <v>0.25</v>
      </c>
      <c r="F96" s="437">
        <f t="shared" si="1"/>
        <v>8.6</v>
      </c>
      <c r="G96" s="438">
        <f t="shared" si="2"/>
        <v>55.34883721</v>
      </c>
      <c r="H96" s="438">
        <f t="shared" si="3"/>
        <v>57.00598802</v>
      </c>
      <c r="I96" s="436">
        <f t="shared" si="4"/>
        <v>1.153100775</v>
      </c>
      <c r="J96" s="460">
        <v>15.0</v>
      </c>
      <c r="K96" s="464"/>
      <c r="L96" s="443"/>
      <c r="M96" s="447">
        <f>IFERROR(__xludf.DUMMYFUNCTION("""COMPUTED_VALUE"""),57.0)</f>
        <v>57</v>
      </c>
      <c r="N96" s="447">
        <f>IFERROR(__xludf.DUMMYFUNCTION("""COMPUTED_VALUE"""),56.0)</f>
        <v>56</v>
      </c>
      <c r="O96" s="447">
        <f>IFERROR(__xludf.DUMMYFUNCTION("""COMPUTED_VALUE"""),1.0)</f>
        <v>1</v>
      </c>
      <c r="P96" s="447">
        <f>IFERROR(__xludf.DUMMYFUNCTION("""COMPUTED_VALUE"""),0.0)</f>
        <v>0</v>
      </c>
      <c r="Q96" s="447">
        <f>IFERROR(__xludf.DUMMYFUNCTION("""COMPUTED_VALUE"""),0.0)</f>
        <v>0</v>
      </c>
      <c r="R96" s="447">
        <f>IFERROR(__xludf.DUMMYFUNCTION("""COMPUTED_VALUE"""),0.0)</f>
        <v>0</v>
      </c>
      <c r="S96" s="447">
        <f>IFERROR(__xludf.DUMMYFUNCTION("""COMPUTED_VALUE"""),2.0)</f>
        <v>2</v>
      </c>
      <c r="T96" s="447">
        <f>IFERROR(__xludf.DUMMYFUNCTION("""COMPUTED_VALUE"""),1.0)</f>
        <v>1</v>
      </c>
      <c r="U96" s="447">
        <f>IFERROR(__xludf.DUMMYFUNCTION("""COMPUTED_VALUE"""),0.0)</f>
        <v>0</v>
      </c>
      <c r="V96" s="447">
        <f>IFERROR(__xludf.DUMMYFUNCTION("""COMPUTED_VALUE"""),3.0)</f>
        <v>3</v>
      </c>
      <c r="W96" s="447">
        <f>IFERROR(__xludf.DUMMYFUNCTION("""COMPUTED_VALUE"""),0.0)</f>
        <v>0</v>
      </c>
      <c r="X96" s="447">
        <f>IFERROR(__xludf.DUMMYFUNCTION("""COMPUTED_VALUE"""),0.0)</f>
        <v>0</v>
      </c>
      <c r="Y96" s="447">
        <f>IFERROR(__xludf.DUMMYFUNCTION("""COMPUTED_VALUE"""),0.0)</f>
        <v>0</v>
      </c>
      <c r="Z96" s="447">
        <f>IFERROR(__xludf.DUMMYFUNCTION("""COMPUTED_VALUE"""),0.0)</f>
        <v>0</v>
      </c>
      <c r="AA96" s="447">
        <f>IFERROR(__xludf.DUMMYFUNCTION("""COMPUTED_VALUE"""),0.0)</f>
        <v>0</v>
      </c>
      <c r="AB96" s="447">
        <f>IFERROR(__xludf.DUMMYFUNCTION("""COMPUTED_VALUE"""),0.0)</f>
        <v>0</v>
      </c>
      <c r="AC96" s="447">
        <f>IFERROR(__xludf.DUMMYFUNCTION("""COMPUTED_VALUE"""),1.0)</f>
        <v>1</v>
      </c>
      <c r="AD96" s="447">
        <f>IFERROR(__xludf.DUMMYFUNCTION("""COMPUTED_VALUE"""),48.0)</f>
        <v>48</v>
      </c>
      <c r="AE96" s="447">
        <f>IFERROR(__xludf.DUMMYFUNCTION("""COMPUTED_VALUE"""),9.0)</f>
        <v>9</v>
      </c>
      <c r="AF96" s="447">
        <f>IFERROR(__xludf.DUMMYFUNCTION("""COMPUTED_VALUE"""),1.0)</f>
        <v>1</v>
      </c>
      <c r="AG96" s="443" t="s">
        <v>106</v>
      </c>
      <c r="AH96" s="443" t="s">
        <v>343</v>
      </c>
      <c r="AI96" s="443"/>
      <c r="AJ96" s="443"/>
      <c r="AK96" s="443"/>
      <c r="AL96" s="443"/>
      <c r="AM96" s="443"/>
      <c r="AN96" s="443"/>
      <c r="AO96" s="443"/>
      <c r="AP96" s="443"/>
      <c r="AQ96" s="443"/>
      <c r="AR96" s="443"/>
      <c r="AS96" s="443"/>
      <c r="AT96" s="443"/>
      <c r="AU96" s="443"/>
      <c r="AV96" s="443"/>
      <c r="AW96" s="443"/>
      <c r="AX96" s="443"/>
      <c r="AY96" s="443"/>
      <c r="AZ96" s="443"/>
      <c r="BA96" s="443"/>
      <c r="BB96" s="443"/>
      <c r="BC96" s="443"/>
      <c r="BD96" s="443"/>
      <c r="BE96" s="443"/>
    </row>
    <row r="97" hidden="1">
      <c r="A97" s="445">
        <f t="shared" si="5"/>
        <v>45387</v>
      </c>
      <c r="B97" s="434">
        <v>329.0</v>
      </c>
      <c r="C97" s="462">
        <v>0.5583333333333333</v>
      </c>
      <c r="D97" s="462">
        <v>0.825</v>
      </c>
      <c r="E97" s="436">
        <f t="array" ref="E97">IF(B97=0,"",(J97+K97)/60)</f>
        <v>0.25</v>
      </c>
      <c r="F97" s="437">
        <f t="shared" si="1"/>
        <v>6.4</v>
      </c>
      <c r="G97" s="438">
        <f t="shared" si="2"/>
        <v>51.40625</v>
      </c>
      <c r="H97" s="438">
        <f t="shared" si="3"/>
        <v>53.49593496</v>
      </c>
      <c r="I97" s="436">
        <f t="shared" si="4"/>
        <v>1.028125</v>
      </c>
      <c r="J97" s="460">
        <v>15.0</v>
      </c>
      <c r="K97" s="464"/>
      <c r="L97" s="443"/>
      <c r="M97" s="447">
        <f>IFERROR(__xludf.DUMMYFUNCTION("""COMPUTED_VALUE"""),57.0)</f>
        <v>57</v>
      </c>
      <c r="N97" s="447">
        <f>IFERROR(__xludf.DUMMYFUNCTION("""COMPUTED_VALUE"""),56.0)</f>
        <v>56</v>
      </c>
      <c r="O97" s="447">
        <f>IFERROR(__xludf.DUMMYFUNCTION("""COMPUTED_VALUE"""),1.0)</f>
        <v>1</v>
      </c>
      <c r="P97" s="447">
        <f>IFERROR(__xludf.DUMMYFUNCTION("""COMPUTED_VALUE"""),0.0)</f>
        <v>0</v>
      </c>
      <c r="Q97" s="447">
        <f>IFERROR(__xludf.DUMMYFUNCTION("""COMPUTED_VALUE"""),0.0)</f>
        <v>0</v>
      </c>
      <c r="R97" s="447">
        <f>IFERROR(__xludf.DUMMYFUNCTION("""COMPUTED_VALUE"""),0.0)</f>
        <v>0</v>
      </c>
      <c r="S97" s="447">
        <f>IFERROR(__xludf.DUMMYFUNCTION("""COMPUTED_VALUE"""),2.0)</f>
        <v>2</v>
      </c>
      <c r="T97" s="447">
        <f>IFERROR(__xludf.DUMMYFUNCTION("""COMPUTED_VALUE"""),0.0)</f>
        <v>0</v>
      </c>
      <c r="U97" s="447">
        <f>IFERROR(__xludf.DUMMYFUNCTION("""COMPUTED_VALUE"""),0.0)</f>
        <v>0</v>
      </c>
      <c r="V97" s="447">
        <f>IFERROR(__xludf.DUMMYFUNCTION("""COMPUTED_VALUE"""),3.0)</f>
        <v>3</v>
      </c>
      <c r="W97" s="447">
        <f>IFERROR(__xludf.DUMMYFUNCTION("""COMPUTED_VALUE"""),0.0)</f>
        <v>0</v>
      </c>
      <c r="X97" s="447">
        <f>IFERROR(__xludf.DUMMYFUNCTION("""COMPUTED_VALUE"""),0.0)</f>
        <v>0</v>
      </c>
      <c r="Y97" s="447">
        <f>IFERROR(__xludf.DUMMYFUNCTION("""COMPUTED_VALUE"""),0.0)</f>
        <v>0</v>
      </c>
      <c r="Z97" s="447">
        <f>IFERROR(__xludf.DUMMYFUNCTION("""COMPUTED_VALUE"""),0.0)</f>
        <v>0</v>
      </c>
      <c r="AA97" s="447">
        <f>IFERROR(__xludf.DUMMYFUNCTION("""COMPUTED_VALUE"""),0.0)</f>
        <v>0</v>
      </c>
      <c r="AB97" s="447">
        <f>IFERROR(__xludf.DUMMYFUNCTION("""COMPUTED_VALUE"""),0.0)</f>
        <v>0</v>
      </c>
      <c r="AC97" s="447">
        <f>IFERROR(__xludf.DUMMYFUNCTION("""COMPUTED_VALUE"""),0.0)</f>
        <v>0</v>
      </c>
      <c r="AD97" s="447">
        <f>IFERROR(__xludf.DUMMYFUNCTION("""COMPUTED_VALUE"""),50.0)</f>
        <v>50</v>
      </c>
      <c r="AE97" s="447">
        <f>IFERROR(__xludf.DUMMYFUNCTION("""COMPUTED_VALUE"""),7.0)</f>
        <v>7</v>
      </c>
      <c r="AF97" s="447">
        <f>IFERROR(__xludf.DUMMYFUNCTION("""COMPUTED_VALUE"""),1.0)</f>
        <v>1</v>
      </c>
      <c r="AG97" s="443" t="s">
        <v>106</v>
      </c>
      <c r="AH97" s="443" t="s">
        <v>343</v>
      </c>
      <c r="AI97" s="443"/>
      <c r="AJ97" s="443"/>
      <c r="AK97" s="443"/>
      <c r="AL97" s="443"/>
      <c r="AM97" s="443"/>
      <c r="AN97" s="443"/>
      <c r="AO97" s="443"/>
      <c r="AP97" s="443"/>
      <c r="AQ97" s="443"/>
      <c r="AR97" s="443"/>
      <c r="AS97" s="443"/>
      <c r="AT97" s="443"/>
      <c r="AU97" s="443"/>
      <c r="AV97" s="443"/>
      <c r="AW97" s="443"/>
      <c r="AX97" s="443"/>
      <c r="AY97" s="443"/>
      <c r="AZ97" s="443"/>
      <c r="BA97" s="443"/>
      <c r="BB97" s="443"/>
      <c r="BC97" s="443"/>
      <c r="BD97" s="443"/>
      <c r="BE97" s="443"/>
    </row>
    <row r="98" hidden="1">
      <c r="A98" s="445">
        <f t="shared" si="5"/>
        <v>45388</v>
      </c>
      <c r="B98" s="434">
        <v>341.0</v>
      </c>
      <c r="C98" s="462">
        <v>0.5166666666666667</v>
      </c>
      <c r="D98" s="462">
        <v>0.7798611111111111</v>
      </c>
      <c r="E98" s="436">
        <f t="array" ref="E98">IF(B98=0,"",(J98+K98)/60)</f>
        <v>0.25</v>
      </c>
      <c r="F98" s="437">
        <f t="shared" si="1"/>
        <v>6.316666667</v>
      </c>
      <c r="G98" s="438">
        <f t="shared" si="2"/>
        <v>53.98416887</v>
      </c>
      <c r="H98" s="438">
        <f t="shared" si="3"/>
        <v>56.20879121</v>
      </c>
      <c r="I98" s="436">
        <f t="shared" si="4"/>
        <v>1.058513115</v>
      </c>
      <c r="J98" s="460">
        <v>15.0</v>
      </c>
      <c r="K98" s="464"/>
      <c r="L98" s="443"/>
      <c r="M98" s="447">
        <f>IFERROR(__xludf.DUMMYFUNCTION("""COMPUTED_VALUE"""),57.0)</f>
        <v>57</v>
      </c>
      <c r="N98" s="447">
        <f>IFERROR(__xludf.DUMMYFUNCTION("""COMPUTED_VALUE"""),56.0)</f>
        <v>56</v>
      </c>
      <c r="O98" s="447">
        <f>IFERROR(__xludf.DUMMYFUNCTION("""COMPUTED_VALUE"""),0.0)</f>
        <v>0</v>
      </c>
      <c r="P98" s="447">
        <f>IFERROR(__xludf.DUMMYFUNCTION("""COMPUTED_VALUE"""),0.0)</f>
        <v>0</v>
      </c>
      <c r="Q98" s="447">
        <f>IFERROR(__xludf.DUMMYFUNCTION("""COMPUTED_VALUE"""),1.0)</f>
        <v>1</v>
      </c>
      <c r="R98" s="447">
        <f>IFERROR(__xludf.DUMMYFUNCTION("""COMPUTED_VALUE"""),0.0)</f>
        <v>0</v>
      </c>
      <c r="S98" s="447">
        <f>IFERROR(__xludf.DUMMYFUNCTION("""COMPUTED_VALUE"""),1.0)</f>
        <v>1</v>
      </c>
      <c r="T98" s="447">
        <f>IFERROR(__xludf.DUMMYFUNCTION("""COMPUTED_VALUE"""),0.0)</f>
        <v>0</v>
      </c>
      <c r="U98" s="447">
        <f>IFERROR(__xludf.DUMMYFUNCTION("""COMPUTED_VALUE"""),0.0)</f>
        <v>0</v>
      </c>
      <c r="V98" s="447">
        <f>IFERROR(__xludf.DUMMYFUNCTION("""COMPUTED_VALUE"""),3.0)</f>
        <v>3</v>
      </c>
      <c r="W98" s="447">
        <f>IFERROR(__xludf.DUMMYFUNCTION("""COMPUTED_VALUE"""),0.0)</f>
        <v>0</v>
      </c>
      <c r="X98" s="447">
        <f>IFERROR(__xludf.DUMMYFUNCTION("""COMPUTED_VALUE"""),0.0)</f>
        <v>0</v>
      </c>
      <c r="Y98" s="447">
        <f>IFERROR(__xludf.DUMMYFUNCTION("""COMPUTED_VALUE"""),0.0)</f>
        <v>0</v>
      </c>
      <c r="Z98" s="447">
        <f>IFERROR(__xludf.DUMMYFUNCTION("""COMPUTED_VALUE"""),0.0)</f>
        <v>0</v>
      </c>
      <c r="AA98" s="447">
        <f>IFERROR(__xludf.DUMMYFUNCTION("""COMPUTED_VALUE"""),0.0)</f>
        <v>0</v>
      </c>
      <c r="AB98" s="447">
        <f>IFERROR(__xludf.DUMMYFUNCTION("""COMPUTED_VALUE"""),0.0)</f>
        <v>0</v>
      </c>
      <c r="AC98" s="447">
        <f>IFERROR(__xludf.DUMMYFUNCTION("""COMPUTED_VALUE"""),0.0)</f>
        <v>0</v>
      </c>
      <c r="AD98" s="447">
        <f>IFERROR(__xludf.DUMMYFUNCTION("""COMPUTED_VALUE"""),51.0)</f>
        <v>51</v>
      </c>
      <c r="AE98" s="447">
        <f>IFERROR(__xludf.DUMMYFUNCTION("""COMPUTED_VALUE"""),6.0)</f>
        <v>6</v>
      </c>
      <c r="AF98" s="447">
        <f>IFERROR(__xludf.DUMMYFUNCTION("""COMPUTED_VALUE"""),1.0)</f>
        <v>1</v>
      </c>
      <c r="AG98" s="443" t="s">
        <v>106</v>
      </c>
      <c r="AH98" s="443" t="s">
        <v>343</v>
      </c>
      <c r="AI98" s="443"/>
      <c r="AJ98" s="443"/>
      <c r="AK98" s="443"/>
      <c r="AL98" s="443"/>
      <c r="AM98" s="443"/>
      <c r="AN98" s="443"/>
      <c r="AO98" s="443"/>
      <c r="AP98" s="443"/>
      <c r="AQ98" s="443"/>
      <c r="AR98" s="443"/>
      <c r="AS98" s="443"/>
      <c r="AT98" s="443"/>
      <c r="AU98" s="443"/>
      <c r="AV98" s="443"/>
      <c r="AW98" s="443"/>
      <c r="AX98" s="443"/>
      <c r="AY98" s="443"/>
      <c r="AZ98" s="443"/>
      <c r="BA98" s="443"/>
      <c r="BB98" s="443"/>
      <c r="BC98" s="443"/>
      <c r="BD98" s="443"/>
      <c r="BE98" s="443"/>
    </row>
    <row r="99" hidden="1">
      <c r="A99" s="445">
        <f t="shared" si="5"/>
        <v>45389</v>
      </c>
      <c r="B99" s="434">
        <v>0.0</v>
      </c>
      <c r="C99" s="462"/>
      <c r="D99" s="443"/>
      <c r="E99" s="436" t="str">
        <f t="array" ref="E99">IF(B99=0,"",(J99+K99)/60)</f>
        <v/>
      </c>
      <c r="F99" s="437" t="str">
        <f t="shared" si="1"/>
        <v/>
      </c>
      <c r="G99" s="438" t="str">
        <f t="shared" si="2"/>
        <v/>
      </c>
      <c r="H99" s="438" t="str">
        <f t="shared" si="3"/>
        <v/>
      </c>
      <c r="I99" s="436" t="str">
        <f t="shared" si="4"/>
        <v/>
      </c>
      <c r="J99" s="464"/>
      <c r="K99" s="464"/>
      <c r="L99" s="443"/>
      <c r="M99" s="447">
        <f>IFERROR(__xludf.DUMMYFUNCTION("""COMPUTED_VALUE"""),57.0)</f>
        <v>57</v>
      </c>
      <c r="N99" s="447">
        <f>IFERROR(__xludf.DUMMYFUNCTION("""COMPUTED_VALUE"""),56.0)</f>
        <v>56</v>
      </c>
      <c r="O99" s="447">
        <f>IFERROR(__xludf.DUMMYFUNCTION("""COMPUTED_VALUE"""),0.0)</f>
        <v>0</v>
      </c>
      <c r="P99" s="447">
        <f>IFERROR(__xludf.DUMMYFUNCTION("""COMPUTED_VALUE"""),0.0)</f>
        <v>0</v>
      </c>
      <c r="Q99" s="447">
        <f>IFERROR(__xludf.DUMMYFUNCTION("""COMPUTED_VALUE"""),0.0)</f>
        <v>0</v>
      </c>
      <c r="R99" s="447">
        <f>IFERROR(__xludf.DUMMYFUNCTION("""COMPUTED_VALUE"""),0.0)</f>
        <v>0</v>
      </c>
      <c r="S99" s="447">
        <f>IFERROR(__xludf.DUMMYFUNCTION("""COMPUTED_VALUE"""),0.0)</f>
        <v>0</v>
      </c>
      <c r="T99" s="447">
        <f>IFERROR(__xludf.DUMMYFUNCTION("""COMPUTED_VALUE"""),0.0)</f>
        <v>0</v>
      </c>
      <c r="U99" s="447">
        <f>IFERROR(__xludf.DUMMYFUNCTION("""COMPUTED_VALUE"""),0.0)</f>
        <v>0</v>
      </c>
      <c r="V99" s="447">
        <f>IFERROR(__xludf.DUMMYFUNCTION("""COMPUTED_VALUE"""),0.0)</f>
        <v>0</v>
      </c>
      <c r="W99" s="447">
        <f>IFERROR(__xludf.DUMMYFUNCTION("""COMPUTED_VALUE"""),0.0)</f>
        <v>0</v>
      </c>
      <c r="X99" s="447">
        <f>IFERROR(__xludf.DUMMYFUNCTION("""COMPUTED_VALUE"""),0.0)</f>
        <v>0</v>
      </c>
      <c r="Y99" s="447">
        <f>IFERROR(__xludf.DUMMYFUNCTION("""COMPUTED_VALUE"""),0.0)</f>
        <v>0</v>
      </c>
      <c r="Z99" s="447">
        <f>IFERROR(__xludf.DUMMYFUNCTION("""COMPUTED_VALUE"""),0.0)</f>
        <v>0</v>
      </c>
      <c r="AA99" s="447">
        <f>IFERROR(__xludf.DUMMYFUNCTION("""COMPUTED_VALUE"""),0.0)</f>
        <v>0</v>
      </c>
      <c r="AB99" s="447">
        <f>IFERROR(__xludf.DUMMYFUNCTION("""COMPUTED_VALUE"""),0.0)</f>
        <v>0</v>
      </c>
      <c r="AC99" s="447">
        <f>IFERROR(__xludf.DUMMYFUNCTION("""COMPUTED_VALUE"""),0.0)</f>
        <v>0</v>
      </c>
      <c r="AD99" s="447">
        <f>IFERROR(__xludf.DUMMYFUNCTION("""COMPUTED_VALUE"""),0.0)</f>
        <v>0</v>
      </c>
      <c r="AE99" s="447">
        <f>IFERROR(__xludf.DUMMYFUNCTION("""COMPUTED_VALUE"""),1.0)</f>
        <v>1</v>
      </c>
      <c r="AF99" s="447">
        <f>IFERROR(__xludf.DUMMYFUNCTION("""COMPUTED_VALUE"""),1.0)</f>
        <v>1</v>
      </c>
      <c r="AG99" s="443" t="s">
        <v>106</v>
      </c>
      <c r="AH99" s="443" t="s">
        <v>343</v>
      </c>
      <c r="AI99" s="443"/>
      <c r="AJ99" s="443"/>
      <c r="AK99" s="443"/>
      <c r="AL99" s="443"/>
      <c r="AM99" s="443"/>
      <c r="AN99" s="443"/>
      <c r="AO99" s="443"/>
      <c r="AP99" s="443"/>
      <c r="AQ99" s="443"/>
      <c r="AR99" s="443"/>
      <c r="AS99" s="443"/>
      <c r="AT99" s="443"/>
      <c r="AU99" s="443"/>
      <c r="AV99" s="443"/>
      <c r="AW99" s="443"/>
      <c r="AX99" s="443"/>
      <c r="AY99" s="443"/>
      <c r="AZ99" s="443"/>
      <c r="BA99" s="443"/>
      <c r="BB99" s="443"/>
      <c r="BC99" s="443"/>
      <c r="BD99" s="443"/>
      <c r="BE99" s="443"/>
    </row>
    <row r="100" hidden="1">
      <c r="A100" s="445">
        <f t="shared" si="5"/>
        <v>45390</v>
      </c>
      <c r="B100" s="434">
        <v>519.0</v>
      </c>
      <c r="C100" s="462">
        <v>0.5583333333333333</v>
      </c>
      <c r="D100" s="462">
        <v>0.9458333333333333</v>
      </c>
      <c r="E100" s="436">
        <f t="array" ref="E100">IF(B100=0,"",(J100+K100)/60)</f>
        <v>0.25</v>
      </c>
      <c r="F100" s="437">
        <f t="shared" si="1"/>
        <v>9.3</v>
      </c>
      <c r="G100" s="438">
        <f t="shared" si="2"/>
        <v>55.80645161</v>
      </c>
      <c r="H100" s="438">
        <f t="shared" si="3"/>
        <v>57.3480663</v>
      </c>
      <c r="I100" s="436">
        <f t="shared" si="4"/>
        <v>1.116129032</v>
      </c>
      <c r="J100" s="460">
        <v>15.0</v>
      </c>
      <c r="K100" s="464"/>
      <c r="L100" s="443"/>
      <c r="M100" s="447">
        <f>IFERROR(__xludf.DUMMYFUNCTION("""COMPUTED_VALUE"""),57.0)</f>
        <v>57</v>
      </c>
      <c r="N100" s="447">
        <f>IFERROR(__xludf.DUMMYFUNCTION("""COMPUTED_VALUE"""),56.0)</f>
        <v>56</v>
      </c>
      <c r="O100" s="447">
        <f>IFERROR(__xludf.DUMMYFUNCTION("""COMPUTED_VALUE"""),0.0)</f>
        <v>0</v>
      </c>
      <c r="P100" s="447">
        <f>IFERROR(__xludf.DUMMYFUNCTION("""COMPUTED_VALUE"""),0.0)</f>
        <v>0</v>
      </c>
      <c r="Q100" s="447">
        <f>IFERROR(__xludf.DUMMYFUNCTION("""COMPUTED_VALUE"""),1.0)</f>
        <v>1</v>
      </c>
      <c r="R100" s="447">
        <f>IFERROR(__xludf.DUMMYFUNCTION("""COMPUTED_VALUE"""),0.0)</f>
        <v>0</v>
      </c>
      <c r="S100" s="447">
        <f>IFERROR(__xludf.DUMMYFUNCTION("""COMPUTED_VALUE"""),0.0)</f>
        <v>0</v>
      </c>
      <c r="T100" s="447">
        <f>IFERROR(__xludf.DUMMYFUNCTION("""COMPUTED_VALUE"""),0.0)</f>
        <v>0</v>
      </c>
      <c r="U100" s="447">
        <f>IFERROR(__xludf.DUMMYFUNCTION("""COMPUTED_VALUE"""),0.0)</f>
        <v>0</v>
      </c>
      <c r="V100" s="447">
        <f>IFERROR(__xludf.DUMMYFUNCTION("""COMPUTED_VALUE"""),0.0)</f>
        <v>0</v>
      </c>
      <c r="W100" s="447">
        <f>IFERROR(__xludf.DUMMYFUNCTION("""COMPUTED_VALUE"""),0.0)</f>
        <v>0</v>
      </c>
      <c r="X100" s="447">
        <f>IFERROR(__xludf.DUMMYFUNCTION("""COMPUTED_VALUE"""),0.0)</f>
        <v>0</v>
      </c>
      <c r="Y100" s="447">
        <f>IFERROR(__xludf.DUMMYFUNCTION("""COMPUTED_VALUE"""),0.0)</f>
        <v>0</v>
      </c>
      <c r="Z100" s="447">
        <f>IFERROR(__xludf.DUMMYFUNCTION("""COMPUTED_VALUE"""),0.0)</f>
        <v>0</v>
      </c>
      <c r="AA100" s="447">
        <f>IFERROR(__xludf.DUMMYFUNCTION("""COMPUTED_VALUE"""),3.0)</f>
        <v>3</v>
      </c>
      <c r="AB100" s="447">
        <f>IFERROR(__xludf.DUMMYFUNCTION("""COMPUTED_VALUE"""),0.0)</f>
        <v>0</v>
      </c>
      <c r="AC100" s="447">
        <f>IFERROR(__xludf.DUMMYFUNCTION("""COMPUTED_VALUE"""),1.0)</f>
        <v>1</v>
      </c>
      <c r="AD100" s="447">
        <f>IFERROR(__xludf.DUMMYFUNCTION("""COMPUTED_VALUE"""),50.0)</f>
        <v>50</v>
      </c>
      <c r="AE100" s="447">
        <f>IFERROR(__xludf.DUMMYFUNCTION("""COMPUTED_VALUE"""),7.0)</f>
        <v>7</v>
      </c>
      <c r="AF100" s="447">
        <f>IFERROR(__xludf.DUMMYFUNCTION("""COMPUTED_VALUE"""),1.0)</f>
        <v>1</v>
      </c>
      <c r="AG100" s="443" t="s">
        <v>106</v>
      </c>
      <c r="AH100" s="443" t="s">
        <v>343</v>
      </c>
      <c r="AI100" s="443"/>
      <c r="AJ100" s="443"/>
      <c r="AK100" s="443"/>
      <c r="AL100" s="443"/>
      <c r="AM100" s="443"/>
      <c r="AN100" s="443"/>
      <c r="AO100" s="443"/>
      <c r="AP100" s="443"/>
      <c r="AQ100" s="443"/>
      <c r="AR100" s="443"/>
      <c r="AS100" s="443"/>
      <c r="AT100" s="443"/>
      <c r="AU100" s="443"/>
      <c r="AV100" s="443"/>
      <c r="AW100" s="443"/>
      <c r="AX100" s="443"/>
      <c r="AY100" s="443"/>
      <c r="AZ100" s="443"/>
      <c r="BA100" s="443"/>
      <c r="BB100" s="443"/>
      <c r="BC100" s="443"/>
      <c r="BD100" s="443"/>
      <c r="BE100" s="443"/>
    </row>
    <row r="101" hidden="1">
      <c r="A101" s="445">
        <f t="shared" si="5"/>
        <v>45391</v>
      </c>
      <c r="B101" s="434">
        <v>509.0</v>
      </c>
      <c r="C101" s="462">
        <v>0.5583333333333333</v>
      </c>
      <c r="D101" s="462">
        <v>0.9395833333333333</v>
      </c>
      <c r="E101" s="436">
        <f t="array" ref="E101">IF(B101=0,"",(J101+K101)/60)</f>
        <v>0.25</v>
      </c>
      <c r="F101" s="437">
        <f t="shared" si="1"/>
        <v>9.15</v>
      </c>
      <c r="G101" s="438">
        <f t="shared" si="2"/>
        <v>55.6284153</v>
      </c>
      <c r="H101" s="438">
        <f t="shared" si="3"/>
        <v>57.19101124</v>
      </c>
      <c r="I101" s="436">
        <f t="shared" si="4"/>
        <v>1.090753241</v>
      </c>
      <c r="J101" s="460">
        <v>15.0</v>
      </c>
      <c r="K101" s="464"/>
      <c r="L101" s="443"/>
      <c r="M101" s="447">
        <f>IFERROR(__xludf.DUMMYFUNCTION("""COMPUTED_VALUE"""),57.0)</f>
        <v>57</v>
      </c>
      <c r="N101" s="447">
        <f>IFERROR(__xludf.DUMMYFUNCTION("""COMPUTED_VALUE"""),56.0)</f>
        <v>56</v>
      </c>
      <c r="O101" s="447">
        <f>IFERROR(__xludf.DUMMYFUNCTION("""COMPUTED_VALUE"""),1.0)</f>
        <v>1</v>
      </c>
      <c r="P101" s="447">
        <f>IFERROR(__xludf.DUMMYFUNCTION("""COMPUTED_VALUE"""),0.0)</f>
        <v>0</v>
      </c>
      <c r="Q101" s="447">
        <f>IFERROR(__xludf.DUMMYFUNCTION("""COMPUTED_VALUE"""),1.0)</f>
        <v>1</v>
      </c>
      <c r="R101" s="447">
        <f>IFERROR(__xludf.DUMMYFUNCTION("""COMPUTED_VALUE"""),0.0)</f>
        <v>0</v>
      </c>
      <c r="S101" s="447">
        <f>IFERROR(__xludf.DUMMYFUNCTION("""COMPUTED_VALUE"""),1.0)</f>
        <v>1</v>
      </c>
      <c r="T101" s="447">
        <f>IFERROR(__xludf.DUMMYFUNCTION("""COMPUTED_VALUE"""),0.0)</f>
        <v>0</v>
      </c>
      <c r="U101" s="447">
        <f>IFERROR(__xludf.DUMMYFUNCTION("""COMPUTED_VALUE"""),0.0)</f>
        <v>0</v>
      </c>
      <c r="V101" s="447">
        <f>IFERROR(__xludf.DUMMYFUNCTION("""COMPUTED_VALUE"""),2.0)</f>
        <v>2</v>
      </c>
      <c r="W101" s="447">
        <f>IFERROR(__xludf.DUMMYFUNCTION("""COMPUTED_VALUE"""),0.0)</f>
        <v>0</v>
      </c>
      <c r="X101" s="447">
        <f>IFERROR(__xludf.DUMMYFUNCTION("""COMPUTED_VALUE"""),0.0)</f>
        <v>0</v>
      </c>
      <c r="Y101" s="447">
        <f>IFERROR(__xludf.DUMMYFUNCTION("""COMPUTED_VALUE"""),0.0)</f>
        <v>0</v>
      </c>
      <c r="Z101" s="447">
        <f>IFERROR(__xludf.DUMMYFUNCTION("""COMPUTED_VALUE"""),0.0)</f>
        <v>0</v>
      </c>
      <c r="AA101" s="447">
        <f>IFERROR(__xludf.DUMMYFUNCTION("""COMPUTED_VALUE"""),0.0)</f>
        <v>0</v>
      </c>
      <c r="AB101" s="447">
        <f>IFERROR(__xludf.DUMMYFUNCTION("""COMPUTED_VALUE"""),0.0)</f>
        <v>0</v>
      </c>
      <c r="AC101" s="447">
        <f>IFERROR(__xludf.DUMMYFUNCTION("""COMPUTED_VALUE"""),0.0)</f>
        <v>0</v>
      </c>
      <c r="AD101" s="447">
        <f>IFERROR(__xludf.DUMMYFUNCTION("""COMPUTED_VALUE"""),51.0)</f>
        <v>51</v>
      </c>
      <c r="AE101" s="447">
        <f>IFERROR(__xludf.DUMMYFUNCTION("""COMPUTED_VALUE"""),6.0)</f>
        <v>6</v>
      </c>
      <c r="AF101" s="447">
        <f>IFERROR(__xludf.DUMMYFUNCTION("""COMPUTED_VALUE"""),1.0)</f>
        <v>1</v>
      </c>
      <c r="AG101" s="443" t="s">
        <v>106</v>
      </c>
      <c r="AH101" s="443" t="s">
        <v>343</v>
      </c>
      <c r="AI101" s="443"/>
      <c r="AJ101" s="443"/>
      <c r="AK101" s="443"/>
      <c r="AL101" s="443"/>
      <c r="AM101" s="443"/>
      <c r="AN101" s="443"/>
      <c r="AO101" s="443"/>
      <c r="AP101" s="443"/>
      <c r="AQ101" s="443"/>
      <c r="AR101" s="443"/>
      <c r="AS101" s="443"/>
      <c r="AT101" s="443"/>
      <c r="AU101" s="443"/>
      <c r="AV101" s="443"/>
      <c r="AW101" s="443"/>
      <c r="AX101" s="443"/>
      <c r="AY101" s="443"/>
      <c r="AZ101" s="443"/>
      <c r="BA101" s="443"/>
      <c r="BB101" s="443"/>
      <c r="BC101" s="443"/>
      <c r="BD101" s="443"/>
      <c r="BE101" s="443"/>
    </row>
    <row r="102" hidden="1">
      <c r="A102" s="445">
        <f t="shared" si="5"/>
        <v>45392</v>
      </c>
      <c r="B102" s="434">
        <v>494.0</v>
      </c>
      <c r="C102" s="462">
        <v>0.5583333333333333</v>
      </c>
      <c r="D102" s="462">
        <v>0.9291666666666667</v>
      </c>
      <c r="E102" s="436">
        <f t="array" ref="E102">IF(B102=0,"",(J102+K102)/60)</f>
        <v>0.75</v>
      </c>
      <c r="F102" s="437">
        <f t="shared" si="1"/>
        <v>8.9</v>
      </c>
      <c r="G102" s="438">
        <f t="shared" si="2"/>
        <v>55.50561798</v>
      </c>
      <c r="H102" s="438">
        <f t="shared" si="3"/>
        <v>60.61349693</v>
      </c>
      <c r="I102" s="436">
        <f t="shared" si="4"/>
        <v>1.132767714</v>
      </c>
      <c r="J102" s="460">
        <v>15.0</v>
      </c>
      <c r="K102" s="460">
        <v>30.0</v>
      </c>
      <c r="L102" s="443"/>
      <c r="M102" s="447">
        <f>IFERROR(__xludf.DUMMYFUNCTION("""COMPUTED_VALUE"""),57.0)</f>
        <v>57</v>
      </c>
      <c r="N102" s="447">
        <f>IFERROR(__xludf.DUMMYFUNCTION("""COMPUTED_VALUE"""),57.0)</f>
        <v>57</v>
      </c>
      <c r="O102" s="447">
        <f>IFERROR(__xludf.DUMMYFUNCTION("""COMPUTED_VALUE"""),0.0)</f>
        <v>0</v>
      </c>
      <c r="P102" s="447">
        <f>IFERROR(__xludf.DUMMYFUNCTION("""COMPUTED_VALUE"""),0.0)</f>
        <v>0</v>
      </c>
      <c r="Q102" s="447">
        <f>IFERROR(__xludf.DUMMYFUNCTION("""COMPUTED_VALUE"""),1.0)</f>
        <v>1</v>
      </c>
      <c r="R102" s="447">
        <f>IFERROR(__xludf.DUMMYFUNCTION("""COMPUTED_VALUE"""),0.0)</f>
        <v>0</v>
      </c>
      <c r="S102" s="447">
        <f>IFERROR(__xludf.DUMMYFUNCTION("""COMPUTED_VALUE"""),1.0)</f>
        <v>1</v>
      </c>
      <c r="T102" s="447">
        <f>IFERROR(__xludf.DUMMYFUNCTION("""COMPUTED_VALUE"""),0.0)</f>
        <v>0</v>
      </c>
      <c r="U102" s="447">
        <f>IFERROR(__xludf.DUMMYFUNCTION("""COMPUTED_VALUE"""),0.0)</f>
        <v>0</v>
      </c>
      <c r="V102" s="447">
        <f>IFERROR(__xludf.DUMMYFUNCTION("""COMPUTED_VALUE"""),2.0)</f>
        <v>2</v>
      </c>
      <c r="W102" s="447">
        <f>IFERROR(__xludf.DUMMYFUNCTION("""COMPUTED_VALUE"""),0.0)</f>
        <v>0</v>
      </c>
      <c r="X102" s="447">
        <f>IFERROR(__xludf.DUMMYFUNCTION("""COMPUTED_VALUE"""),0.0)</f>
        <v>0</v>
      </c>
      <c r="Y102" s="447">
        <f>IFERROR(__xludf.DUMMYFUNCTION("""COMPUTED_VALUE"""),0.0)</f>
        <v>0</v>
      </c>
      <c r="Z102" s="447">
        <f>IFERROR(__xludf.DUMMYFUNCTION("""COMPUTED_VALUE"""),0.0)</f>
        <v>0</v>
      </c>
      <c r="AA102" s="447">
        <f>IFERROR(__xludf.DUMMYFUNCTION("""COMPUTED_VALUE"""),0.0)</f>
        <v>0</v>
      </c>
      <c r="AB102" s="447">
        <f>IFERROR(__xludf.DUMMYFUNCTION("""COMPUTED_VALUE"""),0.0)</f>
        <v>0</v>
      </c>
      <c r="AC102" s="447">
        <f>IFERROR(__xludf.DUMMYFUNCTION("""COMPUTED_VALUE"""),2.0)</f>
        <v>2</v>
      </c>
      <c r="AD102" s="447">
        <f>IFERROR(__xludf.DUMMYFUNCTION("""COMPUTED_VALUE"""),49.0)</f>
        <v>49</v>
      </c>
      <c r="AE102" s="447">
        <f>IFERROR(__xludf.DUMMYFUNCTION("""COMPUTED_VALUE"""),6.0)</f>
        <v>6</v>
      </c>
      <c r="AF102" s="447">
        <f>IFERROR(__xludf.DUMMYFUNCTION("""COMPUTED_VALUE"""),0.0)</f>
        <v>0</v>
      </c>
      <c r="AG102" s="443" t="s">
        <v>106</v>
      </c>
      <c r="AH102" s="443" t="s">
        <v>343</v>
      </c>
      <c r="AI102" s="443"/>
      <c r="AJ102" s="443"/>
      <c r="AK102" s="443"/>
      <c r="AL102" s="443"/>
      <c r="AM102" s="443"/>
      <c r="AN102" s="443"/>
      <c r="AO102" s="443"/>
      <c r="AP102" s="443"/>
      <c r="AQ102" s="443"/>
      <c r="AR102" s="443"/>
      <c r="AS102" s="443"/>
      <c r="AT102" s="443"/>
      <c r="AU102" s="443"/>
      <c r="AV102" s="443"/>
      <c r="AW102" s="443"/>
      <c r="AX102" s="443"/>
      <c r="AY102" s="443"/>
      <c r="AZ102" s="443"/>
      <c r="BA102" s="443"/>
      <c r="BB102" s="443"/>
      <c r="BC102" s="443"/>
      <c r="BD102" s="443"/>
      <c r="BE102" s="443"/>
    </row>
    <row r="103" hidden="1">
      <c r="A103" s="445">
        <f t="shared" si="5"/>
        <v>45393</v>
      </c>
      <c r="B103" s="434">
        <v>543.0</v>
      </c>
      <c r="C103" s="462">
        <v>0.5583333333333333</v>
      </c>
      <c r="D103" s="462">
        <v>0.96875</v>
      </c>
      <c r="E103" s="436">
        <f t="array" ref="E103">IF(B103=0,"",(J103+K103)/60)</f>
        <v>1</v>
      </c>
      <c r="F103" s="437">
        <f t="shared" si="1"/>
        <v>9.85</v>
      </c>
      <c r="G103" s="438">
        <f t="shared" si="2"/>
        <v>55.12690355</v>
      </c>
      <c r="H103" s="438">
        <f t="shared" si="3"/>
        <v>61.3559322</v>
      </c>
      <c r="I103" s="436">
        <f t="shared" si="4"/>
        <v>1.148477157</v>
      </c>
      <c r="J103" s="460">
        <v>60.0</v>
      </c>
      <c r="K103" s="460"/>
      <c r="L103" s="443"/>
      <c r="M103" s="447">
        <f>IFERROR(__xludf.DUMMYFUNCTION("""COMPUTED_VALUE"""),57.0)</f>
        <v>57</v>
      </c>
      <c r="N103" s="447">
        <f>IFERROR(__xludf.DUMMYFUNCTION("""COMPUTED_VALUE"""),57.0)</f>
        <v>57</v>
      </c>
      <c r="O103" s="447">
        <f>IFERROR(__xludf.DUMMYFUNCTION("""COMPUTED_VALUE"""),0.0)</f>
        <v>0</v>
      </c>
      <c r="P103" s="447">
        <f>IFERROR(__xludf.DUMMYFUNCTION("""COMPUTED_VALUE"""),0.0)</f>
        <v>0</v>
      </c>
      <c r="Q103" s="447">
        <f>IFERROR(__xludf.DUMMYFUNCTION("""COMPUTED_VALUE"""),1.0)</f>
        <v>1</v>
      </c>
      <c r="R103" s="447">
        <f>IFERROR(__xludf.DUMMYFUNCTION("""COMPUTED_VALUE"""),0.0)</f>
        <v>0</v>
      </c>
      <c r="S103" s="447">
        <f>IFERROR(__xludf.DUMMYFUNCTION("""COMPUTED_VALUE"""),4.0)</f>
        <v>4</v>
      </c>
      <c r="T103" s="447">
        <f>IFERROR(__xludf.DUMMYFUNCTION("""COMPUTED_VALUE"""),0.0)</f>
        <v>0</v>
      </c>
      <c r="U103" s="447">
        <f>IFERROR(__xludf.DUMMYFUNCTION("""COMPUTED_VALUE"""),0.0)</f>
        <v>0</v>
      </c>
      <c r="V103" s="447">
        <f>IFERROR(__xludf.DUMMYFUNCTION("""COMPUTED_VALUE"""),2.0)</f>
        <v>2</v>
      </c>
      <c r="W103" s="447">
        <f>IFERROR(__xludf.DUMMYFUNCTION("""COMPUTED_VALUE"""),0.0)</f>
        <v>0</v>
      </c>
      <c r="X103" s="447">
        <f>IFERROR(__xludf.DUMMYFUNCTION("""COMPUTED_VALUE"""),0.0)</f>
        <v>0</v>
      </c>
      <c r="Y103" s="447">
        <f>IFERROR(__xludf.DUMMYFUNCTION("""COMPUTED_VALUE"""),0.0)</f>
        <v>0</v>
      </c>
      <c r="Z103" s="447">
        <f>IFERROR(__xludf.DUMMYFUNCTION("""COMPUTED_VALUE"""),0.0)</f>
        <v>0</v>
      </c>
      <c r="AA103" s="447">
        <f>IFERROR(__xludf.DUMMYFUNCTION("""COMPUTED_VALUE"""),0.0)</f>
        <v>0</v>
      </c>
      <c r="AB103" s="447">
        <f>IFERROR(__xludf.DUMMYFUNCTION("""COMPUTED_VALUE"""),0.0)</f>
        <v>0</v>
      </c>
      <c r="AC103" s="447">
        <f>IFERROR(__xludf.DUMMYFUNCTION("""COMPUTED_VALUE"""),1.0)</f>
        <v>1</v>
      </c>
      <c r="AD103" s="447">
        <f>IFERROR(__xludf.DUMMYFUNCTION("""COMPUTED_VALUE"""),48.0)</f>
        <v>48</v>
      </c>
      <c r="AE103" s="447">
        <f>IFERROR(__xludf.DUMMYFUNCTION("""COMPUTED_VALUE"""),8.0)</f>
        <v>8</v>
      </c>
      <c r="AF103" s="447">
        <f>IFERROR(__xludf.DUMMYFUNCTION("""COMPUTED_VALUE"""),0.0)</f>
        <v>0</v>
      </c>
      <c r="AG103" s="443" t="s">
        <v>106</v>
      </c>
      <c r="AH103" s="443" t="s">
        <v>343</v>
      </c>
      <c r="AI103" s="443"/>
      <c r="AJ103" s="443"/>
      <c r="AK103" s="443"/>
      <c r="AL103" s="443"/>
      <c r="AM103" s="443"/>
      <c r="AN103" s="443"/>
      <c r="AO103" s="443"/>
      <c r="AP103" s="443"/>
      <c r="AQ103" s="443"/>
      <c r="AR103" s="443"/>
      <c r="AS103" s="443"/>
      <c r="AT103" s="443"/>
      <c r="AU103" s="443"/>
      <c r="AV103" s="443"/>
      <c r="AW103" s="443"/>
      <c r="AX103" s="443"/>
      <c r="AY103" s="443"/>
      <c r="AZ103" s="443"/>
      <c r="BA103" s="443"/>
      <c r="BB103" s="443"/>
      <c r="BC103" s="443"/>
      <c r="BD103" s="443"/>
      <c r="BE103" s="443"/>
    </row>
    <row r="104" hidden="1">
      <c r="A104" s="445">
        <f t="shared" si="5"/>
        <v>45394</v>
      </c>
      <c r="B104" s="434">
        <v>363.0</v>
      </c>
      <c r="C104" s="462">
        <v>0.5583333333333333</v>
      </c>
      <c r="D104" s="462">
        <v>0.875</v>
      </c>
      <c r="E104" s="436">
        <f t="array" ref="E104">IF(B104=0,"",(J104+K104)/60)</f>
        <v>0.25</v>
      </c>
      <c r="F104" s="437">
        <f t="shared" si="1"/>
        <v>7.6</v>
      </c>
      <c r="G104" s="438">
        <f t="shared" si="2"/>
        <v>47.76315789</v>
      </c>
      <c r="H104" s="438">
        <f t="shared" si="3"/>
        <v>49.3877551</v>
      </c>
      <c r="I104" s="436">
        <f t="shared" si="4"/>
        <v>0.9747583244</v>
      </c>
      <c r="J104" s="460">
        <v>15.0</v>
      </c>
      <c r="K104" s="464"/>
      <c r="L104" s="449" t="s">
        <v>478</v>
      </c>
      <c r="M104" s="447">
        <f>IFERROR(__xludf.DUMMYFUNCTION("""COMPUTED_VALUE"""),57.0)</f>
        <v>57</v>
      </c>
      <c r="N104" s="447">
        <f>IFERROR(__xludf.DUMMYFUNCTION("""COMPUTED_VALUE"""),56.0)</f>
        <v>56</v>
      </c>
      <c r="O104" s="447">
        <f>IFERROR(__xludf.DUMMYFUNCTION("""COMPUTED_VALUE"""),0.0)</f>
        <v>0</v>
      </c>
      <c r="P104" s="447">
        <f>IFERROR(__xludf.DUMMYFUNCTION("""COMPUTED_VALUE"""),0.0)</f>
        <v>0</v>
      </c>
      <c r="Q104" s="447">
        <f>IFERROR(__xludf.DUMMYFUNCTION("""COMPUTED_VALUE"""),0.0)</f>
        <v>0</v>
      </c>
      <c r="R104" s="447">
        <f>IFERROR(__xludf.DUMMYFUNCTION("""COMPUTED_VALUE"""),0.0)</f>
        <v>0</v>
      </c>
      <c r="S104" s="447">
        <f>IFERROR(__xludf.DUMMYFUNCTION("""COMPUTED_VALUE"""),3.0)</f>
        <v>3</v>
      </c>
      <c r="T104" s="447">
        <f>IFERROR(__xludf.DUMMYFUNCTION("""COMPUTED_VALUE"""),0.0)</f>
        <v>0</v>
      </c>
      <c r="U104" s="447">
        <f>IFERROR(__xludf.DUMMYFUNCTION("""COMPUTED_VALUE"""),1.0)</f>
        <v>1</v>
      </c>
      <c r="V104" s="447">
        <f>IFERROR(__xludf.DUMMYFUNCTION("""COMPUTED_VALUE"""),2.0)</f>
        <v>2</v>
      </c>
      <c r="W104" s="447">
        <f>IFERROR(__xludf.DUMMYFUNCTION("""COMPUTED_VALUE"""),0.0)</f>
        <v>0</v>
      </c>
      <c r="X104" s="447">
        <f>IFERROR(__xludf.DUMMYFUNCTION("""COMPUTED_VALUE"""),0.0)</f>
        <v>0</v>
      </c>
      <c r="Y104" s="447">
        <f>IFERROR(__xludf.DUMMYFUNCTION("""COMPUTED_VALUE"""),0.0)</f>
        <v>0</v>
      </c>
      <c r="Z104" s="447">
        <f>IFERROR(__xludf.DUMMYFUNCTION("""COMPUTED_VALUE"""),0.0)</f>
        <v>0</v>
      </c>
      <c r="AA104" s="447">
        <f>IFERROR(__xludf.DUMMYFUNCTION("""COMPUTED_VALUE"""),0.0)</f>
        <v>0</v>
      </c>
      <c r="AB104" s="447">
        <f>IFERROR(__xludf.DUMMYFUNCTION("""COMPUTED_VALUE"""),0.0)</f>
        <v>0</v>
      </c>
      <c r="AC104" s="447">
        <f>IFERROR(__xludf.DUMMYFUNCTION("""COMPUTED_VALUE"""),2.0)</f>
        <v>2</v>
      </c>
      <c r="AD104" s="447">
        <f>IFERROR(__xludf.DUMMYFUNCTION("""COMPUTED_VALUE"""),49.0)</f>
        <v>49</v>
      </c>
      <c r="AE104" s="447">
        <f>IFERROR(__xludf.DUMMYFUNCTION("""COMPUTED_VALUE"""),8.0)</f>
        <v>8</v>
      </c>
      <c r="AF104" s="447">
        <f>IFERROR(__xludf.DUMMYFUNCTION("""COMPUTED_VALUE"""),1.0)</f>
        <v>1</v>
      </c>
      <c r="AG104" s="443" t="s">
        <v>106</v>
      </c>
      <c r="AH104" s="443" t="s">
        <v>343</v>
      </c>
      <c r="AI104" s="443"/>
      <c r="AJ104" s="443"/>
      <c r="AK104" s="443"/>
      <c r="AL104" s="443"/>
      <c r="AM104" s="443"/>
      <c r="AN104" s="443"/>
      <c r="AO104" s="443"/>
      <c r="AP104" s="443"/>
      <c r="AQ104" s="443"/>
      <c r="AR104" s="443"/>
      <c r="AS104" s="443"/>
      <c r="AT104" s="443"/>
      <c r="AU104" s="443"/>
      <c r="AV104" s="443"/>
      <c r="AW104" s="443"/>
      <c r="AX104" s="443"/>
      <c r="AY104" s="443"/>
      <c r="AZ104" s="443"/>
      <c r="BA104" s="443"/>
      <c r="BB104" s="443"/>
      <c r="BC104" s="443"/>
      <c r="BD104" s="443"/>
      <c r="BE104" s="443"/>
    </row>
    <row r="105" hidden="1">
      <c r="A105" s="445">
        <f t="shared" si="5"/>
        <v>45395</v>
      </c>
      <c r="B105" s="434">
        <v>346.0</v>
      </c>
      <c r="C105" s="462">
        <v>0.5166666666666667</v>
      </c>
      <c r="D105" s="462">
        <v>0.8215277777777777</v>
      </c>
      <c r="E105" s="436">
        <f t="array" ref="E105">IF(B105=0,"",(J105+K105)/60)</f>
        <v>1.916666667</v>
      </c>
      <c r="F105" s="437">
        <f t="shared" si="1"/>
        <v>7.316666667</v>
      </c>
      <c r="G105" s="438">
        <f t="shared" si="2"/>
        <v>47.28929385</v>
      </c>
      <c r="H105" s="438">
        <f t="shared" si="3"/>
        <v>64.07407407</v>
      </c>
      <c r="I105" s="436">
        <f t="shared" si="4"/>
        <v>0.9272410559</v>
      </c>
      <c r="J105" s="460">
        <v>15.0</v>
      </c>
      <c r="K105" s="460">
        <v>100.0</v>
      </c>
      <c r="L105" s="443"/>
      <c r="M105" s="447">
        <f>IFERROR(__xludf.DUMMYFUNCTION("""COMPUTED_VALUE"""),57.0)</f>
        <v>57</v>
      </c>
      <c r="N105" s="447">
        <f>IFERROR(__xludf.DUMMYFUNCTION("""COMPUTED_VALUE"""),56.0)</f>
        <v>56</v>
      </c>
      <c r="O105" s="447">
        <f>IFERROR(__xludf.DUMMYFUNCTION("""COMPUTED_VALUE"""),0.0)</f>
        <v>0</v>
      </c>
      <c r="P105" s="447">
        <f>IFERROR(__xludf.DUMMYFUNCTION("""COMPUTED_VALUE"""),0.0)</f>
        <v>0</v>
      </c>
      <c r="Q105" s="447">
        <f>IFERROR(__xludf.DUMMYFUNCTION("""COMPUTED_VALUE"""),0.0)</f>
        <v>0</v>
      </c>
      <c r="R105" s="447">
        <f>IFERROR(__xludf.DUMMYFUNCTION("""COMPUTED_VALUE"""),0.0)</f>
        <v>0</v>
      </c>
      <c r="S105" s="447">
        <f>IFERROR(__xludf.DUMMYFUNCTION("""COMPUTED_VALUE"""),2.0)</f>
        <v>2</v>
      </c>
      <c r="T105" s="447">
        <f>IFERROR(__xludf.DUMMYFUNCTION("""COMPUTED_VALUE"""),0.0)</f>
        <v>0</v>
      </c>
      <c r="U105" s="447">
        <f>IFERROR(__xludf.DUMMYFUNCTION("""COMPUTED_VALUE"""),1.0)</f>
        <v>1</v>
      </c>
      <c r="V105" s="447">
        <f>IFERROR(__xludf.DUMMYFUNCTION("""COMPUTED_VALUE"""),2.0)</f>
        <v>2</v>
      </c>
      <c r="W105" s="447">
        <f>IFERROR(__xludf.DUMMYFUNCTION("""COMPUTED_VALUE"""),0.0)</f>
        <v>0</v>
      </c>
      <c r="X105" s="447">
        <f>IFERROR(__xludf.DUMMYFUNCTION("""COMPUTED_VALUE"""),0.0)</f>
        <v>0</v>
      </c>
      <c r="Y105" s="447">
        <f>IFERROR(__xludf.DUMMYFUNCTION("""COMPUTED_VALUE"""),0.0)</f>
        <v>0</v>
      </c>
      <c r="Z105" s="447">
        <f>IFERROR(__xludf.DUMMYFUNCTION("""COMPUTED_VALUE"""),0.0)</f>
        <v>0</v>
      </c>
      <c r="AA105" s="447">
        <f>IFERROR(__xludf.DUMMYFUNCTION("""COMPUTED_VALUE"""),0.0)</f>
        <v>0</v>
      </c>
      <c r="AB105" s="447">
        <f>IFERROR(__xludf.DUMMYFUNCTION("""COMPUTED_VALUE"""),0.0)</f>
        <v>0</v>
      </c>
      <c r="AC105" s="447">
        <f>IFERROR(__xludf.DUMMYFUNCTION("""COMPUTED_VALUE"""),1.0)</f>
        <v>1</v>
      </c>
      <c r="AD105" s="447">
        <f>IFERROR(__xludf.DUMMYFUNCTION("""COMPUTED_VALUE"""),51.0)</f>
        <v>51</v>
      </c>
      <c r="AE105" s="447">
        <f>IFERROR(__xludf.DUMMYFUNCTION("""COMPUTED_VALUE"""),6.0)</f>
        <v>6</v>
      </c>
      <c r="AF105" s="447">
        <f>IFERROR(__xludf.DUMMYFUNCTION("""COMPUTED_VALUE"""),1.0)</f>
        <v>1</v>
      </c>
      <c r="AG105" s="443" t="s">
        <v>106</v>
      </c>
      <c r="AH105" s="443" t="s">
        <v>343</v>
      </c>
      <c r="AI105" s="443"/>
      <c r="AJ105" s="443"/>
      <c r="AK105" s="443"/>
      <c r="AL105" s="443"/>
      <c r="AM105" s="443"/>
      <c r="AN105" s="443"/>
      <c r="AO105" s="443"/>
      <c r="AP105" s="443"/>
      <c r="AQ105" s="443"/>
      <c r="AR105" s="443"/>
      <c r="AS105" s="443"/>
      <c r="AT105" s="443"/>
      <c r="AU105" s="443"/>
      <c r="AV105" s="443"/>
      <c r="AW105" s="443"/>
      <c r="AX105" s="443"/>
      <c r="AY105" s="443"/>
      <c r="AZ105" s="443"/>
      <c r="BA105" s="443"/>
      <c r="BB105" s="443"/>
      <c r="BC105" s="443"/>
      <c r="BD105" s="443"/>
      <c r="BE105" s="443"/>
    </row>
    <row r="106" hidden="1">
      <c r="A106" s="445">
        <f t="shared" si="5"/>
        <v>45396</v>
      </c>
      <c r="B106" s="434">
        <v>0.0</v>
      </c>
      <c r="C106" s="443"/>
      <c r="D106" s="443"/>
      <c r="E106" s="436" t="str">
        <f t="array" ref="E106">IF(B106=0,"",(J106+K106)/60)</f>
        <v/>
      </c>
      <c r="F106" s="437" t="str">
        <f t="shared" si="1"/>
        <v/>
      </c>
      <c r="G106" s="438" t="str">
        <f t="shared" si="2"/>
        <v/>
      </c>
      <c r="H106" s="438" t="str">
        <f t="shared" si="3"/>
        <v/>
      </c>
      <c r="I106" s="436" t="str">
        <f t="shared" si="4"/>
        <v/>
      </c>
      <c r="J106" s="464"/>
      <c r="K106" s="464"/>
      <c r="L106" s="443"/>
      <c r="M106" s="447">
        <f>IFERROR(__xludf.DUMMYFUNCTION("""COMPUTED_VALUE"""),57.0)</f>
        <v>57</v>
      </c>
      <c r="N106" s="447">
        <f>IFERROR(__xludf.DUMMYFUNCTION("""COMPUTED_VALUE"""),56.0)</f>
        <v>56</v>
      </c>
      <c r="O106" s="447">
        <f>IFERROR(__xludf.DUMMYFUNCTION("""COMPUTED_VALUE"""),0.0)</f>
        <v>0</v>
      </c>
      <c r="P106" s="447">
        <f>IFERROR(__xludf.DUMMYFUNCTION("""COMPUTED_VALUE"""),0.0)</f>
        <v>0</v>
      </c>
      <c r="Q106" s="447">
        <f>IFERROR(__xludf.DUMMYFUNCTION("""COMPUTED_VALUE"""),0.0)</f>
        <v>0</v>
      </c>
      <c r="R106" s="447">
        <f>IFERROR(__xludf.DUMMYFUNCTION("""COMPUTED_VALUE"""),0.0)</f>
        <v>0</v>
      </c>
      <c r="S106" s="447">
        <f>IFERROR(__xludf.DUMMYFUNCTION("""COMPUTED_VALUE"""),0.0)</f>
        <v>0</v>
      </c>
      <c r="T106" s="447">
        <f>IFERROR(__xludf.DUMMYFUNCTION("""COMPUTED_VALUE"""),0.0)</f>
        <v>0</v>
      </c>
      <c r="U106" s="447">
        <f>IFERROR(__xludf.DUMMYFUNCTION("""COMPUTED_VALUE"""),0.0)</f>
        <v>0</v>
      </c>
      <c r="V106" s="447">
        <f>IFERROR(__xludf.DUMMYFUNCTION("""COMPUTED_VALUE"""),0.0)</f>
        <v>0</v>
      </c>
      <c r="W106" s="447">
        <f>IFERROR(__xludf.DUMMYFUNCTION("""COMPUTED_VALUE"""),0.0)</f>
        <v>0</v>
      </c>
      <c r="X106" s="447">
        <f>IFERROR(__xludf.DUMMYFUNCTION("""COMPUTED_VALUE"""),0.0)</f>
        <v>0</v>
      </c>
      <c r="Y106" s="447">
        <f>IFERROR(__xludf.DUMMYFUNCTION("""COMPUTED_VALUE"""),0.0)</f>
        <v>0</v>
      </c>
      <c r="Z106" s="447">
        <f>IFERROR(__xludf.DUMMYFUNCTION("""COMPUTED_VALUE"""),0.0)</f>
        <v>0</v>
      </c>
      <c r="AA106" s="447">
        <f>IFERROR(__xludf.DUMMYFUNCTION("""COMPUTED_VALUE"""),0.0)</f>
        <v>0</v>
      </c>
      <c r="AB106" s="447">
        <f>IFERROR(__xludf.DUMMYFUNCTION("""COMPUTED_VALUE"""),0.0)</f>
        <v>0</v>
      </c>
      <c r="AC106" s="447">
        <f>IFERROR(__xludf.DUMMYFUNCTION("""COMPUTED_VALUE"""),0.0)</f>
        <v>0</v>
      </c>
      <c r="AD106" s="447">
        <f>IFERROR(__xludf.DUMMYFUNCTION("""COMPUTED_VALUE"""),0.0)</f>
        <v>0</v>
      </c>
      <c r="AE106" s="447">
        <f>IFERROR(__xludf.DUMMYFUNCTION("""COMPUTED_VALUE"""),1.0)</f>
        <v>1</v>
      </c>
      <c r="AF106" s="447">
        <f>IFERROR(__xludf.DUMMYFUNCTION("""COMPUTED_VALUE"""),1.0)</f>
        <v>1</v>
      </c>
      <c r="AG106" s="443" t="s">
        <v>106</v>
      </c>
      <c r="AH106" s="443" t="s">
        <v>343</v>
      </c>
      <c r="AI106" s="443"/>
      <c r="AJ106" s="443"/>
      <c r="AK106" s="443"/>
      <c r="AL106" s="443"/>
      <c r="AM106" s="443"/>
      <c r="AN106" s="443"/>
      <c r="AO106" s="443"/>
      <c r="AP106" s="443"/>
      <c r="AQ106" s="443"/>
      <c r="AR106" s="443"/>
      <c r="AS106" s="443"/>
      <c r="AT106" s="443"/>
      <c r="AU106" s="443"/>
      <c r="AV106" s="443"/>
      <c r="AW106" s="443"/>
      <c r="AX106" s="443"/>
      <c r="AY106" s="443"/>
      <c r="AZ106" s="443"/>
      <c r="BA106" s="443"/>
      <c r="BB106" s="443"/>
      <c r="BC106" s="443"/>
      <c r="BD106" s="443"/>
      <c r="BE106" s="443"/>
    </row>
    <row r="107" hidden="1">
      <c r="A107" s="445">
        <f t="shared" si="5"/>
        <v>45397</v>
      </c>
      <c r="B107" s="434">
        <v>364.0</v>
      </c>
      <c r="C107" s="462">
        <v>0.5583333333333333</v>
      </c>
      <c r="D107" s="462">
        <v>0.8527777777777777</v>
      </c>
      <c r="E107" s="436">
        <f t="array" ref="E107">IF(B107=0,"",(J107+K107)/60)</f>
        <v>0.4333333333</v>
      </c>
      <c r="F107" s="437">
        <f t="shared" si="1"/>
        <v>7.066666667</v>
      </c>
      <c r="G107" s="438">
        <f t="shared" si="2"/>
        <v>51.50943396</v>
      </c>
      <c r="H107" s="438">
        <f t="shared" si="3"/>
        <v>54.87437186</v>
      </c>
      <c r="I107" s="436">
        <f t="shared" si="4"/>
        <v>1.095945403</v>
      </c>
      <c r="J107" s="460">
        <v>15.0</v>
      </c>
      <c r="K107" s="460">
        <v>11.0</v>
      </c>
      <c r="L107" s="443"/>
      <c r="M107" s="447">
        <f>IFERROR(__xludf.DUMMYFUNCTION("""COMPUTED_VALUE"""),57.0)</f>
        <v>57</v>
      </c>
      <c r="N107" s="447">
        <f>IFERROR(__xludf.DUMMYFUNCTION("""COMPUTED_VALUE"""),56.0)</f>
        <v>56</v>
      </c>
      <c r="O107" s="447">
        <f>IFERROR(__xludf.DUMMYFUNCTION("""COMPUTED_VALUE"""),1.0)</f>
        <v>1</v>
      </c>
      <c r="P107" s="447">
        <f>IFERROR(__xludf.DUMMYFUNCTION("""COMPUTED_VALUE"""),0.0)</f>
        <v>0</v>
      </c>
      <c r="Q107" s="447">
        <f>IFERROR(__xludf.DUMMYFUNCTION("""COMPUTED_VALUE"""),1.0)</f>
        <v>1</v>
      </c>
      <c r="R107" s="447">
        <f>IFERROR(__xludf.DUMMYFUNCTION("""COMPUTED_VALUE"""),0.0)</f>
        <v>0</v>
      </c>
      <c r="S107" s="447">
        <f>IFERROR(__xludf.DUMMYFUNCTION("""COMPUTED_VALUE"""),3.0)</f>
        <v>3</v>
      </c>
      <c r="T107" s="447">
        <f>IFERROR(__xludf.DUMMYFUNCTION("""COMPUTED_VALUE"""),0.0)</f>
        <v>0</v>
      </c>
      <c r="U107" s="447">
        <f>IFERROR(__xludf.DUMMYFUNCTION("""COMPUTED_VALUE"""),1.0)</f>
        <v>1</v>
      </c>
      <c r="V107" s="447">
        <f>IFERROR(__xludf.DUMMYFUNCTION("""COMPUTED_VALUE"""),2.0)</f>
        <v>2</v>
      </c>
      <c r="W107" s="447">
        <f>IFERROR(__xludf.DUMMYFUNCTION("""COMPUTED_VALUE"""),0.0)</f>
        <v>0</v>
      </c>
      <c r="X107" s="447">
        <f>IFERROR(__xludf.DUMMYFUNCTION("""COMPUTED_VALUE"""),0.0)</f>
        <v>0</v>
      </c>
      <c r="Y107" s="447">
        <f>IFERROR(__xludf.DUMMYFUNCTION("""COMPUTED_VALUE"""),1.0)</f>
        <v>1</v>
      </c>
      <c r="Z107" s="447">
        <f>IFERROR(__xludf.DUMMYFUNCTION("""COMPUTED_VALUE"""),0.0)</f>
        <v>0</v>
      </c>
      <c r="AA107" s="447">
        <f>IFERROR(__xludf.DUMMYFUNCTION("""COMPUTED_VALUE"""),0.0)</f>
        <v>0</v>
      </c>
      <c r="AB107" s="447">
        <f>IFERROR(__xludf.DUMMYFUNCTION("""COMPUTED_VALUE"""),0.0)</f>
        <v>0</v>
      </c>
      <c r="AC107" s="447">
        <f>IFERROR(__xludf.DUMMYFUNCTION("""COMPUTED_VALUE"""),1.0)</f>
        <v>1</v>
      </c>
      <c r="AD107" s="447">
        <f>IFERROR(__xludf.DUMMYFUNCTION("""COMPUTED_VALUE"""),47.0)</f>
        <v>47</v>
      </c>
      <c r="AE107" s="447">
        <f>IFERROR(__xludf.DUMMYFUNCTION("""COMPUTED_VALUE"""),10.0)</f>
        <v>10</v>
      </c>
      <c r="AF107" s="447">
        <f>IFERROR(__xludf.DUMMYFUNCTION("""COMPUTED_VALUE"""),1.0)</f>
        <v>1</v>
      </c>
      <c r="AG107" s="443" t="s">
        <v>106</v>
      </c>
      <c r="AH107" s="443" t="s">
        <v>343</v>
      </c>
      <c r="AI107" s="443"/>
      <c r="AJ107" s="443"/>
      <c r="AK107" s="443"/>
      <c r="AL107" s="443"/>
      <c r="AM107" s="443"/>
      <c r="AN107" s="443"/>
      <c r="AO107" s="443"/>
      <c r="AP107" s="443"/>
      <c r="AQ107" s="443"/>
      <c r="AR107" s="443"/>
      <c r="AS107" s="443"/>
      <c r="AT107" s="443"/>
      <c r="AU107" s="443"/>
      <c r="AV107" s="443"/>
      <c r="AW107" s="443"/>
      <c r="AX107" s="443"/>
      <c r="AY107" s="443"/>
      <c r="AZ107" s="443"/>
      <c r="BA107" s="443"/>
      <c r="BB107" s="443"/>
      <c r="BC107" s="443"/>
      <c r="BD107" s="443"/>
      <c r="BE107" s="443"/>
    </row>
    <row r="108" hidden="1">
      <c r="A108" s="445">
        <f t="shared" si="5"/>
        <v>45398</v>
      </c>
      <c r="B108" s="434">
        <v>412.0</v>
      </c>
      <c r="C108" s="462">
        <v>0.5583333333333333</v>
      </c>
      <c r="D108" s="462">
        <v>0.90625</v>
      </c>
      <c r="E108" s="436">
        <f t="array" ref="E108">IF(B108=0,"",(J108+K108)/60)</f>
        <v>1.1</v>
      </c>
      <c r="F108" s="437">
        <f t="shared" si="1"/>
        <v>8.35</v>
      </c>
      <c r="G108" s="438">
        <f t="shared" si="2"/>
        <v>49.34131737</v>
      </c>
      <c r="H108" s="438">
        <f t="shared" si="3"/>
        <v>56.82758621</v>
      </c>
      <c r="I108" s="436">
        <f t="shared" si="4"/>
        <v>1.006965661</v>
      </c>
      <c r="J108" s="460">
        <v>15.0</v>
      </c>
      <c r="K108" s="460">
        <v>51.0</v>
      </c>
      <c r="L108" s="443"/>
      <c r="M108" s="447">
        <f>IFERROR(__xludf.DUMMYFUNCTION("""COMPUTED_VALUE"""),57.0)</f>
        <v>57</v>
      </c>
      <c r="N108" s="447">
        <f>IFERROR(__xludf.DUMMYFUNCTION("""COMPUTED_VALUE"""),56.0)</f>
        <v>56</v>
      </c>
      <c r="O108" s="447">
        <f>IFERROR(__xludf.DUMMYFUNCTION("""COMPUTED_VALUE"""),0.0)</f>
        <v>0</v>
      </c>
      <c r="P108" s="447">
        <f>IFERROR(__xludf.DUMMYFUNCTION("""COMPUTED_VALUE"""),0.0)</f>
        <v>0</v>
      </c>
      <c r="Q108" s="447">
        <f>IFERROR(__xludf.DUMMYFUNCTION("""COMPUTED_VALUE"""),0.0)</f>
        <v>0</v>
      </c>
      <c r="R108" s="447">
        <f>IFERROR(__xludf.DUMMYFUNCTION("""COMPUTED_VALUE"""),0.0)</f>
        <v>0</v>
      </c>
      <c r="S108" s="447">
        <f>IFERROR(__xludf.DUMMYFUNCTION("""COMPUTED_VALUE"""),3.0)</f>
        <v>3</v>
      </c>
      <c r="T108" s="447">
        <f>IFERROR(__xludf.DUMMYFUNCTION("""COMPUTED_VALUE"""),0.0)</f>
        <v>0</v>
      </c>
      <c r="U108" s="447">
        <f>IFERROR(__xludf.DUMMYFUNCTION("""COMPUTED_VALUE"""),1.0)</f>
        <v>1</v>
      </c>
      <c r="V108" s="447">
        <f>IFERROR(__xludf.DUMMYFUNCTION("""COMPUTED_VALUE"""),2.0)</f>
        <v>2</v>
      </c>
      <c r="W108" s="447">
        <f>IFERROR(__xludf.DUMMYFUNCTION("""COMPUTED_VALUE"""),0.0)</f>
        <v>0</v>
      </c>
      <c r="X108" s="447">
        <f>IFERROR(__xludf.DUMMYFUNCTION("""COMPUTED_VALUE"""),0.0)</f>
        <v>0</v>
      </c>
      <c r="Y108" s="447">
        <f>IFERROR(__xludf.DUMMYFUNCTION("""COMPUTED_VALUE"""),1.0)</f>
        <v>1</v>
      </c>
      <c r="Z108" s="447">
        <f>IFERROR(__xludf.DUMMYFUNCTION("""COMPUTED_VALUE"""),0.0)</f>
        <v>0</v>
      </c>
      <c r="AA108" s="447">
        <f>IFERROR(__xludf.DUMMYFUNCTION("""COMPUTED_VALUE"""),0.0)</f>
        <v>0</v>
      </c>
      <c r="AB108" s="447">
        <f>IFERROR(__xludf.DUMMYFUNCTION("""COMPUTED_VALUE"""),0.0)</f>
        <v>0</v>
      </c>
      <c r="AC108" s="447">
        <f>IFERROR(__xludf.DUMMYFUNCTION("""COMPUTED_VALUE"""),1.0)</f>
        <v>1</v>
      </c>
      <c r="AD108" s="447">
        <f>IFERROR(__xludf.DUMMYFUNCTION("""COMPUTED_VALUE"""),49.0)</f>
        <v>49</v>
      </c>
      <c r="AE108" s="447">
        <f>IFERROR(__xludf.DUMMYFUNCTION("""COMPUTED_VALUE"""),8.0)</f>
        <v>8</v>
      </c>
      <c r="AF108" s="447">
        <f>IFERROR(__xludf.DUMMYFUNCTION("""COMPUTED_VALUE"""),1.0)</f>
        <v>1</v>
      </c>
      <c r="AG108" s="443" t="s">
        <v>106</v>
      </c>
      <c r="AH108" s="443" t="s">
        <v>343</v>
      </c>
      <c r="AI108" s="443"/>
      <c r="AJ108" s="443"/>
      <c r="AK108" s="443"/>
      <c r="AL108" s="443"/>
      <c r="AM108" s="443"/>
      <c r="AN108" s="443"/>
      <c r="AO108" s="443"/>
      <c r="AP108" s="443"/>
      <c r="AQ108" s="443"/>
      <c r="AR108" s="443"/>
      <c r="AS108" s="443"/>
      <c r="AT108" s="443"/>
      <c r="AU108" s="443"/>
      <c r="AV108" s="443"/>
      <c r="AW108" s="443"/>
      <c r="AX108" s="443"/>
      <c r="AY108" s="443"/>
      <c r="AZ108" s="443"/>
      <c r="BA108" s="443"/>
      <c r="BB108" s="443"/>
      <c r="BC108" s="443"/>
      <c r="BD108" s="443"/>
      <c r="BE108" s="443"/>
    </row>
    <row r="109" hidden="1">
      <c r="A109" s="445">
        <f t="shared" si="5"/>
        <v>45399</v>
      </c>
      <c r="B109" s="434">
        <v>370.0</v>
      </c>
      <c r="C109" s="462">
        <v>0.5583333333333333</v>
      </c>
      <c r="D109" s="462">
        <v>0.8458333333333333</v>
      </c>
      <c r="E109" s="436">
        <f t="array" ref="E109">IF(B109=0,"",(J109+K109)/60)</f>
        <v>0.25</v>
      </c>
      <c r="F109" s="437">
        <f t="shared" si="1"/>
        <v>6.9</v>
      </c>
      <c r="G109" s="438">
        <f t="shared" si="2"/>
        <v>53.62318841</v>
      </c>
      <c r="H109" s="438">
        <f t="shared" si="3"/>
        <v>55.63909774</v>
      </c>
      <c r="I109" s="436">
        <f t="shared" si="4"/>
        <v>1.117149758</v>
      </c>
      <c r="J109" s="460">
        <v>15.0</v>
      </c>
      <c r="K109" s="464"/>
      <c r="L109" s="443"/>
      <c r="M109" s="447">
        <f>IFERROR(__xludf.DUMMYFUNCTION("""COMPUTED_VALUE"""),57.0)</f>
        <v>57</v>
      </c>
      <c r="N109" s="447">
        <f>IFERROR(__xludf.DUMMYFUNCTION("""COMPUTED_VALUE"""),56.0)</f>
        <v>56</v>
      </c>
      <c r="O109" s="447">
        <f>IFERROR(__xludf.DUMMYFUNCTION("""COMPUTED_VALUE"""),0.0)</f>
        <v>0</v>
      </c>
      <c r="P109" s="447">
        <f>IFERROR(__xludf.DUMMYFUNCTION("""COMPUTED_VALUE"""),0.0)</f>
        <v>0</v>
      </c>
      <c r="Q109" s="447">
        <f>IFERROR(__xludf.DUMMYFUNCTION("""COMPUTED_VALUE"""),0.0)</f>
        <v>0</v>
      </c>
      <c r="R109" s="447">
        <f>IFERROR(__xludf.DUMMYFUNCTION("""COMPUTED_VALUE"""),0.0)</f>
        <v>0</v>
      </c>
      <c r="S109" s="447">
        <f>IFERROR(__xludf.DUMMYFUNCTION("""COMPUTED_VALUE"""),3.0)</f>
        <v>3</v>
      </c>
      <c r="T109" s="447">
        <f>IFERROR(__xludf.DUMMYFUNCTION("""COMPUTED_VALUE"""),0.0)</f>
        <v>0</v>
      </c>
      <c r="U109" s="447">
        <f>IFERROR(__xludf.DUMMYFUNCTION("""COMPUTED_VALUE"""),1.0)</f>
        <v>1</v>
      </c>
      <c r="V109" s="447">
        <f>IFERROR(__xludf.DUMMYFUNCTION("""COMPUTED_VALUE"""),2.0)</f>
        <v>2</v>
      </c>
      <c r="W109" s="447">
        <f>IFERROR(__xludf.DUMMYFUNCTION("""COMPUTED_VALUE"""),0.0)</f>
        <v>0</v>
      </c>
      <c r="X109" s="447">
        <f>IFERROR(__xludf.DUMMYFUNCTION("""COMPUTED_VALUE"""),0.0)</f>
        <v>0</v>
      </c>
      <c r="Y109" s="447">
        <f>IFERROR(__xludf.DUMMYFUNCTION("""COMPUTED_VALUE"""),1.0)</f>
        <v>1</v>
      </c>
      <c r="Z109" s="447">
        <f>IFERROR(__xludf.DUMMYFUNCTION("""COMPUTED_VALUE"""),0.0)</f>
        <v>0</v>
      </c>
      <c r="AA109" s="447">
        <f>IFERROR(__xludf.DUMMYFUNCTION("""COMPUTED_VALUE"""),0.0)</f>
        <v>0</v>
      </c>
      <c r="AB109" s="447">
        <f>IFERROR(__xludf.DUMMYFUNCTION("""COMPUTED_VALUE"""),0.0)</f>
        <v>0</v>
      </c>
      <c r="AC109" s="447">
        <f>IFERROR(__xludf.DUMMYFUNCTION("""COMPUTED_VALUE"""),2.0)</f>
        <v>2</v>
      </c>
      <c r="AD109" s="447">
        <f>IFERROR(__xludf.DUMMYFUNCTION("""COMPUTED_VALUE"""),48.0)</f>
        <v>48</v>
      </c>
      <c r="AE109" s="447">
        <f>IFERROR(__xludf.DUMMYFUNCTION("""COMPUTED_VALUE"""),9.0)</f>
        <v>9</v>
      </c>
      <c r="AF109" s="447">
        <f>IFERROR(__xludf.DUMMYFUNCTION("""COMPUTED_VALUE"""),1.0)</f>
        <v>1</v>
      </c>
      <c r="AG109" s="443" t="s">
        <v>106</v>
      </c>
      <c r="AH109" s="443" t="s">
        <v>343</v>
      </c>
      <c r="AI109" s="443"/>
      <c r="AJ109" s="443"/>
      <c r="AK109" s="443"/>
      <c r="AL109" s="443"/>
      <c r="AM109" s="443"/>
      <c r="AN109" s="443"/>
      <c r="AO109" s="443"/>
      <c r="AP109" s="443"/>
      <c r="AQ109" s="443"/>
      <c r="AR109" s="443"/>
      <c r="AS109" s="443"/>
      <c r="AT109" s="443"/>
      <c r="AU109" s="443"/>
      <c r="AV109" s="443"/>
      <c r="AW109" s="443"/>
      <c r="AX109" s="443"/>
      <c r="AY109" s="443"/>
      <c r="AZ109" s="443"/>
      <c r="BA109" s="443"/>
      <c r="BB109" s="443"/>
      <c r="BC109" s="443"/>
      <c r="BD109" s="443"/>
      <c r="BE109" s="443"/>
    </row>
    <row r="110" hidden="1">
      <c r="A110" s="445">
        <f t="shared" si="5"/>
        <v>45400</v>
      </c>
      <c r="B110" s="434">
        <v>597.0</v>
      </c>
      <c r="C110" s="462">
        <v>0.5583333333333333</v>
      </c>
      <c r="D110" s="462">
        <v>1.0125</v>
      </c>
      <c r="E110" s="436">
        <f t="array" ref="E110">IF(B110=0,"",(J110+K110)/60)</f>
        <v>1</v>
      </c>
      <c r="F110" s="437">
        <f t="shared" si="1"/>
        <v>10.9</v>
      </c>
      <c r="G110" s="438">
        <f t="shared" si="2"/>
        <v>54.7706422</v>
      </c>
      <c r="H110" s="438">
        <f t="shared" si="3"/>
        <v>60.3030303</v>
      </c>
      <c r="I110" s="436">
        <f t="shared" si="4"/>
        <v>1.217125382</v>
      </c>
      <c r="J110" s="460">
        <v>60.0</v>
      </c>
      <c r="K110" s="464"/>
      <c r="L110" s="443"/>
      <c r="M110" s="447">
        <f>IFERROR(__xludf.DUMMYFUNCTION("""COMPUTED_VALUE"""),57.0)</f>
        <v>57</v>
      </c>
      <c r="N110" s="447">
        <f>IFERROR(__xludf.DUMMYFUNCTION("""COMPUTED_VALUE"""),56.0)</f>
        <v>56</v>
      </c>
      <c r="O110" s="447">
        <f>IFERROR(__xludf.DUMMYFUNCTION("""COMPUTED_VALUE"""),1.0)</f>
        <v>1</v>
      </c>
      <c r="P110" s="447">
        <f>IFERROR(__xludf.DUMMYFUNCTION("""COMPUTED_VALUE"""),0.0)</f>
        <v>0</v>
      </c>
      <c r="Q110" s="447">
        <f>IFERROR(__xludf.DUMMYFUNCTION("""COMPUTED_VALUE"""),0.0)</f>
        <v>0</v>
      </c>
      <c r="R110" s="447">
        <f>IFERROR(__xludf.DUMMYFUNCTION("""COMPUTED_VALUE"""),0.0)</f>
        <v>0</v>
      </c>
      <c r="S110" s="447">
        <f>IFERROR(__xludf.DUMMYFUNCTION("""COMPUTED_VALUE"""),5.0)</f>
        <v>5</v>
      </c>
      <c r="T110" s="447">
        <f>IFERROR(__xludf.DUMMYFUNCTION("""COMPUTED_VALUE"""),0.0)</f>
        <v>0</v>
      </c>
      <c r="U110" s="447">
        <f>IFERROR(__xludf.DUMMYFUNCTION("""COMPUTED_VALUE"""),1.0)</f>
        <v>1</v>
      </c>
      <c r="V110" s="447">
        <f>IFERROR(__xludf.DUMMYFUNCTION("""COMPUTED_VALUE"""),2.0)</f>
        <v>2</v>
      </c>
      <c r="W110" s="447">
        <f>IFERROR(__xludf.DUMMYFUNCTION("""COMPUTED_VALUE"""),1.0)</f>
        <v>1</v>
      </c>
      <c r="X110" s="447">
        <f>IFERROR(__xludf.DUMMYFUNCTION("""COMPUTED_VALUE"""),0.0)</f>
        <v>0</v>
      </c>
      <c r="Y110" s="447">
        <f>IFERROR(__xludf.DUMMYFUNCTION("""COMPUTED_VALUE"""),1.0)</f>
        <v>1</v>
      </c>
      <c r="Z110" s="447">
        <f>IFERROR(__xludf.DUMMYFUNCTION("""COMPUTED_VALUE"""),0.0)</f>
        <v>0</v>
      </c>
      <c r="AA110" s="447">
        <f>IFERROR(__xludf.DUMMYFUNCTION("""COMPUTED_VALUE"""),0.0)</f>
        <v>0</v>
      </c>
      <c r="AB110" s="447">
        <f>IFERROR(__xludf.DUMMYFUNCTION("""COMPUTED_VALUE"""),0.0)</f>
        <v>0</v>
      </c>
      <c r="AC110" s="447">
        <f>IFERROR(__xludf.DUMMYFUNCTION("""COMPUTED_VALUE"""),1.0)</f>
        <v>1</v>
      </c>
      <c r="AD110" s="447">
        <f>IFERROR(__xludf.DUMMYFUNCTION("""COMPUTED_VALUE"""),45.0)</f>
        <v>45</v>
      </c>
      <c r="AE110" s="447">
        <f>IFERROR(__xludf.DUMMYFUNCTION("""COMPUTED_VALUE"""),12.0)</f>
        <v>12</v>
      </c>
      <c r="AF110" s="447">
        <f>IFERROR(__xludf.DUMMYFUNCTION("""COMPUTED_VALUE"""),1.0)</f>
        <v>1</v>
      </c>
      <c r="AG110" s="443" t="s">
        <v>106</v>
      </c>
      <c r="AH110" s="443" t="s">
        <v>343</v>
      </c>
      <c r="AI110" s="443"/>
      <c r="AJ110" s="443"/>
      <c r="AK110" s="443"/>
      <c r="AL110" s="443"/>
      <c r="AM110" s="443"/>
      <c r="AN110" s="443"/>
      <c r="AO110" s="443"/>
      <c r="AP110" s="443"/>
      <c r="AQ110" s="443"/>
      <c r="AR110" s="443"/>
      <c r="AS110" s="443"/>
      <c r="AT110" s="443"/>
      <c r="AU110" s="443"/>
      <c r="AV110" s="443"/>
      <c r="AW110" s="443"/>
      <c r="AX110" s="443"/>
      <c r="AY110" s="443"/>
      <c r="AZ110" s="443"/>
      <c r="BA110" s="443"/>
      <c r="BB110" s="443"/>
      <c r="BC110" s="443"/>
      <c r="BD110" s="443"/>
      <c r="BE110" s="443"/>
    </row>
    <row r="111" hidden="1">
      <c r="A111" s="445">
        <f t="shared" si="5"/>
        <v>45401</v>
      </c>
      <c r="B111" s="434">
        <v>420.0</v>
      </c>
      <c r="C111" s="462">
        <v>0.5583333333333333</v>
      </c>
      <c r="D111" s="462">
        <v>0.8763888888888889</v>
      </c>
      <c r="E111" s="436">
        <f t="array" ref="E111">IF(B111=0,"",(J111+K111)/60)</f>
        <v>0.25</v>
      </c>
      <c r="F111" s="437">
        <f t="shared" si="1"/>
        <v>7.633333333</v>
      </c>
      <c r="G111" s="438">
        <f t="shared" si="2"/>
        <v>55.02183406</v>
      </c>
      <c r="H111" s="438">
        <f t="shared" si="3"/>
        <v>56.88487585</v>
      </c>
      <c r="I111" s="436">
        <f t="shared" si="4"/>
        <v>1.250496229</v>
      </c>
      <c r="J111" s="460">
        <v>15.0</v>
      </c>
      <c r="K111" s="464"/>
      <c r="L111" s="443"/>
      <c r="M111" s="447">
        <f>IFERROR(__xludf.DUMMYFUNCTION("""COMPUTED_VALUE"""),57.0)</f>
        <v>57</v>
      </c>
      <c r="N111" s="447">
        <f>IFERROR(__xludf.DUMMYFUNCTION("""COMPUTED_VALUE"""),56.0)</f>
        <v>56</v>
      </c>
      <c r="O111" s="447">
        <f>IFERROR(__xludf.DUMMYFUNCTION("""COMPUTED_VALUE"""),1.0)</f>
        <v>1</v>
      </c>
      <c r="P111" s="447">
        <f>IFERROR(__xludf.DUMMYFUNCTION("""COMPUTED_VALUE"""),0.0)</f>
        <v>0</v>
      </c>
      <c r="Q111" s="447">
        <f>IFERROR(__xludf.DUMMYFUNCTION("""COMPUTED_VALUE"""),0.0)</f>
        <v>0</v>
      </c>
      <c r="R111" s="447">
        <f>IFERROR(__xludf.DUMMYFUNCTION("""COMPUTED_VALUE"""),0.0)</f>
        <v>0</v>
      </c>
      <c r="S111" s="447">
        <f>IFERROR(__xludf.DUMMYFUNCTION("""COMPUTED_VALUE"""),6.0)</f>
        <v>6</v>
      </c>
      <c r="T111" s="447">
        <f>IFERROR(__xludf.DUMMYFUNCTION("""COMPUTED_VALUE"""),0.0)</f>
        <v>0</v>
      </c>
      <c r="U111" s="447">
        <f>IFERROR(__xludf.DUMMYFUNCTION("""COMPUTED_VALUE"""),1.0)</f>
        <v>1</v>
      </c>
      <c r="V111" s="447">
        <f>IFERROR(__xludf.DUMMYFUNCTION("""COMPUTED_VALUE"""),2.0)</f>
        <v>2</v>
      </c>
      <c r="W111" s="447">
        <f>IFERROR(__xludf.DUMMYFUNCTION("""COMPUTED_VALUE"""),1.0)</f>
        <v>1</v>
      </c>
      <c r="X111" s="447">
        <f>IFERROR(__xludf.DUMMYFUNCTION("""COMPUTED_VALUE"""),0.0)</f>
        <v>0</v>
      </c>
      <c r="Y111" s="447">
        <f>IFERROR(__xludf.DUMMYFUNCTION("""COMPUTED_VALUE"""),1.0)</f>
        <v>1</v>
      </c>
      <c r="Z111" s="447">
        <f>IFERROR(__xludf.DUMMYFUNCTION("""COMPUTED_VALUE"""),0.0)</f>
        <v>0</v>
      </c>
      <c r="AA111" s="447">
        <f>IFERROR(__xludf.DUMMYFUNCTION("""COMPUTED_VALUE"""),0.0)</f>
        <v>0</v>
      </c>
      <c r="AB111" s="447">
        <f>IFERROR(__xludf.DUMMYFUNCTION("""COMPUTED_VALUE"""),0.0)</f>
        <v>0</v>
      </c>
      <c r="AC111" s="447">
        <f>IFERROR(__xludf.DUMMYFUNCTION("""COMPUTED_VALUE"""),1.0)</f>
        <v>1</v>
      </c>
      <c r="AD111" s="447">
        <f>IFERROR(__xludf.DUMMYFUNCTION("""COMPUTED_VALUE"""),44.0)</f>
        <v>44</v>
      </c>
      <c r="AE111" s="447">
        <f>IFERROR(__xludf.DUMMYFUNCTION("""COMPUTED_VALUE"""),13.0)</f>
        <v>13</v>
      </c>
      <c r="AF111" s="447">
        <f>IFERROR(__xludf.DUMMYFUNCTION("""COMPUTED_VALUE"""),1.0)</f>
        <v>1</v>
      </c>
      <c r="AG111" s="443" t="s">
        <v>106</v>
      </c>
      <c r="AH111" s="443" t="s">
        <v>343</v>
      </c>
      <c r="AI111" s="443"/>
      <c r="AJ111" s="443"/>
      <c r="AK111" s="443"/>
      <c r="AL111" s="443"/>
      <c r="AM111" s="443"/>
      <c r="AN111" s="443"/>
      <c r="AO111" s="443"/>
      <c r="AP111" s="443"/>
      <c r="AQ111" s="443"/>
      <c r="AR111" s="443"/>
      <c r="AS111" s="443"/>
      <c r="AT111" s="443"/>
      <c r="AU111" s="443"/>
      <c r="AV111" s="443"/>
      <c r="AW111" s="443"/>
      <c r="AX111" s="443"/>
      <c r="AY111" s="443"/>
      <c r="AZ111" s="443"/>
      <c r="BA111" s="443"/>
      <c r="BB111" s="443"/>
      <c r="BC111" s="443"/>
      <c r="BD111" s="443"/>
      <c r="BE111" s="443"/>
    </row>
    <row r="112" hidden="1">
      <c r="A112" s="445">
        <f t="shared" si="5"/>
        <v>45402</v>
      </c>
      <c r="B112" s="434">
        <v>438.0</v>
      </c>
      <c r="C112" s="462">
        <v>0.5166666666666667</v>
      </c>
      <c r="D112" s="462">
        <v>0.8541666666666666</v>
      </c>
      <c r="E112" s="436">
        <f t="array" ref="E112">IF(B112=0,"",(J112+K112)/60)</f>
        <v>0.25</v>
      </c>
      <c r="F112" s="437">
        <f t="shared" si="1"/>
        <v>8.1</v>
      </c>
      <c r="G112" s="438">
        <f t="shared" si="2"/>
        <v>54.07407407</v>
      </c>
      <c r="H112" s="438">
        <f t="shared" si="3"/>
        <v>55.79617834</v>
      </c>
      <c r="I112" s="436">
        <f t="shared" si="4"/>
        <v>1.081481481</v>
      </c>
      <c r="J112" s="460">
        <v>15.0</v>
      </c>
      <c r="K112" s="464"/>
      <c r="L112" s="443"/>
      <c r="M112" s="447">
        <f>IFERROR(__xludf.DUMMYFUNCTION("""COMPUTED_VALUE"""),57.0)</f>
        <v>57</v>
      </c>
      <c r="N112" s="447">
        <f>IFERROR(__xludf.DUMMYFUNCTION("""COMPUTED_VALUE"""),56.0)</f>
        <v>56</v>
      </c>
      <c r="O112" s="447">
        <f>IFERROR(__xludf.DUMMYFUNCTION("""COMPUTED_VALUE"""),0.0)</f>
        <v>0</v>
      </c>
      <c r="P112" s="447">
        <f>IFERROR(__xludf.DUMMYFUNCTION("""COMPUTED_VALUE"""),0.0)</f>
        <v>0</v>
      </c>
      <c r="Q112" s="447">
        <f>IFERROR(__xludf.DUMMYFUNCTION("""COMPUTED_VALUE"""),0.0)</f>
        <v>0</v>
      </c>
      <c r="R112" s="447">
        <f>IFERROR(__xludf.DUMMYFUNCTION("""COMPUTED_VALUE"""),0.0)</f>
        <v>0</v>
      </c>
      <c r="S112" s="447">
        <f>IFERROR(__xludf.DUMMYFUNCTION("""COMPUTED_VALUE"""),4.0)</f>
        <v>4</v>
      </c>
      <c r="T112" s="447">
        <f>IFERROR(__xludf.DUMMYFUNCTION("""COMPUTED_VALUE"""),0.0)</f>
        <v>0</v>
      </c>
      <c r="U112" s="447">
        <f>IFERROR(__xludf.DUMMYFUNCTION("""COMPUTED_VALUE"""),1.0)</f>
        <v>1</v>
      </c>
      <c r="V112" s="447">
        <f>IFERROR(__xludf.DUMMYFUNCTION("""COMPUTED_VALUE"""),2.0)</f>
        <v>2</v>
      </c>
      <c r="W112" s="447">
        <f>IFERROR(__xludf.DUMMYFUNCTION("""COMPUTED_VALUE"""),0.0)</f>
        <v>0</v>
      </c>
      <c r="X112" s="447">
        <f>IFERROR(__xludf.DUMMYFUNCTION("""COMPUTED_VALUE"""),0.0)</f>
        <v>0</v>
      </c>
      <c r="Y112" s="447">
        <f>IFERROR(__xludf.DUMMYFUNCTION("""COMPUTED_VALUE"""),0.0)</f>
        <v>0</v>
      </c>
      <c r="Z112" s="447">
        <f>IFERROR(__xludf.DUMMYFUNCTION("""COMPUTED_VALUE"""),0.0)</f>
        <v>0</v>
      </c>
      <c r="AA112" s="447">
        <f>IFERROR(__xludf.DUMMYFUNCTION("""COMPUTED_VALUE"""),0.0)</f>
        <v>0</v>
      </c>
      <c r="AB112" s="447">
        <f>IFERROR(__xludf.DUMMYFUNCTION("""COMPUTED_VALUE"""),0.0)</f>
        <v>0</v>
      </c>
      <c r="AC112" s="447">
        <f>IFERROR(__xludf.DUMMYFUNCTION("""COMPUTED_VALUE"""),0.0)</f>
        <v>0</v>
      </c>
      <c r="AD112" s="447">
        <f>IFERROR(__xludf.DUMMYFUNCTION("""COMPUTED_VALUE"""),50.0)</f>
        <v>50</v>
      </c>
      <c r="AE112" s="447">
        <f>IFERROR(__xludf.DUMMYFUNCTION("""COMPUTED_VALUE"""),7.0)</f>
        <v>7</v>
      </c>
      <c r="AF112" s="447">
        <f>IFERROR(__xludf.DUMMYFUNCTION("""COMPUTED_VALUE"""),1.0)</f>
        <v>1</v>
      </c>
      <c r="AG112" s="443" t="s">
        <v>106</v>
      </c>
      <c r="AH112" s="443" t="s">
        <v>343</v>
      </c>
      <c r="AI112" s="443"/>
      <c r="AJ112" s="443"/>
      <c r="AK112" s="443"/>
      <c r="AL112" s="443"/>
      <c r="AM112" s="443"/>
      <c r="AN112" s="443"/>
      <c r="AO112" s="443"/>
      <c r="AP112" s="443"/>
      <c r="AQ112" s="443"/>
      <c r="AR112" s="443"/>
      <c r="AS112" s="443"/>
      <c r="AT112" s="443"/>
      <c r="AU112" s="443"/>
      <c r="AV112" s="443"/>
      <c r="AW112" s="443"/>
      <c r="AX112" s="443"/>
      <c r="AY112" s="443"/>
      <c r="AZ112" s="443"/>
      <c r="BA112" s="443"/>
      <c r="BB112" s="443"/>
      <c r="BC112" s="443"/>
      <c r="BD112" s="443"/>
      <c r="BE112" s="443"/>
    </row>
    <row r="113" hidden="1">
      <c r="A113" s="445">
        <f t="shared" si="5"/>
        <v>45403</v>
      </c>
      <c r="B113" s="434">
        <v>0.0</v>
      </c>
      <c r="C113" s="462"/>
      <c r="D113" s="462"/>
      <c r="E113" s="436" t="str">
        <f t="array" ref="E113">IF(B113=0,"",(J113+K113)/60)</f>
        <v/>
      </c>
      <c r="F113" s="437" t="str">
        <f t="shared" si="1"/>
        <v/>
      </c>
      <c r="G113" s="438" t="str">
        <f t="shared" si="2"/>
        <v/>
      </c>
      <c r="H113" s="438" t="str">
        <f t="shared" si="3"/>
        <v/>
      </c>
      <c r="I113" s="436" t="str">
        <f t="shared" si="4"/>
        <v/>
      </c>
      <c r="J113" s="460"/>
      <c r="K113" s="460"/>
      <c r="L113" s="443"/>
      <c r="M113" s="447">
        <f>IFERROR(__xludf.DUMMYFUNCTION("""COMPUTED_VALUE"""),57.0)</f>
        <v>57</v>
      </c>
      <c r="N113" s="447">
        <f>IFERROR(__xludf.DUMMYFUNCTION("""COMPUTED_VALUE"""),57.0)</f>
        <v>57</v>
      </c>
      <c r="O113" s="447">
        <f>IFERROR(__xludf.DUMMYFUNCTION("""COMPUTED_VALUE"""),0.0)</f>
        <v>0</v>
      </c>
      <c r="P113" s="447">
        <f>IFERROR(__xludf.DUMMYFUNCTION("""COMPUTED_VALUE"""),0.0)</f>
        <v>0</v>
      </c>
      <c r="Q113" s="447">
        <f>IFERROR(__xludf.DUMMYFUNCTION("""COMPUTED_VALUE"""),0.0)</f>
        <v>0</v>
      </c>
      <c r="R113" s="447">
        <f>IFERROR(__xludf.DUMMYFUNCTION("""COMPUTED_VALUE"""),0.0)</f>
        <v>0</v>
      </c>
      <c r="S113" s="447">
        <f>IFERROR(__xludf.DUMMYFUNCTION("""COMPUTED_VALUE"""),0.0)</f>
        <v>0</v>
      </c>
      <c r="T113" s="447">
        <f>IFERROR(__xludf.DUMMYFUNCTION("""COMPUTED_VALUE"""),0.0)</f>
        <v>0</v>
      </c>
      <c r="U113" s="447">
        <f>IFERROR(__xludf.DUMMYFUNCTION("""COMPUTED_VALUE"""),0.0)</f>
        <v>0</v>
      </c>
      <c r="V113" s="447">
        <f>IFERROR(__xludf.DUMMYFUNCTION("""COMPUTED_VALUE"""),0.0)</f>
        <v>0</v>
      </c>
      <c r="W113" s="447">
        <f>IFERROR(__xludf.DUMMYFUNCTION("""COMPUTED_VALUE"""),0.0)</f>
        <v>0</v>
      </c>
      <c r="X113" s="447">
        <f>IFERROR(__xludf.DUMMYFUNCTION("""COMPUTED_VALUE"""),0.0)</f>
        <v>0</v>
      </c>
      <c r="Y113" s="447">
        <f>IFERROR(__xludf.DUMMYFUNCTION("""COMPUTED_VALUE"""),0.0)</f>
        <v>0</v>
      </c>
      <c r="Z113" s="447">
        <f>IFERROR(__xludf.DUMMYFUNCTION("""COMPUTED_VALUE"""),0.0)</f>
        <v>0</v>
      </c>
      <c r="AA113" s="447">
        <f>IFERROR(__xludf.DUMMYFUNCTION("""COMPUTED_VALUE"""),0.0)</f>
        <v>0</v>
      </c>
      <c r="AB113" s="447">
        <f>IFERROR(__xludf.DUMMYFUNCTION("""COMPUTED_VALUE"""),0.0)</f>
        <v>0</v>
      </c>
      <c r="AC113" s="447">
        <f>IFERROR(__xludf.DUMMYFUNCTION("""COMPUTED_VALUE"""),0.0)</f>
        <v>0</v>
      </c>
      <c r="AD113" s="447">
        <f>IFERROR(__xludf.DUMMYFUNCTION("""COMPUTED_VALUE"""),0.0)</f>
        <v>0</v>
      </c>
      <c r="AE113" s="447">
        <f>IFERROR(__xludf.DUMMYFUNCTION("""COMPUTED_VALUE"""),0.0)</f>
        <v>0</v>
      </c>
      <c r="AF113" s="447">
        <f>IFERROR(__xludf.DUMMYFUNCTION("""COMPUTED_VALUE"""),0.0)</f>
        <v>0</v>
      </c>
      <c r="AG113" s="443" t="s">
        <v>106</v>
      </c>
      <c r="AH113" s="443" t="s">
        <v>343</v>
      </c>
      <c r="AI113" s="443"/>
      <c r="AJ113" s="443"/>
      <c r="AK113" s="443"/>
      <c r="AL113" s="443"/>
      <c r="AM113" s="443"/>
      <c r="AN113" s="443"/>
      <c r="AO113" s="443"/>
      <c r="AP113" s="443"/>
      <c r="AQ113" s="443"/>
      <c r="AR113" s="443"/>
      <c r="AS113" s="443"/>
      <c r="AT113" s="443"/>
      <c r="AU113" s="443"/>
      <c r="AV113" s="443"/>
      <c r="AW113" s="443"/>
      <c r="AX113" s="443"/>
      <c r="AY113" s="443"/>
      <c r="AZ113" s="443"/>
      <c r="BA113" s="443"/>
      <c r="BB113" s="443"/>
      <c r="BC113" s="443"/>
      <c r="BD113" s="443"/>
      <c r="BE113" s="443"/>
    </row>
    <row r="114" hidden="1">
      <c r="A114" s="445">
        <f t="shared" si="5"/>
        <v>45404</v>
      </c>
      <c r="B114" s="434">
        <v>360.0</v>
      </c>
      <c r="C114" s="462">
        <v>0.5583333333333333</v>
      </c>
      <c r="D114" s="462">
        <v>0.8263888888888888</v>
      </c>
      <c r="E114" s="436">
        <f t="array" ref="E114">IF(B114=0,"",(J114+K114)/60)</f>
        <v>0.5</v>
      </c>
      <c r="F114" s="437">
        <f t="shared" si="1"/>
        <v>6.433333333</v>
      </c>
      <c r="G114" s="438">
        <f t="shared" si="2"/>
        <v>55.95854922</v>
      </c>
      <c r="H114" s="438">
        <f t="shared" si="3"/>
        <v>60.6741573</v>
      </c>
      <c r="I114" s="436">
        <f t="shared" si="4"/>
        <v>1.165803109</v>
      </c>
      <c r="J114" s="460">
        <v>15.0</v>
      </c>
      <c r="K114" s="460">
        <v>15.0</v>
      </c>
      <c r="L114" s="443"/>
      <c r="M114" s="447">
        <f>IFERROR(__xludf.DUMMYFUNCTION("""COMPUTED_VALUE"""),57.0)</f>
        <v>57</v>
      </c>
      <c r="N114" s="447">
        <f>IFERROR(__xludf.DUMMYFUNCTION("""COMPUTED_VALUE"""),57.0)</f>
        <v>57</v>
      </c>
      <c r="O114" s="447">
        <f>IFERROR(__xludf.DUMMYFUNCTION("""COMPUTED_VALUE"""),0.0)</f>
        <v>0</v>
      </c>
      <c r="P114" s="447">
        <f>IFERROR(__xludf.DUMMYFUNCTION("""COMPUTED_VALUE"""),2.0)</f>
        <v>2</v>
      </c>
      <c r="Q114" s="447">
        <f>IFERROR(__xludf.DUMMYFUNCTION("""COMPUTED_VALUE"""),0.0)</f>
        <v>0</v>
      </c>
      <c r="R114" s="447">
        <f>IFERROR(__xludf.DUMMYFUNCTION("""COMPUTED_VALUE"""),0.0)</f>
        <v>0</v>
      </c>
      <c r="S114" s="447">
        <f>IFERROR(__xludf.DUMMYFUNCTION("""COMPUTED_VALUE"""),3.0)</f>
        <v>3</v>
      </c>
      <c r="T114" s="447">
        <f>IFERROR(__xludf.DUMMYFUNCTION("""COMPUTED_VALUE"""),0.0)</f>
        <v>0</v>
      </c>
      <c r="U114" s="447">
        <f>IFERROR(__xludf.DUMMYFUNCTION("""COMPUTED_VALUE"""),0.0)</f>
        <v>0</v>
      </c>
      <c r="V114" s="447">
        <f>IFERROR(__xludf.DUMMYFUNCTION("""COMPUTED_VALUE"""),2.0)</f>
        <v>2</v>
      </c>
      <c r="W114" s="447">
        <f>IFERROR(__xludf.DUMMYFUNCTION("""COMPUTED_VALUE"""),0.0)</f>
        <v>0</v>
      </c>
      <c r="X114" s="447">
        <f>IFERROR(__xludf.DUMMYFUNCTION("""COMPUTED_VALUE"""),0.0)</f>
        <v>0</v>
      </c>
      <c r="Y114" s="447">
        <f>IFERROR(__xludf.DUMMYFUNCTION("""COMPUTED_VALUE"""),0.0)</f>
        <v>0</v>
      </c>
      <c r="Z114" s="447">
        <f>IFERROR(__xludf.DUMMYFUNCTION("""COMPUTED_VALUE"""),0.0)</f>
        <v>0</v>
      </c>
      <c r="AA114" s="447">
        <f>IFERROR(__xludf.DUMMYFUNCTION("""COMPUTED_VALUE"""),0.0)</f>
        <v>0</v>
      </c>
      <c r="AB114" s="447">
        <f>IFERROR(__xludf.DUMMYFUNCTION("""COMPUTED_VALUE"""),1.0)</f>
        <v>1</v>
      </c>
      <c r="AC114" s="447">
        <f>IFERROR(__xludf.DUMMYFUNCTION("""COMPUTED_VALUE"""),1.0)</f>
        <v>1</v>
      </c>
      <c r="AD114" s="447">
        <f>IFERROR(__xludf.DUMMYFUNCTION("""COMPUTED_VALUE"""),48.0)</f>
        <v>48</v>
      </c>
      <c r="AE114" s="447">
        <f>IFERROR(__xludf.DUMMYFUNCTION("""COMPUTED_VALUE"""),8.0)</f>
        <v>8</v>
      </c>
      <c r="AF114" s="447">
        <f>IFERROR(__xludf.DUMMYFUNCTION("""COMPUTED_VALUE"""),0.0)</f>
        <v>0</v>
      </c>
      <c r="AG114" s="443" t="s">
        <v>106</v>
      </c>
      <c r="AH114" s="443" t="s">
        <v>343</v>
      </c>
      <c r="AI114" s="443"/>
      <c r="AJ114" s="443"/>
      <c r="AK114" s="443"/>
      <c r="AL114" s="443"/>
      <c r="AM114" s="443"/>
      <c r="AN114" s="443"/>
      <c r="AO114" s="443"/>
      <c r="AP114" s="443"/>
      <c r="AQ114" s="443"/>
      <c r="AR114" s="443"/>
      <c r="AS114" s="443"/>
      <c r="AT114" s="443"/>
      <c r="AU114" s="443"/>
      <c r="AV114" s="443"/>
      <c r="AW114" s="443"/>
      <c r="AX114" s="443"/>
      <c r="AY114" s="443"/>
      <c r="AZ114" s="443"/>
      <c r="BA114" s="443"/>
      <c r="BB114" s="443"/>
      <c r="BC114" s="443"/>
      <c r="BD114" s="443"/>
      <c r="BE114" s="443"/>
    </row>
    <row r="115" hidden="1">
      <c r="A115" s="445">
        <f t="shared" si="5"/>
        <v>45405</v>
      </c>
      <c r="B115" s="434">
        <v>368.0</v>
      </c>
      <c r="C115" s="462">
        <v>0.5583333333333333</v>
      </c>
      <c r="D115" s="462">
        <v>0.8458333333333333</v>
      </c>
      <c r="E115" s="436">
        <f t="array" ref="E115">IF(B115=0,"",(J115+K115)/60)</f>
        <v>0.5833333333</v>
      </c>
      <c r="F115" s="437">
        <f t="shared" si="1"/>
        <v>6.9</v>
      </c>
      <c r="G115" s="438">
        <f t="shared" si="2"/>
        <v>53.33333333</v>
      </c>
      <c r="H115" s="438">
        <f t="shared" si="3"/>
        <v>58.2585752</v>
      </c>
      <c r="I115" s="436">
        <f t="shared" si="4"/>
        <v>1.111111111</v>
      </c>
      <c r="J115" s="460">
        <v>15.0</v>
      </c>
      <c r="K115" s="460">
        <v>20.0</v>
      </c>
      <c r="L115" s="443"/>
      <c r="M115" s="447">
        <f>IFERROR(__xludf.DUMMYFUNCTION("""COMPUTED_VALUE"""),57.0)</f>
        <v>57</v>
      </c>
      <c r="N115" s="447">
        <f>IFERROR(__xludf.DUMMYFUNCTION("""COMPUTED_VALUE"""),57.0)</f>
        <v>57</v>
      </c>
      <c r="O115" s="447">
        <f>IFERROR(__xludf.DUMMYFUNCTION("""COMPUTED_VALUE"""),0.0)</f>
        <v>0</v>
      </c>
      <c r="P115" s="447">
        <f>IFERROR(__xludf.DUMMYFUNCTION("""COMPUTED_VALUE"""),2.0)</f>
        <v>2</v>
      </c>
      <c r="Q115" s="447">
        <f>IFERROR(__xludf.DUMMYFUNCTION("""COMPUTED_VALUE"""),0.0)</f>
        <v>0</v>
      </c>
      <c r="R115" s="447">
        <f>IFERROR(__xludf.DUMMYFUNCTION("""COMPUTED_VALUE"""),0.0)</f>
        <v>0</v>
      </c>
      <c r="S115" s="447">
        <f>IFERROR(__xludf.DUMMYFUNCTION("""COMPUTED_VALUE"""),3.0)</f>
        <v>3</v>
      </c>
      <c r="T115" s="447">
        <f>IFERROR(__xludf.DUMMYFUNCTION("""COMPUTED_VALUE"""),0.0)</f>
        <v>0</v>
      </c>
      <c r="U115" s="447">
        <f>IFERROR(__xludf.DUMMYFUNCTION("""COMPUTED_VALUE"""),0.0)</f>
        <v>0</v>
      </c>
      <c r="V115" s="447">
        <f>IFERROR(__xludf.DUMMYFUNCTION("""COMPUTED_VALUE"""),2.0)</f>
        <v>2</v>
      </c>
      <c r="W115" s="447">
        <f>IFERROR(__xludf.DUMMYFUNCTION("""COMPUTED_VALUE"""),0.0)</f>
        <v>0</v>
      </c>
      <c r="X115" s="447">
        <f>IFERROR(__xludf.DUMMYFUNCTION("""COMPUTED_VALUE"""),0.0)</f>
        <v>0</v>
      </c>
      <c r="Y115" s="447">
        <f>IFERROR(__xludf.DUMMYFUNCTION("""COMPUTED_VALUE"""),0.0)</f>
        <v>0</v>
      </c>
      <c r="Z115" s="447">
        <f>IFERROR(__xludf.DUMMYFUNCTION("""COMPUTED_VALUE"""),0.0)</f>
        <v>0</v>
      </c>
      <c r="AA115" s="447">
        <f>IFERROR(__xludf.DUMMYFUNCTION("""COMPUTED_VALUE"""),0.0)</f>
        <v>0</v>
      </c>
      <c r="AB115" s="447">
        <f>IFERROR(__xludf.DUMMYFUNCTION("""COMPUTED_VALUE"""),0.0)</f>
        <v>0</v>
      </c>
      <c r="AC115" s="447">
        <f>IFERROR(__xludf.DUMMYFUNCTION("""COMPUTED_VALUE"""),2.0)</f>
        <v>2</v>
      </c>
      <c r="AD115" s="447">
        <f>IFERROR(__xludf.DUMMYFUNCTION("""COMPUTED_VALUE"""),48.0)</f>
        <v>48</v>
      </c>
      <c r="AE115" s="447">
        <f>IFERROR(__xludf.DUMMYFUNCTION("""COMPUTED_VALUE"""),9.0)</f>
        <v>9</v>
      </c>
      <c r="AF115" s="447">
        <f>IFERROR(__xludf.DUMMYFUNCTION("""COMPUTED_VALUE"""),0.0)</f>
        <v>0</v>
      </c>
      <c r="AG115" s="443" t="s">
        <v>106</v>
      </c>
      <c r="AH115" s="443" t="s">
        <v>343</v>
      </c>
      <c r="AI115" s="443"/>
      <c r="AJ115" s="443"/>
      <c r="AK115" s="443"/>
      <c r="AL115" s="443"/>
      <c r="AM115" s="443"/>
      <c r="AN115" s="443"/>
      <c r="AO115" s="443"/>
      <c r="AP115" s="443"/>
      <c r="AQ115" s="443"/>
      <c r="AR115" s="443"/>
      <c r="AS115" s="443"/>
      <c r="AT115" s="443"/>
      <c r="AU115" s="443"/>
      <c r="AV115" s="443"/>
      <c r="AW115" s="443"/>
      <c r="AX115" s="443"/>
      <c r="AY115" s="443"/>
      <c r="AZ115" s="443"/>
      <c r="BA115" s="443"/>
      <c r="BB115" s="443"/>
      <c r="BC115" s="443"/>
      <c r="BD115" s="443"/>
      <c r="BE115" s="443"/>
    </row>
    <row r="116" hidden="1">
      <c r="A116" s="445">
        <f t="shared" si="5"/>
        <v>45406</v>
      </c>
      <c r="B116" s="434">
        <v>405.0</v>
      </c>
      <c r="C116" s="462">
        <v>0.6</v>
      </c>
      <c r="D116" s="462">
        <v>0.8826388888888889</v>
      </c>
      <c r="E116" s="436">
        <f t="array" ref="E116">IF(B116=0,"",(J116+K116)/60)</f>
        <v>0.25</v>
      </c>
      <c r="F116" s="437">
        <f t="shared" si="1"/>
        <v>6.783333333</v>
      </c>
      <c r="G116" s="438">
        <f t="shared" si="2"/>
        <v>59.70515971</v>
      </c>
      <c r="H116" s="438">
        <f t="shared" si="3"/>
        <v>61.98979592</v>
      </c>
      <c r="I116" s="436">
        <f t="shared" si="4"/>
        <v>1.297938254</v>
      </c>
      <c r="J116" s="460">
        <v>15.0</v>
      </c>
      <c r="K116" s="464"/>
      <c r="L116" s="443"/>
      <c r="M116" s="447">
        <f>IFERROR(__xludf.DUMMYFUNCTION("""COMPUTED_VALUE"""),57.0)</f>
        <v>57</v>
      </c>
      <c r="N116" s="447">
        <f>IFERROR(__xludf.DUMMYFUNCTION("""COMPUTED_VALUE"""),56.0)</f>
        <v>56</v>
      </c>
      <c r="O116" s="447">
        <f>IFERROR(__xludf.DUMMYFUNCTION("""COMPUTED_VALUE"""),0.0)</f>
        <v>0</v>
      </c>
      <c r="P116" s="447">
        <f>IFERROR(__xludf.DUMMYFUNCTION("""COMPUTED_VALUE"""),2.0)</f>
        <v>2</v>
      </c>
      <c r="Q116" s="447">
        <f>IFERROR(__xludf.DUMMYFUNCTION("""COMPUTED_VALUE"""),0.0)</f>
        <v>0</v>
      </c>
      <c r="R116" s="447">
        <f>IFERROR(__xludf.DUMMYFUNCTION("""COMPUTED_VALUE"""),0.0)</f>
        <v>0</v>
      </c>
      <c r="S116" s="447">
        <f>IFERROR(__xludf.DUMMYFUNCTION("""COMPUTED_VALUE"""),4.0)</f>
        <v>4</v>
      </c>
      <c r="T116" s="447">
        <f>IFERROR(__xludf.DUMMYFUNCTION("""COMPUTED_VALUE"""),0.0)</f>
        <v>0</v>
      </c>
      <c r="U116" s="447">
        <f>IFERROR(__xludf.DUMMYFUNCTION("""COMPUTED_VALUE"""),1.0)</f>
        <v>1</v>
      </c>
      <c r="V116" s="447">
        <f>IFERROR(__xludf.DUMMYFUNCTION("""COMPUTED_VALUE"""),2.0)</f>
        <v>2</v>
      </c>
      <c r="W116" s="447">
        <f>IFERROR(__xludf.DUMMYFUNCTION("""COMPUTED_VALUE"""),1.0)</f>
        <v>1</v>
      </c>
      <c r="X116" s="447">
        <f>IFERROR(__xludf.DUMMYFUNCTION("""COMPUTED_VALUE"""),0.0)</f>
        <v>0</v>
      </c>
      <c r="Y116" s="447">
        <f>IFERROR(__xludf.DUMMYFUNCTION("""COMPUTED_VALUE"""),0.0)</f>
        <v>0</v>
      </c>
      <c r="Z116" s="447">
        <f>IFERROR(__xludf.DUMMYFUNCTION("""COMPUTED_VALUE"""),0.0)</f>
        <v>0</v>
      </c>
      <c r="AA116" s="447">
        <f>IFERROR(__xludf.DUMMYFUNCTION("""COMPUTED_VALUE"""),0.0)</f>
        <v>0</v>
      </c>
      <c r="AB116" s="447">
        <f>IFERROR(__xludf.DUMMYFUNCTION("""COMPUTED_VALUE"""),0.0)</f>
        <v>0</v>
      </c>
      <c r="AC116" s="447">
        <f>IFERROR(__xludf.DUMMYFUNCTION("""COMPUTED_VALUE"""),1.0)</f>
        <v>1</v>
      </c>
      <c r="AD116" s="447">
        <f>IFERROR(__xludf.DUMMYFUNCTION("""COMPUTED_VALUE"""),46.0)</f>
        <v>46</v>
      </c>
      <c r="AE116" s="447">
        <f>IFERROR(__xludf.DUMMYFUNCTION("""COMPUTED_VALUE"""),11.0)</f>
        <v>11</v>
      </c>
      <c r="AF116" s="447">
        <f>IFERROR(__xludf.DUMMYFUNCTION("""COMPUTED_VALUE"""),1.0)</f>
        <v>1</v>
      </c>
      <c r="AG116" s="443" t="s">
        <v>106</v>
      </c>
      <c r="AH116" s="443" t="s">
        <v>343</v>
      </c>
      <c r="AI116" s="443"/>
      <c r="AJ116" s="443"/>
      <c r="AK116" s="443"/>
      <c r="AL116" s="443"/>
      <c r="AM116" s="443"/>
      <c r="AN116" s="443"/>
      <c r="AO116" s="443"/>
      <c r="AP116" s="443"/>
      <c r="AQ116" s="443"/>
      <c r="AR116" s="443"/>
      <c r="AS116" s="443"/>
      <c r="AT116" s="443"/>
      <c r="AU116" s="443"/>
      <c r="AV116" s="443"/>
      <c r="AW116" s="443"/>
      <c r="AX116" s="443"/>
      <c r="AY116" s="443"/>
      <c r="AZ116" s="443"/>
      <c r="BA116" s="443"/>
      <c r="BB116" s="443"/>
      <c r="BC116" s="443"/>
      <c r="BD116" s="443"/>
      <c r="BE116" s="443"/>
    </row>
    <row r="117" hidden="1">
      <c r="A117" s="445">
        <f t="shared" si="5"/>
        <v>45407</v>
      </c>
      <c r="B117" s="434">
        <v>500.0</v>
      </c>
      <c r="C117" s="462">
        <v>0.6</v>
      </c>
      <c r="D117" s="462">
        <v>0.9486111111111111</v>
      </c>
      <c r="E117" s="436">
        <f t="array" ref="E117">IF(B117=0,"",(J117+K117)/60)</f>
        <v>0.25</v>
      </c>
      <c r="F117" s="437">
        <f t="shared" si="1"/>
        <v>8.366666667</v>
      </c>
      <c r="G117" s="438">
        <f t="shared" si="2"/>
        <v>59.76095618</v>
      </c>
      <c r="H117" s="438">
        <f t="shared" si="3"/>
        <v>61.60164271</v>
      </c>
      <c r="I117" s="436">
        <f t="shared" si="4"/>
        <v>1.299151221</v>
      </c>
      <c r="J117" s="460">
        <v>15.0</v>
      </c>
      <c r="K117" s="464"/>
      <c r="L117" s="443"/>
      <c r="M117" s="447">
        <f>IFERROR(__xludf.DUMMYFUNCTION("""COMPUTED_VALUE"""),57.0)</f>
        <v>57</v>
      </c>
      <c r="N117" s="447">
        <f>IFERROR(__xludf.DUMMYFUNCTION("""COMPUTED_VALUE"""),56.0)</f>
        <v>56</v>
      </c>
      <c r="O117" s="447">
        <f>IFERROR(__xludf.DUMMYFUNCTION("""COMPUTED_VALUE"""),0.0)</f>
        <v>0</v>
      </c>
      <c r="P117" s="447">
        <f>IFERROR(__xludf.DUMMYFUNCTION("""COMPUTED_VALUE"""),2.0)</f>
        <v>2</v>
      </c>
      <c r="Q117" s="447">
        <f>IFERROR(__xludf.DUMMYFUNCTION("""COMPUTED_VALUE"""),0.0)</f>
        <v>0</v>
      </c>
      <c r="R117" s="447">
        <f>IFERROR(__xludf.DUMMYFUNCTION("""COMPUTED_VALUE"""),0.0)</f>
        <v>0</v>
      </c>
      <c r="S117" s="447">
        <f>IFERROR(__xludf.DUMMYFUNCTION("""COMPUTED_VALUE"""),3.0)</f>
        <v>3</v>
      </c>
      <c r="T117" s="447">
        <f>IFERROR(__xludf.DUMMYFUNCTION("""COMPUTED_VALUE"""),0.0)</f>
        <v>0</v>
      </c>
      <c r="U117" s="447">
        <f>IFERROR(__xludf.DUMMYFUNCTION("""COMPUTED_VALUE"""),1.0)</f>
        <v>1</v>
      </c>
      <c r="V117" s="447">
        <f>IFERROR(__xludf.DUMMYFUNCTION("""COMPUTED_VALUE"""),2.0)</f>
        <v>2</v>
      </c>
      <c r="W117" s="447">
        <f>IFERROR(__xludf.DUMMYFUNCTION("""COMPUTED_VALUE"""),1.0)</f>
        <v>1</v>
      </c>
      <c r="X117" s="447">
        <f>IFERROR(__xludf.DUMMYFUNCTION("""COMPUTED_VALUE"""),0.0)</f>
        <v>0</v>
      </c>
      <c r="Y117" s="447">
        <f>IFERROR(__xludf.DUMMYFUNCTION("""COMPUTED_VALUE"""),0.0)</f>
        <v>0</v>
      </c>
      <c r="Z117" s="447">
        <f>IFERROR(__xludf.DUMMYFUNCTION("""COMPUTED_VALUE"""),0.0)</f>
        <v>0</v>
      </c>
      <c r="AA117" s="447">
        <f>IFERROR(__xludf.DUMMYFUNCTION("""COMPUTED_VALUE"""),0.0)</f>
        <v>0</v>
      </c>
      <c r="AB117" s="447">
        <f>IFERROR(__xludf.DUMMYFUNCTION("""COMPUTED_VALUE"""),0.0)</f>
        <v>0</v>
      </c>
      <c r="AC117" s="447">
        <f>IFERROR(__xludf.DUMMYFUNCTION("""COMPUTED_VALUE"""),2.0)</f>
        <v>2</v>
      </c>
      <c r="AD117" s="447">
        <f>IFERROR(__xludf.DUMMYFUNCTION("""COMPUTED_VALUE"""),46.0)</f>
        <v>46</v>
      </c>
      <c r="AE117" s="447">
        <f>IFERROR(__xludf.DUMMYFUNCTION("""COMPUTED_VALUE"""),11.0)</f>
        <v>11</v>
      </c>
      <c r="AF117" s="447">
        <f>IFERROR(__xludf.DUMMYFUNCTION("""COMPUTED_VALUE"""),1.0)</f>
        <v>1</v>
      </c>
      <c r="AG117" s="443" t="s">
        <v>106</v>
      </c>
      <c r="AH117" s="443" t="s">
        <v>343</v>
      </c>
      <c r="AI117" s="443"/>
      <c r="AJ117" s="443"/>
      <c r="AK117" s="443"/>
      <c r="AL117" s="443"/>
      <c r="AM117" s="443"/>
      <c r="AN117" s="443"/>
      <c r="AO117" s="443"/>
      <c r="AP117" s="443"/>
      <c r="AQ117" s="443"/>
      <c r="AR117" s="443"/>
      <c r="AS117" s="443"/>
      <c r="AT117" s="443"/>
      <c r="AU117" s="443"/>
      <c r="AV117" s="443"/>
      <c r="AW117" s="443"/>
      <c r="AX117" s="443"/>
      <c r="AY117" s="443"/>
      <c r="AZ117" s="443"/>
      <c r="BA117" s="443"/>
      <c r="BB117" s="443"/>
      <c r="BC117" s="443"/>
      <c r="BD117" s="443"/>
      <c r="BE117" s="443"/>
    </row>
    <row r="118" hidden="1">
      <c r="A118" s="445">
        <f t="shared" si="5"/>
        <v>45408</v>
      </c>
      <c r="B118" s="434">
        <v>361.0</v>
      </c>
      <c r="C118" s="462">
        <v>0.6</v>
      </c>
      <c r="D118" s="462">
        <v>0.8833333333333333</v>
      </c>
      <c r="E118" s="436">
        <f t="array" ref="E118">IF(B118=0,"",(J118+K118)/60)</f>
        <v>0.25</v>
      </c>
      <c r="F118" s="437">
        <f t="shared" si="1"/>
        <v>6.8</v>
      </c>
      <c r="G118" s="438">
        <f t="shared" si="2"/>
        <v>53.08823529</v>
      </c>
      <c r="H118" s="438">
        <f t="shared" si="3"/>
        <v>55.11450382</v>
      </c>
      <c r="I118" s="436">
        <f t="shared" si="4"/>
        <v>1.154092072</v>
      </c>
      <c r="J118" s="460">
        <v>15.0</v>
      </c>
      <c r="K118" s="464"/>
      <c r="L118" s="443"/>
      <c r="M118" s="447">
        <f>IFERROR(__xludf.DUMMYFUNCTION("""COMPUTED_VALUE"""),57.0)</f>
        <v>57</v>
      </c>
      <c r="N118" s="447">
        <f>IFERROR(__xludf.DUMMYFUNCTION("""COMPUTED_VALUE"""),56.0)</f>
        <v>56</v>
      </c>
      <c r="O118" s="447">
        <f>IFERROR(__xludf.DUMMYFUNCTION("""COMPUTED_VALUE"""),2.0)</f>
        <v>2</v>
      </c>
      <c r="P118" s="447">
        <f>IFERROR(__xludf.DUMMYFUNCTION("""COMPUTED_VALUE"""),1.0)</f>
        <v>1</v>
      </c>
      <c r="Q118" s="447">
        <f>IFERROR(__xludf.DUMMYFUNCTION("""COMPUTED_VALUE"""),1.0)</f>
        <v>1</v>
      </c>
      <c r="R118" s="447">
        <f>IFERROR(__xludf.DUMMYFUNCTION("""COMPUTED_VALUE"""),0.0)</f>
        <v>0</v>
      </c>
      <c r="S118" s="447">
        <f>IFERROR(__xludf.DUMMYFUNCTION("""COMPUTED_VALUE"""),2.0)</f>
        <v>2</v>
      </c>
      <c r="T118" s="447">
        <f>IFERROR(__xludf.DUMMYFUNCTION("""COMPUTED_VALUE"""),0.0)</f>
        <v>0</v>
      </c>
      <c r="U118" s="447">
        <f>IFERROR(__xludf.DUMMYFUNCTION("""COMPUTED_VALUE"""),1.0)</f>
        <v>1</v>
      </c>
      <c r="V118" s="447">
        <f>IFERROR(__xludf.DUMMYFUNCTION("""COMPUTED_VALUE"""),0.0)</f>
        <v>0</v>
      </c>
      <c r="W118" s="447">
        <f>IFERROR(__xludf.DUMMYFUNCTION("""COMPUTED_VALUE"""),1.0)</f>
        <v>1</v>
      </c>
      <c r="X118" s="447">
        <f>IFERROR(__xludf.DUMMYFUNCTION("""COMPUTED_VALUE"""),0.0)</f>
        <v>0</v>
      </c>
      <c r="Y118" s="447">
        <f>IFERROR(__xludf.DUMMYFUNCTION("""COMPUTED_VALUE"""),0.0)</f>
        <v>0</v>
      </c>
      <c r="Z118" s="447">
        <f>IFERROR(__xludf.DUMMYFUNCTION("""COMPUTED_VALUE"""),0.0)</f>
        <v>0</v>
      </c>
      <c r="AA118" s="447">
        <f>IFERROR(__xludf.DUMMYFUNCTION("""COMPUTED_VALUE"""),2.0)</f>
        <v>2</v>
      </c>
      <c r="AB118" s="447">
        <f>IFERROR(__xludf.DUMMYFUNCTION("""COMPUTED_VALUE"""),0.0)</f>
        <v>0</v>
      </c>
      <c r="AC118" s="447">
        <f>IFERROR(__xludf.DUMMYFUNCTION("""COMPUTED_VALUE"""),1.0)</f>
        <v>1</v>
      </c>
      <c r="AD118" s="447">
        <f>IFERROR(__xludf.DUMMYFUNCTION("""COMPUTED_VALUE"""),46.0)</f>
        <v>46</v>
      </c>
      <c r="AE118" s="447">
        <f>IFERROR(__xludf.DUMMYFUNCTION("""COMPUTED_VALUE"""),11.0)</f>
        <v>11</v>
      </c>
      <c r="AF118" s="447">
        <f>IFERROR(__xludf.DUMMYFUNCTION("""COMPUTED_VALUE"""),1.0)</f>
        <v>1</v>
      </c>
      <c r="AG118" s="443" t="s">
        <v>106</v>
      </c>
      <c r="AH118" s="443" t="s">
        <v>343</v>
      </c>
      <c r="AI118" s="443"/>
      <c r="AJ118" s="443"/>
      <c r="AK118" s="443"/>
      <c r="AL118" s="443"/>
      <c r="AM118" s="443"/>
      <c r="AN118" s="443"/>
      <c r="AO118" s="443"/>
      <c r="AP118" s="443"/>
      <c r="AQ118" s="443"/>
      <c r="AR118" s="443"/>
      <c r="AS118" s="443"/>
      <c r="AT118" s="443"/>
      <c r="AU118" s="443"/>
      <c r="AV118" s="443"/>
      <c r="AW118" s="443"/>
      <c r="AX118" s="443"/>
      <c r="AY118" s="443"/>
      <c r="AZ118" s="443"/>
      <c r="BA118" s="443"/>
      <c r="BB118" s="443"/>
      <c r="BC118" s="443"/>
      <c r="BD118" s="443"/>
      <c r="BE118" s="443"/>
    </row>
    <row r="119" hidden="1">
      <c r="A119" s="445">
        <f t="shared" si="5"/>
        <v>45409</v>
      </c>
      <c r="B119" s="434">
        <v>289.0</v>
      </c>
      <c r="C119" s="462">
        <v>0.5583333333333333</v>
      </c>
      <c r="D119" s="462">
        <v>0.7736111111111111</v>
      </c>
      <c r="E119" s="436">
        <f t="array" ref="E119">IF(B119=0,"",(J119+K119)/60)</f>
        <v>0.25</v>
      </c>
      <c r="F119" s="437">
        <f t="shared" si="1"/>
        <v>5.166666667</v>
      </c>
      <c r="G119" s="438">
        <f t="shared" si="2"/>
        <v>55.93548387</v>
      </c>
      <c r="H119" s="438">
        <f t="shared" si="3"/>
        <v>58.77966102</v>
      </c>
      <c r="I119" s="436">
        <f t="shared" si="4"/>
        <v>1.096774194</v>
      </c>
      <c r="J119" s="460">
        <v>15.0</v>
      </c>
      <c r="K119" s="464"/>
      <c r="L119" s="443"/>
      <c r="M119" s="447">
        <f>IFERROR(__xludf.DUMMYFUNCTION("""COMPUTED_VALUE"""),57.0)</f>
        <v>57</v>
      </c>
      <c r="N119" s="447">
        <f>IFERROR(__xludf.DUMMYFUNCTION("""COMPUTED_VALUE"""),56.0)</f>
        <v>56</v>
      </c>
      <c r="O119" s="447">
        <f>IFERROR(__xludf.DUMMYFUNCTION("""COMPUTED_VALUE"""),0.0)</f>
        <v>0</v>
      </c>
      <c r="P119" s="447">
        <f>IFERROR(__xludf.DUMMYFUNCTION("""COMPUTED_VALUE"""),1.0)</f>
        <v>1</v>
      </c>
      <c r="Q119" s="447">
        <f>IFERROR(__xludf.DUMMYFUNCTION("""COMPUTED_VALUE"""),0.0)</f>
        <v>0</v>
      </c>
      <c r="R119" s="447">
        <f>IFERROR(__xludf.DUMMYFUNCTION("""COMPUTED_VALUE"""),0.0)</f>
        <v>0</v>
      </c>
      <c r="S119" s="447">
        <f>IFERROR(__xludf.DUMMYFUNCTION("""COMPUTED_VALUE"""),2.0)</f>
        <v>2</v>
      </c>
      <c r="T119" s="447">
        <f>IFERROR(__xludf.DUMMYFUNCTION("""COMPUTED_VALUE"""),0.0)</f>
        <v>0</v>
      </c>
      <c r="U119" s="447">
        <f>IFERROR(__xludf.DUMMYFUNCTION("""COMPUTED_VALUE"""),1.0)</f>
        <v>1</v>
      </c>
      <c r="V119" s="447">
        <f>IFERROR(__xludf.DUMMYFUNCTION("""COMPUTED_VALUE"""),1.0)</f>
        <v>1</v>
      </c>
      <c r="W119" s="447">
        <f>IFERROR(__xludf.DUMMYFUNCTION("""COMPUTED_VALUE"""),0.0)</f>
        <v>0</v>
      </c>
      <c r="X119" s="447">
        <f>IFERROR(__xludf.DUMMYFUNCTION("""COMPUTED_VALUE"""),0.0)</f>
        <v>0</v>
      </c>
      <c r="Y119" s="447">
        <f>IFERROR(__xludf.DUMMYFUNCTION("""COMPUTED_VALUE"""),0.0)</f>
        <v>0</v>
      </c>
      <c r="Z119" s="447">
        <f>IFERROR(__xludf.DUMMYFUNCTION("""COMPUTED_VALUE"""),0.0)</f>
        <v>0</v>
      </c>
      <c r="AA119" s="447">
        <f>IFERROR(__xludf.DUMMYFUNCTION("""COMPUTED_VALUE"""),0.0)</f>
        <v>0</v>
      </c>
      <c r="AB119" s="447">
        <f>IFERROR(__xludf.DUMMYFUNCTION("""COMPUTED_VALUE"""),0.0)</f>
        <v>0</v>
      </c>
      <c r="AC119" s="447">
        <f>IFERROR(__xludf.DUMMYFUNCTION("""COMPUTED_VALUE"""),1.0)</f>
        <v>1</v>
      </c>
      <c r="AD119" s="447">
        <f>IFERROR(__xludf.DUMMYFUNCTION("""COMPUTED_VALUE"""),51.0)</f>
        <v>51</v>
      </c>
      <c r="AE119" s="447">
        <f>IFERROR(__xludf.DUMMYFUNCTION("""COMPUTED_VALUE"""),6.0)</f>
        <v>6</v>
      </c>
      <c r="AF119" s="447">
        <f>IFERROR(__xludf.DUMMYFUNCTION("""COMPUTED_VALUE"""),1.0)</f>
        <v>1</v>
      </c>
      <c r="AG119" s="443" t="s">
        <v>106</v>
      </c>
      <c r="AH119" s="443" t="s">
        <v>343</v>
      </c>
      <c r="AI119" s="443"/>
      <c r="AJ119" s="443"/>
      <c r="AK119" s="443"/>
      <c r="AL119" s="443"/>
      <c r="AM119" s="443"/>
      <c r="AN119" s="443"/>
      <c r="AO119" s="443"/>
      <c r="AP119" s="443"/>
      <c r="AQ119" s="443"/>
      <c r="AR119" s="443"/>
      <c r="AS119" s="443"/>
      <c r="AT119" s="443"/>
      <c r="AU119" s="443"/>
      <c r="AV119" s="443"/>
      <c r="AW119" s="443"/>
      <c r="AX119" s="443"/>
      <c r="AY119" s="443"/>
      <c r="AZ119" s="443"/>
      <c r="BA119" s="443"/>
      <c r="BB119" s="443"/>
      <c r="BC119" s="443"/>
      <c r="BD119" s="443"/>
      <c r="BE119" s="443"/>
    </row>
    <row r="120" hidden="1">
      <c r="A120" s="445">
        <f t="shared" si="5"/>
        <v>45410</v>
      </c>
      <c r="B120" s="434">
        <v>0.0</v>
      </c>
      <c r="C120" s="443"/>
      <c r="D120" s="443"/>
      <c r="E120" s="436" t="str">
        <f t="array" ref="E120">IF(B120=0,"",(J120+K120)/60)</f>
        <v/>
      </c>
      <c r="F120" s="437" t="str">
        <f t="shared" si="1"/>
        <v/>
      </c>
      <c r="G120" s="438" t="str">
        <f t="shared" si="2"/>
        <v/>
      </c>
      <c r="H120" s="438" t="str">
        <f t="shared" si="3"/>
        <v/>
      </c>
      <c r="I120" s="436" t="str">
        <f t="shared" si="4"/>
        <v/>
      </c>
      <c r="J120" s="464"/>
      <c r="K120" s="464"/>
      <c r="L120" s="443"/>
      <c r="M120" s="447">
        <f>IFERROR(__xludf.DUMMYFUNCTION("""COMPUTED_VALUE"""),57.0)</f>
        <v>57</v>
      </c>
      <c r="N120" s="447">
        <f>IFERROR(__xludf.DUMMYFUNCTION("""COMPUTED_VALUE"""),56.0)</f>
        <v>56</v>
      </c>
      <c r="O120" s="447">
        <f>IFERROR(__xludf.DUMMYFUNCTION("""COMPUTED_VALUE"""),0.0)</f>
        <v>0</v>
      </c>
      <c r="P120" s="447">
        <f>IFERROR(__xludf.DUMMYFUNCTION("""COMPUTED_VALUE"""),0.0)</f>
        <v>0</v>
      </c>
      <c r="Q120" s="447">
        <f>IFERROR(__xludf.DUMMYFUNCTION("""COMPUTED_VALUE"""),0.0)</f>
        <v>0</v>
      </c>
      <c r="R120" s="447">
        <f>IFERROR(__xludf.DUMMYFUNCTION("""COMPUTED_VALUE"""),0.0)</f>
        <v>0</v>
      </c>
      <c r="S120" s="447">
        <f>IFERROR(__xludf.DUMMYFUNCTION("""COMPUTED_VALUE"""),0.0)</f>
        <v>0</v>
      </c>
      <c r="T120" s="447">
        <f>IFERROR(__xludf.DUMMYFUNCTION("""COMPUTED_VALUE"""),0.0)</f>
        <v>0</v>
      </c>
      <c r="U120" s="447">
        <f>IFERROR(__xludf.DUMMYFUNCTION("""COMPUTED_VALUE"""),1.0)</f>
        <v>1</v>
      </c>
      <c r="V120" s="447">
        <f>IFERROR(__xludf.DUMMYFUNCTION("""COMPUTED_VALUE"""),0.0)</f>
        <v>0</v>
      </c>
      <c r="W120" s="447">
        <f>IFERROR(__xludf.DUMMYFUNCTION("""COMPUTED_VALUE"""),0.0)</f>
        <v>0</v>
      </c>
      <c r="X120" s="447">
        <f>IFERROR(__xludf.DUMMYFUNCTION("""COMPUTED_VALUE"""),0.0)</f>
        <v>0</v>
      </c>
      <c r="Y120" s="447">
        <f>IFERROR(__xludf.DUMMYFUNCTION("""COMPUTED_VALUE"""),0.0)</f>
        <v>0</v>
      </c>
      <c r="Z120" s="447">
        <f>IFERROR(__xludf.DUMMYFUNCTION("""COMPUTED_VALUE"""),0.0)</f>
        <v>0</v>
      </c>
      <c r="AA120" s="447">
        <f>IFERROR(__xludf.DUMMYFUNCTION("""COMPUTED_VALUE"""),0.0)</f>
        <v>0</v>
      </c>
      <c r="AB120" s="447">
        <f>IFERROR(__xludf.DUMMYFUNCTION("""COMPUTED_VALUE"""),0.0)</f>
        <v>0</v>
      </c>
      <c r="AC120" s="447">
        <f>IFERROR(__xludf.DUMMYFUNCTION("""COMPUTED_VALUE"""),0.0)</f>
        <v>0</v>
      </c>
      <c r="AD120" s="447">
        <f>IFERROR(__xludf.DUMMYFUNCTION("""COMPUTED_VALUE"""),0.0)</f>
        <v>0</v>
      </c>
      <c r="AE120" s="447">
        <f>IFERROR(__xludf.DUMMYFUNCTION("""COMPUTED_VALUE"""),1.0)</f>
        <v>1</v>
      </c>
      <c r="AF120" s="447">
        <f>IFERROR(__xludf.DUMMYFUNCTION("""COMPUTED_VALUE"""),1.0)</f>
        <v>1</v>
      </c>
      <c r="AG120" s="443" t="s">
        <v>106</v>
      </c>
      <c r="AH120" s="443" t="s">
        <v>343</v>
      </c>
      <c r="AI120" s="443"/>
      <c r="AJ120" s="443"/>
      <c r="AK120" s="443"/>
      <c r="AL120" s="443"/>
      <c r="AM120" s="443"/>
      <c r="AN120" s="443"/>
      <c r="AO120" s="443"/>
      <c r="AP120" s="443"/>
      <c r="AQ120" s="443"/>
      <c r="AR120" s="443"/>
      <c r="AS120" s="443"/>
      <c r="AT120" s="443"/>
      <c r="AU120" s="443"/>
      <c r="AV120" s="443"/>
      <c r="AW120" s="443"/>
      <c r="AX120" s="443"/>
      <c r="AY120" s="443"/>
      <c r="AZ120" s="443"/>
      <c r="BA120" s="443"/>
      <c r="BB120" s="443"/>
      <c r="BC120" s="443"/>
      <c r="BD120" s="443"/>
      <c r="BE120" s="443"/>
    </row>
    <row r="121" hidden="1">
      <c r="A121" s="445">
        <f t="shared" si="5"/>
        <v>45411</v>
      </c>
      <c r="B121" s="434">
        <v>423.0</v>
      </c>
      <c r="C121" s="462">
        <v>0.5583333333333333</v>
      </c>
      <c r="D121" s="462">
        <v>0.8791666666666667</v>
      </c>
      <c r="E121" s="436">
        <f t="array" ref="E121">IF(B121=0,"",(J121+K121)/60)</f>
        <v>0.25</v>
      </c>
      <c r="F121" s="437">
        <f t="shared" si="1"/>
        <v>7.7</v>
      </c>
      <c r="G121" s="438">
        <f t="shared" si="2"/>
        <v>54.93506494</v>
      </c>
      <c r="H121" s="438">
        <f t="shared" si="3"/>
        <v>56.77852349</v>
      </c>
      <c r="I121" s="436">
        <f t="shared" si="4"/>
        <v>1.121123774</v>
      </c>
      <c r="J121" s="460">
        <v>15.0</v>
      </c>
      <c r="K121" s="464"/>
      <c r="L121" s="443"/>
      <c r="M121" s="447">
        <f>IFERROR(__xludf.DUMMYFUNCTION("""COMPUTED_VALUE"""),57.0)</f>
        <v>57</v>
      </c>
      <c r="N121" s="447">
        <f>IFERROR(__xludf.DUMMYFUNCTION("""COMPUTED_VALUE"""),56.0)</f>
        <v>56</v>
      </c>
      <c r="O121" s="447">
        <f>IFERROR(__xludf.DUMMYFUNCTION("""COMPUTED_VALUE"""),1.0)</f>
        <v>1</v>
      </c>
      <c r="P121" s="447">
        <f>IFERROR(__xludf.DUMMYFUNCTION("""COMPUTED_VALUE"""),1.0)</f>
        <v>1</v>
      </c>
      <c r="Q121" s="447">
        <f>IFERROR(__xludf.DUMMYFUNCTION("""COMPUTED_VALUE"""),2.0)</f>
        <v>2</v>
      </c>
      <c r="R121" s="447">
        <f>IFERROR(__xludf.DUMMYFUNCTION("""COMPUTED_VALUE"""),0.0)</f>
        <v>0</v>
      </c>
      <c r="S121" s="447">
        <f>IFERROR(__xludf.DUMMYFUNCTION("""COMPUTED_VALUE"""),1.0)</f>
        <v>1</v>
      </c>
      <c r="T121" s="447">
        <f>IFERROR(__xludf.DUMMYFUNCTION("""COMPUTED_VALUE"""),0.0)</f>
        <v>0</v>
      </c>
      <c r="U121" s="447">
        <f>IFERROR(__xludf.DUMMYFUNCTION("""COMPUTED_VALUE"""),1.0)</f>
        <v>1</v>
      </c>
      <c r="V121" s="447">
        <f>IFERROR(__xludf.DUMMYFUNCTION("""COMPUTED_VALUE"""),1.0)</f>
        <v>1</v>
      </c>
      <c r="W121" s="447">
        <f>IFERROR(__xludf.DUMMYFUNCTION("""COMPUTED_VALUE"""),0.0)</f>
        <v>0</v>
      </c>
      <c r="X121" s="447">
        <f>IFERROR(__xludf.DUMMYFUNCTION("""COMPUTED_VALUE"""),0.0)</f>
        <v>0</v>
      </c>
      <c r="Y121" s="447">
        <f>IFERROR(__xludf.DUMMYFUNCTION("""COMPUTED_VALUE"""),0.0)</f>
        <v>0</v>
      </c>
      <c r="Z121" s="447">
        <f>IFERROR(__xludf.DUMMYFUNCTION("""COMPUTED_VALUE"""),0.0)</f>
        <v>0</v>
      </c>
      <c r="AA121" s="447">
        <f>IFERROR(__xludf.DUMMYFUNCTION("""COMPUTED_VALUE"""),0.0)</f>
        <v>0</v>
      </c>
      <c r="AB121" s="447">
        <f>IFERROR(__xludf.DUMMYFUNCTION("""COMPUTED_VALUE"""),0.0)</f>
        <v>0</v>
      </c>
      <c r="AC121" s="447">
        <f>IFERROR(__xludf.DUMMYFUNCTION("""COMPUTED_VALUE"""),1.0)</f>
        <v>1</v>
      </c>
      <c r="AD121" s="447">
        <f>IFERROR(__xludf.DUMMYFUNCTION("""COMPUTED_VALUE"""),49.0)</f>
        <v>49</v>
      </c>
      <c r="AE121" s="447">
        <f>IFERROR(__xludf.DUMMYFUNCTION("""COMPUTED_VALUE"""),8.0)</f>
        <v>8</v>
      </c>
      <c r="AF121" s="447">
        <f>IFERROR(__xludf.DUMMYFUNCTION("""COMPUTED_VALUE"""),1.0)</f>
        <v>1</v>
      </c>
      <c r="AG121" s="443" t="s">
        <v>106</v>
      </c>
      <c r="AH121" s="443" t="s">
        <v>343</v>
      </c>
      <c r="AI121" s="443"/>
      <c r="AJ121" s="443"/>
      <c r="AK121" s="443"/>
      <c r="AL121" s="443"/>
      <c r="AM121" s="443"/>
      <c r="AN121" s="443"/>
      <c r="AO121" s="443"/>
      <c r="AP121" s="443"/>
      <c r="AQ121" s="443"/>
      <c r="AR121" s="443"/>
      <c r="AS121" s="443"/>
      <c r="AT121" s="443"/>
      <c r="AU121" s="443"/>
      <c r="AV121" s="443"/>
      <c r="AW121" s="443"/>
      <c r="AX121" s="443"/>
      <c r="AY121" s="443"/>
      <c r="AZ121" s="443"/>
      <c r="BA121" s="443"/>
      <c r="BB121" s="443"/>
      <c r="BC121" s="443"/>
      <c r="BD121" s="443"/>
      <c r="BE121" s="443"/>
    </row>
    <row r="122" hidden="1">
      <c r="A122" s="445">
        <f t="shared" si="5"/>
        <v>45412</v>
      </c>
      <c r="B122" s="434">
        <v>478.0</v>
      </c>
      <c r="C122" s="462">
        <v>0.5583333333333333</v>
      </c>
      <c r="D122" s="462">
        <v>0.9138888888888889</v>
      </c>
      <c r="E122" s="436">
        <f t="array" ref="E122">IF(B122=0,"",(J122+K122)/60)</f>
        <v>0.25</v>
      </c>
      <c r="F122" s="437">
        <f t="shared" si="1"/>
        <v>8.533333333</v>
      </c>
      <c r="G122" s="438">
        <f t="shared" si="2"/>
        <v>56.015625</v>
      </c>
      <c r="H122" s="438">
        <f t="shared" si="3"/>
        <v>57.70623742</v>
      </c>
      <c r="I122" s="436">
        <f t="shared" si="4"/>
        <v>1.077223558</v>
      </c>
      <c r="J122" s="460">
        <v>15.0</v>
      </c>
      <c r="K122" s="464"/>
      <c r="L122" s="443"/>
      <c r="M122" s="447">
        <f>IFERROR(__xludf.DUMMYFUNCTION("""COMPUTED_VALUE"""),57.0)</f>
        <v>57</v>
      </c>
      <c r="N122" s="447">
        <f>IFERROR(__xludf.DUMMYFUNCTION("""COMPUTED_VALUE"""),56.0)</f>
        <v>56</v>
      </c>
      <c r="O122" s="447">
        <f>IFERROR(__xludf.DUMMYFUNCTION("""COMPUTED_VALUE"""),0.0)</f>
        <v>0</v>
      </c>
      <c r="P122" s="447">
        <f>IFERROR(__xludf.DUMMYFUNCTION("""COMPUTED_VALUE"""),1.0)</f>
        <v>1</v>
      </c>
      <c r="Q122" s="447">
        <f>IFERROR(__xludf.DUMMYFUNCTION("""COMPUTED_VALUE"""),0.0)</f>
        <v>0</v>
      </c>
      <c r="R122" s="447">
        <f>IFERROR(__xludf.DUMMYFUNCTION("""COMPUTED_VALUE"""),0.0)</f>
        <v>0</v>
      </c>
      <c r="S122" s="447">
        <f>IFERROR(__xludf.DUMMYFUNCTION("""COMPUTED_VALUE"""),1.0)</f>
        <v>1</v>
      </c>
      <c r="T122" s="447">
        <f>IFERROR(__xludf.DUMMYFUNCTION("""COMPUTED_VALUE"""),0.0)</f>
        <v>0</v>
      </c>
      <c r="U122" s="447">
        <f>IFERROR(__xludf.DUMMYFUNCTION("""COMPUTED_VALUE"""),1.0)</f>
        <v>1</v>
      </c>
      <c r="V122" s="447">
        <f>IFERROR(__xludf.DUMMYFUNCTION("""COMPUTED_VALUE"""),1.0)</f>
        <v>1</v>
      </c>
      <c r="W122" s="447">
        <f>IFERROR(__xludf.DUMMYFUNCTION("""COMPUTED_VALUE"""),0.0)</f>
        <v>0</v>
      </c>
      <c r="X122" s="447">
        <f>IFERROR(__xludf.DUMMYFUNCTION("""COMPUTED_VALUE"""),0.0)</f>
        <v>0</v>
      </c>
      <c r="Y122" s="447">
        <f>IFERROR(__xludf.DUMMYFUNCTION("""COMPUTED_VALUE"""),0.0)</f>
        <v>0</v>
      </c>
      <c r="Z122" s="447">
        <f>IFERROR(__xludf.DUMMYFUNCTION("""COMPUTED_VALUE"""),0.0)</f>
        <v>0</v>
      </c>
      <c r="AA122" s="447">
        <f>IFERROR(__xludf.DUMMYFUNCTION("""COMPUTED_VALUE"""),0.0)</f>
        <v>0</v>
      </c>
      <c r="AB122" s="447">
        <f>IFERROR(__xludf.DUMMYFUNCTION("""COMPUTED_VALUE"""),0.0)</f>
        <v>0</v>
      </c>
      <c r="AC122" s="447">
        <f>IFERROR(__xludf.DUMMYFUNCTION("""COMPUTED_VALUE"""),1.0)</f>
        <v>1</v>
      </c>
      <c r="AD122" s="447">
        <f>IFERROR(__xludf.DUMMYFUNCTION("""COMPUTED_VALUE"""),52.0)</f>
        <v>52</v>
      </c>
      <c r="AE122" s="447">
        <f>IFERROR(__xludf.DUMMYFUNCTION("""COMPUTED_VALUE"""),5.0)</f>
        <v>5</v>
      </c>
      <c r="AF122" s="447">
        <f>IFERROR(__xludf.DUMMYFUNCTION("""COMPUTED_VALUE"""),1.0)</f>
        <v>1</v>
      </c>
      <c r="AG122" s="443" t="s">
        <v>106</v>
      </c>
      <c r="AH122" s="443" t="s">
        <v>343</v>
      </c>
      <c r="AI122" s="443"/>
      <c r="AJ122" s="443"/>
      <c r="AK122" s="443"/>
      <c r="AL122" s="443"/>
      <c r="AM122" s="443"/>
      <c r="AN122" s="443"/>
      <c r="AO122" s="443"/>
      <c r="AP122" s="443"/>
      <c r="AQ122" s="443"/>
      <c r="AR122" s="443"/>
      <c r="AS122" s="443"/>
      <c r="AT122" s="443"/>
      <c r="AU122" s="443"/>
      <c r="AV122" s="443"/>
      <c r="AW122" s="443"/>
      <c r="AX122" s="443"/>
      <c r="AY122" s="443"/>
      <c r="AZ122" s="443"/>
      <c r="BA122" s="443"/>
      <c r="BB122" s="443"/>
      <c r="BC122" s="443"/>
      <c r="BD122" s="443"/>
      <c r="BE122" s="443"/>
    </row>
    <row r="123" hidden="1">
      <c r="A123" s="445">
        <f t="shared" si="5"/>
        <v>45413</v>
      </c>
      <c r="B123" s="434">
        <v>505.0</v>
      </c>
      <c r="C123" s="462">
        <v>0.5583333333333333</v>
      </c>
      <c r="D123" s="462">
        <v>0.9375</v>
      </c>
      <c r="E123" s="436">
        <f t="array" ref="E123">IF(B123=0,"",(J123+K123)/60)</f>
        <v>1.333333333</v>
      </c>
      <c r="F123" s="437">
        <f t="shared" si="1"/>
        <v>9.1</v>
      </c>
      <c r="G123" s="438">
        <f t="shared" si="2"/>
        <v>55.49450549</v>
      </c>
      <c r="H123" s="438">
        <f t="shared" si="3"/>
        <v>65.02145923</v>
      </c>
      <c r="I123" s="436">
        <f t="shared" si="4"/>
        <v>1.088127559</v>
      </c>
      <c r="J123" s="460">
        <v>15.0</v>
      </c>
      <c r="K123" s="460">
        <v>65.0</v>
      </c>
      <c r="L123" s="443"/>
      <c r="M123" s="525">
        <f>IFERROR(__xludf.DUMMYFUNCTION("TRANSPOSE(IMPORTRANGE(""https://docs.google.com/spreadsheets/d/1CNeKSHTeNNJnfn5EymHwGg5Mkuk6EcepW7_9QkJxalc/edit#gid=1218471306"",""MAYO 2024!F2:AJ21""))"),57.0)</f>
        <v>57</v>
      </c>
      <c r="N123" s="447">
        <f>IFERROR(__xludf.DUMMYFUNCTION("""COMPUTED_VALUE"""),56.0)</f>
        <v>56</v>
      </c>
      <c r="O123" s="447">
        <f>IFERROR(__xludf.DUMMYFUNCTION("""COMPUTED_VALUE"""),0.0)</f>
        <v>0</v>
      </c>
      <c r="P123" s="447">
        <f>IFERROR(__xludf.DUMMYFUNCTION("""COMPUTED_VALUE"""),0.0)</f>
        <v>0</v>
      </c>
      <c r="Q123" s="447">
        <f>IFERROR(__xludf.DUMMYFUNCTION("""COMPUTED_VALUE"""),1.0)</f>
        <v>1</v>
      </c>
      <c r="R123" s="447">
        <f>IFERROR(__xludf.DUMMYFUNCTION("""COMPUTED_VALUE"""),0.0)</f>
        <v>0</v>
      </c>
      <c r="S123" s="447">
        <f>IFERROR(__xludf.DUMMYFUNCTION("""COMPUTED_VALUE"""),1.0)</f>
        <v>1</v>
      </c>
      <c r="T123" s="447">
        <f>IFERROR(__xludf.DUMMYFUNCTION("""COMPUTED_VALUE"""),0.0)</f>
        <v>0</v>
      </c>
      <c r="U123" s="447">
        <f>IFERROR(__xludf.DUMMYFUNCTION("""COMPUTED_VALUE"""),1.0)</f>
        <v>1</v>
      </c>
      <c r="V123" s="447">
        <f>IFERROR(__xludf.DUMMYFUNCTION("""COMPUTED_VALUE"""),1.0)</f>
        <v>1</v>
      </c>
      <c r="W123" s="447">
        <f>IFERROR(__xludf.DUMMYFUNCTION("""COMPUTED_VALUE"""),0.0)</f>
        <v>0</v>
      </c>
      <c r="X123" s="447">
        <f>IFERROR(__xludf.DUMMYFUNCTION("""COMPUTED_VALUE"""),0.0)</f>
        <v>0</v>
      </c>
      <c r="Y123" s="447">
        <f>IFERROR(__xludf.DUMMYFUNCTION("""COMPUTED_VALUE"""),0.0)</f>
        <v>0</v>
      </c>
      <c r="Z123" s="447">
        <f>IFERROR(__xludf.DUMMYFUNCTION("""COMPUTED_VALUE"""),0.0)</f>
        <v>0</v>
      </c>
      <c r="AA123" s="447">
        <f>IFERROR(__xludf.DUMMYFUNCTION("""COMPUTED_VALUE"""),0.0)</f>
        <v>0</v>
      </c>
      <c r="AB123" s="447">
        <f>IFERROR(__xludf.DUMMYFUNCTION("""COMPUTED_VALUE"""),0.0)</f>
        <v>0</v>
      </c>
      <c r="AC123" s="447">
        <f>IFERROR(__xludf.DUMMYFUNCTION("""COMPUTED_VALUE"""),1.0)</f>
        <v>1</v>
      </c>
      <c r="AD123" s="447">
        <f>IFERROR(__xludf.DUMMYFUNCTION("""COMPUTED_VALUE"""),51.0)</f>
        <v>51</v>
      </c>
      <c r="AE123" s="447">
        <f>IFERROR(__xludf.DUMMYFUNCTION("""COMPUTED_VALUE"""),6.0)</f>
        <v>6</v>
      </c>
      <c r="AF123" s="447">
        <f>IFERROR(__xludf.DUMMYFUNCTION("""COMPUTED_VALUE"""),1.0)</f>
        <v>1</v>
      </c>
      <c r="AG123" s="443" t="s">
        <v>117</v>
      </c>
      <c r="AH123" s="443" t="s">
        <v>343</v>
      </c>
      <c r="AI123" s="443"/>
      <c r="AJ123" s="443"/>
      <c r="AK123" s="443"/>
      <c r="AL123" s="443"/>
      <c r="AM123" s="443"/>
      <c r="AN123" s="443"/>
      <c r="AO123" s="443"/>
      <c r="AP123" s="443"/>
      <c r="AQ123" s="443"/>
      <c r="AR123" s="443"/>
      <c r="AS123" s="443"/>
      <c r="AT123" s="443"/>
      <c r="AU123" s="443"/>
      <c r="AV123" s="443"/>
      <c r="AW123" s="443"/>
      <c r="AX123" s="443"/>
      <c r="AY123" s="443"/>
      <c r="AZ123" s="443"/>
      <c r="BA123" s="443"/>
      <c r="BB123" s="443"/>
      <c r="BC123" s="443"/>
      <c r="BD123" s="443"/>
      <c r="BE123" s="443"/>
    </row>
    <row r="124" hidden="1">
      <c r="A124" s="445">
        <f t="shared" si="5"/>
        <v>45414</v>
      </c>
      <c r="B124" s="434">
        <v>486.0</v>
      </c>
      <c r="C124" s="462">
        <v>0.6</v>
      </c>
      <c r="D124" s="462">
        <v>0.9569444444444445</v>
      </c>
      <c r="E124" s="436">
        <f t="array" ref="E124">IF(B124=0,"",(J124+K124)/60)</f>
        <v>0.25</v>
      </c>
      <c r="F124" s="437">
        <f t="shared" si="1"/>
        <v>8.566666667</v>
      </c>
      <c r="G124" s="438">
        <f t="shared" si="2"/>
        <v>56.73151751</v>
      </c>
      <c r="H124" s="438">
        <f t="shared" si="3"/>
        <v>58.43687375</v>
      </c>
      <c r="I124" s="436">
        <f t="shared" si="4"/>
        <v>1.13463035</v>
      </c>
      <c r="J124" s="460">
        <v>15.0</v>
      </c>
      <c r="K124" s="464"/>
      <c r="L124" s="443"/>
      <c r="M124" s="447">
        <f>IFERROR(__xludf.DUMMYFUNCTION("""COMPUTED_VALUE"""),57.0)</f>
        <v>57</v>
      </c>
      <c r="N124" s="447">
        <f>IFERROR(__xludf.DUMMYFUNCTION("""COMPUTED_VALUE"""),56.0)</f>
        <v>56</v>
      </c>
      <c r="O124" s="447">
        <f>IFERROR(__xludf.DUMMYFUNCTION("""COMPUTED_VALUE"""),0.0)</f>
        <v>0</v>
      </c>
      <c r="P124" s="447">
        <f>IFERROR(__xludf.DUMMYFUNCTION("""COMPUTED_VALUE"""),0.0)</f>
        <v>0</v>
      </c>
      <c r="Q124" s="447">
        <f>IFERROR(__xludf.DUMMYFUNCTION("""COMPUTED_VALUE"""),0.0)</f>
        <v>0</v>
      </c>
      <c r="R124" s="447">
        <f>IFERROR(__xludf.DUMMYFUNCTION("""COMPUTED_VALUE"""),0.0)</f>
        <v>0</v>
      </c>
      <c r="S124" s="447">
        <f>IFERROR(__xludf.DUMMYFUNCTION("""COMPUTED_VALUE"""),4.0)</f>
        <v>4</v>
      </c>
      <c r="T124" s="447">
        <f>IFERROR(__xludf.DUMMYFUNCTION("""COMPUTED_VALUE"""),0.0)</f>
        <v>0</v>
      </c>
      <c r="U124" s="447">
        <f>IFERROR(__xludf.DUMMYFUNCTION("""COMPUTED_VALUE"""),1.0)</f>
        <v>1</v>
      </c>
      <c r="V124" s="447">
        <f>IFERROR(__xludf.DUMMYFUNCTION("""COMPUTED_VALUE"""),1.0)</f>
        <v>1</v>
      </c>
      <c r="W124" s="447">
        <f>IFERROR(__xludf.DUMMYFUNCTION("""COMPUTED_VALUE"""),0.0)</f>
        <v>0</v>
      </c>
      <c r="X124" s="447">
        <f>IFERROR(__xludf.DUMMYFUNCTION("""COMPUTED_VALUE"""),0.0)</f>
        <v>0</v>
      </c>
      <c r="Y124" s="447">
        <f>IFERROR(__xludf.DUMMYFUNCTION("""COMPUTED_VALUE"""),0.0)</f>
        <v>0</v>
      </c>
      <c r="Z124" s="447">
        <f>IFERROR(__xludf.DUMMYFUNCTION("""COMPUTED_VALUE"""),0.0)</f>
        <v>0</v>
      </c>
      <c r="AA124" s="447">
        <f>IFERROR(__xludf.DUMMYFUNCTION("""COMPUTED_VALUE"""),0.0)</f>
        <v>0</v>
      </c>
      <c r="AB124" s="447">
        <f>IFERROR(__xludf.DUMMYFUNCTION("""COMPUTED_VALUE"""),0.0)</f>
        <v>0</v>
      </c>
      <c r="AC124" s="447">
        <f>IFERROR(__xludf.DUMMYFUNCTION("""COMPUTED_VALUE"""),1.0)</f>
        <v>1</v>
      </c>
      <c r="AD124" s="447">
        <f>IFERROR(__xludf.DUMMYFUNCTION("""COMPUTED_VALUE"""),50.0)</f>
        <v>50</v>
      </c>
      <c r="AE124" s="447">
        <f>IFERROR(__xludf.DUMMYFUNCTION("""COMPUTED_VALUE"""),7.0)</f>
        <v>7</v>
      </c>
      <c r="AF124" s="447">
        <f>IFERROR(__xludf.DUMMYFUNCTION("""COMPUTED_VALUE"""),1.0)</f>
        <v>1</v>
      </c>
      <c r="AG124" s="443" t="s">
        <v>117</v>
      </c>
      <c r="AH124" s="443" t="s">
        <v>343</v>
      </c>
      <c r="AI124" s="443"/>
      <c r="AJ124" s="443"/>
      <c r="AK124" s="443"/>
      <c r="AL124" s="443"/>
      <c r="AM124" s="443"/>
      <c r="AN124" s="443"/>
      <c r="AO124" s="443"/>
      <c r="AP124" s="443"/>
      <c r="AQ124" s="443"/>
      <c r="AR124" s="443"/>
      <c r="AS124" s="443"/>
      <c r="AT124" s="443"/>
      <c r="AU124" s="443"/>
      <c r="AV124" s="443"/>
      <c r="AW124" s="443"/>
      <c r="AX124" s="443"/>
      <c r="AY124" s="443"/>
      <c r="AZ124" s="443"/>
      <c r="BA124" s="443"/>
      <c r="BB124" s="443"/>
      <c r="BC124" s="443"/>
      <c r="BD124" s="443"/>
      <c r="BE124" s="443"/>
    </row>
    <row r="125" hidden="1">
      <c r="A125" s="445">
        <f t="shared" si="5"/>
        <v>45415</v>
      </c>
      <c r="B125" s="434">
        <v>391.0</v>
      </c>
      <c r="C125" s="462">
        <v>0.6</v>
      </c>
      <c r="D125" s="462">
        <v>0.8958333333333334</v>
      </c>
      <c r="E125" s="436">
        <f t="array" ref="E125">IF(B125=0,"",(J125+K125)/60)</f>
        <v>0.25</v>
      </c>
      <c r="F125" s="437">
        <f t="shared" si="1"/>
        <v>7.1</v>
      </c>
      <c r="G125" s="438">
        <f t="shared" si="2"/>
        <v>55.07042254</v>
      </c>
      <c r="H125" s="438">
        <f t="shared" si="3"/>
        <v>57.08029197</v>
      </c>
      <c r="I125" s="436">
        <f t="shared" si="4"/>
        <v>1.171711118</v>
      </c>
      <c r="J125" s="460">
        <v>15.0</v>
      </c>
      <c r="K125" s="464"/>
      <c r="L125" s="443"/>
      <c r="M125" s="447">
        <f>IFERROR(__xludf.DUMMYFUNCTION("""COMPUTED_VALUE"""),57.0)</f>
        <v>57</v>
      </c>
      <c r="N125" s="447">
        <f>IFERROR(__xludf.DUMMYFUNCTION("""COMPUTED_VALUE"""),56.0)</f>
        <v>56</v>
      </c>
      <c r="O125" s="447">
        <f>IFERROR(__xludf.DUMMYFUNCTION("""COMPUTED_VALUE"""),1.0)</f>
        <v>1</v>
      </c>
      <c r="P125" s="447">
        <f>IFERROR(__xludf.DUMMYFUNCTION("""COMPUTED_VALUE"""),0.0)</f>
        <v>0</v>
      </c>
      <c r="Q125" s="447">
        <f>IFERROR(__xludf.DUMMYFUNCTION("""COMPUTED_VALUE"""),0.0)</f>
        <v>0</v>
      </c>
      <c r="R125" s="447">
        <f>IFERROR(__xludf.DUMMYFUNCTION("""COMPUTED_VALUE"""),0.0)</f>
        <v>0</v>
      </c>
      <c r="S125" s="447">
        <f>IFERROR(__xludf.DUMMYFUNCTION("""COMPUTED_VALUE"""),5.0)</f>
        <v>5</v>
      </c>
      <c r="T125" s="447">
        <f>IFERROR(__xludf.DUMMYFUNCTION("""COMPUTED_VALUE"""),1.0)</f>
        <v>1</v>
      </c>
      <c r="U125" s="447">
        <f>IFERROR(__xludf.DUMMYFUNCTION("""COMPUTED_VALUE"""),1.0)</f>
        <v>1</v>
      </c>
      <c r="V125" s="447">
        <f>IFERROR(__xludf.DUMMYFUNCTION("""COMPUTED_VALUE"""),2.0)</f>
        <v>2</v>
      </c>
      <c r="W125" s="447">
        <f>IFERROR(__xludf.DUMMYFUNCTION("""COMPUTED_VALUE"""),0.0)</f>
        <v>0</v>
      </c>
      <c r="X125" s="447">
        <f>IFERROR(__xludf.DUMMYFUNCTION("""COMPUTED_VALUE"""),0.0)</f>
        <v>0</v>
      </c>
      <c r="Y125" s="447">
        <f>IFERROR(__xludf.DUMMYFUNCTION("""COMPUTED_VALUE"""),0.0)</f>
        <v>0</v>
      </c>
      <c r="Z125" s="447">
        <f>IFERROR(__xludf.DUMMYFUNCTION("""COMPUTED_VALUE"""),0.0)</f>
        <v>0</v>
      </c>
      <c r="AA125" s="447">
        <f>IFERROR(__xludf.DUMMYFUNCTION("""COMPUTED_VALUE"""),0.0)</f>
        <v>0</v>
      </c>
      <c r="AB125" s="447">
        <f>IFERROR(__xludf.DUMMYFUNCTION("""COMPUTED_VALUE"""),0.0)</f>
        <v>0</v>
      </c>
      <c r="AC125" s="447">
        <f>IFERROR(__xludf.DUMMYFUNCTION("""COMPUTED_VALUE"""),0.0)</f>
        <v>0</v>
      </c>
      <c r="AD125" s="447">
        <f>IFERROR(__xludf.DUMMYFUNCTION("""COMPUTED_VALUE"""),47.0)</f>
        <v>47</v>
      </c>
      <c r="AE125" s="447">
        <f>IFERROR(__xludf.DUMMYFUNCTION("""COMPUTED_VALUE"""),10.0)</f>
        <v>10</v>
      </c>
      <c r="AF125" s="447">
        <f>IFERROR(__xludf.DUMMYFUNCTION("""COMPUTED_VALUE"""),1.0)</f>
        <v>1</v>
      </c>
      <c r="AG125" s="443" t="s">
        <v>117</v>
      </c>
      <c r="AH125" s="443" t="s">
        <v>343</v>
      </c>
      <c r="AI125" s="443"/>
      <c r="AJ125" s="443"/>
      <c r="AK125" s="443"/>
      <c r="AL125" s="443"/>
      <c r="AM125" s="443"/>
      <c r="AN125" s="443"/>
      <c r="AO125" s="443"/>
      <c r="AP125" s="443"/>
      <c r="AQ125" s="443"/>
      <c r="AR125" s="443"/>
      <c r="AS125" s="443"/>
      <c r="AT125" s="443"/>
      <c r="AU125" s="443"/>
      <c r="AV125" s="443"/>
      <c r="AW125" s="443"/>
      <c r="AX125" s="443"/>
      <c r="AY125" s="443"/>
      <c r="AZ125" s="443"/>
      <c r="BA125" s="443"/>
      <c r="BB125" s="443"/>
      <c r="BC125" s="443"/>
      <c r="BD125" s="443"/>
      <c r="BE125" s="443"/>
    </row>
    <row r="126" hidden="1">
      <c r="A126" s="445">
        <f t="shared" si="5"/>
        <v>45416</v>
      </c>
      <c r="B126" s="434">
        <v>370.0</v>
      </c>
      <c r="C126" s="462">
        <v>0.5583333333333333</v>
      </c>
      <c r="D126" s="462">
        <v>0.8472222222222222</v>
      </c>
      <c r="E126" s="436">
        <f t="array" ref="E126">IF(B126=0,"",(J126+K126)/60)</f>
        <v>0.25</v>
      </c>
      <c r="F126" s="437">
        <f t="shared" si="1"/>
        <v>6.933333333</v>
      </c>
      <c r="G126" s="438">
        <f t="shared" si="2"/>
        <v>53.36538462</v>
      </c>
      <c r="H126" s="438">
        <f t="shared" si="3"/>
        <v>55.36159601</v>
      </c>
      <c r="I126" s="436">
        <f t="shared" si="4"/>
        <v>1.135433715</v>
      </c>
      <c r="J126" s="460">
        <v>15.0</v>
      </c>
      <c r="K126" s="464"/>
      <c r="L126" s="443"/>
      <c r="M126" s="447">
        <f>IFERROR(__xludf.DUMMYFUNCTION("""COMPUTED_VALUE"""),57.0)</f>
        <v>57</v>
      </c>
      <c r="N126" s="447">
        <f>IFERROR(__xludf.DUMMYFUNCTION("""COMPUTED_VALUE"""),56.0)</f>
        <v>56</v>
      </c>
      <c r="O126" s="447">
        <f>IFERROR(__xludf.DUMMYFUNCTION("""COMPUTED_VALUE"""),0.0)</f>
        <v>0</v>
      </c>
      <c r="P126" s="447">
        <f>IFERROR(__xludf.DUMMYFUNCTION("""COMPUTED_VALUE"""),0.0)</f>
        <v>0</v>
      </c>
      <c r="Q126" s="447">
        <f>IFERROR(__xludf.DUMMYFUNCTION("""COMPUTED_VALUE"""),1.0)</f>
        <v>1</v>
      </c>
      <c r="R126" s="447">
        <f>IFERROR(__xludf.DUMMYFUNCTION("""COMPUTED_VALUE"""),0.0)</f>
        <v>0</v>
      </c>
      <c r="S126" s="447">
        <f>IFERROR(__xludf.DUMMYFUNCTION("""COMPUTED_VALUE"""),3.0)</f>
        <v>3</v>
      </c>
      <c r="T126" s="447">
        <f>IFERROR(__xludf.DUMMYFUNCTION("""COMPUTED_VALUE"""),1.0)</f>
        <v>1</v>
      </c>
      <c r="U126" s="447">
        <f>IFERROR(__xludf.DUMMYFUNCTION("""COMPUTED_VALUE"""),1.0)</f>
        <v>1</v>
      </c>
      <c r="V126" s="447">
        <f>IFERROR(__xludf.DUMMYFUNCTION("""COMPUTED_VALUE"""),2.0)</f>
        <v>2</v>
      </c>
      <c r="W126" s="447">
        <f>IFERROR(__xludf.DUMMYFUNCTION("""COMPUTED_VALUE"""),0.0)</f>
        <v>0</v>
      </c>
      <c r="X126" s="447">
        <f>IFERROR(__xludf.DUMMYFUNCTION("""COMPUTED_VALUE"""),0.0)</f>
        <v>0</v>
      </c>
      <c r="Y126" s="447">
        <f>IFERROR(__xludf.DUMMYFUNCTION("""COMPUTED_VALUE"""),0.0)</f>
        <v>0</v>
      </c>
      <c r="Z126" s="447">
        <f>IFERROR(__xludf.DUMMYFUNCTION("""COMPUTED_VALUE"""),0.0)</f>
        <v>0</v>
      </c>
      <c r="AA126" s="447">
        <f>IFERROR(__xludf.DUMMYFUNCTION("""COMPUTED_VALUE"""),0.0)</f>
        <v>0</v>
      </c>
      <c r="AB126" s="447">
        <f>IFERROR(__xludf.DUMMYFUNCTION("""COMPUTED_VALUE"""),0.0)</f>
        <v>0</v>
      </c>
      <c r="AC126" s="447">
        <f>IFERROR(__xludf.DUMMYFUNCTION("""COMPUTED_VALUE"""),2.0)</f>
        <v>2</v>
      </c>
      <c r="AD126" s="447">
        <f>IFERROR(__xludf.DUMMYFUNCTION("""COMPUTED_VALUE"""),47.0)</f>
        <v>47</v>
      </c>
      <c r="AE126" s="447">
        <f>IFERROR(__xludf.DUMMYFUNCTION("""COMPUTED_VALUE"""),10.0)</f>
        <v>10</v>
      </c>
      <c r="AF126" s="447">
        <f>IFERROR(__xludf.DUMMYFUNCTION("""COMPUTED_VALUE"""),1.0)</f>
        <v>1</v>
      </c>
      <c r="AG126" s="443" t="s">
        <v>117</v>
      </c>
      <c r="AH126" s="443" t="s">
        <v>343</v>
      </c>
      <c r="AI126" s="443"/>
      <c r="AJ126" s="443"/>
      <c r="AK126" s="443"/>
      <c r="AL126" s="443"/>
      <c r="AM126" s="443"/>
      <c r="AN126" s="443"/>
      <c r="AO126" s="443"/>
      <c r="AP126" s="443"/>
      <c r="AQ126" s="443"/>
      <c r="AR126" s="443"/>
      <c r="AS126" s="443"/>
      <c r="AT126" s="443"/>
      <c r="AU126" s="443"/>
      <c r="AV126" s="443"/>
      <c r="AW126" s="443"/>
      <c r="AX126" s="443"/>
      <c r="AY126" s="443"/>
      <c r="AZ126" s="443"/>
      <c r="BA126" s="443"/>
      <c r="BB126" s="443"/>
      <c r="BC126" s="443"/>
      <c r="BD126" s="443"/>
      <c r="BE126" s="443"/>
    </row>
    <row r="127" hidden="1">
      <c r="A127" s="445">
        <f t="shared" si="5"/>
        <v>45417</v>
      </c>
      <c r="B127" s="434">
        <v>0.0</v>
      </c>
      <c r="C127" s="462"/>
      <c r="D127" s="462"/>
      <c r="E127" s="436" t="str">
        <f t="array" ref="E127">IF(B127=0,"",(J127+K127)/60)</f>
        <v/>
      </c>
      <c r="F127" s="437" t="str">
        <f t="shared" si="1"/>
        <v/>
      </c>
      <c r="G127" s="438" t="str">
        <f t="shared" si="2"/>
        <v/>
      </c>
      <c r="H127" s="438" t="str">
        <f t="shared" si="3"/>
        <v/>
      </c>
      <c r="I127" s="436" t="str">
        <f t="shared" si="4"/>
        <v/>
      </c>
      <c r="J127" s="460"/>
      <c r="K127" s="464"/>
      <c r="L127" s="443"/>
      <c r="M127" s="447">
        <f>IFERROR(__xludf.DUMMYFUNCTION("""COMPUTED_VALUE"""),57.0)</f>
        <v>57</v>
      </c>
      <c r="N127" s="447">
        <f>IFERROR(__xludf.DUMMYFUNCTION("""COMPUTED_VALUE"""),57.0)</f>
        <v>57</v>
      </c>
      <c r="O127" s="447">
        <f>IFERROR(__xludf.DUMMYFUNCTION("""COMPUTED_VALUE"""),0.0)</f>
        <v>0</v>
      </c>
      <c r="P127" s="447">
        <f>IFERROR(__xludf.DUMMYFUNCTION("""COMPUTED_VALUE"""),0.0)</f>
        <v>0</v>
      </c>
      <c r="Q127" s="447">
        <f>IFERROR(__xludf.DUMMYFUNCTION("""COMPUTED_VALUE"""),0.0)</f>
        <v>0</v>
      </c>
      <c r="R127" s="447">
        <f>IFERROR(__xludf.DUMMYFUNCTION("""COMPUTED_VALUE"""),0.0)</f>
        <v>0</v>
      </c>
      <c r="S127" s="447">
        <f>IFERROR(__xludf.DUMMYFUNCTION("""COMPUTED_VALUE"""),0.0)</f>
        <v>0</v>
      </c>
      <c r="T127" s="447">
        <f>IFERROR(__xludf.DUMMYFUNCTION("""COMPUTED_VALUE"""),0.0)</f>
        <v>0</v>
      </c>
      <c r="U127" s="447">
        <f>IFERROR(__xludf.DUMMYFUNCTION("""COMPUTED_VALUE"""),0.0)</f>
        <v>0</v>
      </c>
      <c r="V127" s="447">
        <f>IFERROR(__xludf.DUMMYFUNCTION("""COMPUTED_VALUE"""),0.0)</f>
        <v>0</v>
      </c>
      <c r="W127" s="447">
        <f>IFERROR(__xludf.DUMMYFUNCTION("""COMPUTED_VALUE"""),0.0)</f>
        <v>0</v>
      </c>
      <c r="X127" s="447">
        <f>IFERROR(__xludf.DUMMYFUNCTION("""COMPUTED_VALUE"""),0.0)</f>
        <v>0</v>
      </c>
      <c r="Y127" s="447">
        <f>IFERROR(__xludf.DUMMYFUNCTION("""COMPUTED_VALUE"""),0.0)</f>
        <v>0</v>
      </c>
      <c r="Z127" s="447">
        <f>IFERROR(__xludf.DUMMYFUNCTION("""COMPUTED_VALUE"""),0.0)</f>
        <v>0</v>
      </c>
      <c r="AA127" s="447">
        <f>IFERROR(__xludf.DUMMYFUNCTION("""COMPUTED_VALUE"""),0.0)</f>
        <v>0</v>
      </c>
      <c r="AB127" s="447">
        <f>IFERROR(__xludf.DUMMYFUNCTION("""COMPUTED_VALUE"""),0.0)</f>
        <v>0</v>
      </c>
      <c r="AC127" s="447">
        <f>IFERROR(__xludf.DUMMYFUNCTION("""COMPUTED_VALUE"""),0.0)</f>
        <v>0</v>
      </c>
      <c r="AD127" s="447">
        <f>IFERROR(__xludf.DUMMYFUNCTION("""COMPUTED_VALUE"""),0.0)</f>
        <v>0</v>
      </c>
      <c r="AE127" s="447">
        <f>IFERROR(__xludf.DUMMYFUNCTION("""COMPUTED_VALUE"""),0.0)</f>
        <v>0</v>
      </c>
      <c r="AF127" s="447">
        <f>IFERROR(__xludf.DUMMYFUNCTION("""COMPUTED_VALUE"""),0.0)</f>
        <v>0</v>
      </c>
      <c r="AG127" s="443" t="s">
        <v>117</v>
      </c>
      <c r="AH127" s="443" t="s">
        <v>343</v>
      </c>
      <c r="AI127" s="443"/>
      <c r="AJ127" s="443"/>
      <c r="AK127" s="443"/>
      <c r="AL127" s="443"/>
      <c r="AM127" s="443"/>
      <c r="AN127" s="443"/>
      <c r="AO127" s="443"/>
      <c r="AP127" s="443"/>
      <c r="AQ127" s="443"/>
      <c r="AR127" s="443"/>
      <c r="AS127" s="443"/>
      <c r="AT127" s="443"/>
      <c r="AU127" s="443"/>
      <c r="AV127" s="443"/>
      <c r="AW127" s="443"/>
      <c r="AX127" s="443"/>
      <c r="AY127" s="443"/>
      <c r="AZ127" s="443"/>
      <c r="BA127" s="443"/>
      <c r="BB127" s="443"/>
      <c r="BC127" s="443"/>
      <c r="BD127" s="443"/>
      <c r="BE127" s="443"/>
    </row>
    <row r="128" hidden="1">
      <c r="A128" s="445">
        <f t="shared" si="5"/>
        <v>45418</v>
      </c>
      <c r="B128" s="434">
        <v>441.0</v>
      </c>
      <c r="C128" s="462">
        <v>0.5583333333333333</v>
      </c>
      <c r="D128" s="462">
        <v>0.8958333333333334</v>
      </c>
      <c r="E128" s="436">
        <f t="array" ref="E128">IF(B128=0,"",(J128+K128)/60)</f>
        <v>0.25</v>
      </c>
      <c r="F128" s="437">
        <f t="shared" si="1"/>
        <v>8.1</v>
      </c>
      <c r="G128" s="438">
        <f t="shared" si="2"/>
        <v>54.44444444</v>
      </c>
      <c r="H128" s="438">
        <f t="shared" si="3"/>
        <v>56.17834395</v>
      </c>
      <c r="I128" s="436">
        <f t="shared" si="4"/>
        <v>1.067538126</v>
      </c>
      <c r="J128" s="460">
        <v>15.0</v>
      </c>
      <c r="K128" s="464"/>
      <c r="L128" s="443"/>
      <c r="M128" s="447">
        <f>IFERROR(__xludf.DUMMYFUNCTION("""COMPUTED_VALUE"""),57.0)</f>
        <v>57</v>
      </c>
      <c r="N128" s="447">
        <f>IFERROR(__xludf.DUMMYFUNCTION("""COMPUTED_VALUE"""),55.0)</f>
        <v>55</v>
      </c>
      <c r="O128" s="447">
        <f>IFERROR(__xludf.DUMMYFUNCTION("""COMPUTED_VALUE"""),0.0)</f>
        <v>0</v>
      </c>
      <c r="P128" s="447">
        <f>IFERROR(__xludf.DUMMYFUNCTION("""COMPUTED_VALUE"""),0.0)</f>
        <v>0</v>
      </c>
      <c r="Q128" s="447">
        <f>IFERROR(__xludf.DUMMYFUNCTION("""COMPUTED_VALUE"""),0.0)</f>
        <v>0</v>
      </c>
      <c r="R128" s="447">
        <f>IFERROR(__xludf.DUMMYFUNCTION("""COMPUTED_VALUE"""),0.0)</f>
        <v>0</v>
      </c>
      <c r="S128" s="447">
        <f>IFERROR(__xludf.DUMMYFUNCTION("""COMPUTED_VALUE"""),1.0)</f>
        <v>1</v>
      </c>
      <c r="T128" s="447">
        <f>IFERROR(__xludf.DUMMYFUNCTION("""COMPUTED_VALUE"""),1.0)</f>
        <v>1</v>
      </c>
      <c r="U128" s="447">
        <f>IFERROR(__xludf.DUMMYFUNCTION("""COMPUTED_VALUE"""),2.0)</f>
        <v>2</v>
      </c>
      <c r="V128" s="447">
        <f>IFERROR(__xludf.DUMMYFUNCTION("""COMPUTED_VALUE"""),2.0)</f>
        <v>2</v>
      </c>
      <c r="W128" s="447">
        <f>IFERROR(__xludf.DUMMYFUNCTION("""COMPUTED_VALUE"""),0.0)</f>
        <v>0</v>
      </c>
      <c r="X128" s="447">
        <f>IFERROR(__xludf.DUMMYFUNCTION("""COMPUTED_VALUE"""),0.0)</f>
        <v>0</v>
      </c>
      <c r="Y128" s="447">
        <f>IFERROR(__xludf.DUMMYFUNCTION("""COMPUTED_VALUE"""),0.0)</f>
        <v>0</v>
      </c>
      <c r="Z128" s="447">
        <f>IFERROR(__xludf.DUMMYFUNCTION("""COMPUTED_VALUE"""),0.0)</f>
        <v>0</v>
      </c>
      <c r="AA128" s="447">
        <f>IFERROR(__xludf.DUMMYFUNCTION("""COMPUTED_VALUE"""),0.0)</f>
        <v>0</v>
      </c>
      <c r="AB128" s="447">
        <f>IFERROR(__xludf.DUMMYFUNCTION("""COMPUTED_VALUE"""),0.0)</f>
        <v>0</v>
      </c>
      <c r="AC128" s="447">
        <f>IFERROR(__xludf.DUMMYFUNCTION("""COMPUTED_VALUE"""),0.0)</f>
        <v>0</v>
      </c>
      <c r="AD128" s="447">
        <f>IFERROR(__xludf.DUMMYFUNCTION("""COMPUTED_VALUE"""),51.0)</f>
        <v>51</v>
      </c>
      <c r="AE128" s="447">
        <f>IFERROR(__xludf.DUMMYFUNCTION("""COMPUTED_VALUE"""),6.0)</f>
        <v>6</v>
      </c>
      <c r="AF128" s="447">
        <f>IFERROR(__xludf.DUMMYFUNCTION("""COMPUTED_VALUE"""),2.0)</f>
        <v>2</v>
      </c>
      <c r="AG128" s="443" t="s">
        <v>117</v>
      </c>
      <c r="AH128" s="443" t="s">
        <v>343</v>
      </c>
      <c r="AI128" s="443"/>
      <c r="AJ128" s="443"/>
      <c r="AK128" s="443"/>
      <c r="AL128" s="443"/>
      <c r="AM128" s="443"/>
      <c r="AN128" s="443"/>
      <c r="AO128" s="443"/>
      <c r="AP128" s="443"/>
      <c r="AQ128" s="443"/>
      <c r="AR128" s="443"/>
      <c r="AS128" s="443"/>
      <c r="AT128" s="443"/>
      <c r="AU128" s="443"/>
      <c r="AV128" s="443"/>
      <c r="AW128" s="443"/>
      <c r="AX128" s="443"/>
      <c r="AY128" s="443"/>
      <c r="AZ128" s="443"/>
      <c r="BA128" s="443"/>
      <c r="BB128" s="443"/>
      <c r="BC128" s="443"/>
      <c r="BD128" s="443"/>
      <c r="BE128" s="443"/>
    </row>
    <row r="129" hidden="1">
      <c r="A129" s="445">
        <f t="shared" si="5"/>
        <v>45419</v>
      </c>
      <c r="B129" s="434">
        <v>400.0</v>
      </c>
      <c r="C129" s="462">
        <v>0.5583333333333333</v>
      </c>
      <c r="D129" s="462">
        <v>0.8840277777777777</v>
      </c>
      <c r="E129" s="436">
        <f t="array" ref="E129">IF(B129=0,"",(J129+K129)/60)</f>
        <v>0.25</v>
      </c>
      <c r="F129" s="437">
        <f t="shared" si="1"/>
        <v>7.816666667</v>
      </c>
      <c r="G129" s="438">
        <f t="shared" si="2"/>
        <v>51.17270789</v>
      </c>
      <c r="H129" s="438">
        <f t="shared" si="3"/>
        <v>52.86343612</v>
      </c>
      <c r="I129" s="436">
        <f t="shared" si="4"/>
        <v>1.044340977</v>
      </c>
      <c r="J129" s="460">
        <v>15.0</v>
      </c>
      <c r="K129" s="464"/>
      <c r="L129" s="443"/>
      <c r="M129" s="447">
        <f>IFERROR(__xludf.DUMMYFUNCTION("""COMPUTED_VALUE"""),57.0)</f>
        <v>57</v>
      </c>
      <c r="N129" s="447">
        <f>IFERROR(__xludf.DUMMYFUNCTION("""COMPUTED_VALUE"""),55.0)</f>
        <v>55</v>
      </c>
      <c r="O129" s="447">
        <f>IFERROR(__xludf.DUMMYFUNCTION("""COMPUTED_VALUE"""),0.0)</f>
        <v>0</v>
      </c>
      <c r="P129" s="447">
        <f>IFERROR(__xludf.DUMMYFUNCTION("""COMPUTED_VALUE"""),1.0)</f>
        <v>1</v>
      </c>
      <c r="Q129" s="447">
        <f>IFERROR(__xludf.DUMMYFUNCTION("""COMPUTED_VALUE"""),0.0)</f>
        <v>0</v>
      </c>
      <c r="R129" s="447">
        <f>IFERROR(__xludf.DUMMYFUNCTION("""COMPUTED_VALUE"""),0.0)</f>
        <v>0</v>
      </c>
      <c r="S129" s="447">
        <f>IFERROR(__xludf.DUMMYFUNCTION("""COMPUTED_VALUE"""),2.0)</f>
        <v>2</v>
      </c>
      <c r="T129" s="447">
        <f>IFERROR(__xludf.DUMMYFUNCTION("""COMPUTED_VALUE"""),1.0)</f>
        <v>1</v>
      </c>
      <c r="U129" s="447">
        <f>IFERROR(__xludf.DUMMYFUNCTION("""COMPUTED_VALUE"""),2.0)</f>
        <v>2</v>
      </c>
      <c r="V129" s="447">
        <f>IFERROR(__xludf.DUMMYFUNCTION("""COMPUTED_VALUE"""),2.0)</f>
        <v>2</v>
      </c>
      <c r="W129" s="447">
        <f>IFERROR(__xludf.DUMMYFUNCTION("""COMPUTED_VALUE"""),0.0)</f>
        <v>0</v>
      </c>
      <c r="X129" s="447">
        <f>IFERROR(__xludf.DUMMYFUNCTION("""COMPUTED_VALUE"""),0.0)</f>
        <v>0</v>
      </c>
      <c r="Y129" s="447">
        <f>IFERROR(__xludf.DUMMYFUNCTION("""COMPUTED_VALUE"""),0.0)</f>
        <v>0</v>
      </c>
      <c r="Z129" s="447">
        <f>IFERROR(__xludf.DUMMYFUNCTION("""COMPUTED_VALUE"""),0.0)</f>
        <v>0</v>
      </c>
      <c r="AA129" s="447">
        <f>IFERROR(__xludf.DUMMYFUNCTION("""COMPUTED_VALUE"""),0.0)</f>
        <v>0</v>
      </c>
      <c r="AB129" s="447">
        <f>IFERROR(__xludf.DUMMYFUNCTION("""COMPUTED_VALUE"""),0.0)</f>
        <v>0</v>
      </c>
      <c r="AC129" s="447">
        <f>IFERROR(__xludf.DUMMYFUNCTION("""COMPUTED_VALUE"""),0.0)</f>
        <v>0</v>
      </c>
      <c r="AD129" s="447">
        <f>IFERROR(__xludf.DUMMYFUNCTION("""COMPUTED_VALUE"""),49.0)</f>
        <v>49</v>
      </c>
      <c r="AE129" s="447">
        <f>IFERROR(__xludf.DUMMYFUNCTION("""COMPUTED_VALUE"""),8.0)</f>
        <v>8</v>
      </c>
      <c r="AF129" s="447">
        <f>IFERROR(__xludf.DUMMYFUNCTION("""COMPUTED_VALUE"""),2.0)</f>
        <v>2</v>
      </c>
      <c r="AG129" s="443" t="s">
        <v>117</v>
      </c>
      <c r="AH129" s="443" t="s">
        <v>343</v>
      </c>
      <c r="AI129" s="443"/>
      <c r="AJ129" s="443"/>
      <c r="AK129" s="443"/>
      <c r="AL129" s="443"/>
      <c r="AM129" s="443"/>
      <c r="AN129" s="443"/>
      <c r="AO129" s="443"/>
      <c r="AP129" s="443"/>
      <c r="AQ129" s="443"/>
      <c r="AR129" s="443"/>
      <c r="AS129" s="443"/>
      <c r="AT129" s="443"/>
      <c r="AU129" s="443"/>
      <c r="AV129" s="443"/>
      <c r="AW129" s="443"/>
      <c r="AX129" s="443"/>
      <c r="AY129" s="443"/>
      <c r="AZ129" s="443"/>
      <c r="BA129" s="443"/>
      <c r="BB129" s="443"/>
      <c r="BC129" s="443"/>
      <c r="BD129" s="443"/>
      <c r="BE129" s="443"/>
    </row>
    <row r="130" hidden="1">
      <c r="A130" s="445">
        <f t="shared" si="5"/>
        <v>45420</v>
      </c>
      <c r="B130" s="434">
        <v>648.0</v>
      </c>
      <c r="C130" s="462">
        <v>0.5583333333333333</v>
      </c>
      <c r="D130" s="462">
        <v>1.0034722222222223</v>
      </c>
      <c r="E130" s="436">
        <f t="array" ref="E130">IF(B130=0,"",(J130+K130)/60)</f>
        <v>1</v>
      </c>
      <c r="F130" s="437">
        <f t="shared" si="1"/>
        <v>10.68333333</v>
      </c>
      <c r="G130" s="438">
        <f t="shared" si="2"/>
        <v>60.65522621</v>
      </c>
      <c r="H130" s="438">
        <f t="shared" si="3"/>
        <v>66.91910499</v>
      </c>
      <c r="I130" s="436">
        <f t="shared" si="4"/>
        <v>1.263650546</v>
      </c>
      <c r="J130" s="460">
        <v>60.0</v>
      </c>
      <c r="K130" s="464"/>
      <c r="L130" s="443"/>
      <c r="M130" s="447">
        <f>IFERROR(__xludf.DUMMYFUNCTION("""COMPUTED_VALUE"""),57.0)</f>
        <v>57</v>
      </c>
      <c r="N130" s="447">
        <f>IFERROR(__xludf.DUMMYFUNCTION("""COMPUTED_VALUE"""),55.0)</f>
        <v>55</v>
      </c>
      <c r="O130" s="447">
        <f>IFERROR(__xludf.DUMMYFUNCTION("""COMPUTED_VALUE"""),0.0)</f>
        <v>0</v>
      </c>
      <c r="P130" s="447">
        <f>IFERROR(__xludf.DUMMYFUNCTION("""COMPUTED_VALUE"""),0.0)</f>
        <v>0</v>
      </c>
      <c r="Q130" s="447">
        <f>IFERROR(__xludf.DUMMYFUNCTION("""COMPUTED_VALUE"""),0.0)</f>
        <v>0</v>
      </c>
      <c r="R130" s="447">
        <f>IFERROR(__xludf.DUMMYFUNCTION("""COMPUTED_VALUE"""),0.0)</f>
        <v>0</v>
      </c>
      <c r="S130" s="447">
        <f>IFERROR(__xludf.DUMMYFUNCTION("""COMPUTED_VALUE"""),3.0)</f>
        <v>3</v>
      </c>
      <c r="T130" s="447">
        <f>IFERROR(__xludf.DUMMYFUNCTION("""COMPUTED_VALUE"""),1.0)</f>
        <v>1</v>
      </c>
      <c r="U130" s="447">
        <f>IFERROR(__xludf.DUMMYFUNCTION("""COMPUTED_VALUE"""),2.0)</f>
        <v>2</v>
      </c>
      <c r="V130" s="447">
        <f>IFERROR(__xludf.DUMMYFUNCTION("""COMPUTED_VALUE"""),2.0)</f>
        <v>2</v>
      </c>
      <c r="W130" s="447">
        <f>IFERROR(__xludf.DUMMYFUNCTION("""COMPUTED_VALUE"""),0.0)</f>
        <v>0</v>
      </c>
      <c r="X130" s="447">
        <f>IFERROR(__xludf.DUMMYFUNCTION("""COMPUTED_VALUE"""),0.0)</f>
        <v>0</v>
      </c>
      <c r="Y130" s="447">
        <f>IFERROR(__xludf.DUMMYFUNCTION("""COMPUTED_VALUE"""),0.0)</f>
        <v>0</v>
      </c>
      <c r="Z130" s="447">
        <f>IFERROR(__xludf.DUMMYFUNCTION("""COMPUTED_VALUE"""),0.0)</f>
        <v>0</v>
      </c>
      <c r="AA130" s="447">
        <f>IFERROR(__xludf.DUMMYFUNCTION("""COMPUTED_VALUE"""),0.0)</f>
        <v>0</v>
      </c>
      <c r="AB130" s="447">
        <f>IFERROR(__xludf.DUMMYFUNCTION("""COMPUTED_VALUE"""),0.0)</f>
        <v>0</v>
      </c>
      <c r="AC130" s="447">
        <f>IFERROR(__xludf.DUMMYFUNCTION("""COMPUTED_VALUE"""),0.0)</f>
        <v>0</v>
      </c>
      <c r="AD130" s="447">
        <f>IFERROR(__xludf.DUMMYFUNCTION("""COMPUTED_VALUE"""),48.0)</f>
        <v>48</v>
      </c>
      <c r="AE130" s="447">
        <f>IFERROR(__xludf.DUMMYFUNCTION("""COMPUTED_VALUE"""),9.0)</f>
        <v>9</v>
      </c>
      <c r="AF130" s="447">
        <f>IFERROR(__xludf.DUMMYFUNCTION("""COMPUTED_VALUE"""),2.0)</f>
        <v>2</v>
      </c>
      <c r="AG130" s="443" t="s">
        <v>117</v>
      </c>
      <c r="AH130" s="443" t="s">
        <v>343</v>
      </c>
      <c r="AI130" s="443"/>
      <c r="AJ130" s="443"/>
      <c r="AK130" s="443"/>
      <c r="AL130" s="443"/>
      <c r="AM130" s="443"/>
      <c r="AN130" s="443"/>
      <c r="AO130" s="443"/>
      <c r="AP130" s="443"/>
      <c r="AQ130" s="443"/>
      <c r="AR130" s="443"/>
      <c r="AS130" s="443"/>
      <c r="AT130" s="443"/>
      <c r="AU130" s="443"/>
      <c r="AV130" s="443"/>
      <c r="AW130" s="443"/>
      <c r="AX130" s="443"/>
      <c r="AY130" s="443"/>
      <c r="AZ130" s="443"/>
      <c r="BA130" s="443"/>
      <c r="BB130" s="443"/>
      <c r="BC130" s="443"/>
      <c r="BD130" s="443"/>
      <c r="BE130" s="443"/>
    </row>
    <row r="131" hidden="1">
      <c r="A131" s="445">
        <f t="shared" si="5"/>
        <v>45421</v>
      </c>
      <c r="B131" s="434">
        <v>492.0</v>
      </c>
      <c r="C131" s="462">
        <v>0.5583333333333333</v>
      </c>
      <c r="D131" s="462">
        <v>0.9347222222222222</v>
      </c>
      <c r="E131" s="436">
        <f t="array" ref="E131">IF(B131=0,"",(J131+K131)/60)</f>
        <v>0.25</v>
      </c>
      <c r="F131" s="437">
        <f t="shared" si="1"/>
        <v>9.033333333</v>
      </c>
      <c r="G131" s="438">
        <f t="shared" si="2"/>
        <v>54.46494465</v>
      </c>
      <c r="H131" s="438">
        <f t="shared" si="3"/>
        <v>56.01518027</v>
      </c>
      <c r="I131" s="436">
        <f t="shared" si="4"/>
        <v>1.15882861</v>
      </c>
      <c r="J131" s="460">
        <v>15.0</v>
      </c>
      <c r="K131" s="464"/>
      <c r="L131" s="443"/>
      <c r="M131" s="447">
        <f>IFERROR(__xludf.DUMMYFUNCTION("""COMPUTED_VALUE"""),57.0)</f>
        <v>57</v>
      </c>
      <c r="N131" s="447">
        <f>IFERROR(__xludf.DUMMYFUNCTION("""COMPUTED_VALUE"""),56.0)</f>
        <v>56</v>
      </c>
      <c r="O131" s="447">
        <f>IFERROR(__xludf.DUMMYFUNCTION("""COMPUTED_VALUE"""),1.0)</f>
        <v>1</v>
      </c>
      <c r="P131" s="447">
        <f>IFERROR(__xludf.DUMMYFUNCTION("""COMPUTED_VALUE"""),0.0)</f>
        <v>0</v>
      </c>
      <c r="Q131" s="447">
        <f>IFERROR(__xludf.DUMMYFUNCTION("""COMPUTED_VALUE"""),0.0)</f>
        <v>0</v>
      </c>
      <c r="R131" s="447">
        <f>IFERROR(__xludf.DUMMYFUNCTION("""COMPUTED_VALUE"""),0.0)</f>
        <v>0</v>
      </c>
      <c r="S131" s="447">
        <f>IFERROR(__xludf.DUMMYFUNCTION("""COMPUTED_VALUE"""),4.0)</f>
        <v>4</v>
      </c>
      <c r="T131" s="447">
        <f>IFERROR(__xludf.DUMMYFUNCTION("""COMPUTED_VALUE"""),1.0)</f>
        <v>1</v>
      </c>
      <c r="U131" s="447">
        <f>IFERROR(__xludf.DUMMYFUNCTION("""COMPUTED_VALUE"""),1.0)</f>
        <v>1</v>
      </c>
      <c r="V131" s="447">
        <f>IFERROR(__xludf.DUMMYFUNCTION("""COMPUTED_VALUE"""),2.0)</f>
        <v>2</v>
      </c>
      <c r="W131" s="447">
        <f>IFERROR(__xludf.DUMMYFUNCTION("""COMPUTED_VALUE"""),0.0)</f>
        <v>0</v>
      </c>
      <c r="X131" s="447">
        <f>IFERROR(__xludf.DUMMYFUNCTION("""COMPUTED_VALUE"""),0.0)</f>
        <v>0</v>
      </c>
      <c r="Y131" s="447">
        <f>IFERROR(__xludf.DUMMYFUNCTION("""COMPUTED_VALUE"""),0.0)</f>
        <v>0</v>
      </c>
      <c r="Z131" s="447">
        <f>IFERROR(__xludf.DUMMYFUNCTION("""COMPUTED_VALUE"""),0.0)</f>
        <v>0</v>
      </c>
      <c r="AA131" s="447">
        <f>IFERROR(__xludf.DUMMYFUNCTION("""COMPUTED_VALUE"""),0.0)</f>
        <v>0</v>
      </c>
      <c r="AB131" s="447">
        <f>IFERROR(__xludf.DUMMYFUNCTION("""COMPUTED_VALUE"""),0.0)</f>
        <v>0</v>
      </c>
      <c r="AC131" s="447">
        <f>IFERROR(__xludf.DUMMYFUNCTION("""COMPUTED_VALUE"""),0.0)</f>
        <v>0</v>
      </c>
      <c r="AD131" s="447">
        <f>IFERROR(__xludf.DUMMYFUNCTION("""COMPUTED_VALUE"""),47.0)</f>
        <v>47</v>
      </c>
      <c r="AE131" s="447">
        <f>IFERROR(__xludf.DUMMYFUNCTION("""COMPUTED_VALUE"""),10.0)</f>
        <v>10</v>
      </c>
      <c r="AF131" s="447">
        <f>IFERROR(__xludf.DUMMYFUNCTION("""COMPUTED_VALUE"""),1.0)</f>
        <v>1</v>
      </c>
      <c r="AG131" s="443" t="s">
        <v>117</v>
      </c>
      <c r="AH131" s="443" t="s">
        <v>343</v>
      </c>
      <c r="AI131" s="443"/>
      <c r="AJ131" s="443"/>
      <c r="AK131" s="443"/>
      <c r="AL131" s="443"/>
      <c r="AM131" s="443"/>
      <c r="AN131" s="443"/>
      <c r="AO131" s="443"/>
      <c r="AP131" s="443"/>
      <c r="AQ131" s="443"/>
      <c r="AR131" s="443"/>
      <c r="AS131" s="443"/>
      <c r="AT131" s="443"/>
      <c r="AU131" s="443"/>
      <c r="AV131" s="443"/>
      <c r="AW131" s="443"/>
      <c r="AX131" s="443"/>
      <c r="AY131" s="443"/>
      <c r="AZ131" s="443"/>
      <c r="BA131" s="443"/>
      <c r="BB131" s="443"/>
      <c r="BC131" s="443"/>
      <c r="BD131" s="443"/>
      <c r="BE131" s="443"/>
    </row>
    <row r="132" hidden="1">
      <c r="A132" s="445">
        <f t="shared" si="5"/>
        <v>45422</v>
      </c>
      <c r="B132" s="434">
        <v>568.0</v>
      </c>
      <c r="C132" s="462">
        <v>0.5583333333333333</v>
      </c>
      <c r="D132" s="462">
        <v>0.9909722222222223</v>
      </c>
      <c r="E132" s="436">
        <f t="array" ref="E132">IF(B132=0,"",(J132+K132)/60)</f>
        <v>1.5</v>
      </c>
      <c r="F132" s="437">
        <f t="shared" si="1"/>
        <v>10.38333333</v>
      </c>
      <c r="G132" s="438">
        <f t="shared" si="2"/>
        <v>54.70304976</v>
      </c>
      <c r="H132" s="438">
        <f t="shared" si="3"/>
        <v>63.93996248</v>
      </c>
      <c r="I132" s="436">
        <f t="shared" si="4"/>
        <v>1.189196734</v>
      </c>
      <c r="J132" s="460">
        <v>60.0</v>
      </c>
      <c r="K132" s="460">
        <v>30.0</v>
      </c>
      <c r="L132" s="443"/>
      <c r="M132" s="447">
        <f>IFERROR(__xludf.DUMMYFUNCTION("""COMPUTED_VALUE"""),57.0)</f>
        <v>57</v>
      </c>
      <c r="N132" s="447">
        <f>IFERROR(__xludf.DUMMYFUNCTION("""COMPUTED_VALUE"""),56.0)</f>
        <v>56</v>
      </c>
      <c r="O132" s="447">
        <f>IFERROR(__xludf.DUMMYFUNCTION("""COMPUTED_VALUE"""),1.0)</f>
        <v>1</v>
      </c>
      <c r="P132" s="447">
        <f>IFERROR(__xludf.DUMMYFUNCTION("""COMPUTED_VALUE"""),0.0)</f>
        <v>0</v>
      </c>
      <c r="Q132" s="447">
        <f>IFERROR(__xludf.DUMMYFUNCTION("""COMPUTED_VALUE"""),1.0)</f>
        <v>1</v>
      </c>
      <c r="R132" s="447">
        <f>IFERROR(__xludf.DUMMYFUNCTION("""COMPUTED_VALUE"""),0.0)</f>
        <v>0</v>
      </c>
      <c r="S132" s="447">
        <f>IFERROR(__xludf.DUMMYFUNCTION("""COMPUTED_VALUE"""),5.0)</f>
        <v>5</v>
      </c>
      <c r="T132" s="447">
        <f>IFERROR(__xludf.DUMMYFUNCTION("""COMPUTED_VALUE"""),0.0)</f>
        <v>0</v>
      </c>
      <c r="U132" s="447">
        <f>IFERROR(__xludf.DUMMYFUNCTION("""COMPUTED_VALUE"""),1.0)</f>
        <v>1</v>
      </c>
      <c r="V132" s="447">
        <f>IFERROR(__xludf.DUMMYFUNCTION("""COMPUTED_VALUE"""),2.0)</f>
        <v>2</v>
      </c>
      <c r="W132" s="447">
        <f>IFERROR(__xludf.DUMMYFUNCTION("""COMPUTED_VALUE"""),0.0)</f>
        <v>0</v>
      </c>
      <c r="X132" s="447">
        <f>IFERROR(__xludf.DUMMYFUNCTION("""COMPUTED_VALUE"""),0.0)</f>
        <v>0</v>
      </c>
      <c r="Y132" s="447">
        <f>IFERROR(__xludf.DUMMYFUNCTION("""COMPUTED_VALUE"""),0.0)</f>
        <v>0</v>
      </c>
      <c r="Z132" s="447">
        <f>IFERROR(__xludf.DUMMYFUNCTION("""COMPUTED_VALUE"""),0.0)</f>
        <v>0</v>
      </c>
      <c r="AA132" s="447">
        <f>IFERROR(__xludf.DUMMYFUNCTION("""COMPUTED_VALUE"""),0.0)</f>
        <v>0</v>
      </c>
      <c r="AB132" s="447">
        <f>IFERROR(__xludf.DUMMYFUNCTION("""COMPUTED_VALUE"""),0.0)</f>
        <v>0</v>
      </c>
      <c r="AC132" s="447">
        <f>IFERROR(__xludf.DUMMYFUNCTION("""COMPUTED_VALUE"""),1.0)</f>
        <v>1</v>
      </c>
      <c r="AD132" s="447">
        <f>IFERROR(__xludf.DUMMYFUNCTION("""COMPUTED_VALUE"""),46.0)</f>
        <v>46</v>
      </c>
      <c r="AE132" s="447">
        <f>IFERROR(__xludf.DUMMYFUNCTION("""COMPUTED_VALUE"""),11.0)</f>
        <v>11</v>
      </c>
      <c r="AF132" s="447">
        <f>IFERROR(__xludf.DUMMYFUNCTION("""COMPUTED_VALUE"""),1.0)</f>
        <v>1</v>
      </c>
      <c r="AG132" s="443" t="s">
        <v>117</v>
      </c>
      <c r="AH132" s="443" t="s">
        <v>343</v>
      </c>
      <c r="AI132" s="443"/>
      <c r="AJ132" s="443"/>
      <c r="AK132" s="443"/>
      <c r="AL132" s="443"/>
      <c r="AM132" s="443"/>
      <c r="AN132" s="443"/>
      <c r="AO132" s="443"/>
      <c r="AP132" s="443"/>
      <c r="AQ132" s="443"/>
      <c r="AR132" s="443"/>
      <c r="AS132" s="443"/>
      <c r="AT132" s="443"/>
      <c r="AU132" s="443"/>
      <c r="AV132" s="443"/>
      <c r="AW132" s="443"/>
      <c r="AX132" s="443"/>
      <c r="AY132" s="443"/>
      <c r="AZ132" s="443"/>
      <c r="BA132" s="443"/>
      <c r="BB132" s="443"/>
      <c r="BC132" s="443"/>
      <c r="BD132" s="443"/>
      <c r="BE132" s="443"/>
    </row>
    <row r="133" hidden="1">
      <c r="A133" s="445">
        <f t="shared" si="5"/>
        <v>45423</v>
      </c>
      <c r="B133" s="434">
        <v>303.0</v>
      </c>
      <c r="C133" s="462">
        <v>0.6416666666666667</v>
      </c>
      <c r="D133" s="462">
        <v>0.8805555555555555</v>
      </c>
      <c r="E133" s="436">
        <f t="array" ref="E133">IF(B133=0,"",(J133+K133)/60)</f>
        <v>0.25</v>
      </c>
      <c r="F133" s="437">
        <f t="shared" si="1"/>
        <v>5.733333333</v>
      </c>
      <c r="G133" s="438">
        <f t="shared" si="2"/>
        <v>52.84883721</v>
      </c>
      <c r="H133" s="438">
        <f t="shared" si="3"/>
        <v>55.25835866</v>
      </c>
      <c r="I133" s="436">
        <f t="shared" si="4"/>
        <v>1.056976744</v>
      </c>
      <c r="J133" s="460">
        <v>15.0</v>
      </c>
      <c r="K133" s="464"/>
      <c r="L133" s="443"/>
      <c r="M133" s="447">
        <f>IFERROR(__xludf.DUMMYFUNCTION("""COMPUTED_VALUE"""),57.0)</f>
        <v>57</v>
      </c>
      <c r="N133" s="447">
        <f>IFERROR(__xludf.DUMMYFUNCTION("""COMPUTED_VALUE"""),56.0)</f>
        <v>56</v>
      </c>
      <c r="O133" s="447">
        <f>IFERROR(__xludf.DUMMYFUNCTION("""COMPUTED_VALUE"""),0.0)</f>
        <v>0</v>
      </c>
      <c r="P133" s="447">
        <f>IFERROR(__xludf.DUMMYFUNCTION("""COMPUTED_VALUE"""),0.0)</f>
        <v>0</v>
      </c>
      <c r="Q133" s="447">
        <f>IFERROR(__xludf.DUMMYFUNCTION("""COMPUTED_VALUE"""),0.0)</f>
        <v>0</v>
      </c>
      <c r="R133" s="447">
        <f>IFERROR(__xludf.DUMMYFUNCTION("""COMPUTED_VALUE"""),0.0)</f>
        <v>0</v>
      </c>
      <c r="S133" s="447">
        <f>IFERROR(__xludf.DUMMYFUNCTION("""COMPUTED_VALUE"""),3.0)</f>
        <v>3</v>
      </c>
      <c r="T133" s="447">
        <f>IFERROR(__xludf.DUMMYFUNCTION("""COMPUTED_VALUE"""),0.0)</f>
        <v>0</v>
      </c>
      <c r="U133" s="447">
        <f>IFERROR(__xludf.DUMMYFUNCTION("""COMPUTED_VALUE"""),1.0)</f>
        <v>1</v>
      </c>
      <c r="V133" s="447">
        <f>IFERROR(__xludf.DUMMYFUNCTION("""COMPUTED_VALUE"""),2.0)</f>
        <v>2</v>
      </c>
      <c r="W133" s="447">
        <f>IFERROR(__xludf.DUMMYFUNCTION("""COMPUTED_VALUE"""),0.0)</f>
        <v>0</v>
      </c>
      <c r="X133" s="447">
        <f>IFERROR(__xludf.DUMMYFUNCTION("""COMPUTED_VALUE"""),0.0)</f>
        <v>0</v>
      </c>
      <c r="Y133" s="447">
        <f>IFERROR(__xludf.DUMMYFUNCTION("""COMPUTED_VALUE"""),0.0)</f>
        <v>0</v>
      </c>
      <c r="Z133" s="447">
        <f>IFERROR(__xludf.DUMMYFUNCTION("""COMPUTED_VALUE"""),0.0)</f>
        <v>0</v>
      </c>
      <c r="AA133" s="447">
        <f>IFERROR(__xludf.DUMMYFUNCTION("""COMPUTED_VALUE"""),0.0)</f>
        <v>0</v>
      </c>
      <c r="AB133" s="447">
        <f>IFERROR(__xludf.DUMMYFUNCTION("""COMPUTED_VALUE"""),0.0)</f>
        <v>0</v>
      </c>
      <c r="AC133" s="447">
        <f>IFERROR(__xludf.DUMMYFUNCTION("""COMPUTED_VALUE"""),1.0)</f>
        <v>1</v>
      </c>
      <c r="AD133" s="447">
        <f>IFERROR(__xludf.DUMMYFUNCTION("""COMPUTED_VALUE"""),50.0)</f>
        <v>50</v>
      </c>
      <c r="AE133" s="447">
        <f>IFERROR(__xludf.DUMMYFUNCTION("""COMPUTED_VALUE"""),7.0)</f>
        <v>7</v>
      </c>
      <c r="AF133" s="447">
        <f>IFERROR(__xludf.DUMMYFUNCTION("""COMPUTED_VALUE"""),1.0)</f>
        <v>1</v>
      </c>
      <c r="AG133" s="443" t="s">
        <v>117</v>
      </c>
      <c r="AH133" s="443" t="s">
        <v>343</v>
      </c>
      <c r="AI133" s="443"/>
      <c r="AJ133" s="443"/>
      <c r="AK133" s="443"/>
      <c r="AL133" s="443"/>
      <c r="AM133" s="443"/>
      <c r="AN133" s="443"/>
      <c r="AO133" s="443"/>
      <c r="AP133" s="443"/>
      <c r="AQ133" s="443"/>
      <c r="AR133" s="443"/>
      <c r="AS133" s="443"/>
      <c r="AT133" s="443"/>
      <c r="AU133" s="443"/>
      <c r="AV133" s="443"/>
      <c r="AW133" s="443"/>
      <c r="AX133" s="443"/>
      <c r="AY133" s="443"/>
      <c r="AZ133" s="443"/>
      <c r="BA133" s="443"/>
      <c r="BB133" s="443"/>
      <c r="BC133" s="443"/>
      <c r="BD133" s="443"/>
      <c r="BE133" s="443"/>
    </row>
    <row r="134" hidden="1">
      <c r="A134" s="445">
        <f t="shared" si="5"/>
        <v>45424</v>
      </c>
      <c r="B134" s="434">
        <v>0.0</v>
      </c>
      <c r="C134" s="443"/>
      <c r="D134" s="443"/>
      <c r="E134" s="436" t="str">
        <f t="array" ref="E134">IF(B134=0,"",(J134+K134)/60)</f>
        <v/>
      </c>
      <c r="F134" s="437" t="str">
        <f t="shared" si="1"/>
        <v/>
      </c>
      <c r="G134" s="438" t="str">
        <f t="shared" si="2"/>
        <v/>
      </c>
      <c r="H134" s="438" t="str">
        <f t="shared" si="3"/>
        <v/>
      </c>
      <c r="I134" s="436" t="str">
        <f t="shared" si="4"/>
        <v/>
      </c>
      <c r="J134" s="464"/>
      <c r="K134" s="464"/>
      <c r="L134" s="443"/>
      <c r="M134" s="447">
        <f>IFERROR(__xludf.DUMMYFUNCTION("""COMPUTED_VALUE"""),57.0)</f>
        <v>57</v>
      </c>
      <c r="N134" s="447">
        <f>IFERROR(__xludf.DUMMYFUNCTION("""COMPUTED_VALUE"""),57.0)</f>
        <v>57</v>
      </c>
      <c r="O134" s="447">
        <f>IFERROR(__xludf.DUMMYFUNCTION("""COMPUTED_VALUE"""),0.0)</f>
        <v>0</v>
      </c>
      <c r="P134" s="447">
        <f>IFERROR(__xludf.DUMMYFUNCTION("""COMPUTED_VALUE"""),0.0)</f>
        <v>0</v>
      </c>
      <c r="Q134" s="447">
        <f>IFERROR(__xludf.DUMMYFUNCTION("""COMPUTED_VALUE"""),0.0)</f>
        <v>0</v>
      </c>
      <c r="R134" s="447">
        <f>IFERROR(__xludf.DUMMYFUNCTION("""COMPUTED_VALUE"""),0.0)</f>
        <v>0</v>
      </c>
      <c r="S134" s="447">
        <f>IFERROR(__xludf.DUMMYFUNCTION("""COMPUTED_VALUE"""),0.0)</f>
        <v>0</v>
      </c>
      <c r="T134" s="447">
        <f>IFERROR(__xludf.DUMMYFUNCTION("""COMPUTED_VALUE"""),0.0)</f>
        <v>0</v>
      </c>
      <c r="U134" s="447">
        <f>IFERROR(__xludf.DUMMYFUNCTION("""COMPUTED_VALUE"""),0.0)</f>
        <v>0</v>
      </c>
      <c r="V134" s="447">
        <f>IFERROR(__xludf.DUMMYFUNCTION("""COMPUTED_VALUE"""),0.0)</f>
        <v>0</v>
      </c>
      <c r="W134" s="447">
        <f>IFERROR(__xludf.DUMMYFUNCTION("""COMPUTED_VALUE"""),0.0)</f>
        <v>0</v>
      </c>
      <c r="X134" s="447">
        <f>IFERROR(__xludf.DUMMYFUNCTION("""COMPUTED_VALUE"""),0.0)</f>
        <v>0</v>
      </c>
      <c r="Y134" s="447">
        <f>IFERROR(__xludf.DUMMYFUNCTION("""COMPUTED_VALUE"""),0.0)</f>
        <v>0</v>
      </c>
      <c r="Z134" s="447">
        <f>IFERROR(__xludf.DUMMYFUNCTION("""COMPUTED_VALUE"""),0.0)</f>
        <v>0</v>
      </c>
      <c r="AA134" s="447">
        <f>IFERROR(__xludf.DUMMYFUNCTION("""COMPUTED_VALUE"""),0.0)</f>
        <v>0</v>
      </c>
      <c r="AB134" s="447">
        <f>IFERROR(__xludf.DUMMYFUNCTION("""COMPUTED_VALUE"""),0.0)</f>
        <v>0</v>
      </c>
      <c r="AC134" s="447">
        <f>IFERROR(__xludf.DUMMYFUNCTION("""COMPUTED_VALUE"""),0.0)</f>
        <v>0</v>
      </c>
      <c r="AD134" s="447">
        <f>IFERROR(__xludf.DUMMYFUNCTION("""COMPUTED_VALUE"""),0.0)</f>
        <v>0</v>
      </c>
      <c r="AE134" s="447">
        <f>IFERROR(__xludf.DUMMYFUNCTION("""COMPUTED_VALUE"""),0.0)</f>
        <v>0</v>
      </c>
      <c r="AF134" s="447">
        <f>IFERROR(__xludf.DUMMYFUNCTION("""COMPUTED_VALUE"""),0.0)</f>
        <v>0</v>
      </c>
      <c r="AG134" s="443" t="s">
        <v>117</v>
      </c>
      <c r="AH134" s="443" t="s">
        <v>343</v>
      </c>
      <c r="AI134" s="443"/>
      <c r="AJ134" s="443"/>
      <c r="AK134" s="443"/>
      <c r="AL134" s="443"/>
      <c r="AM134" s="443"/>
      <c r="AN134" s="443"/>
      <c r="AO134" s="443"/>
      <c r="AP134" s="443"/>
      <c r="AQ134" s="443"/>
      <c r="AR134" s="443"/>
      <c r="AS134" s="443"/>
      <c r="AT134" s="443"/>
      <c r="AU134" s="443"/>
      <c r="AV134" s="443"/>
      <c r="AW134" s="443"/>
      <c r="AX134" s="443"/>
      <c r="AY134" s="443"/>
      <c r="AZ134" s="443"/>
      <c r="BA134" s="443"/>
      <c r="BB134" s="443"/>
      <c r="BC134" s="443"/>
      <c r="BD134" s="443"/>
      <c r="BE134" s="443"/>
    </row>
    <row r="135" hidden="1">
      <c r="A135" s="445">
        <f t="shared" si="5"/>
        <v>45425</v>
      </c>
      <c r="B135" s="434">
        <v>527.0</v>
      </c>
      <c r="C135" s="462">
        <v>0.5583333333333333</v>
      </c>
      <c r="D135" s="462">
        <v>0.9513888888888888</v>
      </c>
      <c r="E135" s="436">
        <f t="array" ref="E135">IF(B135=0,"",(J135+K135)/60)</f>
        <v>0.25</v>
      </c>
      <c r="F135" s="437">
        <f t="shared" si="1"/>
        <v>9.433333333</v>
      </c>
      <c r="G135" s="438">
        <f t="shared" si="2"/>
        <v>55.86572438</v>
      </c>
      <c r="H135" s="438">
        <f t="shared" si="3"/>
        <v>57.38656987</v>
      </c>
      <c r="I135" s="436">
        <f t="shared" si="4"/>
        <v>1.09540636</v>
      </c>
      <c r="J135" s="460">
        <v>15.0</v>
      </c>
      <c r="K135" s="464"/>
      <c r="L135" s="443"/>
      <c r="M135" s="447">
        <f>IFERROR(__xludf.DUMMYFUNCTION("""COMPUTED_VALUE"""),57.0)</f>
        <v>57</v>
      </c>
      <c r="N135" s="447">
        <f>IFERROR(__xludf.DUMMYFUNCTION("""COMPUTED_VALUE"""),56.0)</f>
        <v>56</v>
      </c>
      <c r="O135" s="447">
        <f>IFERROR(__xludf.DUMMYFUNCTION("""COMPUTED_VALUE"""),0.0)</f>
        <v>0</v>
      </c>
      <c r="P135" s="447">
        <f>IFERROR(__xludf.DUMMYFUNCTION("""COMPUTED_VALUE"""),0.0)</f>
        <v>0</v>
      </c>
      <c r="Q135" s="447">
        <f>IFERROR(__xludf.DUMMYFUNCTION("""COMPUTED_VALUE"""),1.0)</f>
        <v>1</v>
      </c>
      <c r="R135" s="447">
        <f>IFERROR(__xludf.DUMMYFUNCTION("""COMPUTED_VALUE"""),0.0)</f>
        <v>0</v>
      </c>
      <c r="S135" s="447">
        <f>IFERROR(__xludf.DUMMYFUNCTION("""COMPUTED_VALUE"""),1.0)</f>
        <v>1</v>
      </c>
      <c r="T135" s="447">
        <f>IFERROR(__xludf.DUMMYFUNCTION("""COMPUTED_VALUE"""),0.0)</f>
        <v>0</v>
      </c>
      <c r="U135" s="447">
        <f>IFERROR(__xludf.DUMMYFUNCTION("""COMPUTED_VALUE"""),1.0)</f>
        <v>1</v>
      </c>
      <c r="V135" s="447">
        <f>IFERROR(__xludf.DUMMYFUNCTION("""COMPUTED_VALUE"""),2.0)</f>
        <v>2</v>
      </c>
      <c r="W135" s="447">
        <f>IFERROR(__xludf.DUMMYFUNCTION("""COMPUTED_VALUE"""),0.0)</f>
        <v>0</v>
      </c>
      <c r="X135" s="447">
        <f>IFERROR(__xludf.DUMMYFUNCTION("""COMPUTED_VALUE"""),0.0)</f>
        <v>0</v>
      </c>
      <c r="Y135" s="447">
        <f>IFERROR(__xludf.DUMMYFUNCTION("""COMPUTED_VALUE"""),0.0)</f>
        <v>0</v>
      </c>
      <c r="Z135" s="447">
        <f>IFERROR(__xludf.DUMMYFUNCTION("""COMPUTED_VALUE"""),0.0)</f>
        <v>0</v>
      </c>
      <c r="AA135" s="447">
        <f>IFERROR(__xludf.DUMMYFUNCTION("""COMPUTED_VALUE"""),0.0)</f>
        <v>0</v>
      </c>
      <c r="AB135" s="447">
        <f>IFERROR(__xludf.DUMMYFUNCTION("""COMPUTED_VALUE"""),0.0)</f>
        <v>0</v>
      </c>
      <c r="AC135" s="447">
        <f>IFERROR(__xludf.DUMMYFUNCTION("""COMPUTED_VALUE"""),1.0)</f>
        <v>1</v>
      </c>
      <c r="AD135" s="447">
        <f>IFERROR(__xludf.DUMMYFUNCTION("""COMPUTED_VALUE"""),51.0)</f>
        <v>51</v>
      </c>
      <c r="AE135" s="447">
        <f>IFERROR(__xludf.DUMMYFUNCTION("""COMPUTED_VALUE"""),6.0)</f>
        <v>6</v>
      </c>
      <c r="AF135" s="447">
        <f>IFERROR(__xludf.DUMMYFUNCTION("""COMPUTED_VALUE"""),1.0)</f>
        <v>1</v>
      </c>
      <c r="AG135" s="443" t="s">
        <v>117</v>
      </c>
      <c r="AH135" s="443" t="s">
        <v>343</v>
      </c>
      <c r="AI135" s="443"/>
      <c r="AJ135" s="443"/>
      <c r="AK135" s="443"/>
      <c r="AL135" s="443"/>
      <c r="AM135" s="443"/>
      <c r="AN135" s="443"/>
      <c r="AO135" s="443"/>
      <c r="AP135" s="443"/>
      <c r="AQ135" s="443"/>
      <c r="AR135" s="443"/>
      <c r="AS135" s="443"/>
      <c r="AT135" s="443"/>
      <c r="AU135" s="443"/>
      <c r="AV135" s="443"/>
      <c r="AW135" s="443"/>
      <c r="AX135" s="443"/>
      <c r="AY135" s="443"/>
      <c r="AZ135" s="443"/>
      <c r="BA135" s="443"/>
      <c r="BB135" s="443"/>
      <c r="BC135" s="443"/>
      <c r="BD135" s="443"/>
      <c r="BE135" s="443"/>
    </row>
    <row r="136" hidden="1">
      <c r="A136" s="445">
        <f t="shared" si="5"/>
        <v>45426</v>
      </c>
      <c r="B136" s="434">
        <v>337.0</v>
      </c>
      <c r="C136" s="527">
        <v>0.6</v>
      </c>
      <c r="D136" s="527">
        <v>0.8590277777777777</v>
      </c>
      <c r="E136" s="436">
        <f t="array" ref="E136">IF(B136=0,"",(J136+K136)/60)</f>
        <v>0.25</v>
      </c>
      <c r="F136" s="437">
        <f t="shared" si="1"/>
        <v>6.216666667</v>
      </c>
      <c r="G136" s="438">
        <f t="shared" si="2"/>
        <v>54.20911528</v>
      </c>
      <c r="H136" s="438">
        <f t="shared" si="3"/>
        <v>56.48044693</v>
      </c>
      <c r="I136" s="436">
        <f t="shared" si="4"/>
        <v>1.084182306</v>
      </c>
      <c r="J136" s="460">
        <v>15.0</v>
      </c>
      <c r="K136" s="464"/>
      <c r="L136" s="528" t="s">
        <v>479</v>
      </c>
      <c r="M136" s="447">
        <f>IFERROR(__xludf.DUMMYFUNCTION("""COMPUTED_VALUE"""),57.0)</f>
        <v>57</v>
      </c>
      <c r="N136" s="447">
        <f>IFERROR(__xludf.DUMMYFUNCTION("""COMPUTED_VALUE"""),56.0)</f>
        <v>56</v>
      </c>
      <c r="O136" s="447">
        <f>IFERROR(__xludf.DUMMYFUNCTION("""COMPUTED_VALUE"""),1.0)</f>
        <v>1</v>
      </c>
      <c r="P136" s="447">
        <f>IFERROR(__xludf.DUMMYFUNCTION("""COMPUTED_VALUE"""),0.0)</f>
        <v>0</v>
      </c>
      <c r="Q136" s="447">
        <f>IFERROR(__xludf.DUMMYFUNCTION("""COMPUTED_VALUE"""),0.0)</f>
        <v>0</v>
      </c>
      <c r="R136" s="447">
        <f>IFERROR(__xludf.DUMMYFUNCTION("""COMPUTED_VALUE"""),0.0)</f>
        <v>0</v>
      </c>
      <c r="S136" s="447">
        <f>IFERROR(__xludf.DUMMYFUNCTION("""COMPUTED_VALUE"""),2.0)</f>
        <v>2</v>
      </c>
      <c r="T136" s="447">
        <f>IFERROR(__xludf.DUMMYFUNCTION("""COMPUTED_VALUE"""),0.0)</f>
        <v>0</v>
      </c>
      <c r="U136" s="447">
        <f>IFERROR(__xludf.DUMMYFUNCTION("""COMPUTED_VALUE"""),1.0)</f>
        <v>1</v>
      </c>
      <c r="V136" s="447">
        <f>IFERROR(__xludf.DUMMYFUNCTION("""COMPUTED_VALUE"""),2.0)</f>
        <v>2</v>
      </c>
      <c r="W136" s="447">
        <f>IFERROR(__xludf.DUMMYFUNCTION("""COMPUTED_VALUE"""),0.0)</f>
        <v>0</v>
      </c>
      <c r="X136" s="447">
        <f>IFERROR(__xludf.DUMMYFUNCTION("""COMPUTED_VALUE"""),0.0)</f>
        <v>0</v>
      </c>
      <c r="Y136" s="447">
        <f>IFERROR(__xludf.DUMMYFUNCTION("""COMPUTED_VALUE"""),0.0)</f>
        <v>0</v>
      </c>
      <c r="Z136" s="447">
        <f>IFERROR(__xludf.DUMMYFUNCTION("""COMPUTED_VALUE"""),0.0)</f>
        <v>0</v>
      </c>
      <c r="AA136" s="447">
        <f>IFERROR(__xludf.DUMMYFUNCTION("""COMPUTED_VALUE"""),0.0)</f>
        <v>0</v>
      </c>
      <c r="AB136" s="447">
        <f>IFERROR(__xludf.DUMMYFUNCTION("""COMPUTED_VALUE"""),0.0)</f>
        <v>0</v>
      </c>
      <c r="AC136" s="447">
        <f>IFERROR(__xludf.DUMMYFUNCTION("""COMPUTED_VALUE"""),1.0)</f>
        <v>1</v>
      </c>
      <c r="AD136" s="447">
        <f>IFERROR(__xludf.DUMMYFUNCTION("""COMPUTED_VALUE"""),50.0)</f>
        <v>50</v>
      </c>
      <c r="AE136" s="447">
        <f>IFERROR(__xludf.DUMMYFUNCTION("""COMPUTED_VALUE"""),7.0)</f>
        <v>7</v>
      </c>
      <c r="AF136" s="447">
        <f>IFERROR(__xludf.DUMMYFUNCTION("""COMPUTED_VALUE"""),1.0)</f>
        <v>1</v>
      </c>
      <c r="AG136" s="443" t="s">
        <v>117</v>
      </c>
      <c r="AH136" s="443" t="s">
        <v>343</v>
      </c>
      <c r="AI136" s="443"/>
      <c r="AJ136" s="443"/>
      <c r="AK136" s="443"/>
      <c r="AL136" s="443"/>
      <c r="AM136" s="443"/>
      <c r="AN136" s="443"/>
      <c r="AO136" s="443"/>
      <c r="AP136" s="443"/>
      <c r="AQ136" s="443"/>
      <c r="AR136" s="443"/>
      <c r="AS136" s="443"/>
      <c r="AT136" s="443"/>
      <c r="AU136" s="443"/>
      <c r="AV136" s="443"/>
      <c r="AW136" s="443"/>
      <c r="AX136" s="443"/>
      <c r="AY136" s="443"/>
      <c r="AZ136" s="443"/>
      <c r="BA136" s="443"/>
      <c r="BB136" s="443"/>
      <c r="BC136" s="443"/>
      <c r="BD136" s="443"/>
      <c r="BE136" s="443"/>
    </row>
    <row r="137" hidden="1">
      <c r="A137" s="445">
        <f t="shared" si="5"/>
        <v>45427</v>
      </c>
      <c r="B137" s="434">
        <v>503.0</v>
      </c>
      <c r="C137" s="462">
        <v>0.6</v>
      </c>
      <c r="D137" s="462">
        <v>0.9826388888888888</v>
      </c>
      <c r="E137" s="436">
        <f t="array" ref="E137">IF(B137=0,"",(J137+K137)/60)</f>
        <v>0.25</v>
      </c>
      <c r="F137" s="437">
        <f t="shared" si="1"/>
        <v>9.183333333</v>
      </c>
      <c r="G137" s="438">
        <f t="shared" si="2"/>
        <v>54.77313975</v>
      </c>
      <c r="H137" s="438">
        <f t="shared" si="3"/>
        <v>56.30597015</v>
      </c>
      <c r="I137" s="436">
        <f t="shared" si="4"/>
        <v>1.095462795</v>
      </c>
      <c r="J137" s="460">
        <v>15.0</v>
      </c>
      <c r="K137" s="464"/>
      <c r="L137" s="443"/>
      <c r="M137" s="447">
        <f>IFERROR(__xludf.DUMMYFUNCTION("""COMPUTED_VALUE"""),57.0)</f>
        <v>57</v>
      </c>
      <c r="N137" s="447">
        <f>IFERROR(__xludf.DUMMYFUNCTION("""COMPUTED_VALUE"""),56.0)</f>
        <v>56</v>
      </c>
      <c r="O137" s="447">
        <f>IFERROR(__xludf.DUMMYFUNCTION("""COMPUTED_VALUE"""),0.0)</f>
        <v>0</v>
      </c>
      <c r="P137" s="447">
        <f>IFERROR(__xludf.DUMMYFUNCTION("""COMPUTED_VALUE"""),1.0)</f>
        <v>1</v>
      </c>
      <c r="Q137" s="447">
        <f>IFERROR(__xludf.DUMMYFUNCTION("""COMPUTED_VALUE"""),0.0)</f>
        <v>0</v>
      </c>
      <c r="R137" s="447">
        <f>IFERROR(__xludf.DUMMYFUNCTION("""COMPUTED_VALUE"""),0.0)</f>
        <v>0</v>
      </c>
      <c r="S137" s="447">
        <f>IFERROR(__xludf.DUMMYFUNCTION("""COMPUTED_VALUE"""),3.0)</f>
        <v>3</v>
      </c>
      <c r="T137" s="447">
        <f>IFERROR(__xludf.DUMMYFUNCTION("""COMPUTED_VALUE"""),0.0)</f>
        <v>0</v>
      </c>
      <c r="U137" s="447">
        <f>IFERROR(__xludf.DUMMYFUNCTION("""COMPUTED_VALUE"""),1.0)</f>
        <v>1</v>
      </c>
      <c r="V137" s="447">
        <f>IFERROR(__xludf.DUMMYFUNCTION("""COMPUTED_VALUE"""),2.0)</f>
        <v>2</v>
      </c>
      <c r="W137" s="447">
        <f>IFERROR(__xludf.DUMMYFUNCTION("""COMPUTED_VALUE"""),0.0)</f>
        <v>0</v>
      </c>
      <c r="X137" s="447">
        <f>IFERROR(__xludf.DUMMYFUNCTION("""COMPUTED_VALUE"""),0.0)</f>
        <v>0</v>
      </c>
      <c r="Y137" s="447">
        <f>IFERROR(__xludf.DUMMYFUNCTION("""COMPUTED_VALUE"""),0.0)</f>
        <v>0</v>
      </c>
      <c r="Z137" s="447">
        <f>IFERROR(__xludf.DUMMYFUNCTION("""COMPUTED_VALUE"""),0.0)</f>
        <v>0</v>
      </c>
      <c r="AA137" s="447">
        <f>IFERROR(__xludf.DUMMYFUNCTION("""COMPUTED_VALUE"""),0.0)</f>
        <v>0</v>
      </c>
      <c r="AB137" s="447">
        <f>IFERROR(__xludf.DUMMYFUNCTION("""COMPUTED_VALUE"""),0.0)</f>
        <v>0</v>
      </c>
      <c r="AC137" s="447">
        <f>IFERROR(__xludf.DUMMYFUNCTION("""COMPUTED_VALUE"""),0.0)</f>
        <v>0</v>
      </c>
      <c r="AD137" s="447">
        <f>IFERROR(__xludf.DUMMYFUNCTION("""COMPUTED_VALUE"""),50.0)</f>
        <v>50</v>
      </c>
      <c r="AE137" s="447">
        <f>IFERROR(__xludf.DUMMYFUNCTION("""COMPUTED_VALUE"""),7.0)</f>
        <v>7</v>
      </c>
      <c r="AF137" s="447">
        <f>IFERROR(__xludf.DUMMYFUNCTION("""COMPUTED_VALUE"""),1.0)</f>
        <v>1</v>
      </c>
      <c r="AG137" s="443" t="s">
        <v>117</v>
      </c>
      <c r="AH137" s="443" t="s">
        <v>343</v>
      </c>
      <c r="AI137" s="443"/>
      <c r="AJ137" s="443"/>
      <c r="AK137" s="443"/>
      <c r="AL137" s="443"/>
      <c r="AM137" s="443"/>
      <c r="AN137" s="443"/>
      <c r="AO137" s="443"/>
      <c r="AP137" s="443"/>
      <c r="AQ137" s="443"/>
      <c r="AR137" s="443"/>
      <c r="AS137" s="443"/>
      <c r="AT137" s="443"/>
      <c r="AU137" s="443"/>
      <c r="AV137" s="443"/>
      <c r="AW137" s="443"/>
      <c r="AX137" s="443"/>
      <c r="AY137" s="443"/>
      <c r="AZ137" s="443"/>
      <c r="BA137" s="443"/>
      <c r="BB137" s="443"/>
      <c r="BC137" s="443"/>
      <c r="BD137" s="443"/>
      <c r="BE137" s="443"/>
    </row>
    <row r="138" hidden="1">
      <c r="A138" s="445">
        <f t="shared" si="5"/>
        <v>45428</v>
      </c>
      <c r="B138" s="434">
        <v>516.0</v>
      </c>
      <c r="C138" s="462">
        <v>0.6</v>
      </c>
      <c r="D138" s="462">
        <v>1.0243055555555556</v>
      </c>
      <c r="E138" s="436">
        <f t="array" ref="E138">IF(B138=0,"",(J138+K138)/60)</f>
        <v>0.85</v>
      </c>
      <c r="F138" s="437">
        <f t="shared" si="1"/>
        <v>10.18333333</v>
      </c>
      <c r="G138" s="438">
        <f t="shared" si="2"/>
        <v>50.6710311</v>
      </c>
      <c r="H138" s="438">
        <f t="shared" si="3"/>
        <v>55.28571429</v>
      </c>
      <c r="I138" s="436">
        <f t="shared" si="4"/>
        <v>1.034102675</v>
      </c>
      <c r="J138" s="460">
        <v>15.0</v>
      </c>
      <c r="K138" s="464">
        <f>29+7</f>
        <v>36</v>
      </c>
      <c r="L138" s="528"/>
      <c r="M138" s="447">
        <f>IFERROR(__xludf.DUMMYFUNCTION("""COMPUTED_VALUE"""),57.0)</f>
        <v>57</v>
      </c>
      <c r="N138" s="447">
        <f>IFERROR(__xludf.DUMMYFUNCTION("""COMPUTED_VALUE"""),56.0)</f>
        <v>56</v>
      </c>
      <c r="O138" s="447">
        <f>IFERROR(__xludf.DUMMYFUNCTION("""COMPUTED_VALUE"""),1.0)</f>
        <v>1</v>
      </c>
      <c r="P138" s="447">
        <f>IFERROR(__xludf.DUMMYFUNCTION("""COMPUTED_VALUE"""),0.0)</f>
        <v>0</v>
      </c>
      <c r="Q138" s="447">
        <f>IFERROR(__xludf.DUMMYFUNCTION("""COMPUTED_VALUE"""),0.0)</f>
        <v>0</v>
      </c>
      <c r="R138" s="447">
        <f>IFERROR(__xludf.DUMMYFUNCTION("""COMPUTED_VALUE"""),0.0)</f>
        <v>0</v>
      </c>
      <c r="S138" s="447">
        <f>IFERROR(__xludf.DUMMYFUNCTION("""COMPUTED_VALUE"""),3.0)</f>
        <v>3</v>
      </c>
      <c r="T138" s="447">
        <f>IFERROR(__xludf.DUMMYFUNCTION("""COMPUTED_VALUE"""),0.0)</f>
        <v>0</v>
      </c>
      <c r="U138" s="447">
        <f>IFERROR(__xludf.DUMMYFUNCTION("""COMPUTED_VALUE"""),1.0)</f>
        <v>1</v>
      </c>
      <c r="V138" s="447">
        <f>IFERROR(__xludf.DUMMYFUNCTION("""COMPUTED_VALUE"""),2.0)</f>
        <v>2</v>
      </c>
      <c r="W138" s="447">
        <f>IFERROR(__xludf.DUMMYFUNCTION("""COMPUTED_VALUE"""),0.0)</f>
        <v>0</v>
      </c>
      <c r="X138" s="447">
        <f>IFERROR(__xludf.DUMMYFUNCTION("""COMPUTED_VALUE"""),0.0)</f>
        <v>0</v>
      </c>
      <c r="Y138" s="447">
        <f>IFERROR(__xludf.DUMMYFUNCTION("""COMPUTED_VALUE"""),0.0)</f>
        <v>0</v>
      </c>
      <c r="Z138" s="447">
        <f>IFERROR(__xludf.DUMMYFUNCTION("""COMPUTED_VALUE"""),0.0)</f>
        <v>0</v>
      </c>
      <c r="AA138" s="447">
        <f>IFERROR(__xludf.DUMMYFUNCTION("""COMPUTED_VALUE"""),0.0)</f>
        <v>0</v>
      </c>
      <c r="AB138" s="447">
        <f>IFERROR(__xludf.DUMMYFUNCTION("""COMPUTED_VALUE"""),0.0)</f>
        <v>0</v>
      </c>
      <c r="AC138" s="447">
        <f>IFERROR(__xludf.DUMMYFUNCTION("""COMPUTED_VALUE"""),1.0)</f>
        <v>1</v>
      </c>
      <c r="AD138" s="447">
        <f>IFERROR(__xludf.DUMMYFUNCTION("""COMPUTED_VALUE"""),49.0)</f>
        <v>49</v>
      </c>
      <c r="AE138" s="447">
        <f>IFERROR(__xludf.DUMMYFUNCTION("""COMPUTED_VALUE"""),8.0)</f>
        <v>8</v>
      </c>
      <c r="AF138" s="447">
        <f>IFERROR(__xludf.DUMMYFUNCTION("""COMPUTED_VALUE"""),1.0)</f>
        <v>1</v>
      </c>
      <c r="AG138" s="443" t="s">
        <v>117</v>
      </c>
      <c r="AH138" s="443" t="s">
        <v>343</v>
      </c>
      <c r="AI138" s="443"/>
      <c r="AJ138" s="443"/>
      <c r="AK138" s="443"/>
      <c r="AL138" s="443"/>
      <c r="AM138" s="443"/>
      <c r="AN138" s="443"/>
      <c r="AO138" s="443"/>
      <c r="AP138" s="443"/>
      <c r="AQ138" s="443"/>
      <c r="AR138" s="443"/>
      <c r="AS138" s="443"/>
      <c r="AT138" s="443"/>
      <c r="AU138" s="443"/>
      <c r="AV138" s="443"/>
      <c r="AW138" s="443"/>
      <c r="AX138" s="443"/>
      <c r="AY138" s="443"/>
      <c r="AZ138" s="443"/>
      <c r="BA138" s="443"/>
      <c r="BB138" s="443"/>
      <c r="BC138" s="443"/>
      <c r="BD138" s="443"/>
      <c r="BE138" s="443"/>
    </row>
    <row r="139" hidden="1">
      <c r="A139" s="445">
        <f t="shared" si="5"/>
        <v>45429</v>
      </c>
      <c r="B139" s="434">
        <v>457.0</v>
      </c>
      <c r="C139" s="462">
        <v>0.6</v>
      </c>
      <c r="D139" s="462">
        <v>1.0256944444444445</v>
      </c>
      <c r="E139" s="436">
        <f t="array" ref="E139">IF(B139=0,"",(J139+K139)/60)</f>
        <v>2.533333333</v>
      </c>
      <c r="F139" s="437">
        <f t="shared" si="1"/>
        <v>10.21666667</v>
      </c>
      <c r="G139" s="438">
        <f t="shared" si="2"/>
        <v>44.73083197</v>
      </c>
      <c r="H139" s="438">
        <f t="shared" si="3"/>
        <v>59.47939262</v>
      </c>
      <c r="I139" s="436">
        <f t="shared" si="4"/>
        <v>0.9128741219</v>
      </c>
      <c r="J139" s="460">
        <v>15.0</v>
      </c>
      <c r="K139" s="460">
        <v>137.0</v>
      </c>
      <c r="L139" s="443"/>
      <c r="M139" s="447">
        <f>IFERROR(__xludf.DUMMYFUNCTION("""COMPUTED_VALUE"""),57.0)</f>
        <v>57</v>
      </c>
      <c r="N139" s="447">
        <f>IFERROR(__xludf.DUMMYFUNCTION("""COMPUTED_VALUE"""),56.0)</f>
        <v>56</v>
      </c>
      <c r="O139" s="447">
        <f>IFERROR(__xludf.DUMMYFUNCTION("""COMPUTED_VALUE"""),1.0)</f>
        <v>1</v>
      </c>
      <c r="P139" s="447">
        <f>IFERROR(__xludf.DUMMYFUNCTION("""COMPUTED_VALUE"""),0.0)</f>
        <v>0</v>
      </c>
      <c r="Q139" s="447">
        <f>IFERROR(__xludf.DUMMYFUNCTION("""COMPUTED_VALUE"""),0.0)</f>
        <v>0</v>
      </c>
      <c r="R139" s="447">
        <f>IFERROR(__xludf.DUMMYFUNCTION("""COMPUTED_VALUE"""),0.0)</f>
        <v>0</v>
      </c>
      <c r="S139" s="447">
        <f>IFERROR(__xludf.DUMMYFUNCTION("""COMPUTED_VALUE"""),4.0)</f>
        <v>4</v>
      </c>
      <c r="T139" s="447">
        <f>IFERROR(__xludf.DUMMYFUNCTION("""COMPUTED_VALUE"""),0.0)</f>
        <v>0</v>
      </c>
      <c r="U139" s="447">
        <f>IFERROR(__xludf.DUMMYFUNCTION("""COMPUTED_VALUE"""),1.0)</f>
        <v>1</v>
      </c>
      <c r="V139" s="447">
        <f>IFERROR(__xludf.DUMMYFUNCTION("""COMPUTED_VALUE"""),1.0)</f>
        <v>1</v>
      </c>
      <c r="W139" s="447">
        <f>IFERROR(__xludf.DUMMYFUNCTION("""COMPUTED_VALUE"""),0.0)</f>
        <v>0</v>
      </c>
      <c r="X139" s="447">
        <f>IFERROR(__xludf.DUMMYFUNCTION("""COMPUTED_VALUE"""),0.0)</f>
        <v>0</v>
      </c>
      <c r="Y139" s="447">
        <f>IFERROR(__xludf.DUMMYFUNCTION("""COMPUTED_VALUE"""),0.0)</f>
        <v>0</v>
      </c>
      <c r="Z139" s="447">
        <f>IFERROR(__xludf.DUMMYFUNCTION("""COMPUTED_VALUE"""),0.0)</f>
        <v>0</v>
      </c>
      <c r="AA139" s="447">
        <f>IFERROR(__xludf.DUMMYFUNCTION("""COMPUTED_VALUE"""),0.0)</f>
        <v>0</v>
      </c>
      <c r="AB139" s="447">
        <f>IFERROR(__xludf.DUMMYFUNCTION("""COMPUTED_VALUE"""),0.0)</f>
        <v>0</v>
      </c>
      <c r="AC139" s="447">
        <f>IFERROR(__xludf.DUMMYFUNCTION("""COMPUTED_VALUE"""),0.0)</f>
        <v>0</v>
      </c>
      <c r="AD139" s="447">
        <f>IFERROR(__xludf.DUMMYFUNCTION("""COMPUTED_VALUE"""),49.0)</f>
        <v>49</v>
      </c>
      <c r="AE139" s="447">
        <f>IFERROR(__xludf.DUMMYFUNCTION("""COMPUTED_VALUE"""),8.0)</f>
        <v>8</v>
      </c>
      <c r="AF139" s="447">
        <f>IFERROR(__xludf.DUMMYFUNCTION("""COMPUTED_VALUE"""),1.0)</f>
        <v>1</v>
      </c>
      <c r="AG139" s="443" t="s">
        <v>117</v>
      </c>
      <c r="AH139" s="443" t="s">
        <v>343</v>
      </c>
      <c r="AI139" s="443"/>
      <c r="AJ139" s="443"/>
      <c r="AK139" s="443"/>
      <c r="AL139" s="443"/>
      <c r="AM139" s="443"/>
      <c r="AN139" s="443"/>
      <c r="AO139" s="443"/>
      <c r="AP139" s="443"/>
      <c r="AQ139" s="443"/>
      <c r="AR139" s="443"/>
      <c r="AS139" s="443"/>
      <c r="AT139" s="443"/>
      <c r="AU139" s="443"/>
      <c r="AV139" s="443"/>
      <c r="AW139" s="443"/>
      <c r="AX139" s="443"/>
      <c r="AY139" s="443"/>
      <c r="AZ139" s="443"/>
      <c r="BA139" s="443"/>
      <c r="BB139" s="443"/>
      <c r="BC139" s="443"/>
      <c r="BD139" s="443"/>
      <c r="BE139" s="443"/>
    </row>
    <row r="140" hidden="1">
      <c r="A140" s="445">
        <f t="shared" si="5"/>
        <v>45430</v>
      </c>
      <c r="B140" s="434">
        <v>269.0</v>
      </c>
      <c r="C140" s="462">
        <v>0.6416666666666667</v>
      </c>
      <c r="D140" s="462">
        <v>0.84375</v>
      </c>
      <c r="E140" s="436">
        <f t="array" ref="E140">IF(B140=0,"",(J140+K140)/60)</f>
        <v>0.25</v>
      </c>
      <c r="F140" s="437">
        <f t="shared" si="1"/>
        <v>4.85</v>
      </c>
      <c r="G140" s="438">
        <f t="shared" si="2"/>
        <v>55.46391753</v>
      </c>
      <c r="H140" s="438">
        <f t="shared" si="3"/>
        <v>58.47826087</v>
      </c>
      <c r="I140" s="436">
        <f t="shared" si="4"/>
        <v>1.109278351</v>
      </c>
      <c r="J140" s="460">
        <v>15.0</v>
      </c>
      <c r="K140" s="460"/>
      <c r="L140" s="443"/>
      <c r="M140" s="447">
        <f>IFERROR(__xludf.DUMMYFUNCTION("""COMPUTED_VALUE"""),57.0)</f>
        <v>57</v>
      </c>
      <c r="N140" s="447">
        <f>IFERROR(__xludf.DUMMYFUNCTION("""COMPUTED_VALUE"""),56.0)</f>
        <v>56</v>
      </c>
      <c r="O140" s="447">
        <f>IFERROR(__xludf.DUMMYFUNCTION("""COMPUTED_VALUE"""),0.0)</f>
        <v>0</v>
      </c>
      <c r="P140" s="447">
        <f>IFERROR(__xludf.DUMMYFUNCTION("""COMPUTED_VALUE"""),0.0)</f>
        <v>0</v>
      </c>
      <c r="Q140" s="447">
        <f>IFERROR(__xludf.DUMMYFUNCTION("""COMPUTED_VALUE"""),0.0)</f>
        <v>0</v>
      </c>
      <c r="R140" s="447">
        <f>IFERROR(__xludf.DUMMYFUNCTION("""COMPUTED_VALUE"""),0.0)</f>
        <v>0</v>
      </c>
      <c r="S140" s="447">
        <f>IFERROR(__xludf.DUMMYFUNCTION("""COMPUTED_VALUE"""),5.0)</f>
        <v>5</v>
      </c>
      <c r="T140" s="447">
        <f>IFERROR(__xludf.DUMMYFUNCTION("""COMPUTED_VALUE"""),0.0)</f>
        <v>0</v>
      </c>
      <c r="U140" s="447">
        <f>IFERROR(__xludf.DUMMYFUNCTION("""COMPUTED_VALUE"""),1.0)</f>
        <v>1</v>
      </c>
      <c r="V140" s="447">
        <f>IFERROR(__xludf.DUMMYFUNCTION("""COMPUTED_VALUE"""),1.0)</f>
        <v>1</v>
      </c>
      <c r="W140" s="447">
        <f>IFERROR(__xludf.DUMMYFUNCTION("""COMPUTED_VALUE"""),0.0)</f>
        <v>0</v>
      </c>
      <c r="X140" s="447">
        <f>IFERROR(__xludf.DUMMYFUNCTION("""COMPUTED_VALUE"""),0.0)</f>
        <v>0</v>
      </c>
      <c r="Y140" s="447">
        <f>IFERROR(__xludf.DUMMYFUNCTION("""COMPUTED_VALUE"""),0.0)</f>
        <v>0</v>
      </c>
      <c r="Z140" s="447">
        <f>IFERROR(__xludf.DUMMYFUNCTION("""COMPUTED_VALUE"""),0.0)</f>
        <v>0</v>
      </c>
      <c r="AA140" s="447">
        <f>IFERROR(__xludf.DUMMYFUNCTION("""COMPUTED_VALUE"""),0.0)</f>
        <v>0</v>
      </c>
      <c r="AB140" s="447">
        <f>IFERROR(__xludf.DUMMYFUNCTION("""COMPUTED_VALUE"""),0.0)</f>
        <v>0</v>
      </c>
      <c r="AC140" s="447">
        <f>IFERROR(__xludf.DUMMYFUNCTION("""COMPUTED_VALUE"""),0.0)</f>
        <v>0</v>
      </c>
      <c r="AD140" s="447">
        <f>IFERROR(__xludf.DUMMYFUNCTION("""COMPUTED_VALUE"""),50.0)</f>
        <v>50</v>
      </c>
      <c r="AE140" s="447">
        <f>IFERROR(__xludf.DUMMYFUNCTION("""COMPUTED_VALUE"""),7.0)</f>
        <v>7</v>
      </c>
      <c r="AF140" s="447">
        <f>IFERROR(__xludf.DUMMYFUNCTION("""COMPUTED_VALUE"""),1.0)</f>
        <v>1</v>
      </c>
      <c r="AG140" s="443" t="s">
        <v>117</v>
      </c>
      <c r="AH140" s="443" t="s">
        <v>343</v>
      </c>
      <c r="AI140" s="443"/>
      <c r="AJ140" s="443"/>
      <c r="AK140" s="443"/>
      <c r="AL140" s="443"/>
      <c r="AM140" s="443"/>
      <c r="AN140" s="443"/>
      <c r="AO140" s="443"/>
      <c r="AP140" s="443"/>
      <c r="AQ140" s="443"/>
      <c r="AR140" s="443"/>
      <c r="AS140" s="443"/>
      <c r="AT140" s="443"/>
      <c r="AU140" s="443"/>
      <c r="AV140" s="443"/>
      <c r="AW140" s="443"/>
      <c r="AX140" s="443"/>
      <c r="AY140" s="443"/>
      <c r="AZ140" s="443"/>
      <c r="BA140" s="443"/>
      <c r="BB140" s="443"/>
      <c r="BC140" s="443"/>
      <c r="BD140" s="443"/>
      <c r="BE140" s="443"/>
    </row>
    <row r="141" hidden="1">
      <c r="A141" s="445">
        <f t="shared" si="5"/>
        <v>45431</v>
      </c>
      <c r="B141" s="434">
        <v>0.0</v>
      </c>
      <c r="C141" s="462">
        <v>0.5583333333333333</v>
      </c>
      <c r="D141" s="443"/>
      <c r="E141" s="436" t="str">
        <f t="array" ref="E141">IF(B141=0,"",(J141+K141)/60)</f>
        <v/>
      </c>
      <c r="F141" s="437" t="str">
        <f t="shared" si="1"/>
        <v/>
      </c>
      <c r="G141" s="438" t="str">
        <f t="shared" si="2"/>
        <v/>
      </c>
      <c r="H141" s="438" t="str">
        <f t="shared" si="3"/>
        <v/>
      </c>
      <c r="I141" s="436" t="str">
        <f t="shared" si="4"/>
        <v/>
      </c>
      <c r="J141" s="460"/>
      <c r="K141" s="460"/>
      <c r="L141" s="449"/>
      <c r="M141" s="447">
        <f>IFERROR(__xludf.DUMMYFUNCTION("""COMPUTED_VALUE"""),57.0)</f>
        <v>57</v>
      </c>
      <c r="N141" s="447">
        <f>IFERROR(__xludf.DUMMYFUNCTION("""COMPUTED_VALUE"""),57.0)</f>
        <v>57</v>
      </c>
      <c r="O141" s="447">
        <f>IFERROR(__xludf.DUMMYFUNCTION("""COMPUTED_VALUE"""),0.0)</f>
        <v>0</v>
      </c>
      <c r="P141" s="447">
        <f>IFERROR(__xludf.DUMMYFUNCTION("""COMPUTED_VALUE"""),0.0)</f>
        <v>0</v>
      </c>
      <c r="Q141" s="447">
        <f>IFERROR(__xludf.DUMMYFUNCTION("""COMPUTED_VALUE"""),0.0)</f>
        <v>0</v>
      </c>
      <c r="R141" s="447">
        <f>IFERROR(__xludf.DUMMYFUNCTION("""COMPUTED_VALUE"""),0.0)</f>
        <v>0</v>
      </c>
      <c r="S141" s="447">
        <f>IFERROR(__xludf.DUMMYFUNCTION("""COMPUTED_VALUE"""),0.0)</f>
        <v>0</v>
      </c>
      <c r="T141" s="447">
        <f>IFERROR(__xludf.DUMMYFUNCTION("""COMPUTED_VALUE"""),0.0)</f>
        <v>0</v>
      </c>
      <c r="U141" s="447">
        <f>IFERROR(__xludf.DUMMYFUNCTION("""COMPUTED_VALUE"""),0.0)</f>
        <v>0</v>
      </c>
      <c r="V141" s="447">
        <f>IFERROR(__xludf.DUMMYFUNCTION("""COMPUTED_VALUE"""),0.0)</f>
        <v>0</v>
      </c>
      <c r="W141" s="447">
        <f>IFERROR(__xludf.DUMMYFUNCTION("""COMPUTED_VALUE"""),0.0)</f>
        <v>0</v>
      </c>
      <c r="X141" s="447">
        <f>IFERROR(__xludf.DUMMYFUNCTION("""COMPUTED_VALUE"""),0.0)</f>
        <v>0</v>
      </c>
      <c r="Y141" s="447">
        <f>IFERROR(__xludf.DUMMYFUNCTION("""COMPUTED_VALUE"""),0.0)</f>
        <v>0</v>
      </c>
      <c r="Z141" s="447">
        <f>IFERROR(__xludf.DUMMYFUNCTION("""COMPUTED_VALUE"""),0.0)</f>
        <v>0</v>
      </c>
      <c r="AA141" s="447">
        <f>IFERROR(__xludf.DUMMYFUNCTION("""COMPUTED_VALUE"""),0.0)</f>
        <v>0</v>
      </c>
      <c r="AB141" s="447">
        <f>IFERROR(__xludf.DUMMYFUNCTION("""COMPUTED_VALUE"""),0.0)</f>
        <v>0</v>
      </c>
      <c r="AC141" s="447">
        <f>IFERROR(__xludf.DUMMYFUNCTION("""COMPUTED_VALUE"""),0.0)</f>
        <v>0</v>
      </c>
      <c r="AD141" s="447">
        <f>IFERROR(__xludf.DUMMYFUNCTION("""COMPUTED_VALUE"""),0.0)</f>
        <v>0</v>
      </c>
      <c r="AE141" s="447">
        <f>IFERROR(__xludf.DUMMYFUNCTION("""COMPUTED_VALUE"""),0.0)</f>
        <v>0</v>
      </c>
      <c r="AF141" s="447">
        <f>IFERROR(__xludf.DUMMYFUNCTION("""COMPUTED_VALUE"""),0.0)</f>
        <v>0</v>
      </c>
      <c r="AG141" s="443" t="s">
        <v>117</v>
      </c>
      <c r="AH141" s="443" t="s">
        <v>343</v>
      </c>
      <c r="AI141" s="443"/>
      <c r="AJ141" s="443"/>
      <c r="AK141" s="443"/>
      <c r="AL141" s="443"/>
      <c r="AM141" s="443"/>
      <c r="AN141" s="443"/>
      <c r="AO141" s="443"/>
      <c r="AP141" s="443"/>
      <c r="AQ141" s="443"/>
      <c r="AR141" s="443"/>
      <c r="AS141" s="443"/>
      <c r="AT141" s="443"/>
      <c r="AU141" s="443"/>
      <c r="AV141" s="443"/>
      <c r="AW141" s="443"/>
      <c r="AX141" s="443"/>
      <c r="AY141" s="443"/>
      <c r="AZ141" s="443"/>
      <c r="BA141" s="443"/>
      <c r="BB141" s="443"/>
      <c r="BC141" s="443"/>
      <c r="BD141" s="443"/>
      <c r="BE141" s="443"/>
    </row>
    <row r="142" hidden="1">
      <c r="A142" s="445">
        <f t="shared" si="5"/>
        <v>45432</v>
      </c>
      <c r="B142" s="434">
        <v>443.0</v>
      </c>
      <c r="C142" s="462">
        <v>0.5583333333333333</v>
      </c>
      <c r="D142" s="462">
        <v>0.8909722222222223</v>
      </c>
      <c r="E142" s="436">
        <f t="array" ref="E142">IF(B142=0,"",(J142+K142)/60)</f>
        <v>0.6666666667</v>
      </c>
      <c r="F142" s="437">
        <f t="shared" si="1"/>
        <v>7.983333333</v>
      </c>
      <c r="G142" s="438">
        <f t="shared" si="2"/>
        <v>55.49060543</v>
      </c>
      <c r="H142" s="438">
        <f t="shared" si="3"/>
        <v>60.54669704</v>
      </c>
      <c r="I142" s="436">
        <f t="shared" si="4"/>
        <v>1.088051087</v>
      </c>
      <c r="J142" s="460">
        <v>15.0</v>
      </c>
      <c r="K142" s="460">
        <v>25.0</v>
      </c>
      <c r="L142" s="449" t="s">
        <v>480</v>
      </c>
      <c r="M142" s="447">
        <f>IFERROR(__xludf.DUMMYFUNCTION("""COMPUTED_VALUE"""),57.0)</f>
        <v>57</v>
      </c>
      <c r="N142" s="447">
        <f>IFERROR(__xludf.DUMMYFUNCTION("""COMPUTED_VALUE"""),56.0)</f>
        <v>56</v>
      </c>
      <c r="O142" s="447">
        <f>IFERROR(__xludf.DUMMYFUNCTION("""COMPUTED_VALUE"""),0.0)</f>
        <v>0</v>
      </c>
      <c r="P142" s="447">
        <f>IFERROR(__xludf.DUMMYFUNCTION("""COMPUTED_VALUE"""),0.0)</f>
        <v>0</v>
      </c>
      <c r="Q142" s="447">
        <f>IFERROR(__xludf.DUMMYFUNCTION("""COMPUTED_VALUE"""),2.0)</f>
        <v>2</v>
      </c>
      <c r="R142" s="447">
        <f>IFERROR(__xludf.DUMMYFUNCTION("""COMPUTED_VALUE"""),0.0)</f>
        <v>0</v>
      </c>
      <c r="S142" s="447">
        <f>IFERROR(__xludf.DUMMYFUNCTION("""COMPUTED_VALUE"""),2.0)</f>
        <v>2</v>
      </c>
      <c r="T142" s="447">
        <f>IFERROR(__xludf.DUMMYFUNCTION("""COMPUTED_VALUE"""),0.0)</f>
        <v>0</v>
      </c>
      <c r="U142" s="447">
        <f>IFERROR(__xludf.DUMMYFUNCTION("""COMPUTED_VALUE"""),1.0)</f>
        <v>1</v>
      </c>
      <c r="V142" s="447">
        <f>IFERROR(__xludf.DUMMYFUNCTION("""COMPUTED_VALUE"""),1.0)</f>
        <v>1</v>
      </c>
      <c r="W142" s="447">
        <f>IFERROR(__xludf.DUMMYFUNCTION("""COMPUTED_VALUE"""),0.0)</f>
        <v>0</v>
      </c>
      <c r="X142" s="447">
        <f>IFERROR(__xludf.DUMMYFUNCTION("""COMPUTED_VALUE"""),0.0)</f>
        <v>0</v>
      </c>
      <c r="Y142" s="447">
        <f>IFERROR(__xludf.DUMMYFUNCTION("""COMPUTED_VALUE"""),0.0)</f>
        <v>0</v>
      </c>
      <c r="Z142" s="447">
        <f>IFERROR(__xludf.DUMMYFUNCTION("""COMPUTED_VALUE"""),0.0)</f>
        <v>0</v>
      </c>
      <c r="AA142" s="447">
        <f>IFERROR(__xludf.DUMMYFUNCTION("""COMPUTED_VALUE"""),0.0)</f>
        <v>0</v>
      </c>
      <c r="AB142" s="447">
        <f>IFERROR(__xludf.DUMMYFUNCTION("""COMPUTED_VALUE"""),0.0)</f>
        <v>0</v>
      </c>
      <c r="AC142" s="447">
        <f>IFERROR(__xludf.DUMMYFUNCTION("""COMPUTED_VALUE"""),0.0)</f>
        <v>0</v>
      </c>
      <c r="AD142" s="447">
        <f>IFERROR(__xludf.DUMMYFUNCTION("""COMPUTED_VALUE"""),51.0)</f>
        <v>51</v>
      </c>
      <c r="AE142" s="447">
        <f>IFERROR(__xludf.DUMMYFUNCTION("""COMPUTED_VALUE"""),6.0)</f>
        <v>6</v>
      </c>
      <c r="AF142" s="447">
        <f>IFERROR(__xludf.DUMMYFUNCTION("""COMPUTED_VALUE"""),1.0)</f>
        <v>1</v>
      </c>
      <c r="AG142" s="443" t="s">
        <v>117</v>
      </c>
      <c r="AH142" s="443" t="s">
        <v>343</v>
      </c>
      <c r="AI142" s="443"/>
      <c r="AJ142" s="443"/>
      <c r="AK142" s="443"/>
      <c r="AL142" s="443"/>
      <c r="AM142" s="443"/>
      <c r="AN142" s="443"/>
      <c r="AO142" s="443"/>
      <c r="AP142" s="443"/>
      <c r="AQ142" s="443"/>
      <c r="AR142" s="443"/>
      <c r="AS142" s="443"/>
      <c r="AT142" s="443"/>
      <c r="AU142" s="443"/>
      <c r="AV142" s="443"/>
      <c r="AW142" s="443"/>
      <c r="AX142" s="443"/>
      <c r="AY142" s="443"/>
      <c r="AZ142" s="443"/>
      <c r="BA142" s="443"/>
      <c r="BB142" s="443"/>
      <c r="BC142" s="443"/>
      <c r="BD142" s="443"/>
      <c r="BE142" s="443"/>
    </row>
    <row r="143" hidden="1">
      <c r="A143" s="445">
        <f t="shared" si="5"/>
        <v>45433</v>
      </c>
      <c r="B143" s="434">
        <v>382.0</v>
      </c>
      <c r="C143" s="527">
        <v>0.6</v>
      </c>
      <c r="D143" s="527">
        <v>0.9097222222222222</v>
      </c>
      <c r="E143" s="436">
        <f t="array" ref="E143">IF(B143=0,"",(J143+K143)/60)</f>
        <v>0.25</v>
      </c>
      <c r="F143" s="437">
        <f t="shared" si="1"/>
        <v>7.433333333</v>
      </c>
      <c r="G143" s="438">
        <f t="shared" si="2"/>
        <v>51.39013453</v>
      </c>
      <c r="H143" s="438">
        <f t="shared" si="3"/>
        <v>53.17865429</v>
      </c>
      <c r="I143" s="436">
        <f t="shared" si="4"/>
        <v>1.007649697</v>
      </c>
      <c r="J143" s="531">
        <v>15.0</v>
      </c>
      <c r="K143" s="532"/>
      <c r="L143" s="511" t="s">
        <v>481</v>
      </c>
      <c r="M143" s="533">
        <f>IFERROR(__xludf.DUMMYFUNCTION("""COMPUTED_VALUE"""),57.0)</f>
        <v>57</v>
      </c>
      <c r="N143" s="533">
        <f>IFERROR(__xludf.DUMMYFUNCTION("""COMPUTED_VALUE"""),56.0)</f>
        <v>56</v>
      </c>
      <c r="O143" s="533">
        <f>IFERROR(__xludf.DUMMYFUNCTION("""COMPUTED_VALUE"""),0.0)</f>
        <v>0</v>
      </c>
      <c r="P143" s="533">
        <f>IFERROR(__xludf.DUMMYFUNCTION("""COMPUTED_VALUE"""),0.0)</f>
        <v>0</v>
      </c>
      <c r="Q143" s="533">
        <f>IFERROR(__xludf.DUMMYFUNCTION("""COMPUTED_VALUE"""),1.0)</f>
        <v>1</v>
      </c>
      <c r="R143" s="533">
        <f>IFERROR(__xludf.DUMMYFUNCTION("""COMPUTED_VALUE"""),0.0)</f>
        <v>0</v>
      </c>
      <c r="S143" s="533">
        <f>IFERROR(__xludf.DUMMYFUNCTION("""COMPUTED_VALUE"""),1.0)</f>
        <v>1</v>
      </c>
      <c r="T143" s="533">
        <f>IFERROR(__xludf.DUMMYFUNCTION("""COMPUTED_VALUE"""),0.0)</f>
        <v>0</v>
      </c>
      <c r="U143" s="533">
        <f>IFERROR(__xludf.DUMMYFUNCTION("""COMPUTED_VALUE"""),1.0)</f>
        <v>1</v>
      </c>
      <c r="V143" s="533">
        <f>IFERROR(__xludf.DUMMYFUNCTION("""COMPUTED_VALUE"""),1.0)</f>
        <v>1</v>
      </c>
      <c r="W143" s="533">
        <f>IFERROR(__xludf.DUMMYFUNCTION("""COMPUTED_VALUE"""),0.0)</f>
        <v>0</v>
      </c>
      <c r="X143" s="533">
        <f>IFERROR(__xludf.DUMMYFUNCTION("""COMPUTED_VALUE"""),0.0)</f>
        <v>0</v>
      </c>
      <c r="Y143" s="533">
        <f>IFERROR(__xludf.DUMMYFUNCTION("""COMPUTED_VALUE"""),0.0)</f>
        <v>0</v>
      </c>
      <c r="Z143" s="533">
        <f>IFERROR(__xludf.DUMMYFUNCTION("""COMPUTED_VALUE"""),0.0)</f>
        <v>0</v>
      </c>
      <c r="AA143" s="533">
        <f>IFERROR(__xludf.DUMMYFUNCTION("""COMPUTED_VALUE"""),0.0)</f>
        <v>0</v>
      </c>
      <c r="AB143" s="533">
        <f>IFERROR(__xludf.DUMMYFUNCTION("""COMPUTED_VALUE"""),0.0)</f>
        <v>0</v>
      </c>
      <c r="AC143" s="533">
        <f>IFERROR(__xludf.DUMMYFUNCTION("""COMPUTED_VALUE"""),2.0)</f>
        <v>2</v>
      </c>
      <c r="AD143" s="533">
        <f>IFERROR(__xludf.DUMMYFUNCTION("""COMPUTED_VALUE"""),51.0)</f>
        <v>51</v>
      </c>
      <c r="AE143" s="533">
        <f>IFERROR(__xludf.DUMMYFUNCTION("""COMPUTED_VALUE"""),6.0)</f>
        <v>6</v>
      </c>
      <c r="AF143" s="533">
        <f>IFERROR(__xludf.DUMMYFUNCTION("""COMPUTED_VALUE"""),1.0)</f>
        <v>1</v>
      </c>
      <c r="AG143" s="534" t="s">
        <v>117</v>
      </c>
      <c r="AH143" s="534" t="s">
        <v>343</v>
      </c>
      <c r="AI143" s="534"/>
      <c r="AJ143" s="534"/>
      <c r="AK143" s="534"/>
      <c r="AL143" s="534"/>
      <c r="AM143" s="534"/>
      <c r="AN143" s="534"/>
      <c r="AO143" s="534"/>
      <c r="AP143" s="534"/>
      <c r="AQ143" s="534"/>
      <c r="AR143" s="534"/>
      <c r="AS143" s="534"/>
      <c r="AT143" s="534"/>
      <c r="AU143" s="534"/>
      <c r="AV143" s="534"/>
      <c r="AW143" s="534"/>
      <c r="AX143" s="534"/>
      <c r="AY143" s="534"/>
      <c r="AZ143" s="534"/>
      <c r="BA143" s="534"/>
      <c r="BB143" s="534"/>
      <c r="BC143" s="534"/>
      <c r="BD143" s="534"/>
      <c r="BE143" s="534"/>
    </row>
    <row r="144" hidden="1">
      <c r="A144" s="445">
        <f t="shared" si="5"/>
        <v>45434</v>
      </c>
      <c r="B144" s="434">
        <v>395.0</v>
      </c>
      <c r="C144" s="462">
        <v>0.6</v>
      </c>
      <c r="D144" s="462">
        <v>0.9041666666666667</v>
      </c>
      <c r="E144" s="436">
        <f t="array" ref="E144">IF(B144=0,"",(J144+K144)/60)</f>
        <v>0.25</v>
      </c>
      <c r="F144" s="437">
        <f t="shared" si="1"/>
        <v>7.3</v>
      </c>
      <c r="G144" s="438">
        <f t="shared" si="2"/>
        <v>54.10958904</v>
      </c>
      <c r="H144" s="438">
        <f t="shared" si="3"/>
        <v>56.02836879</v>
      </c>
      <c r="I144" s="436">
        <f t="shared" si="4"/>
        <v>1.082191781</v>
      </c>
      <c r="J144" s="460">
        <v>15.0</v>
      </c>
      <c r="K144" s="464"/>
      <c r="L144" s="443"/>
      <c r="M144" s="447">
        <f>IFERROR(__xludf.DUMMYFUNCTION("""COMPUTED_VALUE"""),57.0)</f>
        <v>57</v>
      </c>
      <c r="N144" s="447">
        <f>IFERROR(__xludf.DUMMYFUNCTION("""COMPUTED_VALUE"""),56.0)</f>
        <v>56</v>
      </c>
      <c r="O144" s="447">
        <f>IFERROR(__xludf.DUMMYFUNCTION("""COMPUTED_VALUE"""),0.0)</f>
        <v>0</v>
      </c>
      <c r="P144" s="447">
        <f>IFERROR(__xludf.DUMMYFUNCTION("""COMPUTED_VALUE"""),0.0)</f>
        <v>0</v>
      </c>
      <c r="Q144" s="447">
        <f>IFERROR(__xludf.DUMMYFUNCTION("""COMPUTED_VALUE"""),1.0)</f>
        <v>1</v>
      </c>
      <c r="R144" s="447">
        <f>IFERROR(__xludf.DUMMYFUNCTION("""COMPUTED_VALUE"""),0.0)</f>
        <v>0</v>
      </c>
      <c r="S144" s="447">
        <f>IFERROR(__xludf.DUMMYFUNCTION("""COMPUTED_VALUE"""),3.0)</f>
        <v>3</v>
      </c>
      <c r="T144" s="447">
        <f>IFERROR(__xludf.DUMMYFUNCTION("""COMPUTED_VALUE"""),0.0)</f>
        <v>0</v>
      </c>
      <c r="U144" s="447">
        <f>IFERROR(__xludf.DUMMYFUNCTION("""COMPUTED_VALUE"""),1.0)</f>
        <v>1</v>
      </c>
      <c r="V144" s="447">
        <f>IFERROR(__xludf.DUMMYFUNCTION("""COMPUTED_VALUE"""),1.0)</f>
        <v>1</v>
      </c>
      <c r="W144" s="447">
        <f>IFERROR(__xludf.DUMMYFUNCTION("""COMPUTED_VALUE"""),0.0)</f>
        <v>0</v>
      </c>
      <c r="X144" s="447">
        <f>IFERROR(__xludf.DUMMYFUNCTION("""COMPUTED_VALUE"""),0.0)</f>
        <v>0</v>
      </c>
      <c r="Y144" s="447">
        <f>IFERROR(__xludf.DUMMYFUNCTION("""COMPUTED_VALUE"""),0.0)</f>
        <v>0</v>
      </c>
      <c r="Z144" s="447">
        <f>IFERROR(__xludf.DUMMYFUNCTION("""COMPUTED_VALUE"""),0.0)</f>
        <v>0</v>
      </c>
      <c r="AA144" s="447">
        <f>IFERROR(__xludf.DUMMYFUNCTION("""COMPUTED_VALUE"""),0.0)</f>
        <v>0</v>
      </c>
      <c r="AB144" s="447">
        <f>IFERROR(__xludf.DUMMYFUNCTION("""COMPUTED_VALUE"""),0.0)</f>
        <v>0</v>
      </c>
      <c r="AC144" s="447">
        <f>IFERROR(__xludf.DUMMYFUNCTION("""COMPUTED_VALUE"""),1.0)</f>
        <v>1</v>
      </c>
      <c r="AD144" s="447">
        <f>IFERROR(__xludf.DUMMYFUNCTION("""COMPUTED_VALUE"""),50.0)</f>
        <v>50</v>
      </c>
      <c r="AE144" s="447">
        <f>IFERROR(__xludf.DUMMYFUNCTION("""COMPUTED_VALUE"""),7.0)</f>
        <v>7</v>
      </c>
      <c r="AF144" s="447">
        <f>IFERROR(__xludf.DUMMYFUNCTION("""COMPUTED_VALUE"""),1.0)</f>
        <v>1</v>
      </c>
      <c r="AG144" s="443" t="s">
        <v>117</v>
      </c>
      <c r="AH144" s="443" t="s">
        <v>343</v>
      </c>
      <c r="AI144" s="443"/>
      <c r="AJ144" s="443"/>
      <c r="AK144" s="443"/>
      <c r="AL144" s="443"/>
      <c r="AM144" s="443"/>
      <c r="AN144" s="443"/>
      <c r="AO144" s="443"/>
      <c r="AP144" s="443"/>
      <c r="AQ144" s="443"/>
      <c r="AR144" s="443"/>
      <c r="AS144" s="443"/>
      <c r="AT144" s="443"/>
      <c r="AU144" s="443"/>
      <c r="AV144" s="443"/>
      <c r="AW144" s="443"/>
      <c r="AX144" s="443"/>
      <c r="AY144" s="443"/>
      <c r="AZ144" s="443"/>
      <c r="BA144" s="443"/>
      <c r="BB144" s="443"/>
      <c r="BC144" s="443"/>
      <c r="BD144" s="443"/>
      <c r="BE144" s="443"/>
    </row>
    <row r="145" hidden="1">
      <c r="A145" s="445">
        <f t="shared" si="5"/>
        <v>45435</v>
      </c>
      <c r="B145" s="434">
        <v>386.0</v>
      </c>
      <c r="C145" s="462">
        <v>0.6416666666666667</v>
      </c>
      <c r="D145" s="462">
        <v>0.9326388888888889</v>
      </c>
      <c r="E145" s="436">
        <f t="array" ref="E145">IF(B145=0,"",(J145+K145)/60)</f>
        <v>0.6666666667</v>
      </c>
      <c r="F145" s="437">
        <f t="shared" si="1"/>
        <v>6.983333333</v>
      </c>
      <c r="G145" s="438">
        <f t="shared" si="2"/>
        <v>55.27446301</v>
      </c>
      <c r="H145" s="438">
        <f t="shared" si="3"/>
        <v>61.10817942</v>
      </c>
      <c r="I145" s="436">
        <f t="shared" si="4"/>
        <v>1.128050265</v>
      </c>
      <c r="J145" s="460">
        <v>40.0</v>
      </c>
      <c r="K145" s="464"/>
      <c r="L145" s="443"/>
      <c r="M145" s="447">
        <f>IFERROR(__xludf.DUMMYFUNCTION("""COMPUTED_VALUE"""),57.0)</f>
        <v>57</v>
      </c>
      <c r="N145" s="447">
        <f>IFERROR(__xludf.DUMMYFUNCTION("""COMPUTED_VALUE"""),56.0)</f>
        <v>56</v>
      </c>
      <c r="O145" s="447">
        <f>IFERROR(__xludf.DUMMYFUNCTION("""COMPUTED_VALUE"""),0.0)</f>
        <v>0</v>
      </c>
      <c r="P145" s="447">
        <f>IFERROR(__xludf.DUMMYFUNCTION("""COMPUTED_VALUE"""),0.0)</f>
        <v>0</v>
      </c>
      <c r="Q145" s="447">
        <f>IFERROR(__xludf.DUMMYFUNCTION("""COMPUTED_VALUE"""),1.0)</f>
        <v>1</v>
      </c>
      <c r="R145" s="447">
        <f>IFERROR(__xludf.DUMMYFUNCTION("""COMPUTED_VALUE"""),0.0)</f>
        <v>0</v>
      </c>
      <c r="S145" s="447">
        <f>IFERROR(__xludf.DUMMYFUNCTION("""COMPUTED_VALUE"""),3.0)</f>
        <v>3</v>
      </c>
      <c r="T145" s="447">
        <f>IFERROR(__xludf.DUMMYFUNCTION("""COMPUTED_VALUE"""),0.0)</f>
        <v>0</v>
      </c>
      <c r="U145" s="447">
        <f>IFERROR(__xludf.DUMMYFUNCTION("""COMPUTED_VALUE"""),1.0)</f>
        <v>1</v>
      </c>
      <c r="V145" s="447">
        <f>IFERROR(__xludf.DUMMYFUNCTION("""COMPUTED_VALUE"""),1.0)</f>
        <v>1</v>
      </c>
      <c r="W145" s="447">
        <f>IFERROR(__xludf.DUMMYFUNCTION("""COMPUTED_VALUE"""),0.0)</f>
        <v>0</v>
      </c>
      <c r="X145" s="447">
        <f>IFERROR(__xludf.DUMMYFUNCTION("""COMPUTED_VALUE"""),0.0)</f>
        <v>0</v>
      </c>
      <c r="Y145" s="447">
        <f>IFERROR(__xludf.DUMMYFUNCTION("""COMPUTED_VALUE"""),0.0)</f>
        <v>0</v>
      </c>
      <c r="Z145" s="447">
        <f>IFERROR(__xludf.DUMMYFUNCTION("""COMPUTED_VALUE"""),0.0)</f>
        <v>0</v>
      </c>
      <c r="AA145" s="447">
        <f>IFERROR(__xludf.DUMMYFUNCTION("""COMPUTED_VALUE"""),0.0)</f>
        <v>0</v>
      </c>
      <c r="AB145" s="447">
        <f>IFERROR(__xludf.DUMMYFUNCTION("""COMPUTED_VALUE"""),0.0)</f>
        <v>0</v>
      </c>
      <c r="AC145" s="447">
        <f>IFERROR(__xludf.DUMMYFUNCTION("""COMPUTED_VALUE"""),1.0)</f>
        <v>1</v>
      </c>
      <c r="AD145" s="447">
        <f>IFERROR(__xludf.DUMMYFUNCTION("""COMPUTED_VALUE"""),49.0)</f>
        <v>49</v>
      </c>
      <c r="AE145" s="447">
        <f>IFERROR(__xludf.DUMMYFUNCTION("""COMPUTED_VALUE"""),8.0)</f>
        <v>8</v>
      </c>
      <c r="AF145" s="447">
        <f>IFERROR(__xludf.DUMMYFUNCTION("""COMPUTED_VALUE"""),1.0)</f>
        <v>1</v>
      </c>
      <c r="AG145" s="443" t="s">
        <v>117</v>
      </c>
      <c r="AH145" s="443" t="s">
        <v>343</v>
      </c>
      <c r="AI145" s="443"/>
      <c r="AJ145" s="443"/>
      <c r="AK145" s="443"/>
      <c r="AL145" s="443"/>
      <c r="AM145" s="443"/>
      <c r="AN145" s="443"/>
      <c r="AO145" s="443"/>
      <c r="AP145" s="443"/>
      <c r="AQ145" s="443"/>
      <c r="AR145" s="443"/>
      <c r="AS145" s="443"/>
      <c r="AT145" s="443"/>
      <c r="AU145" s="443"/>
      <c r="AV145" s="443"/>
      <c r="AW145" s="443"/>
      <c r="AX145" s="443"/>
      <c r="AY145" s="443"/>
      <c r="AZ145" s="443"/>
      <c r="BA145" s="443"/>
      <c r="BB145" s="443"/>
      <c r="BC145" s="443"/>
      <c r="BD145" s="443"/>
      <c r="BE145" s="443"/>
    </row>
    <row r="146" hidden="1">
      <c r="A146" s="445">
        <f t="shared" si="5"/>
        <v>45436</v>
      </c>
      <c r="B146" s="434">
        <v>438.0</v>
      </c>
      <c r="C146" s="462">
        <v>0.6416666666666667</v>
      </c>
      <c r="D146" s="462">
        <v>1.0430555555555556</v>
      </c>
      <c r="E146" s="436">
        <f t="array" ref="E146">IF(B146=0,"",(J146+K146)/60)</f>
        <v>2.216666667</v>
      </c>
      <c r="F146" s="437">
        <f t="shared" si="1"/>
        <v>9.633333333</v>
      </c>
      <c r="G146" s="438">
        <f t="shared" si="2"/>
        <v>45.46712803</v>
      </c>
      <c r="H146" s="438">
        <f t="shared" si="3"/>
        <v>59.05617978</v>
      </c>
      <c r="I146" s="436">
        <f t="shared" si="4"/>
        <v>0.9093425606</v>
      </c>
      <c r="J146" s="460">
        <v>40.0</v>
      </c>
      <c r="K146" s="464">
        <f>13+80</f>
        <v>93</v>
      </c>
      <c r="L146" s="449" t="s">
        <v>482</v>
      </c>
      <c r="M146" s="447">
        <f>IFERROR(__xludf.DUMMYFUNCTION("""COMPUTED_VALUE"""),57.0)</f>
        <v>57</v>
      </c>
      <c r="N146" s="447">
        <f>IFERROR(__xludf.DUMMYFUNCTION("""COMPUTED_VALUE"""),55.0)</f>
        <v>55</v>
      </c>
      <c r="O146" s="447">
        <f>IFERROR(__xludf.DUMMYFUNCTION("""COMPUTED_VALUE"""),0.0)</f>
        <v>0</v>
      </c>
      <c r="P146" s="447">
        <f>IFERROR(__xludf.DUMMYFUNCTION("""COMPUTED_VALUE"""),0.0)</f>
        <v>0</v>
      </c>
      <c r="Q146" s="447">
        <f>IFERROR(__xludf.DUMMYFUNCTION("""COMPUTED_VALUE"""),0.0)</f>
        <v>0</v>
      </c>
      <c r="R146" s="447">
        <f>IFERROR(__xludf.DUMMYFUNCTION("""COMPUTED_VALUE"""),0.0)</f>
        <v>0</v>
      </c>
      <c r="S146" s="447">
        <f>IFERROR(__xludf.DUMMYFUNCTION("""COMPUTED_VALUE"""),2.0)</f>
        <v>2</v>
      </c>
      <c r="T146" s="447">
        <f>IFERROR(__xludf.DUMMYFUNCTION("""COMPUTED_VALUE"""),0.0)</f>
        <v>0</v>
      </c>
      <c r="U146" s="447">
        <f>IFERROR(__xludf.DUMMYFUNCTION("""COMPUTED_VALUE"""),1.0)</f>
        <v>1</v>
      </c>
      <c r="V146" s="447">
        <f>IFERROR(__xludf.DUMMYFUNCTION("""COMPUTED_VALUE"""),2.0)</f>
        <v>2</v>
      </c>
      <c r="W146" s="447">
        <f>IFERROR(__xludf.DUMMYFUNCTION("""COMPUTED_VALUE"""),0.0)</f>
        <v>0</v>
      </c>
      <c r="X146" s="447">
        <f>IFERROR(__xludf.DUMMYFUNCTION("""COMPUTED_VALUE"""),0.0)</f>
        <v>0</v>
      </c>
      <c r="Y146" s="447">
        <f>IFERROR(__xludf.DUMMYFUNCTION("""COMPUTED_VALUE"""),0.0)</f>
        <v>0</v>
      </c>
      <c r="Z146" s="447">
        <f>IFERROR(__xludf.DUMMYFUNCTION("""COMPUTED_VALUE"""),0.0)</f>
        <v>0</v>
      </c>
      <c r="AA146" s="447">
        <f>IFERROR(__xludf.DUMMYFUNCTION("""COMPUTED_VALUE"""),0.0)</f>
        <v>0</v>
      </c>
      <c r="AB146" s="447">
        <f>IFERROR(__xludf.DUMMYFUNCTION("""COMPUTED_VALUE"""),0.0)</f>
        <v>0</v>
      </c>
      <c r="AC146" s="447">
        <f>IFERROR(__xludf.DUMMYFUNCTION("""COMPUTED_VALUE"""),1.0)</f>
        <v>1</v>
      </c>
      <c r="AD146" s="447">
        <f>IFERROR(__xludf.DUMMYFUNCTION("""COMPUTED_VALUE"""),50.0)</f>
        <v>50</v>
      </c>
      <c r="AE146" s="447">
        <f>IFERROR(__xludf.DUMMYFUNCTION("""COMPUTED_VALUE"""),7.0)</f>
        <v>7</v>
      </c>
      <c r="AF146" s="447">
        <f>IFERROR(__xludf.DUMMYFUNCTION("""COMPUTED_VALUE"""),2.0)</f>
        <v>2</v>
      </c>
      <c r="AG146" s="443" t="s">
        <v>117</v>
      </c>
      <c r="AH146" s="443" t="s">
        <v>343</v>
      </c>
      <c r="AI146" s="443"/>
      <c r="AJ146" s="443"/>
      <c r="AK146" s="443"/>
      <c r="AL146" s="443"/>
      <c r="AM146" s="443"/>
      <c r="AN146" s="443"/>
      <c r="AO146" s="443"/>
      <c r="AP146" s="443"/>
      <c r="AQ146" s="443"/>
      <c r="AR146" s="443"/>
      <c r="AS146" s="443"/>
      <c r="AT146" s="443"/>
      <c r="AU146" s="443"/>
      <c r="AV146" s="443"/>
      <c r="AW146" s="443"/>
      <c r="AX146" s="443"/>
      <c r="AY146" s="443"/>
      <c r="AZ146" s="443"/>
      <c r="BA146" s="443"/>
      <c r="BB146" s="443"/>
      <c r="BC146" s="443"/>
      <c r="BD146" s="443"/>
      <c r="BE146" s="443"/>
    </row>
    <row r="147" hidden="1">
      <c r="A147" s="445">
        <f t="shared" si="5"/>
        <v>45437</v>
      </c>
      <c r="B147" s="449">
        <v>320.0</v>
      </c>
      <c r="C147" s="462">
        <v>0.7458333333333333</v>
      </c>
      <c r="D147" s="462">
        <v>0.9465277777777777</v>
      </c>
      <c r="E147" s="436">
        <f t="array" ref="E147">IF(B147=0,"",(J147+K147)/60)</f>
        <v>0</v>
      </c>
      <c r="F147" s="437">
        <f t="shared" si="1"/>
        <v>4.816666667</v>
      </c>
      <c r="G147" s="438">
        <f t="shared" si="2"/>
        <v>66.43598616</v>
      </c>
      <c r="H147" s="438">
        <f t="shared" si="3"/>
        <v>66.43598616</v>
      </c>
      <c r="I147" s="436">
        <f t="shared" si="4"/>
        <v>1.384083045</v>
      </c>
      <c r="J147" s="460">
        <v>0.0</v>
      </c>
      <c r="K147" s="460">
        <v>0.0</v>
      </c>
      <c r="L147" s="443"/>
      <c r="M147" s="447">
        <f>IFERROR(__xludf.DUMMYFUNCTION("""COMPUTED_VALUE"""),57.0)</f>
        <v>57</v>
      </c>
      <c r="N147" s="447">
        <f>IFERROR(__xludf.DUMMYFUNCTION("""COMPUTED_VALUE"""),55.0)</f>
        <v>55</v>
      </c>
      <c r="O147" s="447">
        <f>IFERROR(__xludf.DUMMYFUNCTION("""COMPUTED_VALUE"""),0.0)</f>
        <v>0</v>
      </c>
      <c r="P147" s="447">
        <f>IFERROR(__xludf.DUMMYFUNCTION("""COMPUTED_VALUE"""),0.0)</f>
        <v>0</v>
      </c>
      <c r="Q147" s="447">
        <f>IFERROR(__xludf.DUMMYFUNCTION("""COMPUTED_VALUE"""),0.0)</f>
        <v>0</v>
      </c>
      <c r="R147" s="447">
        <f>IFERROR(__xludf.DUMMYFUNCTION("""COMPUTED_VALUE"""),0.0)</f>
        <v>0</v>
      </c>
      <c r="S147" s="447">
        <f>IFERROR(__xludf.DUMMYFUNCTION("""COMPUTED_VALUE"""),5.0)</f>
        <v>5</v>
      </c>
      <c r="T147" s="447">
        <f>IFERROR(__xludf.DUMMYFUNCTION("""COMPUTED_VALUE"""),0.0)</f>
        <v>0</v>
      </c>
      <c r="U147" s="447">
        <f>IFERROR(__xludf.DUMMYFUNCTION("""COMPUTED_VALUE"""),1.0)</f>
        <v>1</v>
      </c>
      <c r="V147" s="447">
        <f>IFERROR(__xludf.DUMMYFUNCTION("""COMPUTED_VALUE"""),2.0)</f>
        <v>2</v>
      </c>
      <c r="W147" s="447">
        <f>IFERROR(__xludf.DUMMYFUNCTION("""COMPUTED_VALUE"""),0.0)</f>
        <v>0</v>
      </c>
      <c r="X147" s="447">
        <f>IFERROR(__xludf.DUMMYFUNCTION("""COMPUTED_VALUE"""),0.0)</f>
        <v>0</v>
      </c>
      <c r="Y147" s="447">
        <f>IFERROR(__xludf.DUMMYFUNCTION("""COMPUTED_VALUE"""),0.0)</f>
        <v>0</v>
      </c>
      <c r="Z147" s="447">
        <f>IFERROR(__xludf.DUMMYFUNCTION("""COMPUTED_VALUE"""),0.0)</f>
        <v>0</v>
      </c>
      <c r="AA147" s="447">
        <f>IFERROR(__xludf.DUMMYFUNCTION("""COMPUTED_VALUE"""),0.0)</f>
        <v>0</v>
      </c>
      <c r="AB147" s="447">
        <f>IFERROR(__xludf.DUMMYFUNCTION("""COMPUTED_VALUE"""),0.0)</f>
        <v>0</v>
      </c>
      <c r="AC147" s="447">
        <f>IFERROR(__xludf.DUMMYFUNCTION("""COMPUTED_VALUE"""),0.0)</f>
        <v>0</v>
      </c>
      <c r="AD147" s="447">
        <f>IFERROR(__xludf.DUMMYFUNCTION("""COMPUTED_VALUE"""),48.0)</f>
        <v>48</v>
      </c>
      <c r="AE147" s="447">
        <f>IFERROR(__xludf.DUMMYFUNCTION("""COMPUTED_VALUE"""),9.0)</f>
        <v>9</v>
      </c>
      <c r="AF147" s="447">
        <f>IFERROR(__xludf.DUMMYFUNCTION("""COMPUTED_VALUE"""),2.0)</f>
        <v>2</v>
      </c>
      <c r="AG147" s="443" t="s">
        <v>117</v>
      </c>
      <c r="AH147" s="443" t="s">
        <v>343</v>
      </c>
      <c r="AI147" s="443"/>
      <c r="AJ147" s="443"/>
      <c r="AK147" s="443"/>
      <c r="AL147" s="443"/>
      <c r="AM147" s="443"/>
      <c r="AN147" s="443"/>
      <c r="AO147" s="443"/>
      <c r="AP147" s="443"/>
      <c r="AQ147" s="443"/>
      <c r="AR147" s="443"/>
      <c r="AS147" s="443"/>
      <c r="AT147" s="443"/>
      <c r="AU147" s="443"/>
      <c r="AV147" s="443"/>
      <c r="AW147" s="443"/>
      <c r="AX147" s="443"/>
      <c r="AY147" s="443"/>
      <c r="AZ147" s="443"/>
      <c r="BA147" s="443"/>
      <c r="BB147" s="443"/>
      <c r="BC147" s="443"/>
      <c r="BD147" s="443"/>
      <c r="BE147" s="443"/>
    </row>
    <row r="148" hidden="1">
      <c r="A148" s="445">
        <f t="shared" si="5"/>
        <v>45438</v>
      </c>
      <c r="B148" s="449">
        <v>0.0</v>
      </c>
      <c r="C148" s="443"/>
      <c r="D148" s="443"/>
      <c r="E148" s="436" t="str">
        <f t="array" ref="E148">IF(B148=0,"",(J148+K148)/60)</f>
        <v/>
      </c>
      <c r="F148" s="437" t="str">
        <f t="shared" si="1"/>
        <v/>
      </c>
      <c r="G148" s="438" t="str">
        <f t="shared" si="2"/>
        <v/>
      </c>
      <c r="H148" s="438" t="str">
        <f t="shared" si="3"/>
        <v/>
      </c>
      <c r="I148" s="436" t="str">
        <f t="shared" si="4"/>
        <v/>
      </c>
      <c r="J148" s="464"/>
      <c r="K148" s="464"/>
      <c r="L148" s="443"/>
      <c r="M148" s="447">
        <f>IFERROR(__xludf.DUMMYFUNCTION("""COMPUTED_VALUE"""),57.0)</f>
        <v>57</v>
      </c>
      <c r="N148" s="447">
        <f>IFERROR(__xludf.DUMMYFUNCTION("""COMPUTED_VALUE"""),57.0)</f>
        <v>57</v>
      </c>
      <c r="O148" s="447">
        <f>IFERROR(__xludf.DUMMYFUNCTION("""COMPUTED_VALUE"""),0.0)</f>
        <v>0</v>
      </c>
      <c r="P148" s="447">
        <f>IFERROR(__xludf.DUMMYFUNCTION("""COMPUTED_VALUE"""),0.0)</f>
        <v>0</v>
      </c>
      <c r="Q148" s="447">
        <f>IFERROR(__xludf.DUMMYFUNCTION("""COMPUTED_VALUE"""),0.0)</f>
        <v>0</v>
      </c>
      <c r="R148" s="447">
        <f>IFERROR(__xludf.DUMMYFUNCTION("""COMPUTED_VALUE"""),0.0)</f>
        <v>0</v>
      </c>
      <c r="S148" s="447">
        <f>IFERROR(__xludf.DUMMYFUNCTION("""COMPUTED_VALUE"""),0.0)</f>
        <v>0</v>
      </c>
      <c r="T148" s="447">
        <f>IFERROR(__xludf.DUMMYFUNCTION("""COMPUTED_VALUE"""),0.0)</f>
        <v>0</v>
      </c>
      <c r="U148" s="447">
        <f>IFERROR(__xludf.DUMMYFUNCTION("""COMPUTED_VALUE"""),0.0)</f>
        <v>0</v>
      </c>
      <c r="V148" s="447">
        <f>IFERROR(__xludf.DUMMYFUNCTION("""COMPUTED_VALUE"""),0.0)</f>
        <v>0</v>
      </c>
      <c r="W148" s="447">
        <f>IFERROR(__xludf.DUMMYFUNCTION("""COMPUTED_VALUE"""),0.0)</f>
        <v>0</v>
      </c>
      <c r="X148" s="447">
        <f>IFERROR(__xludf.DUMMYFUNCTION("""COMPUTED_VALUE"""),0.0)</f>
        <v>0</v>
      </c>
      <c r="Y148" s="447">
        <f>IFERROR(__xludf.DUMMYFUNCTION("""COMPUTED_VALUE"""),0.0)</f>
        <v>0</v>
      </c>
      <c r="Z148" s="447">
        <f>IFERROR(__xludf.DUMMYFUNCTION("""COMPUTED_VALUE"""),0.0)</f>
        <v>0</v>
      </c>
      <c r="AA148" s="447">
        <f>IFERROR(__xludf.DUMMYFUNCTION("""COMPUTED_VALUE"""),0.0)</f>
        <v>0</v>
      </c>
      <c r="AB148" s="447">
        <f>IFERROR(__xludf.DUMMYFUNCTION("""COMPUTED_VALUE"""),0.0)</f>
        <v>0</v>
      </c>
      <c r="AC148" s="447">
        <f>IFERROR(__xludf.DUMMYFUNCTION("""COMPUTED_VALUE"""),0.0)</f>
        <v>0</v>
      </c>
      <c r="AD148" s="447">
        <f>IFERROR(__xludf.DUMMYFUNCTION("""COMPUTED_VALUE"""),0.0)</f>
        <v>0</v>
      </c>
      <c r="AE148" s="447">
        <f>IFERROR(__xludf.DUMMYFUNCTION("""COMPUTED_VALUE"""),0.0)</f>
        <v>0</v>
      </c>
      <c r="AF148" s="447">
        <f>IFERROR(__xludf.DUMMYFUNCTION("""COMPUTED_VALUE"""),0.0)</f>
        <v>0</v>
      </c>
      <c r="AG148" s="443" t="s">
        <v>117</v>
      </c>
      <c r="AH148" s="443" t="s">
        <v>343</v>
      </c>
      <c r="AI148" s="443"/>
      <c r="AJ148" s="443"/>
      <c r="AK148" s="443"/>
      <c r="AL148" s="443"/>
      <c r="AM148" s="443"/>
      <c r="AN148" s="443"/>
      <c r="AO148" s="443"/>
      <c r="AP148" s="443"/>
      <c r="AQ148" s="443"/>
      <c r="AR148" s="443"/>
      <c r="AS148" s="443"/>
      <c r="AT148" s="443"/>
      <c r="AU148" s="443"/>
      <c r="AV148" s="443"/>
      <c r="AW148" s="443"/>
      <c r="AX148" s="443"/>
      <c r="AY148" s="443"/>
      <c r="AZ148" s="443"/>
      <c r="BA148" s="443"/>
      <c r="BB148" s="443"/>
      <c r="BC148" s="443"/>
      <c r="BD148" s="443"/>
      <c r="BE148" s="443"/>
    </row>
    <row r="149" hidden="1">
      <c r="A149" s="445">
        <f t="shared" si="5"/>
        <v>45439</v>
      </c>
      <c r="B149" s="449">
        <v>498.0</v>
      </c>
      <c r="C149" s="462">
        <v>0.6</v>
      </c>
      <c r="D149" s="462">
        <v>0.9881944444444445</v>
      </c>
      <c r="E149" s="436">
        <f t="array" ref="E149">IF(B149=0,"",(J149+K149)/60)</f>
        <v>0.75</v>
      </c>
      <c r="F149" s="437">
        <f t="shared" si="1"/>
        <v>9.316666667</v>
      </c>
      <c r="G149" s="438">
        <f t="shared" si="2"/>
        <v>53.45259392</v>
      </c>
      <c r="H149" s="438">
        <f t="shared" si="3"/>
        <v>58.13229572</v>
      </c>
      <c r="I149" s="436">
        <f t="shared" si="4"/>
        <v>1.048090077</v>
      </c>
      <c r="J149" s="460">
        <v>45.0</v>
      </c>
      <c r="K149" s="464"/>
      <c r="L149" s="443"/>
      <c r="M149" s="447">
        <f>IFERROR(__xludf.DUMMYFUNCTION("""COMPUTED_VALUE"""),57.0)</f>
        <v>57</v>
      </c>
      <c r="N149" s="447">
        <f>IFERROR(__xludf.DUMMYFUNCTION("""COMPUTED_VALUE"""),55.0)</f>
        <v>55</v>
      </c>
      <c r="O149" s="447">
        <f>IFERROR(__xludf.DUMMYFUNCTION("""COMPUTED_VALUE"""),0.0)</f>
        <v>0</v>
      </c>
      <c r="P149" s="447">
        <f>IFERROR(__xludf.DUMMYFUNCTION("""COMPUTED_VALUE"""),0.0)</f>
        <v>0</v>
      </c>
      <c r="Q149" s="447">
        <f>IFERROR(__xludf.DUMMYFUNCTION("""COMPUTED_VALUE"""),0.0)</f>
        <v>0</v>
      </c>
      <c r="R149" s="447">
        <f>IFERROR(__xludf.DUMMYFUNCTION("""COMPUTED_VALUE"""),0.0)</f>
        <v>0</v>
      </c>
      <c r="S149" s="447">
        <f>IFERROR(__xludf.DUMMYFUNCTION("""COMPUTED_VALUE"""),2.0)</f>
        <v>2</v>
      </c>
      <c r="T149" s="447">
        <f>IFERROR(__xludf.DUMMYFUNCTION("""COMPUTED_VALUE"""),0.0)</f>
        <v>0</v>
      </c>
      <c r="U149" s="447">
        <f>IFERROR(__xludf.DUMMYFUNCTION("""COMPUTED_VALUE"""),1.0)</f>
        <v>1</v>
      </c>
      <c r="V149" s="447">
        <f>IFERROR(__xludf.DUMMYFUNCTION("""COMPUTED_VALUE"""),2.0)</f>
        <v>2</v>
      </c>
      <c r="W149" s="447">
        <f>IFERROR(__xludf.DUMMYFUNCTION("""COMPUTED_VALUE"""),0.0)</f>
        <v>0</v>
      </c>
      <c r="X149" s="447">
        <f>IFERROR(__xludf.DUMMYFUNCTION("""COMPUTED_VALUE"""),0.0)</f>
        <v>0</v>
      </c>
      <c r="Y149" s="447">
        <f>IFERROR(__xludf.DUMMYFUNCTION("""COMPUTED_VALUE"""),0.0)</f>
        <v>0</v>
      </c>
      <c r="Z149" s="447">
        <f>IFERROR(__xludf.DUMMYFUNCTION("""COMPUTED_VALUE"""),0.0)</f>
        <v>0</v>
      </c>
      <c r="AA149" s="447">
        <f>IFERROR(__xludf.DUMMYFUNCTION("""COMPUTED_VALUE"""),0.0)</f>
        <v>0</v>
      </c>
      <c r="AB149" s="447">
        <f>IFERROR(__xludf.DUMMYFUNCTION("""COMPUTED_VALUE"""),0.0)</f>
        <v>0</v>
      </c>
      <c r="AC149" s="447">
        <f>IFERROR(__xludf.DUMMYFUNCTION("""COMPUTED_VALUE"""),0.0)</f>
        <v>0</v>
      </c>
      <c r="AD149" s="447">
        <f>IFERROR(__xludf.DUMMYFUNCTION("""COMPUTED_VALUE"""),51.0)</f>
        <v>51</v>
      </c>
      <c r="AE149" s="447">
        <f>IFERROR(__xludf.DUMMYFUNCTION("""COMPUTED_VALUE"""),6.0)</f>
        <v>6</v>
      </c>
      <c r="AF149" s="447">
        <f>IFERROR(__xludf.DUMMYFUNCTION("""COMPUTED_VALUE"""),2.0)</f>
        <v>2</v>
      </c>
      <c r="AG149" s="443" t="s">
        <v>117</v>
      </c>
      <c r="AH149" s="443" t="s">
        <v>343</v>
      </c>
      <c r="AI149" s="443"/>
      <c r="AJ149" s="443"/>
      <c r="AK149" s="443"/>
      <c r="AL149" s="443"/>
      <c r="AM149" s="443"/>
      <c r="AN149" s="443"/>
      <c r="AO149" s="443"/>
      <c r="AP149" s="443"/>
      <c r="AQ149" s="443"/>
      <c r="AR149" s="443"/>
      <c r="AS149" s="443"/>
      <c r="AT149" s="443"/>
      <c r="AU149" s="443"/>
      <c r="AV149" s="443"/>
      <c r="AW149" s="443"/>
      <c r="AX149" s="443"/>
      <c r="AY149" s="443"/>
      <c r="AZ149" s="443"/>
      <c r="BA149" s="443"/>
      <c r="BB149" s="443"/>
      <c r="BC149" s="443"/>
      <c r="BD149" s="443"/>
      <c r="BE149" s="443"/>
    </row>
    <row r="150" hidden="1">
      <c r="A150" s="445">
        <f t="shared" si="5"/>
        <v>45440</v>
      </c>
      <c r="B150" s="449">
        <v>405.0</v>
      </c>
      <c r="C150" s="462">
        <v>0.6</v>
      </c>
      <c r="D150" s="462">
        <v>0.9666666666666667</v>
      </c>
      <c r="E150" s="436">
        <f t="array" ref="E150">IF(B150=0,"",(J150+K150)/60)</f>
        <v>1.083333333</v>
      </c>
      <c r="F150" s="437">
        <f t="shared" si="1"/>
        <v>8.8</v>
      </c>
      <c r="G150" s="438">
        <f t="shared" si="2"/>
        <v>46.02272727</v>
      </c>
      <c r="H150" s="438">
        <f t="shared" si="3"/>
        <v>52.4838013</v>
      </c>
      <c r="I150" s="436">
        <f t="shared" si="4"/>
        <v>0.9204545455</v>
      </c>
      <c r="J150" s="460">
        <v>15.0</v>
      </c>
      <c r="K150" s="464">
        <f>27+23</f>
        <v>50</v>
      </c>
      <c r="L150" s="443"/>
      <c r="M150" s="447">
        <f>IFERROR(__xludf.DUMMYFUNCTION("""COMPUTED_VALUE"""),57.0)</f>
        <v>57</v>
      </c>
      <c r="N150" s="447">
        <f>IFERROR(__xludf.DUMMYFUNCTION("""COMPUTED_VALUE"""),56.0)</f>
        <v>56</v>
      </c>
      <c r="O150" s="447">
        <f>IFERROR(__xludf.DUMMYFUNCTION("""COMPUTED_VALUE"""),0.0)</f>
        <v>0</v>
      </c>
      <c r="P150" s="447">
        <f>IFERROR(__xludf.DUMMYFUNCTION("""COMPUTED_VALUE"""),0.0)</f>
        <v>0</v>
      </c>
      <c r="Q150" s="447">
        <f>IFERROR(__xludf.DUMMYFUNCTION("""COMPUTED_VALUE"""),0.0)</f>
        <v>0</v>
      </c>
      <c r="R150" s="447">
        <f>IFERROR(__xludf.DUMMYFUNCTION("""COMPUTED_VALUE"""),0.0)</f>
        <v>0</v>
      </c>
      <c r="S150" s="447">
        <f>IFERROR(__xludf.DUMMYFUNCTION("""COMPUTED_VALUE"""),2.0)</f>
        <v>2</v>
      </c>
      <c r="T150" s="447">
        <f>IFERROR(__xludf.DUMMYFUNCTION("""COMPUTED_VALUE"""),0.0)</f>
        <v>0</v>
      </c>
      <c r="U150" s="447">
        <f>IFERROR(__xludf.DUMMYFUNCTION("""COMPUTED_VALUE"""),0.0)</f>
        <v>0</v>
      </c>
      <c r="V150" s="447">
        <f>IFERROR(__xludf.DUMMYFUNCTION("""COMPUTED_VALUE"""),2.0)</f>
        <v>2</v>
      </c>
      <c r="W150" s="447">
        <f>IFERROR(__xludf.DUMMYFUNCTION("""COMPUTED_VALUE"""),0.0)</f>
        <v>0</v>
      </c>
      <c r="X150" s="447">
        <f>IFERROR(__xludf.DUMMYFUNCTION("""COMPUTED_VALUE"""),0.0)</f>
        <v>0</v>
      </c>
      <c r="Y150" s="447">
        <f>IFERROR(__xludf.DUMMYFUNCTION("""COMPUTED_VALUE"""),0.0)</f>
        <v>0</v>
      </c>
      <c r="Z150" s="447">
        <f>IFERROR(__xludf.DUMMYFUNCTION("""COMPUTED_VALUE"""),0.0)</f>
        <v>0</v>
      </c>
      <c r="AA150" s="447">
        <f>IFERROR(__xludf.DUMMYFUNCTION("""COMPUTED_VALUE"""),0.0)</f>
        <v>0</v>
      </c>
      <c r="AB150" s="447">
        <f>IFERROR(__xludf.DUMMYFUNCTION("""COMPUTED_VALUE"""),1.0)</f>
        <v>1</v>
      </c>
      <c r="AC150" s="447">
        <f>IFERROR(__xludf.DUMMYFUNCTION("""COMPUTED_VALUE"""),1.0)</f>
        <v>1</v>
      </c>
      <c r="AD150" s="447">
        <f>IFERROR(__xludf.DUMMYFUNCTION("""COMPUTED_VALUE"""),50.0)</f>
        <v>50</v>
      </c>
      <c r="AE150" s="447">
        <f>IFERROR(__xludf.DUMMYFUNCTION("""COMPUTED_VALUE"""),6.0)</f>
        <v>6</v>
      </c>
      <c r="AF150" s="447">
        <f>IFERROR(__xludf.DUMMYFUNCTION("""COMPUTED_VALUE"""),1.0)</f>
        <v>1</v>
      </c>
      <c r="AG150" s="443" t="s">
        <v>117</v>
      </c>
      <c r="AH150" s="443" t="s">
        <v>343</v>
      </c>
      <c r="AI150" s="443"/>
      <c r="AJ150" s="443"/>
      <c r="AK150" s="443"/>
      <c r="AL150" s="443"/>
      <c r="AM150" s="443"/>
      <c r="AN150" s="443"/>
      <c r="AO150" s="443"/>
      <c r="AP150" s="443"/>
      <c r="AQ150" s="443"/>
      <c r="AR150" s="443"/>
      <c r="AS150" s="443"/>
      <c r="AT150" s="443"/>
      <c r="AU150" s="443"/>
      <c r="AV150" s="443"/>
      <c r="AW150" s="443"/>
      <c r="AX150" s="443"/>
      <c r="AY150" s="443"/>
      <c r="AZ150" s="443"/>
      <c r="BA150" s="443"/>
      <c r="BB150" s="443"/>
      <c r="BC150" s="443"/>
      <c r="BD150" s="443"/>
      <c r="BE150" s="443"/>
    </row>
    <row r="151" hidden="1">
      <c r="A151" s="445">
        <f t="shared" si="5"/>
        <v>45441</v>
      </c>
      <c r="B151" s="449">
        <v>426.0</v>
      </c>
      <c r="C151" s="462">
        <v>0.6</v>
      </c>
      <c r="D151" s="462">
        <v>0.9368055555555556</v>
      </c>
      <c r="E151" s="436">
        <f t="array" ref="E151">IF(B151=0,"",(J151+K151)/60)</f>
        <v>0.5</v>
      </c>
      <c r="F151" s="437">
        <f t="shared" si="1"/>
        <v>8.083333333</v>
      </c>
      <c r="G151" s="438">
        <f t="shared" si="2"/>
        <v>52.70103093</v>
      </c>
      <c r="H151" s="438">
        <f t="shared" si="3"/>
        <v>56.17582418</v>
      </c>
      <c r="I151" s="436">
        <f t="shared" si="4"/>
        <v>1.013481364</v>
      </c>
      <c r="J151" s="460">
        <v>30.0</v>
      </c>
      <c r="K151" s="464"/>
      <c r="L151" s="443"/>
      <c r="M151" s="447">
        <f>IFERROR(__xludf.DUMMYFUNCTION("""COMPUTED_VALUE"""),57.0)</f>
        <v>57</v>
      </c>
      <c r="N151" s="447">
        <f>IFERROR(__xludf.DUMMYFUNCTION("""COMPUTED_VALUE"""),56.0)</f>
        <v>56</v>
      </c>
      <c r="O151" s="447">
        <f>IFERROR(__xludf.DUMMYFUNCTION("""COMPUTED_VALUE"""),0.0)</f>
        <v>0</v>
      </c>
      <c r="P151" s="447">
        <f>IFERROR(__xludf.DUMMYFUNCTION("""COMPUTED_VALUE"""),0.0)</f>
        <v>0</v>
      </c>
      <c r="Q151" s="447">
        <f>IFERROR(__xludf.DUMMYFUNCTION("""COMPUTED_VALUE"""),0.0)</f>
        <v>0</v>
      </c>
      <c r="R151" s="447">
        <f>IFERROR(__xludf.DUMMYFUNCTION("""COMPUTED_VALUE"""),0.0)</f>
        <v>0</v>
      </c>
      <c r="S151" s="447">
        <f>IFERROR(__xludf.DUMMYFUNCTION("""COMPUTED_VALUE"""),3.0)</f>
        <v>3</v>
      </c>
      <c r="T151" s="447">
        <f>IFERROR(__xludf.DUMMYFUNCTION("""COMPUTED_VALUE"""),0.0)</f>
        <v>0</v>
      </c>
      <c r="U151" s="447">
        <f>IFERROR(__xludf.DUMMYFUNCTION("""COMPUTED_VALUE"""),0.0)</f>
        <v>0</v>
      </c>
      <c r="V151" s="447">
        <f>IFERROR(__xludf.DUMMYFUNCTION("""COMPUTED_VALUE"""),1.0)</f>
        <v>1</v>
      </c>
      <c r="W151" s="447">
        <f>IFERROR(__xludf.DUMMYFUNCTION("""COMPUTED_VALUE"""),0.0)</f>
        <v>0</v>
      </c>
      <c r="X151" s="447">
        <f>IFERROR(__xludf.DUMMYFUNCTION("""COMPUTED_VALUE"""),0.0)</f>
        <v>0</v>
      </c>
      <c r="Y151" s="447">
        <f>IFERROR(__xludf.DUMMYFUNCTION("""COMPUTED_VALUE"""),0.0)</f>
        <v>0</v>
      </c>
      <c r="Z151" s="447">
        <f>IFERROR(__xludf.DUMMYFUNCTION("""COMPUTED_VALUE"""),0.0)</f>
        <v>0</v>
      </c>
      <c r="AA151" s="447">
        <f>IFERROR(__xludf.DUMMYFUNCTION("""COMPUTED_VALUE"""),0.0)</f>
        <v>0</v>
      </c>
      <c r="AB151" s="447">
        <f>IFERROR(__xludf.DUMMYFUNCTION("""COMPUTED_VALUE"""),0.0)</f>
        <v>0</v>
      </c>
      <c r="AC151" s="447">
        <f>IFERROR(__xludf.DUMMYFUNCTION("""COMPUTED_VALUE"""),0.0)</f>
        <v>0</v>
      </c>
      <c r="AD151" s="447">
        <f>IFERROR(__xludf.DUMMYFUNCTION("""COMPUTED_VALUE"""),52.0)</f>
        <v>52</v>
      </c>
      <c r="AE151" s="447">
        <f>IFERROR(__xludf.DUMMYFUNCTION("""COMPUTED_VALUE"""),5.0)</f>
        <v>5</v>
      </c>
      <c r="AF151" s="447">
        <f>IFERROR(__xludf.DUMMYFUNCTION("""COMPUTED_VALUE"""),1.0)</f>
        <v>1</v>
      </c>
      <c r="AG151" s="443" t="s">
        <v>117</v>
      </c>
      <c r="AH151" s="443" t="s">
        <v>343</v>
      </c>
      <c r="AI151" s="443"/>
      <c r="AJ151" s="443"/>
      <c r="AK151" s="443"/>
      <c r="AL151" s="443"/>
      <c r="AM151" s="443"/>
      <c r="AN151" s="443"/>
      <c r="AO151" s="443"/>
      <c r="AP151" s="443"/>
      <c r="AQ151" s="443"/>
      <c r="AR151" s="443"/>
      <c r="AS151" s="443"/>
      <c r="AT151" s="443"/>
      <c r="AU151" s="443"/>
      <c r="AV151" s="443"/>
      <c r="AW151" s="443"/>
      <c r="AX151" s="443"/>
      <c r="AY151" s="443"/>
      <c r="AZ151" s="443"/>
      <c r="BA151" s="443"/>
      <c r="BB151" s="443"/>
      <c r="BC151" s="443"/>
      <c r="BD151" s="443"/>
      <c r="BE151" s="443"/>
    </row>
    <row r="152" hidden="1">
      <c r="A152" s="445">
        <f t="shared" si="5"/>
        <v>45442</v>
      </c>
      <c r="B152" s="535">
        <v>380.0</v>
      </c>
      <c r="C152" s="527">
        <v>0.6</v>
      </c>
      <c r="D152" s="527">
        <v>0.9145833333333333</v>
      </c>
      <c r="E152" s="436">
        <f t="array" ref="E152">IF(B152=0,"",(J152+K152)/60)</f>
        <v>0.5</v>
      </c>
      <c r="F152" s="437">
        <f t="shared" si="1"/>
        <v>7.55</v>
      </c>
      <c r="G152" s="438">
        <f t="shared" si="2"/>
        <v>50.33112583</v>
      </c>
      <c r="H152" s="438">
        <f t="shared" si="3"/>
        <v>53.90070922</v>
      </c>
      <c r="I152" s="436">
        <f t="shared" si="4"/>
        <v>1.006622517</v>
      </c>
      <c r="J152" s="531">
        <v>30.0</v>
      </c>
      <c r="K152" s="532"/>
      <c r="L152" s="511" t="s">
        <v>483</v>
      </c>
      <c r="M152" s="533">
        <f>IFERROR(__xludf.DUMMYFUNCTION("""COMPUTED_VALUE"""),57.0)</f>
        <v>57</v>
      </c>
      <c r="N152" s="533">
        <f>IFERROR(__xludf.DUMMYFUNCTION("""COMPUTED_VALUE"""),56.0)</f>
        <v>56</v>
      </c>
      <c r="O152" s="533">
        <f>IFERROR(__xludf.DUMMYFUNCTION("""COMPUTED_VALUE"""),0.0)</f>
        <v>0</v>
      </c>
      <c r="P152" s="533">
        <f>IFERROR(__xludf.DUMMYFUNCTION("""COMPUTED_VALUE"""),0.0)</f>
        <v>0</v>
      </c>
      <c r="Q152" s="533">
        <f>IFERROR(__xludf.DUMMYFUNCTION("""COMPUTED_VALUE"""),0.0)</f>
        <v>0</v>
      </c>
      <c r="R152" s="533">
        <f>IFERROR(__xludf.DUMMYFUNCTION("""COMPUTED_VALUE"""),0.0)</f>
        <v>0</v>
      </c>
      <c r="S152" s="533">
        <f>IFERROR(__xludf.DUMMYFUNCTION("""COMPUTED_VALUE"""),3.0)</f>
        <v>3</v>
      </c>
      <c r="T152" s="533">
        <f>IFERROR(__xludf.DUMMYFUNCTION("""COMPUTED_VALUE"""),1.0)</f>
        <v>1</v>
      </c>
      <c r="U152" s="533">
        <f>IFERROR(__xludf.DUMMYFUNCTION("""COMPUTED_VALUE"""),0.0)</f>
        <v>0</v>
      </c>
      <c r="V152" s="533">
        <f>IFERROR(__xludf.DUMMYFUNCTION("""COMPUTED_VALUE"""),1.0)</f>
        <v>1</v>
      </c>
      <c r="W152" s="533">
        <f>IFERROR(__xludf.DUMMYFUNCTION("""COMPUTED_VALUE"""),0.0)</f>
        <v>0</v>
      </c>
      <c r="X152" s="533">
        <f>IFERROR(__xludf.DUMMYFUNCTION("""COMPUTED_VALUE"""),0.0)</f>
        <v>0</v>
      </c>
      <c r="Y152" s="533">
        <f>IFERROR(__xludf.DUMMYFUNCTION("""COMPUTED_VALUE"""),0.0)</f>
        <v>0</v>
      </c>
      <c r="Z152" s="533">
        <f>IFERROR(__xludf.DUMMYFUNCTION("""COMPUTED_VALUE"""),0.0)</f>
        <v>0</v>
      </c>
      <c r="AA152" s="533">
        <f>IFERROR(__xludf.DUMMYFUNCTION("""COMPUTED_VALUE"""),0.0)</f>
        <v>0</v>
      </c>
      <c r="AB152" s="533">
        <f>IFERROR(__xludf.DUMMYFUNCTION("""COMPUTED_VALUE"""),0.0)</f>
        <v>0</v>
      </c>
      <c r="AC152" s="533">
        <f>IFERROR(__xludf.DUMMYFUNCTION("""COMPUTED_VALUE"""),1.0)</f>
        <v>1</v>
      </c>
      <c r="AD152" s="533">
        <f>IFERROR(__xludf.DUMMYFUNCTION("""COMPUTED_VALUE"""),50.0)</f>
        <v>50</v>
      </c>
      <c r="AE152" s="533">
        <f>IFERROR(__xludf.DUMMYFUNCTION("""COMPUTED_VALUE"""),7.0)</f>
        <v>7</v>
      </c>
      <c r="AF152" s="533">
        <f>IFERROR(__xludf.DUMMYFUNCTION("""COMPUTED_VALUE"""),1.0)</f>
        <v>1</v>
      </c>
      <c r="AG152" s="534" t="s">
        <v>117</v>
      </c>
      <c r="AH152" s="534" t="s">
        <v>343</v>
      </c>
      <c r="AI152" s="534"/>
      <c r="AJ152" s="534"/>
      <c r="AK152" s="534"/>
      <c r="AL152" s="534"/>
      <c r="AM152" s="534"/>
      <c r="AN152" s="534"/>
      <c r="AO152" s="534"/>
      <c r="AP152" s="534"/>
      <c r="AQ152" s="534"/>
      <c r="AR152" s="534"/>
      <c r="AS152" s="534"/>
      <c r="AT152" s="534"/>
      <c r="AU152" s="534"/>
      <c r="AV152" s="534"/>
      <c r="AW152" s="534"/>
      <c r="AX152" s="534"/>
      <c r="AY152" s="534"/>
      <c r="AZ152" s="534"/>
      <c r="BA152" s="534"/>
      <c r="BB152" s="534"/>
      <c r="BC152" s="534"/>
      <c r="BD152" s="534"/>
      <c r="BE152" s="534"/>
    </row>
    <row r="153" hidden="1">
      <c r="A153" s="445">
        <f t="shared" si="5"/>
        <v>45443</v>
      </c>
      <c r="B153" s="449">
        <v>357.0</v>
      </c>
      <c r="C153" s="527">
        <v>0.6</v>
      </c>
      <c r="D153" s="462">
        <v>0.875</v>
      </c>
      <c r="E153" s="436">
        <f t="array" ref="E153">IF(B153=0,"",(J153+K153)/60)</f>
        <v>0.5</v>
      </c>
      <c r="F153" s="437">
        <f t="shared" si="1"/>
        <v>6.6</v>
      </c>
      <c r="G153" s="438">
        <f t="shared" si="2"/>
        <v>54.09090909</v>
      </c>
      <c r="H153" s="438">
        <f t="shared" si="3"/>
        <v>58.52459016</v>
      </c>
      <c r="I153" s="436">
        <f t="shared" si="4"/>
        <v>1.02058319</v>
      </c>
      <c r="J153" s="460">
        <v>30.0</v>
      </c>
      <c r="K153" s="464"/>
      <c r="L153" s="443"/>
      <c r="M153" s="447">
        <f>IFERROR(__xludf.DUMMYFUNCTION("""COMPUTED_VALUE"""),57.0)</f>
        <v>57</v>
      </c>
      <c r="N153" s="447">
        <f>IFERROR(__xludf.DUMMYFUNCTION("""COMPUTED_VALUE"""),56.0)</f>
        <v>56</v>
      </c>
      <c r="O153" s="447">
        <f>IFERROR(__xludf.DUMMYFUNCTION("""COMPUTED_VALUE"""),0.0)</f>
        <v>0</v>
      </c>
      <c r="P153" s="447">
        <f>IFERROR(__xludf.DUMMYFUNCTION("""COMPUTED_VALUE"""),0.0)</f>
        <v>0</v>
      </c>
      <c r="Q153" s="447">
        <f>IFERROR(__xludf.DUMMYFUNCTION("""COMPUTED_VALUE"""),0.0)</f>
        <v>0</v>
      </c>
      <c r="R153" s="447">
        <f>IFERROR(__xludf.DUMMYFUNCTION("""COMPUTED_VALUE"""),0.0)</f>
        <v>0</v>
      </c>
      <c r="S153" s="447">
        <f>IFERROR(__xludf.DUMMYFUNCTION("""COMPUTED_VALUE"""),2.0)</f>
        <v>2</v>
      </c>
      <c r="T153" s="447">
        <f>IFERROR(__xludf.DUMMYFUNCTION("""COMPUTED_VALUE"""),0.0)</f>
        <v>0</v>
      </c>
      <c r="U153" s="447">
        <f>IFERROR(__xludf.DUMMYFUNCTION("""COMPUTED_VALUE"""),0.0)</f>
        <v>0</v>
      </c>
      <c r="V153" s="447">
        <f>IFERROR(__xludf.DUMMYFUNCTION("""COMPUTED_VALUE"""),1.0)</f>
        <v>1</v>
      </c>
      <c r="W153" s="447">
        <f>IFERROR(__xludf.DUMMYFUNCTION("""COMPUTED_VALUE"""),0.0)</f>
        <v>0</v>
      </c>
      <c r="X153" s="447">
        <f>IFERROR(__xludf.DUMMYFUNCTION("""COMPUTED_VALUE"""),0.0)</f>
        <v>0</v>
      </c>
      <c r="Y153" s="447">
        <f>IFERROR(__xludf.DUMMYFUNCTION("""COMPUTED_VALUE"""),0.0)</f>
        <v>0</v>
      </c>
      <c r="Z153" s="447">
        <f>IFERROR(__xludf.DUMMYFUNCTION("""COMPUTED_VALUE"""),0.0)</f>
        <v>0</v>
      </c>
      <c r="AA153" s="447">
        <f>IFERROR(__xludf.DUMMYFUNCTION("""COMPUTED_VALUE"""),0.0)</f>
        <v>0</v>
      </c>
      <c r="AB153" s="447">
        <f>IFERROR(__xludf.DUMMYFUNCTION("""COMPUTED_VALUE"""),0.0)</f>
        <v>0</v>
      </c>
      <c r="AC153" s="447">
        <f>IFERROR(__xludf.DUMMYFUNCTION("""COMPUTED_VALUE"""),0.0)</f>
        <v>0</v>
      </c>
      <c r="AD153" s="447">
        <f>IFERROR(__xludf.DUMMYFUNCTION("""COMPUTED_VALUE"""),53.0)</f>
        <v>53</v>
      </c>
      <c r="AE153" s="447">
        <f>IFERROR(__xludf.DUMMYFUNCTION("""COMPUTED_VALUE"""),4.0)</f>
        <v>4</v>
      </c>
      <c r="AF153" s="447">
        <f>IFERROR(__xludf.DUMMYFUNCTION("""COMPUTED_VALUE"""),1.0)</f>
        <v>1</v>
      </c>
      <c r="AG153" s="443" t="s">
        <v>117</v>
      </c>
      <c r="AH153" s="443" t="s">
        <v>343</v>
      </c>
      <c r="AI153" s="443"/>
      <c r="AJ153" s="443"/>
      <c r="AK153" s="443"/>
      <c r="AL153" s="443"/>
      <c r="AM153" s="443"/>
      <c r="AN153" s="443"/>
      <c r="AO153" s="443"/>
      <c r="AP153" s="443"/>
      <c r="AQ153" s="443"/>
      <c r="AR153" s="443"/>
      <c r="AS153" s="443"/>
      <c r="AT153" s="443"/>
      <c r="AU153" s="443"/>
      <c r="AV153" s="443"/>
      <c r="AW153" s="443"/>
      <c r="AX153" s="443"/>
      <c r="AY153" s="443"/>
      <c r="AZ153" s="443"/>
      <c r="BA153" s="443"/>
      <c r="BB153" s="443"/>
      <c r="BC153" s="443"/>
      <c r="BD153" s="443"/>
      <c r="BE153" s="443"/>
    </row>
    <row r="154" hidden="1">
      <c r="A154" s="445">
        <f t="shared" si="5"/>
        <v>45444</v>
      </c>
      <c r="B154" s="449">
        <v>278.0</v>
      </c>
      <c r="C154" s="462">
        <v>0.6</v>
      </c>
      <c r="D154" s="462">
        <v>0.8368055555555556</v>
      </c>
      <c r="E154" s="436">
        <f t="array" ref="E154">IF(B154=0,"",(J154+K154)/60)</f>
        <v>0.25</v>
      </c>
      <c r="F154" s="437">
        <f t="shared" si="1"/>
        <v>5.683333333</v>
      </c>
      <c r="G154" s="438">
        <f t="shared" si="2"/>
        <v>48.91495601</v>
      </c>
      <c r="H154" s="438">
        <f t="shared" si="3"/>
        <v>51.16564417</v>
      </c>
      <c r="I154" s="436">
        <f t="shared" si="4"/>
        <v>1.111703546</v>
      </c>
      <c r="J154" s="460">
        <v>15.0</v>
      </c>
      <c r="K154" s="464"/>
      <c r="L154" s="443"/>
      <c r="M154" s="536">
        <f>IFERROR(__xludf.DUMMYFUNCTION("TRANSPOSE(IMPORTRANGE(""https://docs.google.com/spreadsheets/d/1CNeKSHTeNNJnfn5EymHwGg5Mkuk6EcepW7_9QkJxalc/edit#gid=1218471306"",""JUNIO 2024!F2:AI21""))"),57.0)</f>
        <v>57</v>
      </c>
      <c r="N154" s="447">
        <f>IFERROR(__xludf.DUMMYFUNCTION("""COMPUTED_VALUE"""),56.0)</f>
        <v>56</v>
      </c>
      <c r="O154" s="447">
        <f>IFERROR(__xludf.DUMMYFUNCTION("""COMPUTED_VALUE"""),0.0)</f>
        <v>0</v>
      </c>
      <c r="P154" s="447">
        <f>IFERROR(__xludf.DUMMYFUNCTION("""COMPUTED_VALUE"""),0.0)</f>
        <v>0</v>
      </c>
      <c r="Q154" s="447">
        <f>IFERROR(__xludf.DUMMYFUNCTION("""COMPUTED_VALUE"""),6.0)</f>
        <v>6</v>
      </c>
      <c r="R154" s="447">
        <f>IFERROR(__xludf.DUMMYFUNCTION("""COMPUTED_VALUE"""),0.0)</f>
        <v>0</v>
      </c>
      <c r="S154" s="447">
        <f>IFERROR(__xludf.DUMMYFUNCTION("""COMPUTED_VALUE"""),2.0)</f>
        <v>2</v>
      </c>
      <c r="T154" s="447">
        <f>IFERROR(__xludf.DUMMYFUNCTION("""COMPUTED_VALUE"""),1.0)</f>
        <v>1</v>
      </c>
      <c r="U154" s="447">
        <f>IFERROR(__xludf.DUMMYFUNCTION("""COMPUTED_VALUE"""),0.0)</f>
        <v>0</v>
      </c>
      <c r="V154" s="447">
        <f>IFERROR(__xludf.DUMMYFUNCTION("""COMPUTED_VALUE"""),2.0)</f>
        <v>2</v>
      </c>
      <c r="W154" s="447">
        <f>IFERROR(__xludf.DUMMYFUNCTION("""COMPUTED_VALUE"""),0.0)</f>
        <v>0</v>
      </c>
      <c r="X154" s="447">
        <f>IFERROR(__xludf.DUMMYFUNCTION("""COMPUTED_VALUE"""),0.0)</f>
        <v>0</v>
      </c>
      <c r="Y154" s="447">
        <f>IFERROR(__xludf.DUMMYFUNCTION("""COMPUTED_VALUE"""),0.0)</f>
        <v>0</v>
      </c>
      <c r="Z154" s="447">
        <f>IFERROR(__xludf.DUMMYFUNCTION("""COMPUTED_VALUE"""),0.0)</f>
        <v>0</v>
      </c>
      <c r="AA154" s="447">
        <f>IFERROR(__xludf.DUMMYFUNCTION("""COMPUTED_VALUE"""),0.0)</f>
        <v>0</v>
      </c>
      <c r="AB154" s="447">
        <f>IFERROR(__xludf.DUMMYFUNCTION("""COMPUTED_VALUE"""),0.0)</f>
        <v>0</v>
      </c>
      <c r="AC154" s="447">
        <f>IFERROR(__xludf.DUMMYFUNCTION("""COMPUTED_VALUE"""),1.0)</f>
        <v>1</v>
      </c>
      <c r="AD154" s="447">
        <f>IFERROR(__xludf.DUMMYFUNCTION("""COMPUTED_VALUE"""),44.0)</f>
        <v>44</v>
      </c>
      <c r="AE154" s="447">
        <f>IFERROR(__xludf.DUMMYFUNCTION("""COMPUTED_VALUE"""),13.0)</f>
        <v>13</v>
      </c>
      <c r="AF154" s="447">
        <f>IFERROR(__xludf.DUMMYFUNCTION("""COMPUTED_VALUE"""),1.0)</f>
        <v>1</v>
      </c>
      <c r="AG154" s="443" t="s">
        <v>122</v>
      </c>
      <c r="AH154" s="443" t="s">
        <v>343</v>
      </c>
      <c r="AI154" s="443"/>
      <c r="AJ154" s="443"/>
      <c r="AK154" s="443"/>
      <c r="AL154" s="443"/>
      <c r="AM154" s="443"/>
      <c r="AN154" s="443"/>
      <c r="AO154" s="443"/>
      <c r="AP154" s="443"/>
      <c r="AQ154" s="443"/>
      <c r="AR154" s="443"/>
      <c r="AS154" s="443"/>
      <c r="AT154" s="443"/>
      <c r="AU154" s="443"/>
      <c r="AV154" s="443"/>
      <c r="AW154" s="443"/>
      <c r="AX154" s="443"/>
      <c r="AY154" s="443"/>
      <c r="AZ154" s="443"/>
      <c r="BA154" s="443"/>
      <c r="BB154" s="443"/>
      <c r="BC154" s="443"/>
      <c r="BD154" s="443"/>
      <c r="BE154" s="443"/>
    </row>
    <row r="155" hidden="1">
      <c r="A155" s="445">
        <f t="shared" si="5"/>
        <v>45445</v>
      </c>
      <c r="B155" s="449">
        <v>0.0</v>
      </c>
      <c r="C155" s="443"/>
      <c r="D155" s="443"/>
      <c r="E155" s="436" t="str">
        <f t="array" ref="E155">IF(B155=0,"",(J155+K155)/60)</f>
        <v/>
      </c>
      <c r="F155" s="437" t="str">
        <f t="shared" si="1"/>
        <v/>
      </c>
      <c r="G155" s="438" t="str">
        <f t="shared" si="2"/>
        <v/>
      </c>
      <c r="H155" s="438" t="str">
        <f t="shared" si="3"/>
        <v/>
      </c>
      <c r="I155" s="436" t="str">
        <f t="shared" si="4"/>
        <v/>
      </c>
      <c r="J155" s="464"/>
      <c r="K155" s="464"/>
      <c r="L155" s="443"/>
      <c r="M155" s="447">
        <f>IFERROR(__xludf.DUMMYFUNCTION("""COMPUTED_VALUE"""),57.0)</f>
        <v>57</v>
      </c>
      <c r="N155" s="447">
        <f>IFERROR(__xludf.DUMMYFUNCTION("""COMPUTED_VALUE"""),56.0)</f>
        <v>56</v>
      </c>
      <c r="O155" s="447">
        <f>IFERROR(__xludf.DUMMYFUNCTION("""COMPUTED_VALUE"""),0.0)</f>
        <v>0</v>
      </c>
      <c r="P155" s="447">
        <f>IFERROR(__xludf.DUMMYFUNCTION("""COMPUTED_VALUE"""),0.0)</f>
        <v>0</v>
      </c>
      <c r="Q155" s="447">
        <f>IFERROR(__xludf.DUMMYFUNCTION("""COMPUTED_VALUE"""),0.0)</f>
        <v>0</v>
      </c>
      <c r="R155" s="447">
        <f>IFERROR(__xludf.DUMMYFUNCTION("""COMPUTED_VALUE"""),0.0)</f>
        <v>0</v>
      </c>
      <c r="S155" s="447">
        <f>IFERROR(__xludf.DUMMYFUNCTION("""COMPUTED_VALUE"""),0.0)</f>
        <v>0</v>
      </c>
      <c r="T155" s="447">
        <f>IFERROR(__xludf.DUMMYFUNCTION("""COMPUTED_VALUE"""),0.0)</f>
        <v>0</v>
      </c>
      <c r="U155" s="447">
        <f>IFERROR(__xludf.DUMMYFUNCTION("""COMPUTED_VALUE"""),0.0)</f>
        <v>0</v>
      </c>
      <c r="V155" s="447">
        <f>IFERROR(__xludf.DUMMYFUNCTION("""COMPUTED_VALUE"""),0.0)</f>
        <v>0</v>
      </c>
      <c r="W155" s="447">
        <f>IFERROR(__xludf.DUMMYFUNCTION("""COMPUTED_VALUE"""),0.0)</f>
        <v>0</v>
      </c>
      <c r="X155" s="447">
        <f>IFERROR(__xludf.DUMMYFUNCTION("""COMPUTED_VALUE"""),0.0)</f>
        <v>0</v>
      </c>
      <c r="Y155" s="447">
        <f>IFERROR(__xludf.DUMMYFUNCTION("""COMPUTED_VALUE"""),0.0)</f>
        <v>0</v>
      </c>
      <c r="Z155" s="447">
        <f>IFERROR(__xludf.DUMMYFUNCTION("""COMPUTED_VALUE"""),0.0)</f>
        <v>0</v>
      </c>
      <c r="AA155" s="447">
        <f>IFERROR(__xludf.DUMMYFUNCTION("""COMPUTED_VALUE"""),0.0)</f>
        <v>0</v>
      </c>
      <c r="AB155" s="447">
        <f>IFERROR(__xludf.DUMMYFUNCTION("""COMPUTED_VALUE"""),0.0)</f>
        <v>0</v>
      </c>
      <c r="AC155" s="447">
        <f>IFERROR(__xludf.DUMMYFUNCTION("""COMPUTED_VALUE"""),0.0)</f>
        <v>0</v>
      </c>
      <c r="AD155" s="447">
        <f>IFERROR(__xludf.DUMMYFUNCTION("""COMPUTED_VALUE"""),0.0)</f>
        <v>0</v>
      </c>
      <c r="AE155" s="447">
        <f>IFERROR(__xludf.DUMMYFUNCTION("""COMPUTED_VALUE"""),1.0)</f>
        <v>1</v>
      </c>
      <c r="AF155" s="447">
        <f>IFERROR(__xludf.DUMMYFUNCTION("""COMPUTED_VALUE"""),1.0)</f>
        <v>1</v>
      </c>
      <c r="AG155" s="443" t="s">
        <v>122</v>
      </c>
      <c r="AH155" s="443" t="s">
        <v>343</v>
      </c>
      <c r="AI155" s="443"/>
      <c r="AJ155" s="443"/>
      <c r="AK155" s="443"/>
      <c r="AL155" s="443"/>
      <c r="AM155" s="443"/>
      <c r="AN155" s="443"/>
      <c r="AO155" s="443"/>
      <c r="AP155" s="443"/>
      <c r="AQ155" s="443"/>
      <c r="AR155" s="443"/>
      <c r="AS155" s="443"/>
      <c r="AT155" s="443"/>
      <c r="AU155" s="443"/>
      <c r="AV155" s="443"/>
      <c r="AW155" s="443"/>
      <c r="AX155" s="443"/>
      <c r="AY155" s="443"/>
      <c r="AZ155" s="443"/>
      <c r="BA155" s="443"/>
      <c r="BB155" s="443"/>
      <c r="BC155" s="443"/>
      <c r="BD155" s="443"/>
      <c r="BE155" s="443"/>
    </row>
    <row r="156" hidden="1">
      <c r="A156" s="445">
        <f t="shared" si="5"/>
        <v>45446</v>
      </c>
      <c r="B156" s="449">
        <v>515.0</v>
      </c>
      <c r="C156" s="462">
        <v>0.6</v>
      </c>
      <c r="D156" s="462">
        <v>1.0041666666666667</v>
      </c>
      <c r="E156" s="436">
        <f t="array" ref="E156">IF(B156=0,"",(J156+K156)/60)</f>
        <v>0.5</v>
      </c>
      <c r="F156" s="437">
        <f t="shared" si="1"/>
        <v>9.7</v>
      </c>
      <c r="G156" s="438">
        <f t="shared" si="2"/>
        <v>53.09278351</v>
      </c>
      <c r="H156" s="438">
        <f t="shared" si="3"/>
        <v>55.97826087</v>
      </c>
      <c r="I156" s="436">
        <f t="shared" si="4"/>
        <v>1.06185567</v>
      </c>
      <c r="J156" s="460">
        <v>30.0</v>
      </c>
      <c r="K156" s="464"/>
      <c r="L156" s="443"/>
      <c r="M156" s="447">
        <f>IFERROR(__xludf.DUMMYFUNCTION("""COMPUTED_VALUE"""),57.0)</f>
        <v>57</v>
      </c>
      <c r="N156" s="447">
        <f>IFERROR(__xludf.DUMMYFUNCTION("""COMPUTED_VALUE"""),56.0)</f>
        <v>56</v>
      </c>
      <c r="O156" s="447">
        <f>IFERROR(__xludf.DUMMYFUNCTION("""COMPUTED_VALUE"""),0.0)</f>
        <v>0</v>
      </c>
      <c r="P156" s="447">
        <f>IFERROR(__xludf.DUMMYFUNCTION("""COMPUTED_VALUE"""),0.0)</f>
        <v>0</v>
      </c>
      <c r="Q156" s="447">
        <f>IFERROR(__xludf.DUMMYFUNCTION("""COMPUTED_VALUE"""),1.0)</f>
        <v>1</v>
      </c>
      <c r="R156" s="447">
        <f>IFERROR(__xludf.DUMMYFUNCTION("""COMPUTED_VALUE"""),0.0)</f>
        <v>0</v>
      </c>
      <c r="S156" s="447">
        <f>IFERROR(__xludf.DUMMYFUNCTION("""COMPUTED_VALUE"""),2.0)</f>
        <v>2</v>
      </c>
      <c r="T156" s="447">
        <f>IFERROR(__xludf.DUMMYFUNCTION("""COMPUTED_VALUE"""),0.0)</f>
        <v>0</v>
      </c>
      <c r="U156" s="447">
        <f>IFERROR(__xludf.DUMMYFUNCTION("""COMPUTED_VALUE"""),0.0)</f>
        <v>0</v>
      </c>
      <c r="V156" s="447">
        <f>IFERROR(__xludf.DUMMYFUNCTION("""COMPUTED_VALUE"""),2.0)</f>
        <v>2</v>
      </c>
      <c r="W156" s="447">
        <f>IFERROR(__xludf.DUMMYFUNCTION("""COMPUTED_VALUE"""),0.0)</f>
        <v>0</v>
      </c>
      <c r="X156" s="447">
        <f>IFERROR(__xludf.DUMMYFUNCTION("""COMPUTED_VALUE"""),0.0)</f>
        <v>0</v>
      </c>
      <c r="Y156" s="447">
        <f>IFERROR(__xludf.DUMMYFUNCTION("""COMPUTED_VALUE"""),0.0)</f>
        <v>0</v>
      </c>
      <c r="Z156" s="447">
        <f>IFERROR(__xludf.DUMMYFUNCTION("""COMPUTED_VALUE"""),0.0)</f>
        <v>0</v>
      </c>
      <c r="AA156" s="447">
        <f>IFERROR(__xludf.DUMMYFUNCTION("""COMPUTED_VALUE"""),0.0)</f>
        <v>0</v>
      </c>
      <c r="AB156" s="447">
        <f>IFERROR(__xludf.DUMMYFUNCTION("""COMPUTED_VALUE"""),0.0)</f>
        <v>0</v>
      </c>
      <c r="AC156" s="447">
        <f>IFERROR(__xludf.DUMMYFUNCTION("""COMPUTED_VALUE"""),1.0)</f>
        <v>1</v>
      </c>
      <c r="AD156" s="447">
        <f>IFERROR(__xludf.DUMMYFUNCTION("""COMPUTED_VALUE"""),50.0)</f>
        <v>50</v>
      </c>
      <c r="AE156" s="447">
        <f>IFERROR(__xludf.DUMMYFUNCTION("""COMPUTED_VALUE"""),7.0)</f>
        <v>7</v>
      </c>
      <c r="AF156" s="447">
        <f>IFERROR(__xludf.DUMMYFUNCTION("""COMPUTED_VALUE"""),1.0)</f>
        <v>1</v>
      </c>
      <c r="AG156" s="443" t="s">
        <v>122</v>
      </c>
      <c r="AH156" s="443" t="s">
        <v>343</v>
      </c>
      <c r="AI156" s="443"/>
      <c r="AJ156" s="443"/>
      <c r="AK156" s="443"/>
      <c r="AL156" s="443"/>
      <c r="AM156" s="443"/>
      <c r="AN156" s="443"/>
      <c r="AO156" s="443"/>
      <c r="AP156" s="443"/>
      <c r="AQ156" s="443"/>
      <c r="AR156" s="443"/>
      <c r="AS156" s="443"/>
      <c r="AT156" s="443"/>
      <c r="AU156" s="443"/>
      <c r="AV156" s="443"/>
      <c r="AW156" s="443"/>
      <c r="AX156" s="443"/>
      <c r="AY156" s="443"/>
      <c r="AZ156" s="443"/>
      <c r="BA156" s="443"/>
      <c r="BB156" s="443"/>
      <c r="BC156" s="443"/>
      <c r="BD156" s="443"/>
      <c r="BE156" s="443"/>
    </row>
    <row r="157" hidden="1">
      <c r="A157" s="445">
        <f t="shared" si="5"/>
        <v>45447</v>
      </c>
      <c r="B157" s="449">
        <v>250.0</v>
      </c>
      <c r="C157" s="462">
        <v>0.6833333333333333</v>
      </c>
      <c r="D157" s="462">
        <v>0.9027777777777778</v>
      </c>
      <c r="E157" s="436">
        <f t="array" ref="E157">IF(B157=0,"",(J157+K157)/60)</f>
        <v>0</v>
      </c>
      <c r="F157" s="437">
        <f t="shared" si="1"/>
        <v>5.266666667</v>
      </c>
      <c r="G157" s="438">
        <f t="shared" si="2"/>
        <v>47.46835443</v>
      </c>
      <c r="H157" s="438">
        <f t="shared" si="3"/>
        <v>47.46835443</v>
      </c>
      <c r="I157" s="436">
        <f t="shared" si="4"/>
        <v>0.9128529698</v>
      </c>
      <c r="J157" s="464"/>
      <c r="K157" s="464"/>
      <c r="L157" s="443"/>
      <c r="M157" s="447">
        <f>IFERROR(__xludf.DUMMYFUNCTION("""COMPUTED_VALUE"""),57.0)</f>
        <v>57</v>
      </c>
      <c r="N157" s="447">
        <f>IFERROR(__xludf.DUMMYFUNCTION("""COMPUTED_VALUE"""),55.0)</f>
        <v>55</v>
      </c>
      <c r="O157" s="447">
        <f>IFERROR(__xludf.DUMMYFUNCTION("""COMPUTED_VALUE"""),0.0)</f>
        <v>0</v>
      </c>
      <c r="P157" s="447">
        <f>IFERROR(__xludf.DUMMYFUNCTION("""COMPUTED_VALUE"""),0.0)</f>
        <v>0</v>
      </c>
      <c r="Q157" s="447">
        <f>IFERROR(__xludf.DUMMYFUNCTION("""COMPUTED_VALUE"""),0.0)</f>
        <v>0</v>
      </c>
      <c r="R157" s="447">
        <f>IFERROR(__xludf.DUMMYFUNCTION("""COMPUTED_VALUE"""),0.0)</f>
        <v>0</v>
      </c>
      <c r="S157" s="447">
        <f>IFERROR(__xludf.DUMMYFUNCTION("""COMPUTED_VALUE"""),1.0)</f>
        <v>1</v>
      </c>
      <c r="T157" s="447">
        <f>IFERROR(__xludf.DUMMYFUNCTION("""COMPUTED_VALUE"""),0.0)</f>
        <v>0</v>
      </c>
      <c r="U157" s="447">
        <f>IFERROR(__xludf.DUMMYFUNCTION("""COMPUTED_VALUE"""),1.0)</f>
        <v>1</v>
      </c>
      <c r="V157" s="447">
        <f>IFERROR(__xludf.DUMMYFUNCTION("""COMPUTED_VALUE"""),2.0)</f>
        <v>2</v>
      </c>
      <c r="W157" s="447">
        <f>IFERROR(__xludf.DUMMYFUNCTION("""COMPUTED_VALUE"""),0.0)</f>
        <v>0</v>
      </c>
      <c r="X157" s="447">
        <f>IFERROR(__xludf.DUMMYFUNCTION("""COMPUTED_VALUE"""),0.0)</f>
        <v>0</v>
      </c>
      <c r="Y157" s="447">
        <f>IFERROR(__xludf.DUMMYFUNCTION("""COMPUTED_VALUE"""),0.0)</f>
        <v>0</v>
      </c>
      <c r="Z157" s="447">
        <f>IFERROR(__xludf.DUMMYFUNCTION("""COMPUTED_VALUE"""),0.0)</f>
        <v>0</v>
      </c>
      <c r="AA157" s="447">
        <f>IFERROR(__xludf.DUMMYFUNCTION("""COMPUTED_VALUE"""),0.0)</f>
        <v>0</v>
      </c>
      <c r="AB157" s="447">
        <f>IFERROR(__xludf.DUMMYFUNCTION("""COMPUTED_VALUE"""),0.0)</f>
        <v>0</v>
      </c>
      <c r="AC157" s="447">
        <f>IFERROR(__xludf.DUMMYFUNCTION("""COMPUTED_VALUE"""),0.0)</f>
        <v>0</v>
      </c>
      <c r="AD157" s="447">
        <f>IFERROR(__xludf.DUMMYFUNCTION("""COMPUTED_VALUE"""),52.0)</f>
        <v>52</v>
      </c>
      <c r="AE157" s="447">
        <f>IFERROR(__xludf.DUMMYFUNCTION("""COMPUTED_VALUE"""),5.0)</f>
        <v>5</v>
      </c>
      <c r="AF157" s="447">
        <f>IFERROR(__xludf.DUMMYFUNCTION("""COMPUTED_VALUE"""),2.0)</f>
        <v>2</v>
      </c>
      <c r="AG157" s="443" t="s">
        <v>122</v>
      </c>
      <c r="AH157" s="443" t="s">
        <v>343</v>
      </c>
      <c r="AI157" s="443"/>
      <c r="AJ157" s="443"/>
      <c r="AK157" s="443"/>
      <c r="AL157" s="443"/>
      <c r="AM157" s="443"/>
      <c r="AN157" s="443"/>
      <c r="AO157" s="443"/>
      <c r="AP157" s="443"/>
      <c r="AQ157" s="443"/>
      <c r="AR157" s="443"/>
      <c r="AS157" s="443"/>
      <c r="AT157" s="443"/>
      <c r="AU157" s="443"/>
      <c r="AV157" s="443"/>
      <c r="AW157" s="443"/>
      <c r="AX157" s="443"/>
      <c r="AY157" s="443"/>
      <c r="AZ157" s="443"/>
      <c r="BA157" s="443"/>
      <c r="BB157" s="443"/>
      <c r="BC157" s="443"/>
      <c r="BD157" s="443"/>
      <c r="BE157" s="443"/>
    </row>
    <row r="158" hidden="1">
      <c r="A158" s="445">
        <f t="shared" si="5"/>
        <v>45448</v>
      </c>
      <c r="B158" s="449">
        <v>460.0</v>
      </c>
      <c r="C158" s="462">
        <v>0.6</v>
      </c>
      <c r="D158" s="462">
        <v>0.9618055555555556</v>
      </c>
      <c r="E158" s="436">
        <f t="array" ref="E158">IF(B158=0,"",(J158+K158)/60)</f>
        <v>0.6666666667</v>
      </c>
      <c r="F158" s="437">
        <f t="shared" si="1"/>
        <v>8.683333333</v>
      </c>
      <c r="G158" s="438">
        <f t="shared" si="2"/>
        <v>52.97504798</v>
      </c>
      <c r="H158" s="438">
        <f t="shared" si="3"/>
        <v>57.38045738</v>
      </c>
      <c r="I158" s="436">
        <f t="shared" si="4"/>
        <v>1.081123428</v>
      </c>
      <c r="J158" s="460">
        <v>30.0</v>
      </c>
      <c r="K158" s="460">
        <v>10.0</v>
      </c>
      <c r="L158" s="443"/>
      <c r="M158" s="447">
        <f>IFERROR(__xludf.DUMMYFUNCTION("""COMPUTED_VALUE"""),57.0)</f>
        <v>57</v>
      </c>
      <c r="N158" s="447">
        <f>IFERROR(__xludf.DUMMYFUNCTION("""COMPUTED_VALUE"""),55.0)</f>
        <v>55</v>
      </c>
      <c r="O158" s="447">
        <f>IFERROR(__xludf.DUMMYFUNCTION("""COMPUTED_VALUE"""),0.0)</f>
        <v>0</v>
      </c>
      <c r="P158" s="447">
        <f>IFERROR(__xludf.DUMMYFUNCTION("""COMPUTED_VALUE"""),0.0)</f>
        <v>0</v>
      </c>
      <c r="Q158" s="447">
        <f>IFERROR(__xludf.DUMMYFUNCTION("""COMPUTED_VALUE"""),0.0)</f>
        <v>0</v>
      </c>
      <c r="R158" s="447">
        <f>IFERROR(__xludf.DUMMYFUNCTION("""COMPUTED_VALUE"""),0.0)</f>
        <v>0</v>
      </c>
      <c r="S158" s="447">
        <f>IFERROR(__xludf.DUMMYFUNCTION("""COMPUTED_VALUE"""),3.0)</f>
        <v>3</v>
      </c>
      <c r="T158" s="447">
        <f>IFERROR(__xludf.DUMMYFUNCTION("""COMPUTED_VALUE"""),0.0)</f>
        <v>0</v>
      </c>
      <c r="U158" s="447">
        <f>IFERROR(__xludf.DUMMYFUNCTION("""COMPUTED_VALUE"""),1.0)</f>
        <v>1</v>
      </c>
      <c r="V158" s="447">
        <f>IFERROR(__xludf.DUMMYFUNCTION("""COMPUTED_VALUE"""),3.0)</f>
        <v>3</v>
      </c>
      <c r="W158" s="447">
        <f>IFERROR(__xludf.DUMMYFUNCTION("""COMPUTED_VALUE"""),0.0)</f>
        <v>0</v>
      </c>
      <c r="X158" s="447">
        <f>IFERROR(__xludf.DUMMYFUNCTION("""COMPUTED_VALUE"""),0.0)</f>
        <v>0</v>
      </c>
      <c r="Y158" s="447">
        <f>IFERROR(__xludf.DUMMYFUNCTION("""COMPUTED_VALUE"""),0.0)</f>
        <v>0</v>
      </c>
      <c r="Z158" s="447">
        <f>IFERROR(__xludf.DUMMYFUNCTION("""COMPUTED_VALUE"""),0.0)</f>
        <v>0</v>
      </c>
      <c r="AA158" s="447">
        <f>IFERROR(__xludf.DUMMYFUNCTION("""COMPUTED_VALUE"""),0.0)</f>
        <v>0</v>
      </c>
      <c r="AB158" s="447">
        <f>IFERROR(__xludf.DUMMYFUNCTION("""COMPUTED_VALUE"""),0.0)</f>
        <v>0</v>
      </c>
      <c r="AC158" s="447">
        <f>IFERROR(__xludf.DUMMYFUNCTION("""COMPUTED_VALUE"""),0.0)</f>
        <v>0</v>
      </c>
      <c r="AD158" s="447">
        <f>IFERROR(__xludf.DUMMYFUNCTION("""COMPUTED_VALUE"""),49.0)</f>
        <v>49</v>
      </c>
      <c r="AE158" s="447">
        <f>IFERROR(__xludf.DUMMYFUNCTION("""COMPUTED_VALUE"""),8.0)</f>
        <v>8</v>
      </c>
      <c r="AF158" s="447">
        <f>IFERROR(__xludf.DUMMYFUNCTION("""COMPUTED_VALUE"""),2.0)</f>
        <v>2</v>
      </c>
      <c r="AG158" s="443" t="s">
        <v>122</v>
      </c>
      <c r="AH158" s="443" t="s">
        <v>343</v>
      </c>
      <c r="AI158" s="443"/>
      <c r="AJ158" s="443"/>
      <c r="AK158" s="443"/>
      <c r="AL158" s="443"/>
      <c r="AM158" s="443"/>
      <c r="AN158" s="443"/>
      <c r="AO158" s="443"/>
      <c r="AP158" s="443"/>
      <c r="AQ158" s="443"/>
      <c r="AR158" s="443"/>
      <c r="AS158" s="443"/>
      <c r="AT158" s="443"/>
      <c r="AU158" s="443"/>
      <c r="AV158" s="443"/>
      <c r="AW158" s="443"/>
      <c r="AX158" s="443"/>
      <c r="AY158" s="443"/>
      <c r="AZ158" s="443"/>
      <c r="BA158" s="443"/>
      <c r="BB158" s="443"/>
      <c r="BC158" s="443"/>
      <c r="BD158" s="443"/>
      <c r="BE158" s="443"/>
    </row>
    <row r="159" hidden="1">
      <c r="A159" s="445">
        <f t="shared" si="5"/>
        <v>45449</v>
      </c>
      <c r="B159" s="449">
        <v>529.0</v>
      </c>
      <c r="C159" s="462">
        <v>0.6</v>
      </c>
      <c r="D159" s="462">
        <v>1.0194444444444444</v>
      </c>
      <c r="E159" s="436">
        <f t="array" ref="E159">IF(B159=0,"",(J159+K159)/60)</f>
        <v>0.5</v>
      </c>
      <c r="F159" s="437">
        <f t="shared" si="1"/>
        <v>10.06666667</v>
      </c>
      <c r="G159" s="438">
        <f t="shared" si="2"/>
        <v>52.54966887</v>
      </c>
      <c r="H159" s="438">
        <f t="shared" si="3"/>
        <v>55.29616725</v>
      </c>
      <c r="I159" s="436">
        <f t="shared" si="4"/>
        <v>1.050993377</v>
      </c>
      <c r="J159" s="460">
        <v>30.0</v>
      </c>
      <c r="K159" s="464"/>
      <c r="L159" s="443"/>
      <c r="M159" s="447">
        <f>IFERROR(__xludf.DUMMYFUNCTION("""COMPUTED_VALUE"""),57.0)</f>
        <v>57</v>
      </c>
      <c r="N159" s="447">
        <f>IFERROR(__xludf.DUMMYFUNCTION("""COMPUTED_VALUE"""),55.0)</f>
        <v>55</v>
      </c>
      <c r="O159" s="447">
        <f>IFERROR(__xludf.DUMMYFUNCTION("""COMPUTED_VALUE"""),0.0)</f>
        <v>0</v>
      </c>
      <c r="P159" s="447">
        <f>IFERROR(__xludf.DUMMYFUNCTION("""COMPUTED_VALUE"""),0.0)</f>
        <v>0</v>
      </c>
      <c r="Q159" s="447">
        <f>IFERROR(__xludf.DUMMYFUNCTION("""COMPUTED_VALUE"""),0.0)</f>
        <v>0</v>
      </c>
      <c r="R159" s="447">
        <f>IFERROR(__xludf.DUMMYFUNCTION("""COMPUTED_VALUE"""),0.0)</f>
        <v>0</v>
      </c>
      <c r="S159" s="447">
        <f>IFERROR(__xludf.DUMMYFUNCTION("""COMPUTED_VALUE"""),2.0)</f>
        <v>2</v>
      </c>
      <c r="T159" s="447">
        <f>IFERROR(__xludf.DUMMYFUNCTION("""COMPUTED_VALUE"""),0.0)</f>
        <v>0</v>
      </c>
      <c r="U159" s="447">
        <f>IFERROR(__xludf.DUMMYFUNCTION("""COMPUTED_VALUE"""),1.0)</f>
        <v>1</v>
      </c>
      <c r="V159" s="447">
        <f>IFERROR(__xludf.DUMMYFUNCTION("""COMPUTED_VALUE"""),2.0)</f>
        <v>2</v>
      </c>
      <c r="W159" s="447">
        <f>IFERROR(__xludf.DUMMYFUNCTION("""COMPUTED_VALUE"""),1.0)</f>
        <v>1</v>
      </c>
      <c r="X159" s="447">
        <f>IFERROR(__xludf.DUMMYFUNCTION("""COMPUTED_VALUE"""),0.0)</f>
        <v>0</v>
      </c>
      <c r="Y159" s="447">
        <f>IFERROR(__xludf.DUMMYFUNCTION("""COMPUTED_VALUE"""),0.0)</f>
        <v>0</v>
      </c>
      <c r="Z159" s="447">
        <f>IFERROR(__xludf.DUMMYFUNCTION("""COMPUTED_VALUE"""),0.0)</f>
        <v>0</v>
      </c>
      <c r="AA159" s="447">
        <f>IFERROR(__xludf.DUMMYFUNCTION("""COMPUTED_VALUE"""),0.0)</f>
        <v>0</v>
      </c>
      <c r="AB159" s="447">
        <f>IFERROR(__xludf.DUMMYFUNCTION("""COMPUTED_VALUE"""),0.0)</f>
        <v>0</v>
      </c>
      <c r="AC159" s="447">
        <f>IFERROR(__xludf.DUMMYFUNCTION("""COMPUTED_VALUE"""),0.0)</f>
        <v>0</v>
      </c>
      <c r="AD159" s="447">
        <f>IFERROR(__xludf.DUMMYFUNCTION("""COMPUTED_VALUE"""),50.0)</f>
        <v>50</v>
      </c>
      <c r="AE159" s="447">
        <f>IFERROR(__xludf.DUMMYFUNCTION("""COMPUTED_VALUE"""),7.0)</f>
        <v>7</v>
      </c>
      <c r="AF159" s="447">
        <f>IFERROR(__xludf.DUMMYFUNCTION("""COMPUTED_VALUE"""),2.0)</f>
        <v>2</v>
      </c>
      <c r="AG159" s="443" t="s">
        <v>122</v>
      </c>
      <c r="AH159" s="443" t="s">
        <v>343</v>
      </c>
      <c r="AI159" s="443"/>
      <c r="AJ159" s="443"/>
      <c r="AK159" s="443"/>
      <c r="AL159" s="443"/>
      <c r="AM159" s="443"/>
      <c r="AN159" s="443"/>
      <c r="AO159" s="443"/>
      <c r="AP159" s="443"/>
      <c r="AQ159" s="443"/>
      <c r="AR159" s="443"/>
      <c r="AS159" s="443"/>
      <c r="AT159" s="443"/>
      <c r="AU159" s="443"/>
      <c r="AV159" s="443"/>
      <c r="AW159" s="443"/>
      <c r="AX159" s="443"/>
      <c r="AY159" s="443"/>
      <c r="AZ159" s="443"/>
      <c r="BA159" s="443"/>
      <c r="BB159" s="443"/>
      <c r="BC159" s="443"/>
      <c r="BD159" s="443"/>
      <c r="BE159" s="443"/>
    </row>
    <row r="160" hidden="1">
      <c r="A160" s="445">
        <f t="shared" si="5"/>
        <v>45450</v>
      </c>
      <c r="B160" s="449">
        <v>600.0</v>
      </c>
      <c r="C160" s="462">
        <v>0.6</v>
      </c>
      <c r="D160" s="462">
        <v>1.0972222222222223</v>
      </c>
      <c r="E160" s="436">
        <f t="array" ref="E160">IF(B160=0,"",(J160+K160)/60)</f>
        <v>1</v>
      </c>
      <c r="F160" s="437">
        <f t="shared" si="1"/>
        <v>11.93333333</v>
      </c>
      <c r="G160" s="438">
        <f t="shared" si="2"/>
        <v>50.27932961</v>
      </c>
      <c r="H160" s="438">
        <f t="shared" si="3"/>
        <v>54.87804878</v>
      </c>
      <c r="I160" s="436">
        <f t="shared" si="4"/>
        <v>1.117318436</v>
      </c>
      <c r="J160" s="460">
        <v>60.0</v>
      </c>
      <c r="K160" s="464"/>
      <c r="L160" s="443"/>
      <c r="M160" s="447">
        <f>IFERROR(__xludf.DUMMYFUNCTION("""COMPUTED_VALUE"""),57.0)</f>
        <v>57</v>
      </c>
      <c r="N160" s="447">
        <f>IFERROR(__xludf.DUMMYFUNCTION("""COMPUTED_VALUE"""),55.0)</f>
        <v>55</v>
      </c>
      <c r="O160" s="447">
        <f>IFERROR(__xludf.DUMMYFUNCTION("""COMPUTED_VALUE"""),0.0)</f>
        <v>0</v>
      </c>
      <c r="P160" s="447">
        <f>IFERROR(__xludf.DUMMYFUNCTION("""COMPUTED_VALUE"""),0.0)</f>
        <v>0</v>
      </c>
      <c r="Q160" s="447">
        <f>IFERROR(__xludf.DUMMYFUNCTION("""COMPUTED_VALUE"""),1.0)</f>
        <v>1</v>
      </c>
      <c r="R160" s="447">
        <f>IFERROR(__xludf.DUMMYFUNCTION("""COMPUTED_VALUE"""),0.0)</f>
        <v>0</v>
      </c>
      <c r="S160" s="447">
        <f>IFERROR(__xludf.DUMMYFUNCTION("""COMPUTED_VALUE"""),3.0)</f>
        <v>3</v>
      </c>
      <c r="T160" s="447">
        <f>IFERROR(__xludf.DUMMYFUNCTION("""COMPUTED_VALUE"""),0.0)</f>
        <v>0</v>
      </c>
      <c r="U160" s="447">
        <f>IFERROR(__xludf.DUMMYFUNCTION("""COMPUTED_VALUE"""),1.0)</f>
        <v>1</v>
      </c>
      <c r="V160" s="447">
        <f>IFERROR(__xludf.DUMMYFUNCTION("""COMPUTED_VALUE"""),4.0)</f>
        <v>4</v>
      </c>
      <c r="W160" s="447">
        <f>IFERROR(__xludf.DUMMYFUNCTION("""COMPUTED_VALUE"""),1.0)</f>
        <v>1</v>
      </c>
      <c r="X160" s="447">
        <f>IFERROR(__xludf.DUMMYFUNCTION("""COMPUTED_VALUE"""),0.0)</f>
        <v>0</v>
      </c>
      <c r="Y160" s="447">
        <f>IFERROR(__xludf.DUMMYFUNCTION("""COMPUTED_VALUE"""),0.0)</f>
        <v>0</v>
      </c>
      <c r="Z160" s="447">
        <f>IFERROR(__xludf.DUMMYFUNCTION("""COMPUTED_VALUE"""),0.0)</f>
        <v>0</v>
      </c>
      <c r="AA160" s="447">
        <f>IFERROR(__xludf.DUMMYFUNCTION("""COMPUTED_VALUE"""),0.0)</f>
        <v>0</v>
      </c>
      <c r="AB160" s="447">
        <f>IFERROR(__xludf.DUMMYFUNCTION("""COMPUTED_VALUE"""),0.0)</f>
        <v>0</v>
      </c>
      <c r="AC160" s="447">
        <f>IFERROR(__xludf.DUMMYFUNCTION("""COMPUTED_VALUE"""),1.0)</f>
        <v>1</v>
      </c>
      <c r="AD160" s="447">
        <f>IFERROR(__xludf.DUMMYFUNCTION("""COMPUTED_VALUE"""),45.0)</f>
        <v>45</v>
      </c>
      <c r="AE160" s="447">
        <f>IFERROR(__xludf.DUMMYFUNCTION("""COMPUTED_VALUE"""),12.0)</f>
        <v>12</v>
      </c>
      <c r="AF160" s="447">
        <f>IFERROR(__xludf.DUMMYFUNCTION("""COMPUTED_VALUE"""),2.0)</f>
        <v>2</v>
      </c>
      <c r="AG160" s="443" t="s">
        <v>122</v>
      </c>
      <c r="AH160" s="443" t="s">
        <v>343</v>
      </c>
      <c r="AI160" s="443"/>
      <c r="AJ160" s="443"/>
      <c r="AK160" s="443"/>
      <c r="AL160" s="443"/>
      <c r="AM160" s="443"/>
      <c r="AN160" s="443"/>
      <c r="AO160" s="443"/>
      <c r="AP160" s="443"/>
      <c r="AQ160" s="443"/>
      <c r="AR160" s="443"/>
      <c r="AS160" s="443"/>
      <c r="AT160" s="443"/>
      <c r="AU160" s="443"/>
      <c r="AV160" s="443"/>
      <c r="AW160" s="443"/>
      <c r="AX160" s="443"/>
      <c r="AY160" s="443"/>
      <c r="AZ160" s="443"/>
      <c r="BA160" s="443"/>
      <c r="BB160" s="443"/>
      <c r="BC160" s="443"/>
      <c r="BD160" s="443"/>
      <c r="BE160" s="443"/>
    </row>
    <row r="161" hidden="1">
      <c r="A161" s="445">
        <f t="shared" si="5"/>
        <v>45451</v>
      </c>
      <c r="B161" s="449">
        <v>342.0</v>
      </c>
      <c r="C161" s="462">
        <v>0.5583333333333333</v>
      </c>
      <c r="D161" s="462">
        <v>0.8229166666666666</v>
      </c>
      <c r="E161" s="436">
        <f t="array" ref="E161">IF(B161=0,"",(J161+K161)/60)</f>
        <v>0</v>
      </c>
      <c r="F161" s="437">
        <f t="shared" si="1"/>
        <v>6.35</v>
      </c>
      <c r="G161" s="438">
        <f t="shared" si="2"/>
        <v>53.85826772</v>
      </c>
      <c r="H161" s="438">
        <f t="shared" si="3"/>
        <v>53.85826772</v>
      </c>
      <c r="I161" s="436">
        <f t="shared" si="4"/>
        <v>1.224051539</v>
      </c>
      <c r="J161" s="460">
        <v>0.0</v>
      </c>
      <c r="K161" s="464"/>
      <c r="L161" s="443"/>
      <c r="M161" s="447">
        <f>IFERROR(__xludf.DUMMYFUNCTION("""COMPUTED_VALUE"""),57.0)</f>
        <v>57</v>
      </c>
      <c r="N161" s="447">
        <f>IFERROR(__xludf.DUMMYFUNCTION("""COMPUTED_VALUE"""),55.0)</f>
        <v>55</v>
      </c>
      <c r="O161" s="447">
        <f>IFERROR(__xludf.DUMMYFUNCTION("""COMPUTED_VALUE"""),0.0)</f>
        <v>0</v>
      </c>
      <c r="P161" s="447">
        <f>IFERROR(__xludf.DUMMYFUNCTION("""COMPUTED_VALUE"""),0.0)</f>
        <v>0</v>
      </c>
      <c r="Q161" s="447">
        <f>IFERROR(__xludf.DUMMYFUNCTION("""COMPUTED_VALUE"""),1.0)</f>
        <v>1</v>
      </c>
      <c r="R161" s="447">
        <f>IFERROR(__xludf.DUMMYFUNCTION("""COMPUTED_VALUE"""),0.0)</f>
        <v>0</v>
      </c>
      <c r="S161" s="447">
        <f>IFERROR(__xludf.DUMMYFUNCTION("""COMPUTED_VALUE"""),5.0)</f>
        <v>5</v>
      </c>
      <c r="T161" s="447">
        <f>IFERROR(__xludf.DUMMYFUNCTION("""COMPUTED_VALUE"""),0.0)</f>
        <v>0</v>
      </c>
      <c r="U161" s="447">
        <f>IFERROR(__xludf.DUMMYFUNCTION("""COMPUTED_VALUE"""),1.0)</f>
        <v>1</v>
      </c>
      <c r="V161" s="447">
        <f>IFERROR(__xludf.DUMMYFUNCTION("""COMPUTED_VALUE"""),5.0)</f>
        <v>5</v>
      </c>
      <c r="W161" s="447">
        <f>IFERROR(__xludf.DUMMYFUNCTION("""COMPUTED_VALUE"""),0.0)</f>
        <v>0</v>
      </c>
      <c r="X161" s="447">
        <f>IFERROR(__xludf.DUMMYFUNCTION("""COMPUTED_VALUE"""),0.0)</f>
        <v>0</v>
      </c>
      <c r="Y161" s="447">
        <f>IFERROR(__xludf.DUMMYFUNCTION("""COMPUTED_VALUE"""),0.0)</f>
        <v>0</v>
      </c>
      <c r="Z161" s="447">
        <f>IFERROR(__xludf.DUMMYFUNCTION("""COMPUTED_VALUE"""),0.0)</f>
        <v>0</v>
      </c>
      <c r="AA161" s="447">
        <f>IFERROR(__xludf.DUMMYFUNCTION("""COMPUTED_VALUE"""),0.0)</f>
        <v>0</v>
      </c>
      <c r="AB161" s="447">
        <f>IFERROR(__xludf.DUMMYFUNCTION("""COMPUTED_VALUE"""),0.0)</f>
        <v>0</v>
      </c>
      <c r="AC161" s="447">
        <f>IFERROR(__xludf.DUMMYFUNCTION("""COMPUTED_VALUE"""),0.0)</f>
        <v>0</v>
      </c>
      <c r="AD161" s="447">
        <f>IFERROR(__xludf.DUMMYFUNCTION("""COMPUTED_VALUE"""),44.0)</f>
        <v>44</v>
      </c>
      <c r="AE161" s="447">
        <f>IFERROR(__xludf.DUMMYFUNCTION("""COMPUTED_VALUE"""),13.0)</f>
        <v>13</v>
      </c>
      <c r="AF161" s="447">
        <f>IFERROR(__xludf.DUMMYFUNCTION("""COMPUTED_VALUE"""),2.0)</f>
        <v>2</v>
      </c>
      <c r="AG161" s="443" t="s">
        <v>122</v>
      </c>
      <c r="AH161" s="443" t="s">
        <v>343</v>
      </c>
      <c r="AI161" s="443"/>
      <c r="AJ161" s="443"/>
      <c r="AK161" s="443"/>
      <c r="AL161" s="443"/>
      <c r="AM161" s="443"/>
      <c r="AN161" s="443"/>
      <c r="AO161" s="443"/>
      <c r="AP161" s="443"/>
      <c r="AQ161" s="443"/>
      <c r="AR161" s="443"/>
      <c r="AS161" s="443"/>
      <c r="AT161" s="443"/>
      <c r="AU161" s="443"/>
      <c r="AV161" s="443"/>
      <c r="AW161" s="443"/>
      <c r="AX161" s="443"/>
      <c r="AY161" s="443"/>
      <c r="AZ161" s="443"/>
      <c r="BA161" s="443"/>
      <c r="BB161" s="443"/>
      <c r="BC161" s="443"/>
      <c r="BD161" s="443"/>
      <c r="BE161" s="443"/>
    </row>
    <row r="162" hidden="1">
      <c r="A162" s="445">
        <f t="shared" si="5"/>
        <v>45452</v>
      </c>
      <c r="B162" s="449">
        <v>0.0</v>
      </c>
      <c r="C162" s="443"/>
      <c r="D162" s="443"/>
      <c r="E162" s="436" t="str">
        <f t="array" ref="E162">IF(B162=0,"",(J162+K162)/60)</f>
        <v/>
      </c>
      <c r="F162" s="437" t="str">
        <f t="shared" si="1"/>
        <v/>
      </c>
      <c r="G162" s="438" t="str">
        <f t="shared" si="2"/>
        <v/>
      </c>
      <c r="H162" s="438" t="str">
        <f t="shared" si="3"/>
        <v/>
      </c>
      <c r="I162" s="436" t="str">
        <f t="shared" si="4"/>
        <v/>
      </c>
      <c r="J162" s="464"/>
      <c r="K162" s="464"/>
      <c r="L162" s="443"/>
      <c r="M162" s="447">
        <f>IFERROR(__xludf.DUMMYFUNCTION("""COMPUTED_VALUE"""),57.0)</f>
        <v>57</v>
      </c>
      <c r="N162" s="447">
        <f>IFERROR(__xludf.DUMMYFUNCTION("""COMPUTED_VALUE"""),57.0)</f>
        <v>57</v>
      </c>
      <c r="O162" s="447">
        <f>IFERROR(__xludf.DUMMYFUNCTION("""COMPUTED_VALUE"""),0.0)</f>
        <v>0</v>
      </c>
      <c r="P162" s="447">
        <f>IFERROR(__xludf.DUMMYFUNCTION("""COMPUTED_VALUE"""),0.0)</f>
        <v>0</v>
      </c>
      <c r="Q162" s="447">
        <f>IFERROR(__xludf.DUMMYFUNCTION("""COMPUTED_VALUE"""),0.0)</f>
        <v>0</v>
      </c>
      <c r="R162" s="447">
        <f>IFERROR(__xludf.DUMMYFUNCTION("""COMPUTED_VALUE"""),0.0)</f>
        <v>0</v>
      </c>
      <c r="S162" s="447">
        <f>IFERROR(__xludf.DUMMYFUNCTION("""COMPUTED_VALUE"""),0.0)</f>
        <v>0</v>
      </c>
      <c r="T162" s="447">
        <f>IFERROR(__xludf.DUMMYFUNCTION("""COMPUTED_VALUE"""),0.0)</f>
        <v>0</v>
      </c>
      <c r="U162" s="447">
        <f>IFERROR(__xludf.DUMMYFUNCTION("""COMPUTED_VALUE"""),0.0)</f>
        <v>0</v>
      </c>
      <c r="V162" s="447">
        <f>IFERROR(__xludf.DUMMYFUNCTION("""COMPUTED_VALUE"""),0.0)</f>
        <v>0</v>
      </c>
      <c r="W162" s="447">
        <f>IFERROR(__xludf.DUMMYFUNCTION("""COMPUTED_VALUE"""),0.0)</f>
        <v>0</v>
      </c>
      <c r="X162" s="447">
        <f>IFERROR(__xludf.DUMMYFUNCTION("""COMPUTED_VALUE"""),0.0)</f>
        <v>0</v>
      </c>
      <c r="Y162" s="447">
        <f>IFERROR(__xludf.DUMMYFUNCTION("""COMPUTED_VALUE"""),0.0)</f>
        <v>0</v>
      </c>
      <c r="Z162" s="447">
        <f>IFERROR(__xludf.DUMMYFUNCTION("""COMPUTED_VALUE"""),0.0)</f>
        <v>0</v>
      </c>
      <c r="AA162" s="447">
        <f>IFERROR(__xludf.DUMMYFUNCTION("""COMPUTED_VALUE"""),0.0)</f>
        <v>0</v>
      </c>
      <c r="AB162" s="447">
        <f>IFERROR(__xludf.DUMMYFUNCTION("""COMPUTED_VALUE"""),0.0)</f>
        <v>0</v>
      </c>
      <c r="AC162" s="447">
        <f>IFERROR(__xludf.DUMMYFUNCTION("""COMPUTED_VALUE"""),0.0)</f>
        <v>0</v>
      </c>
      <c r="AD162" s="447">
        <f>IFERROR(__xludf.DUMMYFUNCTION("""COMPUTED_VALUE"""),0.0)</f>
        <v>0</v>
      </c>
      <c r="AE162" s="447">
        <f>IFERROR(__xludf.DUMMYFUNCTION("""COMPUTED_VALUE"""),0.0)</f>
        <v>0</v>
      </c>
      <c r="AF162" s="447">
        <f>IFERROR(__xludf.DUMMYFUNCTION("""COMPUTED_VALUE"""),0.0)</f>
        <v>0</v>
      </c>
      <c r="AG162" s="443" t="s">
        <v>122</v>
      </c>
      <c r="AH162" s="443" t="s">
        <v>343</v>
      </c>
      <c r="AI162" s="443"/>
      <c r="AJ162" s="443"/>
      <c r="AK162" s="443"/>
      <c r="AL162" s="443"/>
      <c r="AM162" s="443"/>
      <c r="AN162" s="443"/>
      <c r="AO162" s="443"/>
      <c r="AP162" s="443"/>
      <c r="AQ162" s="443"/>
      <c r="AR162" s="443"/>
      <c r="AS162" s="443"/>
      <c r="AT162" s="443"/>
      <c r="AU162" s="443"/>
      <c r="AV162" s="443"/>
      <c r="AW162" s="443"/>
      <c r="AX162" s="443"/>
      <c r="AY162" s="443"/>
      <c r="AZ162" s="443"/>
      <c r="BA162" s="443"/>
      <c r="BB162" s="443"/>
      <c r="BC162" s="443"/>
      <c r="BD162" s="443"/>
      <c r="BE162" s="443"/>
    </row>
    <row r="163" hidden="1">
      <c r="A163" s="445">
        <f t="shared" si="5"/>
        <v>45453</v>
      </c>
      <c r="B163" s="449">
        <v>454.0</v>
      </c>
      <c r="C163" s="462">
        <v>0.6</v>
      </c>
      <c r="D163" s="462">
        <v>0.9861111111111112</v>
      </c>
      <c r="E163" s="436">
        <f t="array" ref="E163">IF(B163=0,"",(J163+K163)/60)</f>
        <v>0.5</v>
      </c>
      <c r="F163" s="437">
        <f t="shared" si="1"/>
        <v>9.266666667</v>
      </c>
      <c r="G163" s="438">
        <f t="shared" si="2"/>
        <v>48.99280576</v>
      </c>
      <c r="H163" s="438">
        <f t="shared" si="3"/>
        <v>51.78707224</v>
      </c>
      <c r="I163" s="436">
        <f t="shared" si="4"/>
        <v>1.065060995</v>
      </c>
      <c r="J163" s="460">
        <v>30.0</v>
      </c>
      <c r="K163" s="464"/>
      <c r="L163" s="443"/>
      <c r="M163" s="447">
        <f>IFERROR(__xludf.DUMMYFUNCTION("""COMPUTED_VALUE"""),57.0)</f>
        <v>57</v>
      </c>
      <c r="N163" s="447">
        <f>IFERROR(__xludf.DUMMYFUNCTION("""COMPUTED_VALUE"""),55.0)</f>
        <v>55</v>
      </c>
      <c r="O163" s="447">
        <f>IFERROR(__xludf.DUMMYFUNCTION("""COMPUTED_VALUE"""),0.0)</f>
        <v>0</v>
      </c>
      <c r="P163" s="447">
        <f>IFERROR(__xludf.DUMMYFUNCTION("""COMPUTED_VALUE"""),0.0)</f>
        <v>0</v>
      </c>
      <c r="Q163" s="447">
        <f>IFERROR(__xludf.DUMMYFUNCTION("""COMPUTED_VALUE"""),2.0)</f>
        <v>2</v>
      </c>
      <c r="R163" s="447">
        <f>IFERROR(__xludf.DUMMYFUNCTION("""COMPUTED_VALUE"""),0.0)</f>
        <v>0</v>
      </c>
      <c r="S163" s="447">
        <f>IFERROR(__xludf.DUMMYFUNCTION("""COMPUTED_VALUE"""),3.0)</f>
        <v>3</v>
      </c>
      <c r="T163" s="447">
        <f>IFERROR(__xludf.DUMMYFUNCTION("""COMPUTED_VALUE"""),0.0)</f>
        <v>0</v>
      </c>
      <c r="U163" s="447">
        <f>IFERROR(__xludf.DUMMYFUNCTION("""COMPUTED_VALUE"""),1.0)</f>
        <v>1</v>
      </c>
      <c r="V163" s="447">
        <f>IFERROR(__xludf.DUMMYFUNCTION("""COMPUTED_VALUE"""),4.0)</f>
        <v>4</v>
      </c>
      <c r="W163" s="447">
        <f>IFERROR(__xludf.DUMMYFUNCTION("""COMPUTED_VALUE"""),0.0)</f>
        <v>0</v>
      </c>
      <c r="X163" s="447">
        <f>IFERROR(__xludf.DUMMYFUNCTION("""COMPUTED_VALUE"""),0.0)</f>
        <v>0</v>
      </c>
      <c r="Y163" s="447">
        <f>IFERROR(__xludf.DUMMYFUNCTION("""COMPUTED_VALUE"""),0.0)</f>
        <v>0</v>
      </c>
      <c r="Z163" s="447">
        <f>IFERROR(__xludf.DUMMYFUNCTION("""COMPUTED_VALUE"""),0.0)</f>
        <v>0</v>
      </c>
      <c r="AA163" s="447">
        <f>IFERROR(__xludf.DUMMYFUNCTION("""COMPUTED_VALUE"""),0.0)</f>
        <v>0</v>
      </c>
      <c r="AB163" s="447">
        <f>IFERROR(__xludf.DUMMYFUNCTION("""COMPUTED_VALUE"""),0.0)</f>
        <v>0</v>
      </c>
      <c r="AC163" s="447">
        <f>IFERROR(__xludf.DUMMYFUNCTION("""COMPUTED_VALUE"""),0.0)</f>
        <v>0</v>
      </c>
      <c r="AD163" s="447">
        <f>IFERROR(__xludf.DUMMYFUNCTION("""COMPUTED_VALUE"""),46.0)</f>
        <v>46</v>
      </c>
      <c r="AE163" s="447">
        <f>IFERROR(__xludf.DUMMYFUNCTION("""COMPUTED_VALUE"""),11.0)</f>
        <v>11</v>
      </c>
      <c r="AF163" s="447">
        <f>IFERROR(__xludf.DUMMYFUNCTION("""COMPUTED_VALUE"""),2.0)</f>
        <v>2</v>
      </c>
      <c r="AG163" s="443" t="s">
        <v>122</v>
      </c>
      <c r="AH163" s="443" t="s">
        <v>343</v>
      </c>
      <c r="AI163" s="443"/>
      <c r="AJ163" s="443"/>
      <c r="AK163" s="443"/>
      <c r="AL163" s="443"/>
      <c r="AM163" s="443"/>
      <c r="AN163" s="443"/>
      <c r="AO163" s="443"/>
      <c r="AP163" s="443"/>
      <c r="AQ163" s="443"/>
      <c r="AR163" s="443"/>
      <c r="AS163" s="443"/>
      <c r="AT163" s="443"/>
      <c r="AU163" s="443"/>
      <c r="AV163" s="443"/>
      <c r="AW163" s="443"/>
      <c r="AX163" s="443"/>
      <c r="AY163" s="443"/>
      <c r="AZ163" s="443"/>
      <c r="BA163" s="443"/>
      <c r="BB163" s="443"/>
      <c r="BC163" s="443"/>
      <c r="BD163" s="443"/>
      <c r="BE163" s="443"/>
    </row>
    <row r="164" hidden="1">
      <c r="A164" s="445">
        <f t="shared" si="5"/>
        <v>45454</v>
      </c>
      <c r="B164" s="449">
        <v>349.0</v>
      </c>
      <c r="C164" s="462">
        <v>0.6</v>
      </c>
      <c r="D164" s="462">
        <v>0.875</v>
      </c>
      <c r="E164" s="436">
        <f t="array" ref="E164">IF(B164=0,"",(J164+K164)/60)</f>
        <v>0.5</v>
      </c>
      <c r="F164" s="437">
        <f t="shared" si="1"/>
        <v>6.6</v>
      </c>
      <c r="G164" s="438">
        <f t="shared" si="2"/>
        <v>52.87878788</v>
      </c>
      <c r="H164" s="438">
        <f t="shared" si="3"/>
        <v>57.21311475</v>
      </c>
      <c r="I164" s="436">
        <f t="shared" si="4"/>
        <v>1.101641414</v>
      </c>
      <c r="J164" s="460">
        <v>30.0</v>
      </c>
      <c r="K164" s="464"/>
      <c r="L164" s="443"/>
      <c r="M164" s="447">
        <f>IFERROR(__xludf.DUMMYFUNCTION("""COMPUTED_VALUE"""),57.0)</f>
        <v>57</v>
      </c>
      <c r="N164" s="447">
        <f>IFERROR(__xludf.DUMMYFUNCTION("""COMPUTED_VALUE"""),56.0)</f>
        <v>56</v>
      </c>
      <c r="O164" s="447">
        <f>IFERROR(__xludf.DUMMYFUNCTION("""COMPUTED_VALUE"""),0.0)</f>
        <v>0</v>
      </c>
      <c r="P164" s="447">
        <f>IFERROR(__xludf.DUMMYFUNCTION("""COMPUTED_VALUE"""),0.0)</f>
        <v>0</v>
      </c>
      <c r="Q164" s="447">
        <f>IFERROR(__xludf.DUMMYFUNCTION("""COMPUTED_VALUE"""),0.0)</f>
        <v>0</v>
      </c>
      <c r="R164" s="447">
        <f>IFERROR(__xludf.DUMMYFUNCTION("""COMPUTED_VALUE"""),0.0)</f>
        <v>0</v>
      </c>
      <c r="S164" s="447">
        <f>IFERROR(__xludf.DUMMYFUNCTION("""COMPUTED_VALUE"""),2.0)</f>
        <v>2</v>
      </c>
      <c r="T164" s="447">
        <f>IFERROR(__xludf.DUMMYFUNCTION("""COMPUTED_VALUE"""),0.0)</f>
        <v>0</v>
      </c>
      <c r="U164" s="447">
        <f>IFERROR(__xludf.DUMMYFUNCTION("""COMPUTED_VALUE"""),0.0)</f>
        <v>0</v>
      </c>
      <c r="V164" s="447">
        <f>IFERROR(__xludf.DUMMYFUNCTION("""COMPUTED_VALUE"""),4.0)</f>
        <v>4</v>
      </c>
      <c r="W164" s="447">
        <f>IFERROR(__xludf.DUMMYFUNCTION("""COMPUTED_VALUE"""),1.0)</f>
        <v>1</v>
      </c>
      <c r="X164" s="447">
        <f>IFERROR(__xludf.DUMMYFUNCTION("""COMPUTED_VALUE"""),0.0)</f>
        <v>0</v>
      </c>
      <c r="Y164" s="447">
        <f>IFERROR(__xludf.DUMMYFUNCTION("""COMPUTED_VALUE"""),0.0)</f>
        <v>0</v>
      </c>
      <c r="Z164" s="447">
        <f>IFERROR(__xludf.DUMMYFUNCTION("""COMPUTED_VALUE"""),0.0)</f>
        <v>0</v>
      </c>
      <c r="AA164" s="447">
        <f>IFERROR(__xludf.DUMMYFUNCTION("""COMPUTED_VALUE"""),0.0)</f>
        <v>0</v>
      </c>
      <c r="AB164" s="447">
        <f>IFERROR(__xludf.DUMMYFUNCTION("""COMPUTED_VALUE"""),1.0)</f>
        <v>1</v>
      </c>
      <c r="AC164" s="447">
        <f>IFERROR(__xludf.DUMMYFUNCTION("""COMPUTED_VALUE"""),0.0)</f>
        <v>0</v>
      </c>
      <c r="AD164" s="447">
        <f>IFERROR(__xludf.DUMMYFUNCTION("""COMPUTED_VALUE"""),48.0)</f>
        <v>48</v>
      </c>
      <c r="AE164" s="447">
        <f>IFERROR(__xludf.DUMMYFUNCTION("""COMPUTED_VALUE"""),8.0)</f>
        <v>8</v>
      </c>
      <c r="AF164" s="447">
        <f>IFERROR(__xludf.DUMMYFUNCTION("""COMPUTED_VALUE"""),1.0)</f>
        <v>1</v>
      </c>
      <c r="AG164" s="443" t="s">
        <v>122</v>
      </c>
      <c r="AH164" s="443" t="s">
        <v>343</v>
      </c>
      <c r="AI164" s="443"/>
      <c r="AJ164" s="443"/>
      <c r="AK164" s="443"/>
      <c r="AL164" s="443"/>
      <c r="AM164" s="443"/>
      <c r="AN164" s="443"/>
      <c r="AO164" s="443"/>
      <c r="AP164" s="443"/>
      <c r="AQ164" s="443"/>
      <c r="AR164" s="443"/>
      <c r="AS164" s="443"/>
      <c r="AT164" s="443"/>
      <c r="AU164" s="443"/>
      <c r="AV164" s="443"/>
      <c r="AW164" s="443"/>
      <c r="AX164" s="443"/>
      <c r="AY164" s="443"/>
      <c r="AZ164" s="443"/>
      <c r="BA164" s="443"/>
      <c r="BB164" s="443"/>
      <c r="BC164" s="443"/>
      <c r="BD164" s="443"/>
      <c r="BE164" s="443"/>
    </row>
    <row r="165" hidden="1">
      <c r="A165" s="445">
        <f t="shared" si="5"/>
        <v>45455</v>
      </c>
      <c r="B165" s="449">
        <v>432.0</v>
      </c>
      <c r="C165" s="462">
        <v>0.6</v>
      </c>
      <c r="D165" s="462">
        <v>0.9513888888888888</v>
      </c>
      <c r="E165" s="436">
        <f t="array" ref="E165">IF(B165=0,"",(J165+K165)/60)</f>
        <v>0.5</v>
      </c>
      <c r="F165" s="437">
        <f t="shared" si="1"/>
        <v>8.433333333</v>
      </c>
      <c r="G165" s="438">
        <f t="shared" si="2"/>
        <v>51.22529644</v>
      </c>
      <c r="H165" s="438">
        <f t="shared" si="3"/>
        <v>54.45378151</v>
      </c>
      <c r="I165" s="436">
        <f t="shared" si="4"/>
        <v>1.067193676</v>
      </c>
      <c r="J165" s="460">
        <v>30.0</v>
      </c>
      <c r="K165" s="464"/>
      <c r="L165" s="443"/>
      <c r="M165" s="447">
        <f>IFERROR(__xludf.DUMMYFUNCTION("""COMPUTED_VALUE"""),57.0)</f>
        <v>57</v>
      </c>
      <c r="N165" s="447">
        <f>IFERROR(__xludf.DUMMYFUNCTION("""COMPUTED_VALUE"""),55.0)</f>
        <v>55</v>
      </c>
      <c r="O165" s="447">
        <f>IFERROR(__xludf.DUMMYFUNCTION("""COMPUTED_VALUE"""),0.0)</f>
        <v>0</v>
      </c>
      <c r="P165" s="447">
        <f>IFERROR(__xludf.DUMMYFUNCTION("""COMPUTED_VALUE"""),0.0)</f>
        <v>0</v>
      </c>
      <c r="Q165" s="447">
        <f>IFERROR(__xludf.DUMMYFUNCTION("""COMPUTED_VALUE"""),0.0)</f>
        <v>0</v>
      </c>
      <c r="R165" s="447">
        <f>IFERROR(__xludf.DUMMYFUNCTION("""COMPUTED_VALUE"""),0.0)</f>
        <v>0</v>
      </c>
      <c r="S165" s="447">
        <f>IFERROR(__xludf.DUMMYFUNCTION("""COMPUTED_VALUE"""),3.0)</f>
        <v>3</v>
      </c>
      <c r="T165" s="447">
        <f>IFERROR(__xludf.DUMMYFUNCTION("""COMPUTED_VALUE"""),0.0)</f>
        <v>0</v>
      </c>
      <c r="U165" s="447">
        <f>IFERROR(__xludf.DUMMYFUNCTION("""COMPUTED_VALUE"""),0.0)</f>
        <v>0</v>
      </c>
      <c r="V165" s="447">
        <f>IFERROR(__xludf.DUMMYFUNCTION("""COMPUTED_VALUE"""),3.0)</f>
        <v>3</v>
      </c>
      <c r="W165" s="447">
        <f>IFERROR(__xludf.DUMMYFUNCTION("""COMPUTED_VALUE"""),0.0)</f>
        <v>0</v>
      </c>
      <c r="X165" s="447">
        <f>IFERROR(__xludf.DUMMYFUNCTION("""COMPUTED_VALUE"""),0.0)</f>
        <v>0</v>
      </c>
      <c r="Y165" s="447">
        <f>IFERROR(__xludf.DUMMYFUNCTION("""COMPUTED_VALUE"""),0.0)</f>
        <v>0</v>
      </c>
      <c r="Z165" s="447">
        <f>IFERROR(__xludf.DUMMYFUNCTION("""COMPUTED_VALUE"""),0.0)</f>
        <v>0</v>
      </c>
      <c r="AA165" s="447">
        <f>IFERROR(__xludf.DUMMYFUNCTION("""COMPUTED_VALUE"""),0.0)</f>
        <v>0</v>
      </c>
      <c r="AB165" s="447">
        <f>IFERROR(__xludf.DUMMYFUNCTION("""COMPUTED_VALUE"""),0.0)</f>
        <v>0</v>
      </c>
      <c r="AC165" s="447">
        <f>IFERROR(__xludf.DUMMYFUNCTION("""COMPUTED_VALUE"""),1.0)</f>
        <v>1</v>
      </c>
      <c r="AD165" s="447">
        <f>IFERROR(__xludf.DUMMYFUNCTION("""COMPUTED_VALUE"""),48.0)</f>
        <v>48</v>
      </c>
      <c r="AE165" s="447">
        <f>IFERROR(__xludf.DUMMYFUNCTION("""COMPUTED_VALUE"""),9.0)</f>
        <v>9</v>
      </c>
      <c r="AF165" s="447">
        <f>IFERROR(__xludf.DUMMYFUNCTION("""COMPUTED_VALUE"""),2.0)</f>
        <v>2</v>
      </c>
      <c r="AG165" s="443" t="s">
        <v>122</v>
      </c>
      <c r="AH165" s="443" t="s">
        <v>343</v>
      </c>
      <c r="AI165" s="443"/>
      <c r="AJ165" s="443"/>
      <c r="AK165" s="443"/>
      <c r="AL165" s="443"/>
      <c r="AM165" s="443"/>
      <c r="AN165" s="443"/>
      <c r="AO165" s="443"/>
      <c r="AP165" s="443"/>
      <c r="AQ165" s="443"/>
      <c r="AR165" s="443"/>
      <c r="AS165" s="443"/>
      <c r="AT165" s="443"/>
      <c r="AU165" s="443"/>
      <c r="AV165" s="443"/>
      <c r="AW165" s="443"/>
      <c r="AX165" s="443"/>
      <c r="AY165" s="443"/>
      <c r="AZ165" s="443"/>
      <c r="BA165" s="443"/>
      <c r="BB165" s="443"/>
      <c r="BC165" s="443"/>
      <c r="BD165" s="443"/>
      <c r="BE165" s="443"/>
    </row>
    <row r="166" hidden="1">
      <c r="A166" s="445">
        <f t="shared" si="5"/>
        <v>45456</v>
      </c>
      <c r="B166" s="449">
        <v>400.0</v>
      </c>
      <c r="C166" s="462">
        <v>0.6</v>
      </c>
      <c r="D166" s="462">
        <v>0.9131944444444444</v>
      </c>
      <c r="E166" s="436">
        <f t="array" ref="E166">IF(B166=0,"",(J166+K166)/60)</f>
        <v>0.5</v>
      </c>
      <c r="F166" s="437">
        <f t="shared" si="1"/>
        <v>7.516666667</v>
      </c>
      <c r="G166" s="438">
        <f t="shared" si="2"/>
        <v>53.21507761</v>
      </c>
      <c r="H166" s="438">
        <f t="shared" si="3"/>
        <v>57.00712589</v>
      </c>
      <c r="I166" s="436">
        <f t="shared" si="4"/>
        <v>1.064301552</v>
      </c>
      <c r="J166" s="460">
        <v>30.0</v>
      </c>
      <c r="K166" s="464"/>
      <c r="L166" s="443"/>
      <c r="M166" s="447">
        <f>IFERROR(__xludf.DUMMYFUNCTION("""COMPUTED_VALUE"""),57.0)</f>
        <v>57</v>
      </c>
      <c r="N166" s="447">
        <f>IFERROR(__xludf.DUMMYFUNCTION("""COMPUTED_VALUE"""),55.0)</f>
        <v>55</v>
      </c>
      <c r="O166" s="447">
        <f>IFERROR(__xludf.DUMMYFUNCTION("""COMPUTED_VALUE"""),0.0)</f>
        <v>0</v>
      </c>
      <c r="P166" s="447">
        <f>IFERROR(__xludf.DUMMYFUNCTION("""COMPUTED_VALUE"""),0.0)</f>
        <v>0</v>
      </c>
      <c r="Q166" s="447">
        <f>IFERROR(__xludf.DUMMYFUNCTION("""COMPUTED_VALUE"""),0.0)</f>
        <v>0</v>
      </c>
      <c r="R166" s="447">
        <f>IFERROR(__xludf.DUMMYFUNCTION("""COMPUTED_VALUE"""),0.0)</f>
        <v>0</v>
      </c>
      <c r="S166" s="447">
        <f>IFERROR(__xludf.DUMMYFUNCTION("""COMPUTED_VALUE"""),2.0)</f>
        <v>2</v>
      </c>
      <c r="T166" s="447">
        <f>IFERROR(__xludf.DUMMYFUNCTION("""COMPUTED_VALUE"""),0.0)</f>
        <v>0</v>
      </c>
      <c r="U166" s="447">
        <f>IFERROR(__xludf.DUMMYFUNCTION("""COMPUTED_VALUE"""),0.0)</f>
        <v>0</v>
      </c>
      <c r="V166" s="447">
        <f>IFERROR(__xludf.DUMMYFUNCTION("""COMPUTED_VALUE"""),2.0)</f>
        <v>2</v>
      </c>
      <c r="W166" s="447">
        <f>IFERROR(__xludf.DUMMYFUNCTION("""COMPUTED_VALUE"""),0.0)</f>
        <v>0</v>
      </c>
      <c r="X166" s="447">
        <f>IFERROR(__xludf.DUMMYFUNCTION("""COMPUTED_VALUE"""),0.0)</f>
        <v>0</v>
      </c>
      <c r="Y166" s="447">
        <f>IFERROR(__xludf.DUMMYFUNCTION("""COMPUTED_VALUE"""),0.0)</f>
        <v>0</v>
      </c>
      <c r="Z166" s="447">
        <f>IFERROR(__xludf.DUMMYFUNCTION("""COMPUTED_VALUE"""),0.0)</f>
        <v>0</v>
      </c>
      <c r="AA166" s="447">
        <f>IFERROR(__xludf.DUMMYFUNCTION("""COMPUTED_VALUE"""),1.0)</f>
        <v>1</v>
      </c>
      <c r="AB166" s="447">
        <f>IFERROR(__xludf.DUMMYFUNCTION("""COMPUTED_VALUE"""),0.0)</f>
        <v>0</v>
      </c>
      <c r="AC166" s="447">
        <f>IFERROR(__xludf.DUMMYFUNCTION("""COMPUTED_VALUE"""),0.0)</f>
        <v>0</v>
      </c>
      <c r="AD166" s="447">
        <f>IFERROR(__xludf.DUMMYFUNCTION("""COMPUTED_VALUE"""),50.0)</f>
        <v>50</v>
      </c>
      <c r="AE166" s="447">
        <f>IFERROR(__xludf.DUMMYFUNCTION("""COMPUTED_VALUE"""),7.0)</f>
        <v>7</v>
      </c>
      <c r="AF166" s="447">
        <f>IFERROR(__xludf.DUMMYFUNCTION("""COMPUTED_VALUE"""),2.0)</f>
        <v>2</v>
      </c>
      <c r="AG166" s="443" t="s">
        <v>122</v>
      </c>
      <c r="AH166" s="443" t="s">
        <v>343</v>
      </c>
      <c r="AI166" s="443"/>
      <c r="AJ166" s="443"/>
      <c r="AK166" s="443"/>
      <c r="AL166" s="443"/>
      <c r="AM166" s="443"/>
      <c r="AN166" s="443"/>
      <c r="AO166" s="443"/>
      <c r="AP166" s="443"/>
      <c r="AQ166" s="443"/>
      <c r="AR166" s="443"/>
      <c r="AS166" s="443"/>
      <c r="AT166" s="443"/>
      <c r="AU166" s="443"/>
      <c r="AV166" s="443"/>
      <c r="AW166" s="443"/>
      <c r="AX166" s="443"/>
      <c r="AY166" s="443"/>
      <c r="AZ166" s="443"/>
      <c r="BA166" s="443"/>
      <c r="BB166" s="443"/>
      <c r="BC166" s="443"/>
      <c r="BD166" s="443"/>
      <c r="BE166" s="443"/>
    </row>
    <row r="167" hidden="1">
      <c r="A167" s="445">
        <f t="shared" si="5"/>
        <v>45457</v>
      </c>
      <c r="B167" s="449">
        <v>520.0</v>
      </c>
      <c r="C167" s="462">
        <v>0.6180555555555556</v>
      </c>
      <c r="D167" s="462">
        <v>1.0104166666666667</v>
      </c>
      <c r="E167" s="436">
        <f t="array" ref="E167">IF(B167=0,"",(J167+K167)/60)</f>
        <v>0.5</v>
      </c>
      <c r="F167" s="437">
        <f t="shared" si="1"/>
        <v>9.416666667</v>
      </c>
      <c r="G167" s="438">
        <f t="shared" si="2"/>
        <v>55.22123894</v>
      </c>
      <c r="H167" s="438">
        <f t="shared" si="3"/>
        <v>58.31775701</v>
      </c>
      <c r="I167" s="436">
        <f t="shared" si="4"/>
        <v>1.104424779</v>
      </c>
      <c r="J167" s="460">
        <v>30.0</v>
      </c>
      <c r="K167" s="464"/>
      <c r="L167" s="443"/>
      <c r="M167" s="447">
        <f>IFERROR(__xludf.DUMMYFUNCTION("""COMPUTED_VALUE"""),57.0)</f>
        <v>57</v>
      </c>
      <c r="N167" s="447">
        <f>IFERROR(__xludf.DUMMYFUNCTION("""COMPUTED_VALUE"""),55.0)</f>
        <v>55</v>
      </c>
      <c r="O167" s="447">
        <f>IFERROR(__xludf.DUMMYFUNCTION("""COMPUTED_VALUE"""),0.0)</f>
        <v>0</v>
      </c>
      <c r="P167" s="447">
        <f>IFERROR(__xludf.DUMMYFUNCTION("""COMPUTED_VALUE"""),0.0)</f>
        <v>0</v>
      </c>
      <c r="Q167" s="447">
        <f>IFERROR(__xludf.DUMMYFUNCTION("""COMPUTED_VALUE"""),0.0)</f>
        <v>0</v>
      </c>
      <c r="R167" s="447">
        <f>IFERROR(__xludf.DUMMYFUNCTION("""COMPUTED_VALUE"""),0.0)</f>
        <v>0</v>
      </c>
      <c r="S167" s="447">
        <f>IFERROR(__xludf.DUMMYFUNCTION("""COMPUTED_VALUE"""),3.0)</f>
        <v>3</v>
      </c>
      <c r="T167" s="447">
        <f>IFERROR(__xludf.DUMMYFUNCTION("""COMPUTED_VALUE"""),0.0)</f>
        <v>0</v>
      </c>
      <c r="U167" s="447">
        <f>IFERROR(__xludf.DUMMYFUNCTION("""COMPUTED_VALUE"""),0.0)</f>
        <v>0</v>
      </c>
      <c r="V167" s="447">
        <f>IFERROR(__xludf.DUMMYFUNCTION("""COMPUTED_VALUE"""),2.0)</f>
        <v>2</v>
      </c>
      <c r="W167" s="447">
        <f>IFERROR(__xludf.DUMMYFUNCTION("""COMPUTED_VALUE"""),0.0)</f>
        <v>0</v>
      </c>
      <c r="X167" s="447">
        <f>IFERROR(__xludf.DUMMYFUNCTION("""COMPUTED_VALUE"""),0.0)</f>
        <v>0</v>
      </c>
      <c r="Y167" s="447">
        <f>IFERROR(__xludf.DUMMYFUNCTION("""COMPUTED_VALUE"""),0.0)</f>
        <v>0</v>
      </c>
      <c r="Z167" s="447">
        <f>IFERROR(__xludf.DUMMYFUNCTION("""COMPUTED_VALUE"""),0.0)</f>
        <v>0</v>
      </c>
      <c r="AA167" s="447">
        <f>IFERROR(__xludf.DUMMYFUNCTION("""COMPUTED_VALUE"""),0.0)</f>
        <v>0</v>
      </c>
      <c r="AB167" s="447">
        <f>IFERROR(__xludf.DUMMYFUNCTION("""COMPUTED_VALUE"""),0.0)</f>
        <v>0</v>
      </c>
      <c r="AC167" s="447">
        <f>IFERROR(__xludf.DUMMYFUNCTION("""COMPUTED_VALUE"""),0.0)</f>
        <v>0</v>
      </c>
      <c r="AD167" s="447">
        <f>IFERROR(__xludf.DUMMYFUNCTION("""COMPUTED_VALUE"""),50.0)</f>
        <v>50</v>
      </c>
      <c r="AE167" s="447">
        <f>IFERROR(__xludf.DUMMYFUNCTION("""COMPUTED_VALUE"""),7.0)</f>
        <v>7</v>
      </c>
      <c r="AF167" s="447">
        <f>IFERROR(__xludf.DUMMYFUNCTION("""COMPUTED_VALUE"""),2.0)</f>
        <v>2</v>
      </c>
      <c r="AG167" s="443" t="s">
        <v>122</v>
      </c>
      <c r="AH167" s="443" t="s">
        <v>343</v>
      </c>
      <c r="AI167" s="443"/>
      <c r="AJ167" s="443"/>
      <c r="AK167" s="443"/>
      <c r="AL167" s="443"/>
      <c r="AM167" s="443"/>
      <c r="AN167" s="443"/>
      <c r="AO167" s="443"/>
      <c r="AP167" s="443"/>
      <c r="AQ167" s="443"/>
      <c r="AR167" s="443"/>
      <c r="AS167" s="443"/>
      <c r="AT167" s="443"/>
      <c r="AU167" s="443"/>
      <c r="AV167" s="443"/>
      <c r="AW167" s="443"/>
      <c r="AX167" s="443"/>
      <c r="AY167" s="443"/>
      <c r="AZ167" s="443"/>
      <c r="BA167" s="443"/>
      <c r="BB167" s="443"/>
      <c r="BC167" s="443"/>
      <c r="BD167" s="443"/>
      <c r="BE167" s="443"/>
    </row>
    <row r="168" hidden="1">
      <c r="A168" s="445">
        <f t="shared" si="5"/>
        <v>45458</v>
      </c>
      <c r="B168" s="449">
        <v>364.0</v>
      </c>
      <c r="C168" s="462">
        <v>0.5166666666666667</v>
      </c>
      <c r="D168" s="462">
        <v>0.7569444444444444</v>
      </c>
      <c r="E168" s="436">
        <f t="array" ref="E168">IF(B168=0,"",(J168+K168)/60)</f>
        <v>0</v>
      </c>
      <c r="F168" s="437">
        <f t="shared" si="1"/>
        <v>5.766666667</v>
      </c>
      <c r="G168" s="438">
        <f t="shared" si="2"/>
        <v>63.12138728</v>
      </c>
      <c r="H168" s="438">
        <f t="shared" si="3"/>
        <v>63.12138728</v>
      </c>
      <c r="I168" s="436">
        <f t="shared" si="4"/>
        <v>1.23767426</v>
      </c>
      <c r="J168" s="464"/>
      <c r="K168" s="464"/>
      <c r="L168" s="443"/>
      <c r="M168" s="447">
        <f>IFERROR(__xludf.DUMMYFUNCTION("""COMPUTED_VALUE"""),57.0)</f>
        <v>57</v>
      </c>
      <c r="N168" s="447">
        <f>IFERROR(__xludf.DUMMYFUNCTION("""COMPUTED_VALUE"""),55.0)</f>
        <v>55</v>
      </c>
      <c r="O168" s="447">
        <f>IFERROR(__xludf.DUMMYFUNCTION("""COMPUTED_VALUE"""),0.0)</f>
        <v>0</v>
      </c>
      <c r="P168" s="447">
        <f>IFERROR(__xludf.DUMMYFUNCTION("""COMPUTED_VALUE"""),0.0)</f>
        <v>0</v>
      </c>
      <c r="Q168" s="447">
        <f>IFERROR(__xludf.DUMMYFUNCTION("""COMPUTED_VALUE"""),0.0)</f>
        <v>0</v>
      </c>
      <c r="R168" s="447">
        <f>IFERROR(__xludf.DUMMYFUNCTION("""COMPUTED_VALUE"""),0.0)</f>
        <v>0</v>
      </c>
      <c r="S168" s="447">
        <f>IFERROR(__xludf.DUMMYFUNCTION("""COMPUTED_VALUE"""),2.0)</f>
        <v>2</v>
      </c>
      <c r="T168" s="447">
        <f>IFERROR(__xludf.DUMMYFUNCTION("""COMPUTED_VALUE"""),0.0)</f>
        <v>0</v>
      </c>
      <c r="U168" s="447">
        <f>IFERROR(__xludf.DUMMYFUNCTION("""COMPUTED_VALUE"""),0.0)</f>
        <v>0</v>
      </c>
      <c r="V168" s="447">
        <f>IFERROR(__xludf.DUMMYFUNCTION("""COMPUTED_VALUE"""),2.0)</f>
        <v>2</v>
      </c>
      <c r="W168" s="447">
        <f>IFERROR(__xludf.DUMMYFUNCTION("""COMPUTED_VALUE"""),0.0)</f>
        <v>0</v>
      </c>
      <c r="X168" s="447">
        <f>IFERROR(__xludf.DUMMYFUNCTION("""COMPUTED_VALUE"""),0.0)</f>
        <v>0</v>
      </c>
      <c r="Y168" s="447">
        <f>IFERROR(__xludf.DUMMYFUNCTION("""COMPUTED_VALUE"""),0.0)</f>
        <v>0</v>
      </c>
      <c r="Z168" s="447">
        <f>IFERROR(__xludf.DUMMYFUNCTION("""COMPUTED_VALUE"""),0.0)</f>
        <v>0</v>
      </c>
      <c r="AA168" s="447">
        <f>IFERROR(__xludf.DUMMYFUNCTION("""COMPUTED_VALUE"""),0.0)</f>
        <v>0</v>
      </c>
      <c r="AB168" s="447">
        <f>IFERROR(__xludf.DUMMYFUNCTION("""COMPUTED_VALUE"""),0.0)</f>
        <v>0</v>
      </c>
      <c r="AC168" s="447">
        <f>IFERROR(__xludf.DUMMYFUNCTION("""COMPUTED_VALUE"""),0.0)</f>
        <v>0</v>
      </c>
      <c r="AD168" s="447">
        <f>IFERROR(__xludf.DUMMYFUNCTION("""COMPUTED_VALUE"""),51.0)</f>
        <v>51</v>
      </c>
      <c r="AE168" s="447">
        <f>IFERROR(__xludf.DUMMYFUNCTION("""COMPUTED_VALUE"""),6.0)</f>
        <v>6</v>
      </c>
      <c r="AF168" s="447">
        <f>IFERROR(__xludf.DUMMYFUNCTION("""COMPUTED_VALUE"""),2.0)</f>
        <v>2</v>
      </c>
      <c r="AG168" s="443" t="s">
        <v>122</v>
      </c>
      <c r="AH168" s="443" t="s">
        <v>343</v>
      </c>
      <c r="AI168" s="443"/>
      <c r="AJ168" s="443"/>
      <c r="AK168" s="443"/>
      <c r="AL168" s="443"/>
      <c r="AM168" s="443"/>
      <c r="AN168" s="443"/>
      <c r="AO168" s="443"/>
      <c r="AP168" s="443"/>
      <c r="AQ168" s="443"/>
      <c r="AR168" s="443"/>
      <c r="AS168" s="443"/>
      <c r="AT168" s="443"/>
      <c r="AU168" s="443"/>
      <c r="AV168" s="443"/>
      <c r="AW168" s="443"/>
      <c r="AX168" s="443"/>
      <c r="AY168" s="443"/>
      <c r="AZ168" s="443"/>
      <c r="BA168" s="443"/>
      <c r="BB168" s="443"/>
      <c r="BC168" s="443"/>
      <c r="BD168" s="443"/>
      <c r="BE168" s="443"/>
    </row>
    <row r="169" hidden="1">
      <c r="A169" s="445">
        <f t="shared" si="5"/>
        <v>45459</v>
      </c>
      <c r="B169" s="449">
        <v>0.0</v>
      </c>
      <c r="C169" s="443"/>
      <c r="D169" s="443"/>
      <c r="E169" s="436" t="str">
        <f t="array" ref="E169">IF(B169=0,"",(J169+K169)/60)</f>
        <v/>
      </c>
      <c r="F169" s="437" t="str">
        <f t="shared" si="1"/>
        <v/>
      </c>
      <c r="G169" s="438" t="str">
        <f t="shared" si="2"/>
        <v/>
      </c>
      <c r="H169" s="438" t="str">
        <f t="shared" si="3"/>
        <v/>
      </c>
      <c r="I169" s="436" t="str">
        <f t="shared" si="4"/>
        <v/>
      </c>
      <c r="J169" s="464"/>
      <c r="K169" s="464"/>
      <c r="L169" s="443"/>
      <c r="M169" s="447">
        <f>IFERROR(__xludf.DUMMYFUNCTION("""COMPUTED_VALUE"""),57.0)</f>
        <v>57</v>
      </c>
      <c r="N169" s="447">
        <f>IFERROR(__xludf.DUMMYFUNCTION("""COMPUTED_VALUE"""),57.0)</f>
        <v>57</v>
      </c>
      <c r="O169" s="447">
        <f>IFERROR(__xludf.DUMMYFUNCTION("""COMPUTED_VALUE"""),0.0)</f>
        <v>0</v>
      </c>
      <c r="P169" s="447">
        <f>IFERROR(__xludf.DUMMYFUNCTION("""COMPUTED_VALUE"""),0.0)</f>
        <v>0</v>
      </c>
      <c r="Q169" s="447">
        <f>IFERROR(__xludf.DUMMYFUNCTION("""COMPUTED_VALUE"""),0.0)</f>
        <v>0</v>
      </c>
      <c r="R169" s="447">
        <f>IFERROR(__xludf.DUMMYFUNCTION("""COMPUTED_VALUE"""),0.0)</f>
        <v>0</v>
      </c>
      <c r="S169" s="447">
        <f>IFERROR(__xludf.DUMMYFUNCTION("""COMPUTED_VALUE"""),0.0)</f>
        <v>0</v>
      </c>
      <c r="T169" s="447">
        <f>IFERROR(__xludf.DUMMYFUNCTION("""COMPUTED_VALUE"""),0.0)</f>
        <v>0</v>
      </c>
      <c r="U169" s="447">
        <f>IFERROR(__xludf.DUMMYFUNCTION("""COMPUTED_VALUE"""),0.0)</f>
        <v>0</v>
      </c>
      <c r="V169" s="447">
        <f>IFERROR(__xludf.DUMMYFUNCTION("""COMPUTED_VALUE"""),0.0)</f>
        <v>0</v>
      </c>
      <c r="W169" s="447">
        <f>IFERROR(__xludf.DUMMYFUNCTION("""COMPUTED_VALUE"""),0.0)</f>
        <v>0</v>
      </c>
      <c r="X169" s="447">
        <f>IFERROR(__xludf.DUMMYFUNCTION("""COMPUTED_VALUE"""),0.0)</f>
        <v>0</v>
      </c>
      <c r="Y169" s="447">
        <f>IFERROR(__xludf.DUMMYFUNCTION("""COMPUTED_VALUE"""),0.0)</f>
        <v>0</v>
      </c>
      <c r="Z169" s="447">
        <f>IFERROR(__xludf.DUMMYFUNCTION("""COMPUTED_VALUE"""),0.0)</f>
        <v>0</v>
      </c>
      <c r="AA169" s="447">
        <f>IFERROR(__xludf.DUMMYFUNCTION("""COMPUTED_VALUE"""),0.0)</f>
        <v>0</v>
      </c>
      <c r="AB169" s="447">
        <f>IFERROR(__xludf.DUMMYFUNCTION("""COMPUTED_VALUE"""),0.0)</f>
        <v>0</v>
      </c>
      <c r="AC169" s="447">
        <f>IFERROR(__xludf.DUMMYFUNCTION("""COMPUTED_VALUE"""),0.0)</f>
        <v>0</v>
      </c>
      <c r="AD169" s="447">
        <f>IFERROR(__xludf.DUMMYFUNCTION("""COMPUTED_VALUE"""),0.0)</f>
        <v>0</v>
      </c>
      <c r="AE169" s="447">
        <f>IFERROR(__xludf.DUMMYFUNCTION("""COMPUTED_VALUE"""),0.0)</f>
        <v>0</v>
      </c>
      <c r="AF169" s="447">
        <f>IFERROR(__xludf.DUMMYFUNCTION("""COMPUTED_VALUE"""),0.0)</f>
        <v>0</v>
      </c>
      <c r="AG169" s="443" t="s">
        <v>122</v>
      </c>
      <c r="AH169" s="443" t="s">
        <v>343</v>
      </c>
      <c r="AI169" s="443"/>
      <c r="AJ169" s="443"/>
      <c r="AK169" s="443"/>
      <c r="AL169" s="443"/>
      <c r="AM169" s="443"/>
      <c r="AN169" s="443"/>
      <c r="AO169" s="443"/>
      <c r="AP169" s="443"/>
      <c r="AQ169" s="443"/>
      <c r="AR169" s="443"/>
      <c r="AS169" s="443"/>
      <c r="AT169" s="443"/>
      <c r="AU169" s="443"/>
      <c r="AV169" s="443"/>
      <c r="AW169" s="443"/>
      <c r="AX169" s="443"/>
      <c r="AY169" s="443"/>
      <c r="AZ169" s="443"/>
      <c r="BA169" s="443"/>
      <c r="BB169" s="443"/>
      <c r="BC169" s="443"/>
      <c r="BD169" s="443"/>
      <c r="BE169" s="443"/>
    </row>
    <row r="170" hidden="1">
      <c r="A170" s="445">
        <f t="shared" si="5"/>
        <v>45460</v>
      </c>
      <c r="B170" s="449">
        <v>482.0</v>
      </c>
      <c r="C170" s="462">
        <v>0.6631944444444444</v>
      </c>
      <c r="D170" s="462">
        <v>1.0590277777777777</v>
      </c>
      <c r="E170" s="436">
        <f t="array" ref="E170">IF(B170=0,"",(J170+K170)/60)</f>
        <v>0.5</v>
      </c>
      <c r="F170" s="437">
        <f t="shared" si="1"/>
        <v>9.5</v>
      </c>
      <c r="G170" s="438">
        <f t="shared" si="2"/>
        <v>50.73684211</v>
      </c>
      <c r="H170" s="438">
        <f t="shared" si="3"/>
        <v>53.55555556</v>
      </c>
      <c r="I170" s="436">
        <f t="shared" si="4"/>
        <v>1.153110048</v>
      </c>
      <c r="J170" s="460">
        <v>30.0</v>
      </c>
      <c r="K170" s="464"/>
      <c r="L170" s="443"/>
      <c r="M170" s="447">
        <f>IFERROR(__xludf.DUMMYFUNCTION("""COMPUTED_VALUE"""),57.0)</f>
        <v>57</v>
      </c>
      <c r="N170" s="447">
        <f>IFERROR(__xludf.DUMMYFUNCTION("""COMPUTED_VALUE"""),51.0)</f>
        <v>51</v>
      </c>
      <c r="O170" s="447">
        <f>IFERROR(__xludf.DUMMYFUNCTION("""COMPUTED_VALUE"""),0.0)</f>
        <v>0</v>
      </c>
      <c r="P170" s="447">
        <f>IFERROR(__xludf.DUMMYFUNCTION("""COMPUTED_VALUE"""),0.0)</f>
        <v>0</v>
      </c>
      <c r="Q170" s="447">
        <f>IFERROR(__xludf.DUMMYFUNCTION("""COMPUTED_VALUE"""),1.0)</f>
        <v>1</v>
      </c>
      <c r="R170" s="447">
        <f>IFERROR(__xludf.DUMMYFUNCTION("""COMPUTED_VALUE"""),0.0)</f>
        <v>0</v>
      </c>
      <c r="S170" s="447">
        <f>IFERROR(__xludf.DUMMYFUNCTION("""COMPUTED_VALUE"""),4.0)</f>
        <v>4</v>
      </c>
      <c r="T170" s="447">
        <f>IFERROR(__xludf.DUMMYFUNCTION("""COMPUTED_VALUE"""),0.0)</f>
        <v>0</v>
      </c>
      <c r="U170" s="447">
        <f>IFERROR(__xludf.DUMMYFUNCTION("""COMPUTED_VALUE"""),4.0)</f>
        <v>4</v>
      </c>
      <c r="V170" s="447">
        <f>IFERROR(__xludf.DUMMYFUNCTION("""COMPUTED_VALUE"""),2.0)</f>
        <v>2</v>
      </c>
      <c r="W170" s="447">
        <f>IFERROR(__xludf.DUMMYFUNCTION("""COMPUTED_VALUE"""),0.0)</f>
        <v>0</v>
      </c>
      <c r="X170" s="447">
        <f>IFERROR(__xludf.DUMMYFUNCTION("""COMPUTED_VALUE"""),0.0)</f>
        <v>0</v>
      </c>
      <c r="Y170" s="447">
        <f>IFERROR(__xludf.DUMMYFUNCTION("""COMPUTED_VALUE"""),0.0)</f>
        <v>0</v>
      </c>
      <c r="Z170" s="447">
        <f>IFERROR(__xludf.DUMMYFUNCTION("""COMPUTED_VALUE"""),0.0)</f>
        <v>0</v>
      </c>
      <c r="AA170" s="447">
        <f>IFERROR(__xludf.DUMMYFUNCTION("""COMPUTED_VALUE"""),0.0)</f>
        <v>0</v>
      </c>
      <c r="AB170" s="447">
        <f>IFERROR(__xludf.DUMMYFUNCTION("""COMPUTED_VALUE"""),0.0)</f>
        <v>0</v>
      </c>
      <c r="AC170" s="447">
        <f>IFERROR(__xludf.DUMMYFUNCTION("""COMPUTED_VALUE"""),0.0)</f>
        <v>0</v>
      </c>
      <c r="AD170" s="447">
        <f>IFERROR(__xludf.DUMMYFUNCTION("""COMPUTED_VALUE"""),44.0)</f>
        <v>44</v>
      </c>
      <c r="AE170" s="447">
        <f>IFERROR(__xludf.DUMMYFUNCTION("""COMPUTED_VALUE"""),13.0)</f>
        <v>13</v>
      </c>
      <c r="AF170" s="447">
        <f>IFERROR(__xludf.DUMMYFUNCTION("""COMPUTED_VALUE"""),6.0)</f>
        <v>6</v>
      </c>
      <c r="AG170" s="443" t="s">
        <v>122</v>
      </c>
      <c r="AH170" s="443" t="s">
        <v>343</v>
      </c>
      <c r="AI170" s="443"/>
      <c r="AJ170" s="443"/>
      <c r="AK170" s="443"/>
      <c r="AL170" s="443"/>
      <c r="AM170" s="443"/>
      <c r="AN170" s="443"/>
      <c r="AO170" s="443"/>
      <c r="AP170" s="443"/>
      <c r="AQ170" s="443"/>
      <c r="AR170" s="443"/>
      <c r="AS170" s="443"/>
      <c r="AT170" s="443"/>
      <c r="AU170" s="443"/>
      <c r="AV170" s="443"/>
      <c r="AW170" s="443"/>
      <c r="AX170" s="443"/>
      <c r="AY170" s="443"/>
      <c r="AZ170" s="443"/>
      <c r="BA170" s="443"/>
      <c r="BB170" s="443"/>
      <c r="BC170" s="443"/>
      <c r="BD170" s="443"/>
      <c r="BE170" s="443"/>
    </row>
    <row r="171" hidden="1">
      <c r="A171" s="445">
        <f t="shared" si="5"/>
        <v>45461</v>
      </c>
      <c r="B171" s="449">
        <v>404.0</v>
      </c>
      <c r="C171" s="462">
        <v>0.6</v>
      </c>
      <c r="D171" s="462">
        <v>0.9291666666666667</v>
      </c>
      <c r="E171" s="436">
        <f t="array" ref="E171">IF(B171=0,"",(J171+K171)/60)</f>
        <v>0.5</v>
      </c>
      <c r="F171" s="437">
        <f t="shared" si="1"/>
        <v>7.9</v>
      </c>
      <c r="G171" s="438">
        <f t="shared" si="2"/>
        <v>51.13924051</v>
      </c>
      <c r="H171" s="438">
        <f t="shared" si="3"/>
        <v>54.59459459</v>
      </c>
      <c r="I171" s="436">
        <f t="shared" si="4"/>
        <v>1.04365797</v>
      </c>
      <c r="J171" s="460">
        <v>30.0</v>
      </c>
      <c r="K171" s="464"/>
      <c r="L171" s="443"/>
      <c r="M171" s="447">
        <f>IFERROR(__xludf.DUMMYFUNCTION("""COMPUTED_VALUE"""),57.0)</f>
        <v>57</v>
      </c>
      <c r="N171" s="447">
        <f>IFERROR(__xludf.DUMMYFUNCTION("""COMPUTED_VALUE"""),55.0)</f>
        <v>55</v>
      </c>
      <c r="O171" s="447">
        <f>IFERROR(__xludf.DUMMYFUNCTION("""COMPUTED_VALUE"""),0.0)</f>
        <v>0</v>
      </c>
      <c r="P171" s="447">
        <f>IFERROR(__xludf.DUMMYFUNCTION("""COMPUTED_VALUE"""),0.0)</f>
        <v>0</v>
      </c>
      <c r="Q171" s="447">
        <f>IFERROR(__xludf.DUMMYFUNCTION("""COMPUTED_VALUE"""),0.0)</f>
        <v>0</v>
      </c>
      <c r="R171" s="447">
        <f>IFERROR(__xludf.DUMMYFUNCTION("""COMPUTED_VALUE"""),0.0)</f>
        <v>0</v>
      </c>
      <c r="S171" s="447">
        <f>IFERROR(__xludf.DUMMYFUNCTION("""COMPUTED_VALUE"""),4.0)</f>
        <v>4</v>
      </c>
      <c r="T171" s="447">
        <f>IFERROR(__xludf.DUMMYFUNCTION("""COMPUTED_VALUE"""),0.0)</f>
        <v>0</v>
      </c>
      <c r="U171" s="447">
        <f>IFERROR(__xludf.DUMMYFUNCTION("""COMPUTED_VALUE"""),0.0)</f>
        <v>0</v>
      </c>
      <c r="V171" s="447">
        <f>IFERROR(__xludf.DUMMYFUNCTION("""COMPUTED_VALUE"""),2.0)</f>
        <v>2</v>
      </c>
      <c r="W171" s="447">
        <f>IFERROR(__xludf.DUMMYFUNCTION("""COMPUTED_VALUE"""),0.0)</f>
        <v>0</v>
      </c>
      <c r="X171" s="447">
        <f>IFERROR(__xludf.DUMMYFUNCTION("""COMPUTED_VALUE"""),0.0)</f>
        <v>0</v>
      </c>
      <c r="Y171" s="447">
        <f>IFERROR(__xludf.DUMMYFUNCTION("""COMPUTED_VALUE"""),0.0)</f>
        <v>0</v>
      </c>
      <c r="Z171" s="447">
        <f>IFERROR(__xludf.DUMMYFUNCTION("""COMPUTED_VALUE"""),0.0)</f>
        <v>0</v>
      </c>
      <c r="AA171" s="447">
        <f>IFERROR(__xludf.DUMMYFUNCTION("""COMPUTED_VALUE"""),0.0)</f>
        <v>0</v>
      </c>
      <c r="AB171" s="447">
        <f>IFERROR(__xludf.DUMMYFUNCTION("""COMPUTED_VALUE"""),0.0)</f>
        <v>0</v>
      </c>
      <c r="AC171" s="447">
        <f>IFERROR(__xludf.DUMMYFUNCTION("""COMPUTED_VALUE"""),0.0)</f>
        <v>0</v>
      </c>
      <c r="AD171" s="447">
        <f>IFERROR(__xludf.DUMMYFUNCTION("""COMPUTED_VALUE"""),49.0)</f>
        <v>49</v>
      </c>
      <c r="AE171" s="447">
        <f>IFERROR(__xludf.DUMMYFUNCTION("""COMPUTED_VALUE"""),8.0)</f>
        <v>8</v>
      </c>
      <c r="AF171" s="447">
        <f>IFERROR(__xludf.DUMMYFUNCTION("""COMPUTED_VALUE"""),2.0)</f>
        <v>2</v>
      </c>
      <c r="AG171" s="443" t="s">
        <v>122</v>
      </c>
      <c r="AH171" s="443" t="s">
        <v>343</v>
      </c>
      <c r="AI171" s="443"/>
      <c r="AJ171" s="443"/>
      <c r="AK171" s="443"/>
      <c r="AL171" s="443"/>
      <c r="AM171" s="443"/>
      <c r="AN171" s="443"/>
      <c r="AO171" s="443"/>
      <c r="AP171" s="443"/>
      <c r="AQ171" s="443"/>
      <c r="AR171" s="443"/>
      <c r="AS171" s="443"/>
      <c r="AT171" s="443"/>
      <c r="AU171" s="443"/>
      <c r="AV171" s="443"/>
      <c r="AW171" s="443"/>
      <c r="AX171" s="443"/>
      <c r="AY171" s="443"/>
      <c r="AZ171" s="443"/>
      <c r="BA171" s="443"/>
      <c r="BB171" s="443"/>
      <c r="BC171" s="443"/>
      <c r="BD171" s="443"/>
      <c r="BE171" s="443"/>
    </row>
    <row r="172" hidden="1">
      <c r="A172" s="445">
        <f t="shared" si="5"/>
        <v>45462</v>
      </c>
      <c r="B172" s="449">
        <v>476.0</v>
      </c>
      <c r="C172" s="462">
        <v>0.6</v>
      </c>
      <c r="D172" s="462">
        <v>0.975</v>
      </c>
      <c r="E172" s="436">
        <f t="array" ref="E172">IF(B172=0,"",(J172+K172)/60)</f>
        <v>0.5</v>
      </c>
      <c r="F172" s="437">
        <f t="shared" si="1"/>
        <v>9</v>
      </c>
      <c r="G172" s="438">
        <f t="shared" si="2"/>
        <v>52.88888889</v>
      </c>
      <c r="H172" s="438">
        <f t="shared" si="3"/>
        <v>56</v>
      </c>
      <c r="I172" s="436">
        <f t="shared" si="4"/>
        <v>1.079365079</v>
      </c>
      <c r="J172" s="460">
        <v>30.0</v>
      </c>
      <c r="K172" s="464"/>
      <c r="L172" s="443"/>
      <c r="M172" s="447">
        <f>IFERROR(__xludf.DUMMYFUNCTION("""COMPUTED_VALUE"""),57.0)</f>
        <v>57</v>
      </c>
      <c r="N172" s="447">
        <f>IFERROR(__xludf.DUMMYFUNCTION("""COMPUTED_VALUE"""),55.0)</f>
        <v>55</v>
      </c>
      <c r="O172" s="447">
        <f>IFERROR(__xludf.DUMMYFUNCTION("""COMPUTED_VALUE"""),0.0)</f>
        <v>0</v>
      </c>
      <c r="P172" s="447">
        <f>IFERROR(__xludf.DUMMYFUNCTION("""COMPUTED_VALUE"""),0.0)</f>
        <v>0</v>
      </c>
      <c r="Q172" s="447">
        <f>IFERROR(__xludf.DUMMYFUNCTION("""COMPUTED_VALUE"""),0.0)</f>
        <v>0</v>
      </c>
      <c r="R172" s="447">
        <f>IFERROR(__xludf.DUMMYFUNCTION("""COMPUTED_VALUE"""),0.0)</f>
        <v>0</v>
      </c>
      <c r="S172" s="447">
        <f>IFERROR(__xludf.DUMMYFUNCTION("""COMPUTED_VALUE"""),4.0)</f>
        <v>4</v>
      </c>
      <c r="T172" s="447">
        <f>IFERROR(__xludf.DUMMYFUNCTION("""COMPUTED_VALUE"""),0.0)</f>
        <v>0</v>
      </c>
      <c r="U172" s="447">
        <f>IFERROR(__xludf.DUMMYFUNCTION("""COMPUTED_VALUE"""),0.0)</f>
        <v>0</v>
      </c>
      <c r="V172" s="447">
        <f>IFERROR(__xludf.DUMMYFUNCTION("""COMPUTED_VALUE"""),2.0)</f>
        <v>2</v>
      </c>
      <c r="W172" s="447">
        <f>IFERROR(__xludf.DUMMYFUNCTION("""COMPUTED_VALUE"""),0.0)</f>
        <v>0</v>
      </c>
      <c r="X172" s="447">
        <f>IFERROR(__xludf.DUMMYFUNCTION("""COMPUTED_VALUE"""),0.0)</f>
        <v>0</v>
      </c>
      <c r="Y172" s="447">
        <f>IFERROR(__xludf.DUMMYFUNCTION("""COMPUTED_VALUE"""),0.0)</f>
        <v>0</v>
      </c>
      <c r="Z172" s="447">
        <f>IFERROR(__xludf.DUMMYFUNCTION("""COMPUTED_VALUE"""),0.0)</f>
        <v>0</v>
      </c>
      <c r="AA172" s="447">
        <f>IFERROR(__xludf.DUMMYFUNCTION("""COMPUTED_VALUE"""),0.0)</f>
        <v>0</v>
      </c>
      <c r="AB172" s="447">
        <f>IFERROR(__xludf.DUMMYFUNCTION("""COMPUTED_VALUE"""),0.0)</f>
        <v>0</v>
      </c>
      <c r="AC172" s="447">
        <f>IFERROR(__xludf.DUMMYFUNCTION("""COMPUTED_VALUE"""),0.0)</f>
        <v>0</v>
      </c>
      <c r="AD172" s="447">
        <f>IFERROR(__xludf.DUMMYFUNCTION("""COMPUTED_VALUE"""),49.0)</f>
        <v>49</v>
      </c>
      <c r="AE172" s="447">
        <f>IFERROR(__xludf.DUMMYFUNCTION("""COMPUTED_VALUE"""),8.0)</f>
        <v>8</v>
      </c>
      <c r="AF172" s="447">
        <f>IFERROR(__xludf.DUMMYFUNCTION("""COMPUTED_VALUE"""),2.0)</f>
        <v>2</v>
      </c>
      <c r="AG172" s="443" t="s">
        <v>122</v>
      </c>
      <c r="AH172" s="443" t="s">
        <v>343</v>
      </c>
      <c r="AI172" s="443"/>
      <c r="AJ172" s="443"/>
      <c r="AK172" s="443"/>
      <c r="AL172" s="443"/>
      <c r="AM172" s="443"/>
      <c r="AN172" s="443"/>
      <c r="AO172" s="443"/>
      <c r="AP172" s="443"/>
      <c r="AQ172" s="443"/>
      <c r="AR172" s="443"/>
      <c r="AS172" s="443"/>
      <c r="AT172" s="443"/>
      <c r="AU172" s="443"/>
      <c r="AV172" s="443"/>
      <c r="AW172" s="443"/>
      <c r="AX172" s="443"/>
      <c r="AY172" s="443"/>
      <c r="AZ172" s="443"/>
      <c r="BA172" s="443"/>
      <c r="BB172" s="443"/>
      <c r="BC172" s="443"/>
      <c r="BD172" s="443"/>
      <c r="BE172" s="443"/>
    </row>
    <row r="173" hidden="1">
      <c r="A173" s="445">
        <f t="shared" si="5"/>
        <v>45463</v>
      </c>
      <c r="B173" s="449">
        <v>573.0</v>
      </c>
      <c r="C173" s="462">
        <v>0.6</v>
      </c>
      <c r="D173" s="462">
        <v>1.075</v>
      </c>
      <c r="E173" s="436">
        <f t="array" ref="E173">IF(B173=0,"",(J173+K173)/60)</f>
        <v>1.333333333</v>
      </c>
      <c r="F173" s="437">
        <f t="shared" si="1"/>
        <v>11.4</v>
      </c>
      <c r="G173" s="438">
        <f t="shared" si="2"/>
        <v>50.26315789</v>
      </c>
      <c r="H173" s="438">
        <f t="shared" si="3"/>
        <v>56.9205298</v>
      </c>
      <c r="I173" s="436">
        <f t="shared" si="4"/>
        <v>0.9855521156</v>
      </c>
      <c r="J173" s="460">
        <v>60.0</v>
      </c>
      <c r="K173" s="460">
        <v>20.0</v>
      </c>
      <c r="L173" s="443"/>
      <c r="M173" s="447">
        <f>IFERROR(__xludf.DUMMYFUNCTION("""COMPUTED_VALUE"""),57.0)</f>
        <v>57</v>
      </c>
      <c r="N173" s="447">
        <f>IFERROR(__xludf.DUMMYFUNCTION("""COMPUTED_VALUE"""),55.0)</f>
        <v>55</v>
      </c>
      <c r="O173" s="447">
        <f>IFERROR(__xludf.DUMMYFUNCTION("""COMPUTED_VALUE"""),0.0)</f>
        <v>0</v>
      </c>
      <c r="P173" s="447">
        <f>IFERROR(__xludf.DUMMYFUNCTION("""COMPUTED_VALUE"""),0.0)</f>
        <v>0</v>
      </c>
      <c r="Q173" s="447">
        <f>IFERROR(__xludf.DUMMYFUNCTION("""COMPUTED_VALUE"""),0.0)</f>
        <v>0</v>
      </c>
      <c r="R173" s="447">
        <f>IFERROR(__xludf.DUMMYFUNCTION("""COMPUTED_VALUE"""),0.0)</f>
        <v>0</v>
      </c>
      <c r="S173" s="447">
        <f>IFERROR(__xludf.DUMMYFUNCTION("""COMPUTED_VALUE"""),2.0)</f>
        <v>2</v>
      </c>
      <c r="T173" s="447">
        <f>IFERROR(__xludf.DUMMYFUNCTION("""COMPUTED_VALUE"""),0.0)</f>
        <v>0</v>
      </c>
      <c r="U173" s="447">
        <f>IFERROR(__xludf.DUMMYFUNCTION("""COMPUTED_VALUE"""),0.0)</f>
        <v>0</v>
      </c>
      <c r="V173" s="447">
        <f>IFERROR(__xludf.DUMMYFUNCTION("""COMPUTED_VALUE"""),2.0)</f>
        <v>2</v>
      </c>
      <c r="W173" s="447">
        <f>IFERROR(__xludf.DUMMYFUNCTION("""COMPUTED_VALUE"""),0.0)</f>
        <v>0</v>
      </c>
      <c r="X173" s="447">
        <f>IFERROR(__xludf.DUMMYFUNCTION("""COMPUTED_VALUE"""),0.0)</f>
        <v>0</v>
      </c>
      <c r="Y173" s="447">
        <f>IFERROR(__xludf.DUMMYFUNCTION("""COMPUTED_VALUE"""),0.0)</f>
        <v>0</v>
      </c>
      <c r="Z173" s="447">
        <f>IFERROR(__xludf.DUMMYFUNCTION("""COMPUTED_VALUE"""),0.0)</f>
        <v>0</v>
      </c>
      <c r="AA173" s="447">
        <f>IFERROR(__xludf.DUMMYFUNCTION("""COMPUTED_VALUE"""),0.0)</f>
        <v>0</v>
      </c>
      <c r="AB173" s="447">
        <f>IFERROR(__xludf.DUMMYFUNCTION("""COMPUTED_VALUE"""),0.0)</f>
        <v>0</v>
      </c>
      <c r="AC173" s="447">
        <f>IFERROR(__xludf.DUMMYFUNCTION("""COMPUTED_VALUE"""),0.0)</f>
        <v>0</v>
      </c>
      <c r="AD173" s="447">
        <f>IFERROR(__xludf.DUMMYFUNCTION("""COMPUTED_VALUE"""),51.0)</f>
        <v>51</v>
      </c>
      <c r="AE173" s="447">
        <f>IFERROR(__xludf.DUMMYFUNCTION("""COMPUTED_VALUE"""),6.0)</f>
        <v>6</v>
      </c>
      <c r="AF173" s="447">
        <f>IFERROR(__xludf.DUMMYFUNCTION("""COMPUTED_VALUE"""),2.0)</f>
        <v>2</v>
      </c>
      <c r="AG173" s="443" t="s">
        <v>122</v>
      </c>
      <c r="AH173" s="443" t="s">
        <v>343</v>
      </c>
      <c r="AI173" s="443"/>
      <c r="AJ173" s="443"/>
      <c r="AK173" s="443"/>
      <c r="AL173" s="443"/>
      <c r="AM173" s="443"/>
      <c r="AN173" s="443"/>
      <c r="AO173" s="443"/>
      <c r="AP173" s="443"/>
      <c r="AQ173" s="443"/>
      <c r="AR173" s="443"/>
      <c r="AS173" s="443"/>
      <c r="AT173" s="443"/>
      <c r="AU173" s="443"/>
      <c r="AV173" s="443"/>
      <c r="AW173" s="443"/>
      <c r="AX173" s="443"/>
      <c r="AY173" s="443"/>
      <c r="AZ173" s="443"/>
      <c r="BA173" s="443"/>
      <c r="BB173" s="443"/>
      <c r="BC173" s="443"/>
      <c r="BD173" s="443"/>
      <c r="BE173" s="443"/>
    </row>
    <row r="174" hidden="1">
      <c r="A174" s="445">
        <f t="shared" si="5"/>
        <v>45464</v>
      </c>
      <c r="B174" s="449">
        <v>322.0</v>
      </c>
      <c r="C174" s="462">
        <v>0.6416666666666667</v>
      </c>
      <c r="D174" s="462">
        <v>0.9166666666666666</v>
      </c>
      <c r="E174" s="436">
        <f t="array" ref="E174">IF(B174=0,"",(J174+K174)/60)</f>
        <v>0.6333333333</v>
      </c>
      <c r="F174" s="437">
        <f t="shared" si="1"/>
        <v>6.6</v>
      </c>
      <c r="G174" s="438">
        <f t="shared" si="2"/>
        <v>48.78787879</v>
      </c>
      <c r="H174" s="438">
        <f t="shared" si="3"/>
        <v>53.96648045</v>
      </c>
      <c r="I174" s="436">
        <f t="shared" si="4"/>
        <v>1.016414141</v>
      </c>
      <c r="J174" s="460">
        <v>30.0</v>
      </c>
      <c r="K174" s="460">
        <v>8.0</v>
      </c>
      <c r="L174" s="443"/>
      <c r="M174" s="447">
        <f>IFERROR(__xludf.DUMMYFUNCTION("""COMPUTED_VALUE"""),57.0)</f>
        <v>57</v>
      </c>
      <c r="N174" s="447">
        <f>IFERROR(__xludf.DUMMYFUNCTION("""COMPUTED_VALUE"""),54.0)</f>
        <v>54</v>
      </c>
      <c r="O174" s="447">
        <f>IFERROR(__xludf.DUMMYFUNCTION("""COMPUTED_VALUE"""),0.0)</f>
        <v>0</v>
      </c>
      <c r="P174" s="447">
        <f>IFERROR(__xludf.DUMMYFUNCTION("""COMPUTED_VALUE"""),0.0)</f>
        <v>0</v>
      </c>
      <c r="Q174" s="447">
        <f>IFERROR(__xludf.DUMMYFUNCTION("""COMPUTED_VALUE"""),0.0)</f>
        <v>0</v>
      </c>
      <c r="R174" s="447">
        <f>IFERROR(__xludf.DUMMYFUNCTION("""COMPUTED_VALUE"""),0.0)</f>
        <v>0</v>
      </c>
      <c r="S174" s="447">
        <f>IFERROR(__xludf.DUMMYFUNCTION("""COMPUTED_VALUE"""),4.0)</f>
        <v>4</v>
      </c>
      <c r="T174" s="447">
        <f>IFERROR(__xludf.DUMMYFUNCTION("""COMPUTED_VALUE"""),0.0)</f>
        <v>0</v>
      </c>
      <c r="U174" s="447">
        <f>IFERROR(__xludf.DUMMYFUNCTION("""COMPUTED_VALUE"""),1.0)</f>
        <v>1</v>
      </c>
      <c r="V174" s="447">
        <f>IFERROR(__xludf.DUMMYFUNCTION("""COMPUTED_VALUE"""),2.0)</f>
        <v>2</v>
      </c>
      <c r="W174" s="447">
        <f>IFERROR(__xludf.DUMMYFUNCTION("""COMPUTED_VALUE"""),0.0)</f>
        <v>0</v>
      </c>
      <c r="X174" s="447">
        <f>IFERROR(__xludf.DUMMYFUNCTION("""COMPUTED_VALUE"""),0.0)</f>
        <v>0</v>
      </c>
      <c r="Y174" s="447">
        <f>IFERROR(__xludf.DUMMYFUNCTION("""COMPUTED_VALUE"""),0.0)</f>
        <v>0</v>
      </c>
      <c r="Z174" s="447">
        <f>IFERROR(__xludf.DUMMYFUNCTION("""COMPUTED_VALUE"""),0.0)</f>
        <v>0</v>
      </c>
      <c r="AA174" s="447">
        <f>IFERROR(__xludf.DUMMYFUNCTION("""COMPUTED_VALUE"""),0.0)</f>
        <v>0</v>
      </c>
      <c r="AB174" s="447">
        <f>IFERROR(__xludf.DUMMYFUNCTION("""COMPUTED_VALUE"""),0.0)</f>
        <v>0</v>
      </c>
      <c r="AC174" s="447">
        <f>IFERROR(__xludf.DUMMYFUNCTION("""COMPUTED_VALUE"""),0.0)</f>
        <v>0</v>
      </c>
      <c r="AD174" s="447">
        <f>IFERROR(__xludf.DUMMYFUNCTION("""COMPUTED_VALUE"""),48.0)</f>
        <v>48</v>
      </c>
      <c r="AE174" s="447">
        <f>IFERROR(__xludf.DUMMYFUNCTION("""COMPUTED_VALUE"""),9.0)</f>
        <v>9</v>
      </c>
      <c r="AF174" s="447">
        <f>IFERROR(__xludf.DUMMYFUNCTION("""COMPUTED_VALUE"""),3.0)</f>
        <v>3</v>
      </c>
      <c r="AG174" s="443" t="s">
        <v>122</v>
      </c>
      <c r="AH174" s="443" t="s">
        <v>343</v>
      </c>
      <c r="AI174" s="443"/>
      <c r="AJ174" s="443"/>
      <c r="AK174" s="443"/>
      <c r="AL174" s="443"/>
      <c r="AM174" s="443"/>
      <c r="AN174" s="443"/>
      <c r="AO174" s="443"/>
      <c r="AP174" s="443"/>
      <c r="AQ174" s="443"/>
      <c r="AR174" s="443"/>
      <c r="AS174" s="443"/>
      <c r="AT174" s="443"/>
      <c r="AU174" s="443"/>
      <c r="AV174" s="443"/>
      <c r="AW174" s="443"/>
      <c r="AX174" s="443"/>
      <c r="AY174" s="443"/>
      <c r="AZ174" s="443"/>
      <c r="BA174" s="443"/>
      <c r="BB174" s="443"/>
      <c r="BC174" s="443"/>
      <c r="BD174" s="443"/>
      <c r="BE174" s="443"/>
    </row>
    <row r="175" hidden="1">
      <c r="A175" s="445">
        <f t="shared" si="5"/>
        <v>45465</v>
      </c>
      <c r="B175" s="449">
        <v>263.0</v>
      </c>
      <c r="C175" s="462">
        <v>0.6</v>
      </c>
      <c r="D175" s="462">
        <v>0.8083333333333333</v>
      </c>
      <c r="E175" s="436">
        <f t="array" ref="E175">IF(B175=0,"",(J175+K175)/60)</f>
        <v>0</v>
      </c>
      <c r="F175" s="437">
        <f t="shared" si="1"/>
        <v>5</v>
      </c>
      <c r="G175" s="438">
        <f t="shared" si="2"/>
        <v>52.6</v>
      </c>
      <c r="H175" s="438">
        <f t="shared" si="3"/>
        <v>52.6</v>
      </c>
      <c r="I175" s="436">
        <f t="shared" si="4"/>
        <v>1.095833333</v>
      </c>
      <c r="J175" s="460">
        <v>0.0</v>
      </c>
      <c r="K175" s="464"/>
      <c r="L175" s="443"/>
      <c r="M175" s="447">
        <f>IFERROR(__xludf.DUMMYFUNCTION("""COMPUTED_VALUE"""),57.0)</f>
        <v>57</v>
      </c>
      <c r="N175" s="447">
        <f>IFERROR(__xludf.DUMMYFUNCTION("""COMPUTED_VALUE"""),54.0)</f>
        <v>54</v>
      </c>
      <c r="O175" s="447">
        <f>IFERROR(__xludf.DUMMYFUNCTION("""COMPUTED_VALUE"""),0.0)</f>
        <v>0</v>
      </c>
      <c r="P175" s="447">
        <f>IFERROR(__xludf.DUMMYFUNCTION("""COMPUTED_VALUE"""),0.0)</f>
        <v>0</v>
      </c>
      <c r="Q175" s="447">
        <f>IFERROR(__xludf.DUMMYFUNCTION("""COMPUTED_VALUE"""),1.0)</f>
        <v>1</v>
      </c>
      <c r="R175" s="447">
        <f>IFERROR(__xludf.DUMMYFUNCTION("""COMPUTED_VALUE"""),0.0)</f>
        <v>0</v>
      </c>
      <c r="S175" s="447">
        <f>IFERROR(__xludf.DUMMYFUNCTION("""COMPUTED_VALUE"""),3.0)</f>
        <v>3</v>
      </c>
      <c r="T175" s="447">
        <f>IFERROR(__xludf.DUMMYFUNCTION("""COMPUTED_VALUE"""),0.0)</f>
        <v>0</v>
      </c>
      <c r="U175" s="447">
        <f>IFERROR(__xludf.DUMMYFUNCTION("""COMPUTED_VALUE"""),1.0)</f>
        <v>1</v>
      </c>
      <c r="V175" s="447">
        <f>IFERROR(__xludf.DUMMYFUNCTION("""COMPUTED_VALUE"""),2.0)</f>
        <v>2</v>
      </c>
      <c r="W175" s="447">
        <f>IFERROR(__xludf.DUMMYFUNCTION("""COMPUTED_VALUE"""),0.0)</f>
        <v>0</v>
      </c>
      <c r="X175" s="447">
        <f>IFERROR(__xludf.DUMMYFUNCTION("""COMPUTED_VALUE"""),0.0)</f>
        <v>0</v>
      </c>
      <c r="Y175" s="447">
        <f>IFERROR(__xludf.DUMMYFUNCTION("""COMPUTED_VALUE"""),0.0)</f>
        <v>0</v>
      </c>
      <c r="Z175" s="447">
        <f>IFERROR(__xludf.DUMMYFUNCTION("""COMPUTED_VALUE"""),0.0)</f>
        <v>0</v>
      </c>
      <c r="AA175" s="447">
        <f>IFERROR(__xludf.DUMMYFUNCTION("""COMPUTED_VALUE"""),0.0)</f>
        <v>0</v>
      </c>
      <c r="AB175" s="447">
        <f>IFERROR(__xludf.DUMMYFUNCTION("""COMPUTED_VALUE"""),0.0)</f>
        <v>0</v>
      </c>
      <c r="AC175" s="447">
        <f>IFERROR(__xludf.DUMMYFUNCTION("""COMPUTED_VALUE"""),0.0)</f>
        <v>0</v>
      </c>
      <c r="AD175" s="447">
        <f>IFERROR(__xludf.DUMMYFUNCTION("""COMPUTED_VALUE"""),48.0)</f>
        <v>48</v>
      </c>
      <c r="AE175" s="447">
        <f>IFERROR(__xludf.DUMMYFUNCTION("""COMPUTED_VALUE"""),9.0)</f>
        <v>9</v>
      </c>
      <c r="AF175" s="447">
        <f>IFERROR(__xludf.DUMMYFUNCTION("""COMPUTED_VALUE"""),3.0)</f>
        <v>3</v>
      </c>
      <c r="AG175" s="443" t="s">
        <v>122</v>
      </c>
      <c r="AH175" s="443" t="s">
        <v>343</v>
      </c>
      <c r="AI175" s="443"/>
      <c r="AJ175" s="443"/>
      <c r="AK175" s="443"/>
      <c r="AL175" s="443"/>
      <c r="AM175" s="443"/>
      <c r="AN175" s="443"/>
      <c r="AO175" s="443"/>
      <c r="AP175" s="443"/>
      <c r="AQ175" s="443"/>
      <c r="AR175" s="443"/>
      <c r="AS175" s="443"/>
      <c r="AT175" s="443"/>
      <c r="AU175" s="443"/>
      <c r="AV175" s="443"/>
      <c r="AW175" s="443"/>
      <c r="AX175" s="443"/>
      <c r="AY175" s="443"/>
      <c r="AZ175" s="443"/>
      <c r="BA175" s="443"/>
      <c r="BB175" s="443"/>
      <c r="BC175" s="443"/>
      <c r="BD175" s="443"/>
      <c r="BE175" s="443"/>
    </row>
    <row r="176" hidden="1">
      <c r="A176" s="445">
        <f t="shared" si="5"/>
        <v>45466</v>
      </c>
      <c r="B176" s="449">
        <v>0.0</v>
      </c>
      <c r="C176" s="443"/>
      <c r="D176" s="443"/>
      <c r="E176" s="436" t="str">
        <f t="array" ref="E176">IF(B176=0,"",(J176+K176)/60)</f>
        <v/>
      </c>
      <c r="F176" s="437" t="str">
        <f t="shared" si="1"/>
        <v/>
      </c>
      <c r="G176" s="438" t="str">
        <f t="shared" si="2"/>
        <v/>
      </c>
      <c r="H176" s="438" t="str">
        <f t="shared" si="3"/>
        <v/>
      </c>
      <c r="I176" s="436" t="str">
        <f t="shared" si="4"/>
        <v/>
      </c>
      <c r="J176" s="464"/>
      <c r="K176" s="464"/>
      <c r="L176" s="443"/>
      <c r="M176" s="447">
        <f>IFERROR(__xludf.DUMMYFUNCTION("""COMPUTED_VALUE"""),57.0)</f>
        <v>57</v>
      </c>
      <c r="N176" s="447">
        <f>IFERROR(__xludf.DUMMYFUNCTION("""COMPUTED_VALUE"""),57.0)</f>
        <v>57</v>
      </c>
      <c r="O176" s="447">
        <f>IFERROR(__xludf.DUMMYFUNCTION("""COMPUTED_VALUE"""),0.0)</f>
        <v>0</v>
      </c>
      <c r="P176" s="447">
        <f>IFERROR(__xludf.DUMMYFUNCTION("""COMPUTED_VALUE"""),0.0)</f>
        <v>0</v>
      </c>
      <c r="Q176" s="447">
        <f>IFERROR(__xludf.DUMMYFUNCTION("""COMPUTED_VALUE"""),0.0)</f>
        <v>0</v>
      </c>
      <c r="R176" s="447">
        <f>IFERROR(__xludf.DUMMYFUNCTION("""COMPUTED_VALUE"""),0.0)</f>
        <v>0</v>
      </c>
      <c r="S176" s="447">
        <f>IFERROR(__xludf.DUMMYFUNCTION("""COMPUTED_VALUE"""),0.0)</f>
        <v>0</v>
      </c>
      <c r="T176" s="447">
        <f>IFERROR(__xludf.DUMMYFUNCTION("""COMPUTED_VALUE"""),0.0)</f>
        <v>0</v>
      </c>
      <c r="U176" s="447">
        <f>IFERROR(__xludf.DUMMYFUNCTION("""COMPUTED_VALUE"""),0.0)</f>
        <v>0</v>
      </c>
      <c r="V176" s="447">
        <f>IFERROR(__xludf.DUMMYFUNCTION("""COMPUTED_VALUE"""),0.0)</f>
        <v>0</v>
      </c>
      <c r="W176" s="447">
        <f>IFERROR(__xludf.DUMMYFUNCTION("""COMPUTED_VALUE"""),0.0)</f>
        <v>0</v>
      </c>
      <c r="X176" s="447">
        <f>IFERROR(__xludf.DUMMYFUNCTION("""COMPUTED_VALUE"""),0.0)</f>
        <v>0</v>
      </c>
      <c r="Y176" s="447">
        <f>IFERROR(__xludf.DUMMYFUNCTION("""COMPUTED_VALUE"""),0.0)</f>
        <v>0</v>
      </c>
      <c r="Z176" s="447">
        <f>IFERROR(__xludf.DUMMYFUNCTION("""COMPUTED_VALUE"""),0.0)</f>
        <v>0</v>
      </c>
      <c r="AA176" s="447">
        <f>IFERROR(__xludf.DUMMYFUNCTION("""COMPUTED_VALUE"""),0.0)</f>
        <v>0</v>
      </c>
      <c r="AB176" s="447">
        <f>IFERROR(__xludf.DUMMYFUNCTION("""COMPUTED_VALUE"""),0.0)</f>
        <v>0</v>
      </c>
      <c r="AC176" s="447">
        <f>IFERROR(__xludf.DUMMYFUNCTION("""COMPUTED_VALUE"""),0.0)</f>
        <v>0</v>
      </c>
      <c r="AD176" s="447">
        <f>IFERROR(__xludf.DUMMYFUNCTION("""COMPUTED_VALUE"""),0.0)</f>
        <v>0</v>
      </c>
      <c r="AE176" s="447">
        <f>IFERROR(__xludf.DUMMYFUNCTION("""COMPUTED_VALUE"""),0.0)</f>
        <v>0</v>
      </c>
      <c r="AF176" s="447">
        <f>IFERROR(__xludf.DUMMYFUNCTION("""COMPUTED_VALUE"""),0.0)</f>
        <v>0</v>
      </c>
      <c r="AG176" s="443" t="s">
        <v>122</v>
      </c>
      <c r="AH176" s="443" t="s">
        <v>343</v>
      </c>
      <c r="AI176" s="443"/>
      <c r="AJ176" s="443"/>
      <c r="AK176" s="443"/>
      <c r="AL176" s="443"/>
      <c r="AM176" s="443"/>
      <c r="AN176" s="443"/>
      <c r="AO176" s="443"/>
      <c r="AP176" s="443"/>
      <c r="AQ176" s="443"/>
      <c r="AR176" s="443"/>
      <c r="AS176" s="443"/>
      <c r="AT176" s="443"/>
      <c r="AU176" s="443"/>
      <c r="AV176" s="443"/>
      <c r="AW176" s="443"/>
      <c r="AX176" s="443"/>
      <c r="AY176" s="443"/>
      <c r="AZ176" s="443"/>
      <c r="BA176" s="443"/>
      <c r="BB176" s="443"/>
      <c r="BC176" s="443"/>
      <c r="BD176" s="443"/>
      <c r="BE176" s="443"/>
    </row>
    <row r="177" hidden="1">
      <c r="A177" s="445">
        <f t="shared" si="5"/>
        <v>45467</v>
      </c>
      <c r="B177" s="449">
        <v>519.0</v>
      </c>
      <c r="C177" s="462">
        <v>0.6</v>
      </c>
      <c r="D177" s="462">
        <v>1.0173611111111112</v>
      </c>
      <c r="E177" s="436">
        <f t="array" ref="E177">IF(B177=0,"",(J177+K177)/60)</f>
        <v>0.5</v>
      </c>
      <c r="F177" s="437">
        <f t="shared" si="1"/>
        <v>10.01666667</v>
      </c>
      <c r="G177" s="438">
        <f t="shared" si="2"/>
        <v>51.81364393</v>
      </c>
      <c r="H177" s="438">
        <f t="shared" si="3"/>
        <v>54.53590193</v>
      </c>
      <c r="I177" s="436">
        <f t="shared" si="4"/>
        <v>1.057421305</v>
      </c>
      <c r="J177" s="460">
        <v>30.0</v>
      </c>
      <c r="K177" s="464"/>
      <c r="L177" s="443"/>
      <c r="M177" s="447">
        <f>IFERROR(__xludf.DUMMYFUNCTION("""COMPUTED_VALUE"""),57.0)</f>
        <v>57</v>
      </c>
      <c r="N177" s="447">
        <f>IFERROR(__xludf.DUMMYFUNCTION("""COMPUTED_VALUE"""),55.0)</f>
        <v>55</v>
      </c>
      <c r="O177" s="447">
        <f>IFERROR(__xludf.DUMMYFUNCTION("""COMPUTED_VALUE"""),0.0)</f>
        <v>0</v>
      </c>
      <c r="P177" s="447">
        <f>IFERROR(__xludf.DUMMYFUNCTION("""COMPUTED_VALUE"""),0.0)</f>
        <v>0</v>
      </c>
      <c r="Q177" s="447">
        <f>IFERROR(__xludf.DUMMYFUNCTION("""COMPUTED_VALUE"""),0.0)</f>
        <v>0</v>
      </c>
      <c r="R177" s="447">
        <f>IFERROR(__xludf.DUMMYFUNCTION("""COMPUTED_VALUE"""),0.0)</f>
        <v>0</v>
      </c>
      <c r="S177" s="447">
        <f>IFERROR(__xludf.DUMMYFUNCTION("""COMPUTED_VALUE"""),3.0)</f>
        <v>3</v>
      </c>
      <c r="T177" s="447">
        <f>IFERROR(__xludf.DUMMYFUNCTION("""COMPUTED_VALUE"""),0.0)</f>
        <v>0</v>
      </c>
      <c r="U177" s="447">
        <f>IFERROR(__xludf.DUMMYFUNCTION("""COMPUTED_VALUE"""),1.0)</f>
        <v>1</v>
      </c>
      <c r="V177" s="447">
        <f>IFERROR(__xludf.DUMMYFUNCTION("""COMPUTED_VALUE"""),2.0)</f>
        <v>2</v>
      </c>
      <c r="W177" s="447">
        <f>IFERROR(__xludf.DUMMYFUNCTION("""COMPUTED_VALUE"""),0.0)</f>
        <v>0</v>
      </c>
      <c r="X177" s="447">
        <f>IFERROR(__xludf.DUMMYFUNCTION("""COMPUTED_VALUE"""),0.0)</f>
        <v>0</v>
      </c>
      <c r="Y177" s="447">
        <f>IFERROR(__xludf.DUMMYFUNCTION("""COMPUTED_VALUE"""),0.0)</f>
        <v>0</v>
      </c>
      <c r="Z177" s="447">
        <f>IFERROR(__xludf.DUMMYFUNCTION("""COMPUTED_VALUE"""),0.0)</f>
        <v>0</v>
      </c>
      <c r="AA177" s="447">
        <f>IFERROR(__xludf.DUMMYFUNCTION("""COMPUTED_VALUE"""),0.0)</f>
        <v>0</v>
      </c>
      <c r="AB177" s="447">
        <f>IFERROR(__xludf.DUMMYFUNCTION("""COMPUTED_VALUE"""),0.0)</f>
        <v>0</v>
      </c>
      <c r="AC177" s="447">
        <f>IFERROR(__xludf.DUMMYFUNCTION("""COMPUTED_VALUE"""),0.0)</f>
        <v>0</v>
      </c>
      <c r="AD177" s="447">
        <f>IFERROR(__xludf.DUMMYFUNCTION("""COMPUTED_VALUE"""),49.0)</f>
        <v>49</v>
      </c>
      <c r="AE177" s="447">
        <f>IFERROR(__xludf.DUMMYFUNCTION("""COMPUTED_VALUE"""),7.0)</f>
        <v>7</v>
      </c>
      <c r="AF177" s="447">
        <f>IFERROR(__xludf.DUMMYFUNCTION("""COMPUTED_VALUE"""),2.0)</f>
        <v>2</v>
      </c>
      <c r="AG177" s="443" t="s">
        <v>122</v>
      </c>
      <c r="AH177" s="443" t="s">
        <v>343</v>
      </c>
      <c r="AI177" s="443"/>
      <c r="AJ177" s="443"/>
      <c r="AK177" s="443"/>
      <c r="AL177" s="443"/>
      <c r="AM177" s="443"/>
      <c r="AN177" s="443"/>
      <c r="AO177" s="443"/>
      <c r="AP177" s="443"/>
      <c r="AQ177" s="443"/>
      <c r="AR177" s="443"/>
      <c r="AS177" s="443"/>
      <c r="AT177" s="443"/>
      <c r="AU177" s="443"/>
      <c r="AV177" s="443"/>
      <c r="AW177" s="443"/>
      <c r="AX177" s="443"/>
      <c r="AY177" s="443"/>
      <c r="AZ177" s="443"/>
      <c r="BA177" s="443"/>
      <c r="BB177" s="443"/>
      <c r="BC177" s="443"/>
      <c r="BD177" s="443"/>
      <c r="BE177" s="443"/>
    </row>
    <row r="178" hidden="1">
      <c r="A178" s="445">
        <f t="shared" si="5"/>
        <v>45468</v>
      </c>
      <c r="B178" s="449">
        <v>355.0</v>
      </c>
      <c r="C178" s="462">
        <v>0.6</v>
      </c>
      <c r="D178" s="462">
        <v>0.8909722222222223</v>
      </c>
      <c r="E178" s="436">
        <f t="array" ref="E178">IF(B178=0,"",(J178+K178)/60)</f>
        <v>0.5</v>
      </c>
      <c r="F178" s="437">
        <f t="shared" si="1"/>
        <v>6.983333333</v>
      </c>
      <c r="G178" s="438">
        <f t="shared" si="2"/>
        <v>50.8353222</v>
      </c>
      <c r="H178" s="438">
        <f t="shared" si="3"/>
        <v>54.75578406</v>
      </c>
      <c r="I178" s="436">
        <f t="shared" si="4"/>
        <v>1.037455555</v>
      </c>
      <c r="J178" s="460">
        <v>30.0</v>
      </c>
      <c r="K178" s="464"/>
      <c r="L178" s="443"/>
      <c r="M178" s="447">
        <f>IFERROR(__xludf.DUMMYFUNCTION("""COMPUTED_VALUE"""),57.0)</f>
        <v>57</v>
      </c>
      <c r="N178" s="447">
        <f>IFERROR(__xludf.DUMMYFUNCTION("""COMPUTED_VALUE"""),55.0)</f>
        <v>55</v>
      </c>
      <c r="O178" s="447">
        <f>IFERROR(__xludf.DUMMYFUNCTION("""COMPUTED_VALUE"""),0.0)</f>
        <v>0</v>
      </c>
      <c r="P178" s="447">
        <f>IFERROR(__xludf.DUMMYFUNCTION("""COMPUTED_VALUE"""),0.0)</f>
        <v>0</v>
      </c>
      <c r="Q178" s="447">
        <f>IFERROR(__xludf.DUMMYFUNCTION("""COMPUTED_VALUE"""),0.0)</f>
        <v>0</v>
      </c>
      <c r="R178" s="447">
        <f>IFERROR(__xludf.DUMMYFUNCTION("""COMPUTED_VALUE"""),0.0)</f>
        <v>0</v>
      </c>
      <c r="S178" s="447">
        <f>IFERROR(__xludf.DUMMYFUNCTION("""COMPUTED_VALUE"""),4.0)</f>
        <v>4</v>
      </c>
      <c r="T178" s="447">
        <f>IFERROR(__xludf.DUMMYFUNCTION("""COMPUTED_VALUE"""),0.0)</f>
        <v>0</v>
      </c>
      <c r="U178" s="447">
        <f>IFERROR(__xludf.DUMMYFUNCTION("""COMPUTED_VALUE"""),1.0)</f>
        <v>1</v>
      </c>
      <c r="V178" s="447">
        <f>IFERROR(__xludf.DUMMYFUNCTION("""COMPUTED_VALUE"""),2.0)</f>
        <v>2</v>
      </c>
      <c r="W178" s="447">
        <f>IFERROR(__xludf.DUMMYFUNCTION("""COMPUTED_VALUE"""),0.0)</f>
        <v>0</v>
      </c>
      <c r="X178" s="447">
        <f>IFERROR(__xludf.DUMMYFUNCTION("""COMPUTED_VALUE"""),0.0)</f>
        <v>0</v>
      </c>
      <c r="Y178" s="447">
        <f>IFERROR(__xludf.DUMMYFUNCTION("""COMPUTED_VALUE"""),0.0)</f>
        <v>0</v>
      </c>
      <c r="Z178" s="447">
        <f>IFERROR(__xludf.DUMMYFUNCTION("""COMPUTED_VALUE"""),0.0)</f>
        <v>0</v>
      </c>
      <c r="AA178" s="447">
        <f>IFERROR(__xludf.DUMMYFUNCTION("""COMPUTED_VALUE"""),0.0)</f>
        <v>0</v>
      </c>
      <c r="AB178" s="447">
        <f>IFERROR(__xludf.DUMMYFUNCTION("""COMPUTED_VALUE"""),0.0)</f>
        <v>0</v>
      </c>
      <c r="AC178" s="447">
        <f>IFERROR(__xludf.DUMMYFUNCTION("""COMPUTED_VALUE"""),0.0)</f>
        <v>0</v>
      </c>
      <c r="AD178" s="447">
        <f>IFERROR(__xludf.DUMMYFUNCTION("""COMPUTED_VALUE"""),49.0)</f>
        <v>49</v>
      </c>
      <c r="AE178" s="447">
        <f>IFERROR(__xludf.DUMMYFUNCTION("""COMPUTED_VALUE"""),8.0)</f>
        <v>8</v>
      </c>
      <c r="AF178" s="447">
        <f>IFERROR(__xludf.DUMMYFUNCTION("""COMPUTED_VALUE"""),2.0)</f>
        <v>2</v>
      </c>
      <c r="AG178" s="443" t="s">
        <v>122</v>
      </c>
      <c r="AH178" s="443" t="s">
        <v>343</v>
      </c>
      <c r="AI178" s="443"/>
      <c r="AJ178" s="443"/>
      <c r="AK178" s="443"/>
      <c r="AL178" s="443"/>
      <c r="AM178" s="443"/>
      <c r="AN178" s="443"/>
      <c r="AO178" s="443"/>
      <c r="AP178" s="443"/>
      <c r="AQ178" s="443"/>
      <c r="AR178" s="443"/>
      <c r="AS178" s="443"/>
      <c r="AT178" s="443"/>
      <c r="AU178" s="443"/>
      <c r="AV178" s="443"/>
      <c r="AW178" s="443"/>
      <c r="AX178" s="443"/>
      <c r="AY178" s="443"/>
      <c r="AZ178" s="443"/>
      <c r="BA178" s="443"/>
      <c r="BB178" s="443"/>
      <c r="BC178" s="443"/>
      <c r="BD178" s="443"/>
      <c r="BE178" s="443"/>
    </row>
    <row r="179" hidden="1">
      <c r="A179" s="445">
        <f t="shared" si="5"/>
        <v>45469</v>
      </c>
      <c r="B179" s="449">
        <v>574.0</v>
      </c>
      <c r="C179" s="462">
        <v>0.6</v>
      </c>
      <c r="D179" s="462">
        <v>1.075</v>
      </c>
      <c r="E179" s="436">
        <f t="array" ref="E179">IF(B179=0,"",(J179+K179)/60)</f>
        <v>2</v>
      </c>
      <c r="F179" s="437">
        <f t="shared" si="1"/>
        <v>11.4</v>
      </c>
      <c r="G179" s="438">
        <f t="shared" si="2"/>
        <v>50.35087719</v>
      </c>
      <c r="H179" s="438">
        <f t="shared" si="3"/>
        <v>61.06382979</v>
      </c>
      <c r="I179" s="436">
        <f t="shared" si="4"/>
        <v>1.027568922</v>
      </c>
      <c r="J179" s="460">
        <v>60.0</v>
      </c>
      <c r="K179" s="460">
        <v>60.0</v>
      </c>
      <c r="L179" s="443"/>
      <c r="M179" s="447">
        <f>IFERROR(__xludf.DUMMYFUNCTION("""COMPUTED_VALUE"""),57.0)</f>
        <v>57</v>
      </c>
      <c r="N179" s="447">
        <f>IFERROR(__xludf.DUMMYFUNCTION("""COMPUTED_VALUE"""),54.0)</f>
        <v>54</v>
      </c>
      <c r="O179" s="447">
        <f>IFERROR(__xludf.DUMMYFUNCTION("""COMPUTED_VALUE"""),0.0)</f>
        <v>0</v>
      </c>
      <c r="P179" s="447">
        <f>IFERROR(__xludf.DUMMYFUNCTION("""COMPUTED_VALUE"""),0.0)</f>
        <v>0</v>
      </c>
      <c r="Q179" s="447">
        <f>IFERROR(__xludf.DUMMYFUNCTION("""COMPUTED_VALUE"""),1.0)</f>
        <v>1</v>
      </c>
      <c r="R179" s="447">
        <f>IFERROR(__xludf.DUMMYFUNCTION("""COMPUTED_VALUE"""),0.0)</f>
        <v>0</v>
      </c>
      <c r="S179" s="447">
        <f>IFERROR(__xludf.DUMMYFUNCTION("""COMPUTED_VALUE"""),3.0)</f>
        <v>3</v>
      </c>
      <c r="T179" s="447">
        <f>IFERROR(__xludf.DUMMYFUNCTION("""COMPUTED_VALUE"""),0.0)</f>
        <v>0</v>
      </c>
      <c r="U179" s="447">
        <f>IFERROR(__xludf.DUMMYFUNCTION("""COMPUTED_VALUE"""),2.0)</f>
        <v>2</v>
      </c>
      <c r="V179" s="447">
        <f>IFERROR(__xludf.DUMMYFUNCTION("""COMPUTED_VALUE"""),0.0)</f>
        <v>0</v>
      </c>
      <c r="W179" s="447">
        <f>IFERROR(__xludf.DUMMYFUNCTION("""COMPUTED_VALUE"""),0.0)</f>
        <v>0</v>
      </c>
      <c r="X179" s="447">
        <f>IFERROR(__xludf.DUMMYFUNCTION("""COMPUTED_VALUE"""),0.0)</f>
        <v>0</v>
      </c>
      <c r="Y179" s="447">
        <f>IFERROR(__xludf.DUMMYFUNCTION("""COMPUTED_VALUE"""),0.0)</f>
        <v>0</v>
      </c>
      <c r="Z179" s="447">
        <f>IFERROR(__xludf.DUMMYFUNCTION("""COMPUTED_VALUE"""),0.0)</f>
        <v>0</v>
      </c>
      <c r="AA179" s="447">
        <f>IFERROR(__xludf.DUMMYFUNCTION("""COMPUTED_VALUE"""),1.0)</f>
        <v>1</v>
      </c>
      <c r="AB179" s="447">
        <f>IFERROR(__xludf.DUMMYFUNCTION("""COMPUTED_VALUE"""),0.0)</f>
        <v>0</v>
      </c>
      <c r="AC179" s="447">
        <f>IFERROR(__xludf.DUMMYFUNCTION("""COMPUTED_VALUE"""),0.0)</f>
        <v>0</v>
      </c>
      <c r="AD179" s="447">
        <f>IFERROR(__xludf.DUMMYFUNCTION("""COMPUTED_VALUE"""),49.0)</f>
        <v>49</v>
      </c>
      <c r="AE179" s="447">
        <f>IFERROR(__xludf.DUMMYFUNCTION("""COMPUTED_VALUE"""),8.0)</f>
        <v>8</v>
      </c>
      <c r="AF179" s="447">
        <f>IFERROR(__xludf.DUMMYFUNCTION("""COMPUTED_VALUE"""),3.0)</f>
        <v>3</v>
      </c>
      <c r="AG179" s="443" t="s">
        <v>122</v>
      </c>
      <c r="AH179" s="443" t="s">
        <v>343</v>
      </c>
      <c r="AI179" s="443"/>
      <c r="AJ179" s="443"/>
      <c r="AK179" s="443"/>
      <c r="AL179" s="443"/>
      <c r="AM179" s="443"/>
      <c r="AN179" s="443"/>
      <c r="AO179" s="443"/>
      <c r="AP179" s="443"/>
      <c r="AQ179" s="443"/>
      <c r="AR179" s="443"/>
      <c r="AS179" s="443"/>
      <c r="AT179" s="443"/>
      <c r="AU179" s="443"/>
      <c r="AV179" s="443"/>
      <c r="AW179" s="443"/>
      <c r="AX179" s="443"/>
      <c r="AY179" s="443"/>
      <c r="AZ179" s="443"/>
      <c r="BA179" s="443"/>
      <c r="BB179" s="443"/>
      <c r="BC179" s="443"/>
      <c r="BD179" s="443"/>
      <c r="BE179" s="443"/>
    </row>
    <row r="180" hidden="1">
      <c r="A180" s="445">
        <f t="shared" si="5"/>
        <v>45470</v>
      </c>
      <c r="B180" s="449">
        <v>475.0</v>
      </c>
      <c r="C180" s="462">
        <v>0.6</v>
      </c>
      <c r="D180" s="462">
        <v>1.0069444444444444</v>
      </c>
      <c r="E180" s="436">
        <f t="array" ref="E180">IF(B180=0,"",(J180+K180)/60)</f>
        <v>0.5</v>
      </c>
      <c r="F180" s="437">
        <f t="shared" si="1"/>
        <v>9.766666667</v>
      </c>
      <c r="G180" s="438">
        <f t="shared" si="2"/>
        <v>48.63481229</v>
      </c>
      <c r="H180" s="438">
        <f t="shared" si="3"/>
        <v>51.25899281</v>
      </c>
      <c r="I180" s="436">
        <f t="shared" si="4"/>
        <v>1.03478324</v>
      </c>
      <c r="J180" s="460">
        <v>30.0</v>
      </c>
      <c r="K180" s="464"/>
      <c r="L180" s="443"/>
      <c r="M180" s="447">
        <f>IFERROR(__xludf.DUMMYFUNCTION("""COMPUTED_VALUE"""),57.0)</f>
        <v>57</v>
      </c>
      <c r="N180" s="447">
        <f>IFERROR(__xludf.DUMMYFUNCTION("""COMPUTED_VALUE"""),54.0)</f>
        <v>54</v>
      </c>
      <c r="O180" s="447">
        <f>IFERROR(__xludf.DUMMYFUNCTION("""COMPUTED_VALUE"""),0.0)</f>
        <v>0</v>
      </c>
      <c r="P180" s="447">
        <f>IFERROR(__xludf.DUMMYFUNCTION("""COMPUTED_VALUE"""),0.0)</f>
        <v>0</v>
      </c>
      <c r="Q180" s="447">
        <f>IFERROR(__xludf.DUMMYFUNCTION("""COMPUTED_VALUE"""),1.0)</f>
        <v>1</v>
      </c>
      <c r="R180" s="447">
        <f>IFERROR(__xludf.DUMMYFUNCTION("""COMPUTED_VALUE"""),0.0)</f>
        <v>0</v>
      </c>
      <c r="S180" s="447">
        <f>IFERROR(__xludf.DUMMYFUNCTION("""COMPUTED_VALUE"""),4.0)</f>
        <v>4</v>
      </c>
      <c r="T180" s="447">
        <f>IFERROR(__xludf.DUMMYFUNCTION("""COMPUTED_VALUE"""),0.0)</f>
        <v>0</v>
      </c>
      <c r="U180" s="447">
        <f>IFERROR(__xludf.DUMMYFUNCTION("""COMPUTED_VALUE"""),2.0)</f>
        <v>2</v>
      </c>
      <c r="V180" s="447">
        <f>IFERROR(__xludf.DUMMYFUNCTION("""COMPUTED_VALUE"""),3.0)</f>
        <v>3</v>
      </c>
      <c r="W180" s="447">
        <f>IFERROR(__xludf.DUMMYFUNCTION("""COMPUTED_VALUE"""),0.0)</f>
        <v>0</v>
      </c>
      <c r="X180" s="447">
        <f>IFERROR(__xludf.DUMMYFUNCTION("""COMPUTED_VALUE"""),0.0)</f>
        <v>0</v>
      </c>
      <c r="Y180" s="447">
        <f>IFERROR(__xludf.DUMMYFUNCTION("""COMPUTED_VALUE"""),0.0)</f>
        <v>0</v>
      </c>
      <c r="Z180" s="447">
        <f>IFERROR(__xludf.DUMMYFUNCTION("""COMPUTED_VALUE"""),0.0)</f>
        <v>0</v>
      </c>
      <c r="AA180" s="447">
        <f>IFERROR(__xludf.DUMMYFUNCTION("""COMPUTED_VALUE"""),0.0)</f>
        <v>0</v>
      </c>
      <c r="AB180" s="447">
        <f>IFERROR(__xludf.DUMMYFUNCTION("""COMPUTED_VALUE"""),0.0)</f>
        <v>0</v>
      </c>
      <c r="AC180" s="447">
        <f>IFERROR(__xludf.DUMMYFUNCTION("""COMPUTED_VALUE"""),0.0)</f>
        <v>0</v>
      </c>
      <c r="AD180" s="447">
        <f>IFERROR(__xludf.DUMMYFUNCTION("""COMPUTED_VALUE"""),47.0)</f>
        <v>47</v>
      </c>
      <c r="AE180" s="447">
        <f>IFERROR(__xludf.DUMMYFUNCTION("""COMPUTED_VALUE"""),11.0)</f>
        <v>11</v>
      </c>
      <c r="AF180" s="447">
        <f>IFERROR(__xludf.DUMMYFUNCTION("""COMPUTED_VALUE"""),3.0)</f>
        <v>3</v>
      </c>
      <c r="AG180" s="443" t="s">
        <v>122</v>
      </c>
      <c r="AH180" s="443" t="s">
        <v>343</v>
      </c>
      <c r="AI180" s="443"/>
      <c r="AJ180" s="443"/>
      <c r="AK180" s="443"/>
      <c r="AL180" s="443"/>
      <c r="AM180" s="443"/>
      <c r="AN180" s="443"/>
      <c r="AO180" s="443"/>
      <c r="AP180" s="443"/>
      <c r="AQ180" s="443"/>
      <c r="AR180" s="443"/>
      <c r="AS180" s="443"/>
      <c r="AT180" s="443"/>
      <c r="AU180" s="443"/>
      <c r="AV180" s="443"/>
      <c r="AW180" s="443"/>
      <c r="AX180" s="443"/>
      <c r="AY180" s="443"/>
      <c r="AZ180" s="443"/>
      <c r="BA180" s="443"/>
      <c r="BB180" s="443"/>
      <c r="BC180" s="443"/>
      <c r="BD180" s="443"/>
      <c r="BE180" s="443"/>
    </row>
    <row r="181" hidden="1">
      <c r="A181" s="445">
        <f t="shared" si="5"/>
        <v>45471</v>
      </c>
      <c r="B181" s="449">
        <v>326.0</v>
      </c>
      <c r="C181" s="462">
        <v>0.6</v>
      </c>
      <c r="D181" s="462">
        <v>0.8875</v>
      </c>
      <c r="E181" s="436">
        <f t="array" ref="E181">IF(B181=0,"",(J181+K181)/60)</f>
        <v>0.25</v>
      </c>
      <c r="F181" s="437">
        <f t="shared" si="1"/>
        <v>6.9</v>
      </c>
      <c r="G181" s="438">
        <f t="shared" si="2"/>
        <v>47.24637681</v>
      </c>
      <c r="H181" s="438">
        <f t="shared" si="3"/>
        <v>49.02255639</v>
      </c>
      <c r="I181" s="436">
        <f t="shared" si="4"/>
        <v>1.027095148</v>
      </c>
      <c r="J181" s="460">
        <v>15.0</v>
      </c>
      <c r="K181" s="464"/>
      <c r="L181" s="443"/>
      <c r="M181" s="447">
        <f>IFERROR(__xludf.DUMMYFUNCTION("""COMPUTED_VALUE"""),57.0)</f>
        <v>57</v>
      </c>
      <c r="N181" s="447">
        <f>IFERROR(__xludf.DUMMYFUNCTION("""COMPUTED_VALUE"""),54.0)</f>
        <v>54</v>
      </c>
      <c r="O181" s="447">
        <f>IFERROR(__xludf.DUMMYFUNCTION("""COMPUTED_VALUE"""),0.0)</f>
        <v>0</v>
      </c>
      <c r="P181" s="447">
        <f>IFERROR(__xludf.DUMMYFUNCTION("""COMPUTED_VALUE"""),0.0)</f>
        <v>0</v>
      </c>
      <c r="Q181" s="447">
        <f>IFERROR(__xludf.DUMMYFUNCTION("""COMPUTED_VALUE"""),0.0)</f>
        <v>0</v>
      </c>
      <c r="R181" s="447">
        <f>IFERROR(__xludf.DUMMYFUNCTION("""COMPUTED_VALUE"""),0.0)</f>
        <v>0</v>
      </c>
      <c r="S181" s="447">
        <f>IFERROR(__xludf.DUMMYFUNCTION("""COMPUTED_VALUE"""),6.0)</f>
        <v>6</v>
      </c>
      <c r="T181" s="447">
        <f>IFERROR(__xludf.DUMMYFUNCTION("""COMPUTED_VALUE"""),0.0)</f>
        <v>0</v>
      </c>
      <c r="U181" s="447">
        <f>IFERROR(__xludf.DUMMYFUNCTION("""COMPUTED_VALUE"""),2.0)</f>
        <v>2</v>
      </c>
      <c r="V181" s="447">
        <f>IFERROR(__xludf.DUMMYFUNCTION("""COMPUTED_VALUE"""),3.0)</f>
        <v>3</v>
      </c>
      <c r="W181" s="447">
        <f>IFERROR(__xludf.DUMMYFUNCTION("""COMPUTED_VALUE"""),0.0)</f>
        <v>0</v>
      </c>
      <c r="X181" s="447">
        <f>IFERROR(__xludf.DUMMYFUNCTION("""COMPUTED_VALUE"""),0.0)</f>
        <v>0</v>
      </c>
      <c r="Y181" s="447">
        <f>IFERROR(__xludf.DUMMYFUNCTION("""COMPUTED_VALUE"""),0.0)</f>
        <v>0</v>
      </c>
      <c r="Z181" s="447">
        <f>IFERROR(__xludf.DUMMYFUNCTION("""COMPUTED_VALUE"""),0.0)</f>
        <v>0</v>
      </c>
      <c r="AA181" s="447">
        <f>IFERROR(__xludf.DUMMYFUNCTION("""COMPUTED_VALUE"""),0.0)</f>
        <v>0</v>
      </c>
      <c r="AB181" s="447">
        <f>IFERROR(__xludf.DUMMYFUNCTION("""COMPUTED_VALUE"""),0.0)</f>
        <v>0</v>
      </c>
      <c r="AC181" s="447">
        <f>IFERROR(__xludf.DUMMYFUNCTION("""COMPUTED_VALUE"""),0.0)</f>
        <v>0</v>
      </c>
      <c r="AD181" s="447">
        <f>IFERROR(__xludf.DUMMYFUNCTION("""COMPUTED_VALUE"""),46.0)</f>
        <v>46</v>
      </c>
      <c r="AE181" s="447">
        <f>IFERROR(__xludf.DUMMYFUNCTION("""COMPUTED_VALUE"""),12.0)</f>
        <v>12</v>
      </c>
      <c r="AF181" s="447">
        <f>IFERROR(__xludf.DUMMYFUNCTION("""COMPUTED_VALUE"""),3.0)</f>
        <v>3</v>
      </c>
      <c r="AG181" s="443" t="s">
        <v>122</v>
      </c>
      <c r="AH181" s="443" t="s">
        <v>343</v>
      </c>
      <c r="AI181" s="443"/>
      <c r="AJ181" s="443"/>
      <c r="AK181" s="443"/>
      <c r="AL181" s="443"/>
      <c r="AM181" s="443"/>
      <c r="AN181" s="443"/>
      <c r="AO181" s="443"/>
      <c r="AP181" s="443"/>
      <c r="AQ181" s="443"/>
      <c r="AR181" s="443"/>
      <c r="AS181" s="443"/>
      <c r="AT181" s="443"/>
      <c r="AU181" s="443"/>
      <c r="AV181" s="443"/>
      <c r="AW181" s="443"/>
      <c r="AX181" s="443"/>
      <c r="AY181" s="443"/>
      <c r="AZ181" s="443"/>
      <c r="BA181" s="443"/>
      <c r="BB181" s="443"/>
      <c r="BC181" s="443"/>
      <c r="BD181" s="443"/>
      <c r="BE181" s="443"/>
    </row>
    <row r="182" hidden="1">
      <c r="A182" s="445">
        <f t="shared" si="5"/>
        <v>45472</v>
      </c>
      <c r="B182" s="449">
        <v>221.0</v>
      </c>
      <c r="C182" s="462">
        <v>0.5583333333333333</v>
      </c>
      <c r="D182" s="462">
        <v>0.7472222222222222</v>
      </c>
      <c r="E182" s="436">
        <f t="array" ref="E182">IF(B182=0,"",(J182+K182)/60)</f>
        <v>0</v>
      </c>
      <c r="F182" s="437">
        <f t="shared" si="1"/>
        <v>4.533333333</v>
      </c>
      <c r="G182" s="438">
        <f t="shared" si="2"/>
        <v>48.75</v>
      </c>
      <c r="H182" s="438">
        <f t="shared" si="3"/>
        <v>48.75</v>
      </c>
      <c r="I182" s="436">
        <f t="shared" si="4"/>
        <v>1.037234043</v>
      </c>
      <c r="J182" s="460">
        <v>0.0</v>
      </c>
      <c r="K182" s="464"/>
      <c r="L182" s="443"/>
      <c r="M182" s="447">
        <f>IFERROR(__xludf.DUMMYFUNCTION("""COMPUTED_VALUE"""),57.0)</f>
        <v>57</v>
      </c>
      <c r="N182" s="447">
        <f>IFERROR(__xludf.DUMMYFUNCTION("""COMPUTED_VALUE"""),54.0)</f>
        <v>54</v>
      </c>
      <c r="O182" s="447">
        <f>IFERROR(__xludf.DUMMYFUNCTION("""COMPUTED_VALUE"""),0.0)</f>
        <v>0</v>
      </c>
      <c r="P182" s="447">
        <f>IFERROR(__xludf.DUMMYFUNCTION("""COMPUTED_VALUE"""),0.0)</f>
        <v>0</v>
      </c>
      <c r="Q182" s="447">
        <f>IFERROR(__xludf.DUMMYFUNCTION("""COMPUTED_VALUE"""),0.0)</f>
        <v>0</v>
      </c>
      <c r="R182" s="447">
        <f>IFERROR(__xludf.DUMMYFUNCTION("""COMPUTED_VALUE"""),0.0)</f>
        <v>0</v>
      </c>
      <c r="S182" s="447">
        <f>IFERROR(__xludf.DUMMYFUNCTION("""COMPUTED_VALUE"""),5.0)</f>
        <v>5</v>
      </c>
      <c r="T182" s="447">
        <f>IFERROR(__xludf.DUMMYFUNCTION("""COMPUTED_VALUE"""),0.0)</f>
        <v>0</v>
      </c>
      <c r="U182" s="447">
        <f>IFERROR(__xludf.DUMMYFUNCTION("""COMPUTED_VALUE"""),2.0)</f>
        <v>2</v>
      </c>
      <c r="V182" s="447">
        <f>IFERROR(__xludf.DUMMYFUNCTION("""COMPUTED_VALUE"""),3.0)</f>
        <v>3</v>
      </c>
      <c r="W182" s="447">
        <f>IFERROR(__xludf.DUMMYFUNCTION("""COMPUTED_VALUE"""),0.0)</f>
        <v>0</v>
      </c>
      <c r="X182" s="447">
        <f>IFERROR(__xludf.DUMMYFUNCTION("""COMPUTED_VALUE"""),0.0)</f>
        <v>0</v>
      </c>
      <c r="Y182" s="447">
        <f>IFERROR(__xludf.DUMMYFUNCTION("""COMPUTED_VALUE"""),0.0)</f>
        <v>0</v>
      </c>
      <c r="Z182" s="447">
        <f>IFERROR(__xludf.DUMMYFUNCTION("""COMPUTED_VALUE"""),0.0)</f>
        <v>0</v>
      </c>
      <c r="AA182" s="447">
        <f>IFERROR(__xludf.DUMMYFUNCTION("""COMPUTED_VALUE"""),0.0)</f>
        <v>0</v>
      </c>
      <c r="AB182" s="447">
        <f>IFERROR(__xludf.DUMMYFUNCTION("""COMPUTED_VALUE"""),0.0)</f>
        <v>0</v>
      </c>
      <c r="AC182" s="447">
        <f>IFERROR(__xludf.DUMMYFUNCTION("""COMPUTED_VALUE"""),0.0)</f>
        <v>0</v>
      </c>
      <c r="AD182" s="447">
        <f>IFERROR(__xludf.DUMMYFUNCTION("""COMPUTED_VALUE"""),47.0)</f>
        <v>47</v>
      </c>
      <c r="AE182" s="447">
        <f>IFERROR(__xludf.DUMMYFUNCTION("""COMPUTED_VALUE"""),11.0)</f>
        <v>11</v>
      </c>
      <c r="AF182" s="447">
        <f>IFERROR(__xludf.DUMMYFUNCTION("""COMPUTED_VALUE"""),3.0)</f>
        <v>3</v>
      </c>
      <c r="AG182" s="443" t="s">
        <v>122</v>
      </c>
      <c r="AH182" s="443" t="s">
        <v>343</v>
      </c>
      <c r="AI182" s="443"/>
      <c r="AJ182" s="443"/>
      <c r="AK182" s="443"/>
      <c r="AL182" s="443"/>
      <c r="AM182" s="443"/>
      <c r="AN182" s="443"/>
      <c r="AO182" s="443"/>
      <c r="AP182" s="443"/>
      <c r="AQ182" s="443"/>
      <c r="AR182" s="443"/>
      <c r="AS182" s="443"/>
      <c r="AT182" s="443"/>
      <c r="AU182" s="443"/>
      <c r="AV182" s="443"/>
      <c r="AW182" s="443"/>
      <c r="AX182" s="443"/>
      <c r="AY182" s="443"/>
      <c r="AZ182" s="443"/>
      <c r="BA182" s="443"/>
      <c r="BB182" s="443"/>
      <c r="BC182" s="443"/>
      <c r="BD182" s="443"/>
      <c r="BE182" s="443"/>
    </row>
    <row r="183" hidden="1">
      <c r="A183" s="445">
        <f t="shared" si="5"/>
        <v>45473</v>
      </c>
      <c r="B183" s="449">
        <v>0.0</v>
      </c>
      <c r="C183" s="443"/>
      <c r="D183" s="443"/>
      <c r="E183" s="436" t="str">
        <f t="array" ref="E183">IF(B183=0,"",(J183+K183)/60)</f>
        <v/>
      </c>
      <c r="F183" s="437" t="str">
        <f t="shared" si="1"/>
        <v/>
      </c>
      <c r="G183" s="438" t="str">
        <f t="shared" si="2"/>
        <v/>
      </c>
      <c r="H183" s="438" t="str">
        <f t="shared" si="3"/>
        <v/>
      </c>
      <c r="I183" s="436" t="str">
        <f t="shared" si="4"/>
        <v/>
      </c>
      <c r="J183" s="464"/>
      <c r="K183" s="464"/>
      <c r="L183" s="443"/>
      <c r="M183" s="447">
        <f>IFERROR(__xludf.DUMMYFUNCTION("""COMPUTED_VALUE"""),57.0)</f>
        <v>57</v>
      </c>
      <c r="N183" s="447">
        <f>IFERROR(__xludf.DUMMYFUNCTION("""COMPUTED_VALUE"""),57.0)</f>
        <v>57</v>
      </c>
      <c r="O183" s="447">
        <f>IFERROR(__xludf.DUMMYFUNCTION("""COMPUTED_VALUE"""),0.0)</f>
        <v>0</v>
      </c>
      <c r="P183" s="447">
        <f>IFERROR(__xludf.DUMMYFUNCTION("""COMPUTED_VALUE"""),0.0)</f>
        <v>0</v>
      </c>
      <c r="Q183" s="447">
        <f>IFERROR(__xludf.DUMMYFUNCTION("""COMPUTED_VALUE"""),0.0)</f>
        <v>0</v>
      </c>
      <c r="R183" s="447">
        <f>IFERROR(__xludf.DUMMYFUNCTION("""COMPUTED_VALUE"""),0.0)</f>
        <v>0</v>
      </c>
      <c r="S183" s="447">
        <f>IFERROR(__xludf.DUMMYFUNCTION("""COMPUTED_VALUE"""),0.0)</f>
        <v>0</v>
      </c>
      <c r="T183" s="447">
        <f>IFERROR(__xludf.DUMMYFUNCTION("""COMPUTED_VALUE"""),0.0)</f>
        <v>0</v>
      </c>
      <c r="U183" s="447">
        <f>IFERROR(__xludf.DUMMYFUNCTION("""COMPUTED_VALUE"""),0.0)</f>
        <v>0</v>
      </c>
      <c r="V183" s="447">
        <f>IFERROR(__xludf.DUMMYFUNCTION("""COMPUTED_VALUE"""),0.0)</f>
        <v>0</v>
      </c>
      <c r="W183" s="447">
        <f>IFERROR(__xludf.DUMMYFUNCTION("""COMPUTED_VALUE"""),0.0)</f>
        <v>0</v>
      </c>
      <c r="X183" s="447">
        <f>IFERROR(__xludf.DUMMYFUNCTION("""COMPUTED_VALUE"""),0.0)</f>
        <v>0</v>
      </c>
      <c r="Y183" s="447">
        <f>IFERROR(__xludf.DUMMYFUNCTION("""COMPUTED_VALUE"""),0.0)</f>
        <v>0</v>
      </c>
      <c r="Z183" s="447">
        <f>IFERROR(__xludf.DUMMYFUNCTION("""COMPUTED_VALUE"""),0.0)</f>
        <v>0</v>
      </c>
      <c r="AA183" s="447">
        <f>IFERROR(__xludf.DUMMYFUNCTION("""COMPUTED_VALUE"""),0.0)</f>
        <v>0</v>
      </c>
      <c r="AB183" s="447">
        <f>IFERROR(__xludf.DUMMYFUNCTION("""COMPUTED_VALUE"""),0.0)</f>
        <v>0</v>
      </c>
      <c r="AC183" s="447">
        <f>IFERROR(__xludf.DUMMYFUNCTION("""COMPUTED_VALUE"""),0.0)</f>
        <v>0</v>
      </c>
      <c r="AD183" s="447">
        <f>IFERROR(__xludf.DUMMYFUNCTION("""COMPUTED_VALUE"""),0.0)</f>
        <v>0</v>
      </c>
      <c r="AE183" s="447">
        <f>IFERROR(__xludf.DUMMYFUNCTION("""COMPUTED_VALUE"""),0.0)</f>
        <v>0</v>
      </c>
      <c r="AF183" s="447">
        <f>IFERROR(__xludf.DUMMYFUNCTION("""COMPUTED_VALUE"""),0.0)</f>
        <v>0</v>
      </c>
      <c r="AG183" s="443" t="s">
        <v>122</v>
      </c>
      <c r="AH183" s="443" t="s">
        <v>343</v>
      </c>
      <c r="AI183" s="443"/>
      <c r="AJ183" s="443"/>
      <c r="AK183" s="443"/>
      <c r="AL183" s="443"/>
      <c r="AM183" s="443"/>
      <c r="AN183" s="443"/>
      <c r="AO183" s="443"/>
      <c r="AP183" s="443"/>
      <c r="AQ183" s="443"/>
      <c r="AR183" s="443"/>
      <c r="AS183" s="443"/>
      <c r="AT183" s="443"/>
      <c r="AU183" s="443"/>
      <c r="AV183" s="443"/>
      <c r="AW183" s="443"/>
      <c r="AX183" s="443"/>
      <c r="AY183" s="443"/>
      <c r="AZ183" s="443"/>
      <c r="BA183" s="443"/>
      <c r="BB183" s="443"/>
      <c r="BC183" s="443"/>
      <c r="BD183" s="443"/>
      <c r="BE183" s="443"/>
    </row>
    <row r="184" hidden="1">
      <c r="A184" s="445">
        <f t="shared" si="5"/>
        <v>45474</v>
      </c>
      <c r="B184" s="449">
        <v>536.0</v>
      </c>
      <c r="C184" s="462">
        <v>0.6</v>
      </c>
      <c r="D184" s="462">
        <v>1.0152777777777777</v>
      </c>
      <c r="E184" s="436">
        <f t="array" ref="E184">IF(B184=0,"",(J184+K184)/60)</f>
        <v>0.5</v>
      </c>
      <c r="F184" s="437">
        <f t="shared" si="1"/>
        <v>9.966666667</v>
      </c>
      <c r="G184" s="438">
        <f t="shared" si="2"/>
        <v>53.77926421</v>
      </c>
      <c r="H184" s="438">
        <f t="shared" si="3"/>
        <v>56.61971831</v>
      </c>
      <c r="I184" s="436">
        <f t="shared" si="4"/>
        <v>1.075585284</v>
      </c>
      <c r="J184" s="460">
        <v>30.0</v>
      </c>
      <c r="K184" s="464"/>
      <c r="L184" s="443"/>
      <c r="M184" s="525">
        <f>IFERROR(__xludf.DUMMYFUNCTION("TRANSPOSE(IMPORTRANGE(""https://docs.google.com/spreadsheets/d/1CNeKSHTeNNJnfn5EymHwGg5Mkuk6EcepW7_9QkJxalc/edit#gid=1218471306"",""JULIO 2024!F2:AJ21""))"),57.0)</f>
        <v>57</v>
      </c>
      <c r="N184" s="447">
        <f>IFERROR(__xludf.DUMMYFUNCTION("""COMPUTED_VALUE"""),54.0)</f>
        <v>54</v>
      </c>
      <c r="O184" s="447">
        <f>IFERROR(__xludf.DUMMYFUNCTION("""COMPUTED_VALUE"""),0.0)</f>
        <v>0</v>
      </c>
      <c r="P184" s="447">
        <f>IFERROR(__xludf.DUMMYFUNCTION("""COMPUTED_VALUE"""),0.0)</f>
        <v>0</v>
      </c>
      <c r="Q184" s="447">
        <f>IFERROR(__xludf.DUMMYFUNCTION("""COMPUTED_VALUE"""),0.0)</f>
        <v>0</v>
      </c>
      <c r="R184" s="447">
        <f>IFERROR(__xludf.DUMMYFUNCTION("""COMPUTED_VALUE"""),0.0)</f>
        <v>0</v>
      </c>
      <c r="S184" s="447">
        <f>IFERROR(__xludf.DUMMYFUNCTION("""COMPUTED_VALUE"""),1.0)</f>
        <v>1</v>
      </c>
      <c r="T184" s="447">
        <f>IFERROR(__xludf.DUMMYFUNCTION("""COMPUTED_VALUE"""),0.0)</f>
        <v>0</v>
      </c>
      <c r="U184" s="447">
        <f>IFERROR(__xludf.DUMMYFUNCTION("""COMPUTED_VALUE"""),2.0)</f>
        <v>2</v>
      </c>
      <c r="V184" s="447">
        <f>IFERROR(__xludf.DUMMYFUNCTION("""COMPUTED_VALUE"""),2.0)</f>
        <v>2</v>
      </c>
      <c r="W184" s="447">
        <f>IFERROR(__xludf.DUMMYFUNCTION("""COMPUTED_VALUE"""),0.0)</f>
        <v>0</v>
      </c>
      <c r="X184" s="447">
        <f>IFERROR(__xludf.DUMMYFUNCTION("""COMPUTED_VALUE"""),0.0)</f>
        <v>0</v>
      </c>
      <c r="Y184" s="447">
        <f>IFERROR(__xludf.DUMMYFUNCTION("""COMPUTED_VALUE"""),0.0)</f>
        <v>0</v>
      </c>
      <c r="Z184" s="447">
        <f>IFERROR(__xludf.DUMMYFUNCTION("""COMPUTED_VALUE"""),0.0)</f>
        <v>0</v>
      </c>
      <c r="AA184" s="447">
        <f>IFERROR(__xludf.DUMMYFUNCTION("""COMPUTED_VALUE"""),0.0)</f>
        <v>0</v>
      </c>
      <c r="AB184" s="447">
        <f>IFERROR(__xludf.DUMMYFUNCTION("""COMPUTED_VALUE"""),0.0)</f>
        <v>0</v>
      </c>
      <c r="AC184" s="447">
        <f>IFERROR(__xludf.DUMMYFUNCTION("""COMPUTED_VALUE"""),0.0)</f>
        <v>0</v>
      </c>
      <c r="AD184" s="447">
        <f>IFERROR(__xludf.DUMMYFUNCTION("""COMPUTED_VALUE"""),50.0)</f>
        <v>50</v>
      </c>
      <c r="AE184" s="447">
        <f>IFERROR(__xludf.DUMMYFUNCTION("""COMPUTED_VALUE"""),7.0)</f>
        <v>7</v>
      </c>
      <c r="AF184" s="447">
        <f>IFERROR(__xludf.DUMMYFUNCTION("""COMPUTED_VALUE"""),3.0)</f>
        <v>3</v>
      </c>
      <c r="AG184" s="443" t="s">
        <v>127</v>
      </c>
      <c r="AH184" s="443" t="s">
        <v>343</v>
      </c>
      <c r="AI184" s="443"/>
      <c r="AJ184" s="443"/>
      <c r="AK184" s="443"/>
      <c r="AL184" s="443"/>
      <c r="AM184" s="443"/>
      <c r="AN184" s="443"/>
      <c r="AO184" s="443"/>
      <c r="AP184" s="443"/>
      <c r="AQ184" s="443"/>
      <c r="AR184" s="443"/>
      <c r="AS184" s="443"/>
      <c r="AT184" s="443"/>
      <c r="AU184" s="443"/>
      <c r="AV184" s="443"/>
      <c r="AW184" s="443"/>
      <c r="AX184" s="443"/>
      <c r="AY184" s="443"/>
      <c r="AZ184" s="443"/>
      <c r="BA184" s="443"/>
      <c r="BB184" s="443"/>
      <c r="BC184" s="443"/>
      <c r="BD184" s="443"/>
      <c r="BE184" s="443"/>
    </row>
    <row r="185" hidden="1">
      <c r="A185" s="445">
        <f t="shared" si="5"/>
        <v>45475</v>
      </c>
      <c r="B185" s="449">
        <v>412.0</v>
      </c>
      <c r="C185" s="462">
        <v>0.6</v>
      </c>
      <c r="D185" s="462">
        <v>0.96875</v>
      </c>
      <c r="E185" s="436">
        <f t="array" ref="E185">IF(B185=0,"",(J185+K185)/60)</f>
        <v>0.5</v>
      </c>
      <c r="F185" s="437">
        <f t="shared" si="1"/>
        <v>8.85</v>
      </c>
      <c r="G185" s="438">
        <f t="shared" si="2"/>
        <v>46.55367232</v>
      </c>
      <c r="H185" s="438">
        <f t="shared" si="3"/>
        <v>49.34131737</v>
      </c>
      <c r="I185" s="436">
        <f t="shared" si="4"/>
        <v>0.9905036663</v>
      </c>
      <c r="J185" s="460">
        <v>30.0</v>
      </c>
      <c r="K185" s="464"/>
      <c r="L185" s="443"/>
      <c r="M185" s="447">
        <f>IFERROR(__xludf.DUMMYFUNCTION("""COMPUTED_VALUE"""),57.0)</f>
        <v>57</v>
      </c>
      <c r="N185" s="447">
        <f>IFERROR(__xludf.DUMMYFUNCTION("""COMPUTED_VALUE"""),54.0)</f>
        <v>54</v>
      </c>
      <c r="O185" s="447">
        <f>IFERROR(__xludf.DUMMYFUNCTION("""COMPUTED_VALUE"""),0.0)</f>
        <v>0</v>
      </c>
      <c r="P185" s="447">
        <f>IFERROR(__xludf.DUMMYFUNCTION("""COMPUTED_VALUE"""),0.0)</f>
        <v>0</v>
      </c>
      <c r="Q185" s="447">
        <f>IFERROR(__xludf.DUMMYFUNCTION("""COMPUTED_VALUE"""),1.0)</f>
        <v>1</v>
      </c>
      <c r="R185" s="447">
        <f>IFERROR(__xludf.DUMMYFUNCTION("""COMPUTED_VALUE"""),0.0)</f>
        <v>0</v>
      </c>
      <c r="S185" s="447">
        <f>IFERROR(__xludf.DUMMYFUNCTION("""COMPUTED_VALUE"""),3.0)</f>
        <v>3</v>
      </c>
      <c r="T185" s="447">
        <f>IFERROR(__xludf.DUMMYFUNCTION("""COMPUTED_VALUE"""),0.0)</f>
        <v>0</v>
      </c>
      <c r="U185" s="447">
        <f>IFERROR(__xludf.DUMMYFUNCTION("""COMPUTED_VALUE"""),2.0)</f>
        <v>2</v>
      </c>
      <c r="V185" s="447">
        <f>IFERROR(__xludf.DUMMYFUNCTION("""COMPUTED_VALUE"""),2.0)</f>
        <v>2</v>
      </c>
      <c r="W185" s="447">
        <f>IFERROR(__xludf.DUMMYFUNCTION("""COMPUTED_VALUE"""),1.0)</f>
        <v>1</v>
      </c>
      <c r="X185" s="447">
        <f>IFERROR(__xludf.DUMMYFUNCTION("""COMPUTED_VALUE"""),0.0)</f>
        <v>0</v>
      </c>
      <c r="Y185" s="447">
        <f>IFERROR(__xludf.DUMMYFUNCTION("""COMPUTED_VALUE"""),0.0)</f>
        <v>0</v>
      </c>
      <c r="Z185" s="447">
        <f>IFERROR(__xludf.DUMMYFUNCTION("""COMPUTED_VALUE"""),0.0)</f>
        <v>0</v>
      </c>
      <c r="AA185" s="447">
        <f>IFERROR(__xludf.DUMMYFUNCTION("""COMPUTED_VALUE"""),0.0)</f>
        <v>0</v>
      </c>
      <c r="AB185" s="447">
        <f>IFERROR(__xludf.DUMMYFUNCTION("""COMPUTED_VALUE"""),0.0)</f>
        <v>0</v>
      </c>
      <c r="AC185" s="447">
        <f>IFERROR(__xludf.DUMMYFUNCTION("""COMPUTED_VALUE"""),0.0)</f>
        <v>0</v>
      </c>
      <c r="AD185" s="447">
        <f>IFERROR(__xludf.DUMMYFUNCTION("""COMPUTED_VALUE"""),47.0)</f>
        <v>47</v>
      </c>
      <c r="AE185" s="447">
        <f>IFERROR(__xludf.DUMMYFUNCTION("""COMPUTED_VALUE"""),11.0)</f>
        <v>11</v>
      </c>
      <c r="AF185" s="447">
        <f>IFERROR(__xludf.DUMMYFUNCTION("""COMPUTED_VALUE"""),3.0)</f>
        <v>3</v>
      </c>
      <c r="AG185" s="443" t="s">
        <v>127</v>
      </c>
      <c r="AH185" s="443" t="s">
        <v>343</v>
      </c>
      <c r="AI185" s="443"/>
      <c r="AJ185" s="443"/>
      <c r="AK185" s="443"/>
      <c r="AL185" s="443"/>
      <c r="AM185" s="443"/>
      <c r="AN185" s="443"/>
      <c r="AO185" s="443"/>
      <c r="AP185" s="443"/>
      <c r="AQ185" s="443"/>
      <c r="AR185" s="443"/>
      <c r="AS185" s="443"/>
      <c r="AT185" s="443"/>
      <c r="AU185" s="443"/>
      <c r="AV185" s="443"/>
      <c r="AW185" s="443"/>
      <c r="AX185" s="443"/>
      <c r="AY185" s="443"/>
      <c r="AZ185" s="443"/>
      <c r="BA185" s="443"/>
      <c r="BB185" s="443"/>
      <c r="BC185" s="443"/>
      <c r="BD185" s="443"/>
      <c r="BE185" s="443"/>
    </row>
    <row r="186" hidden="1">
      <c r="A186" s="445">
        <f t="shared" si="5"/>
        <v>45476</v>
      </c>
      <c r="B186" s="449">
        <v>349.0</v>
      </c>
      <c r="C186" s="462">
        <v>0.6416666666666667</v>
      </c>
      <c r="D186" s="462">
        <v>0.9097222222222222</v>
      </c>
      <c r="E186" s="436">
        <f t="array" ref="E186">IF(B186=0,"",(J186+K186)/60)</f>
        <v>0.5</v>
      </c>
      <c r="F186" s="437">
        <f t="shared" si="1"/>
        <v>6.433333333</v>
      </c>
      <c r="G186" s="438">
        <f t="shared" si="2"/>
        <v>54.24870466</v>
      </c>
      <c r="H186" s="438">
        <f t="shared" si="3"/>
        <v>58.82022472</v>
      </c>
      <c r="I186" s="436">
        <f t="shared" si="4"/>
        <v>1.130181347</v>
      </c>
      <c r="J186" s="460">
        <v>30.0</v>
      </c>
      <c r="K186" s="464"/>
      <c r="L186" s="443"/>
      <c r="M186" s="447">
        <f>IFERROR(__xludf.DUMMYFUNCTION("""COMPUTED_VALUE"""),57.0)</f>
        <v>57</v>
      </c>
      <c r="N186" s="447">
        <f>IFERROR(__xludf.DUMMYFUNCTION("""COMPUTED_VALUE"""),54.0)</f>
        <v>54</v>
      </c>
      <c r="O186" s="447">
        <f>IFERROR(__xludf.DUMMYFUNCTION("""COMPUTED_VALUE"""),0.0)</f>
        <v>0</v>
      </c>
      <c r="P186" s="447">
        <f>IFERROR(__xludf.DUMMYFUNCTION("""COMPUTED_VALUE"""),0.0)</f>
        <v>0</v>
      </c>
      <c r="Q186" s="447">
        <f>IFERROR(__xludf.DUMMYFUNCTION("""COMPUTED_VALUE"""),0.0)</f>
        <v>0</v>
      </c>
      <c r="R186" s="447">
        <f>IFERROR(__xludf.DUMMYFUNCTION("""COMPUTED_VALUE"""),0.0)</f>
        <v>0</v>
      </c>
      <c r="S186" s="447">
        <f>IFERROR(__xludf.DUMMYFUNCTION("""COMPUTED_VALUE"""),2.0)</f>
        <v>2</v>
      </c>
      <c r="T186" s="447">
        <f>IFERROR(__xludf.DUMMYFUNCTION("""COMPUTED_VALUE"""),0.0)</f>
        <v>0</v>
      </c>
      <c r="U186" s="447">
        <f>IFERROR(__xludf.DUMMYFUNCTION("""COMPUTED_VALUE"""),2.0)</f>
        <v>2</v>
      </c>
      <c r="V186" s="447">
        <f>IFERROR(__xludf.DUMMYFUNCTION("""COMPUTED_VALUE"""),2.0)</f>
        <v>2</v>
      </c>
      <c r="W186" s="447">
        <f>IFERROR(__xludf.DUMMYFUNCTION("""COMPUTED_VALUE"""),1.0)</f>
        <v>1</v>
      </c>
      <c r="X186" s="447">
        <f>IFERROR(__xludf.DUMMYFUNCTION("""COMPUTED_VALUE"""),0.0)</f>
        <v>0</v>
      </c>
      <c r="Y186" s="447">
        <f>IFERROR(__xludf.DUMMYFUNCTION("""COMPUTED_VALUE"""),0.0)</f>
        <v>0</v>
      </c>
      <c r="Z186" s="447">
        <f>IFERROR(__xludf.DUMMYFUNCTION("""COMPUTED_VALUE"""),0.0)</f>
        <v>0</v>
      </c>
      <c r="AA186" s="447">
        <f>IFERROR(__xludf.DUMMYFUNCTION("""COMPUTED_VALUE"""),0.0)</f>
        <v>0</v>
      </c>
      <c r="AB186" s="447">
        <f>IFERROR(__xludf.DUMMYFUNCTION("""COMPUTED_VALUE"""),0.0)</f>
        <v>0</v>
      </c>
      <c r="AC186" s="447">
        <f>IFERROR(__xludf.DUMMYFUNCTION("""COMPUTED_VALUE"""),0.0)</f>
        <v>0</v>
      </c>
      <c r="AD186" s="447">
        <f>IFERROR(__xludf.DUMMYFUNCTION("""COMPUTED_VALUE"""),48.0)</f>
        <v>48</v>
      </c>
      <c r="AE186" s="447">
        <f>IFERROR(__xludf.DUMMYFUNCTION("""COMPUTED_VALUE"""),9.0)</f>
        <v>9</v>
      </c>
      <c r="AF186" s="447">
        <f>IFERROR(__xludf.DUMMYFUNCTION("""COMPUTED_VALUE"""),3.0)</f>
        <v>3</v>
      </c>
      <c r="AG186" s="443" t="s">
        <v>127</v>
      </c>
      <c r="AH186" s="443" t="s">
        <v>343</v>
      </c>
      <c r="AI186" s="443"/>
      <c r="AJ186" s="443"/>
      <c r="AK186" s="443"/>
      <c r="AL186" s="443"/>
      <c r="AM186" s="443"/>
      <c r="AN186" s="443"/>
      <c r="AO186" s="443"/>
      <c r="AP186" s="443"/>
      <c r="AQ186" s="443"/>
      <c r="AR186" s="443"/>
      <c r="AS186" s="443"/>
      <c r="AT186" s="443"/>
      <c r="AU186" s="443"/>
      <c r="AV186" s="443"/>
      <c r="AW186" s="443"/>
      <c r="AX186" s="443"/>
      <c r="AY186" s="443"/>
      <c r="AZ186" s="443"/>
      <c r="BA186" s="443"/>
      <c r="BB186" s="443"/>
      <c r="BC186" s="443"/>
      <c r="BD186" s="443"/>
      <c r="BE186" s="443"/>
    </row>
    <row r="187" hidden="1">
      <c r="A187" s="445">
        <f t="shared" si="5"/>
        <v>45477</v>
      </c>
      <c r="B187" s="449">
        <v>473.0</v>
      </c>
      <c r="C187" s="462">
        <v>0.6</v>
      </c>
      <c r="D187" s="462">
        <v>0.975</v>
      </c>
      <c r="E187" s="436">
        <f t="array" ref="E187">IF(B187=0,"",(J187+K187)/60)</f>
        <v>0.5</v>
      </c>
      <c r="F187" s="437">
        <f t="shared" si="1"/>
        <v>9</v>
      </c>
      <c r="G187" s="438">
        <f t="shared" si="2"/>
        <v>52.55555556</v>
      </c>
      <c r="H187" s="438">
        <f t="shared" si="3"/>
        <v>55.64705882</v>
      </c>
      <c r="I187" s="436">
        <f t="shared" si="4"/>
        <v>1.094907407</v>
      </c>
      <c r="J187" s="460">
        <v>30.0</v>
      </c>
      <c r="K187" s="464"/>
      <c r="L187" s="443"/>
      <c r="M187" s="447">
        <f>IFERROR(__xludf.DUMMYFUNCTION("""COMPUTED_VALUE"""),57.0)</f>
        <v>57</v>
      </c>
      <c r="N187" s="447">
        <f>IFERROR(__xludf.DUMMYFUNCTION("""COMPUTED_VALUE"""),56.0)</f>
        <v>56</v>
      </c>
      <c r="O187" s="447">
        <f>IFERROR(__xludf.DUMMYFUNCTION("""COMPUTED_VALUE"""),0.0)</f>
        <v>0</v>
      </c>
      <c r="P187" s="447">
        <f>IFERROR(__xludf.DUMMYFUNCTION("""COMPUTED_VALUE"""),0.0)</f>
        <v>0</v>
      </c>
      <c r="Q187" s="447">
        <f>IFERROR(__xludf.DUMMYFUNCTION("""COMPUTED_VALUE"""),0.0)</f>
        <v>0</v>
      </c>
      <c r="R187" s="447">
        <f>IFERROR(__xludf.DUMMYFUNCTION("""COMPUTED_VALUE"""),0.0)</f>
        <v>0</v>
      </c>
      <c r="S187" s="447">
        <f>IFERROR(__xludf.DUMMYFUNCTION("""COMPUTED_VALUE"""),2.0)</f>
        <v>2</v>
      </c>
      <c r="T187" s="447">
        <f>IFERROR(__xludf.DUMMYFUNCTION("""COMPUTED_VALUE"""),0.0)</f>
        <v>0</v>
      </c>
      <c r="U187" s="447">
        <f>IFERROR(__xludf.DUMMYFUNCTION("""COMPUTED_VALUE"""),0.0)</f>
        <v>0</v>
      </c>
      <c r="V187" s="447">
        <f>IFERROR(__xludf.DUMMYFUNCTION("""COMPUTED_VALUE"""),2.0)</f>
        <v>2</v>
      </c>
      <c r="W187" s="447">
        <f>IFERROR(__xludf.DUMMYFUNCTION("""COMPUTED_VALUE"""),1.0)</f>
        <v>1</v>
      </c>
      <c r="X187" s="447">
        <f>IFERROR(__xludf.DUMMYFUNCTION("""COMPUTED_VALUE"""),0.0)</f>
        <v>0</v>
      </c>
      <c r="Y187" s="447">
        <f>IFERROR(__xludf.DUMMYFUNCTION("""COMPUTED_VALUE"""),0.0)</f>
        <v>0</v>
      </c>
      <c r="Z187" s="447">
        <f>IFERROR(__xludf.DUMMYFUNCTION("""COMPUTED_VALUE"""),0.0)</f>
        <v>0</v>
      </c>
      <c r="AA187" s="447">
        <f>IFERROR(__xludf.DUMMYFUNCTION("""COMPUTED_VALUE"""),0.0)</f>
        <v>0</v>
      </c>
      <c r="AB187" s="447">
        <f>IFERROR(__xludf.DUMMYFUNCTION("""COMPUTED_VALUE"""),2.0)</f>
        <v>2</v>
      </c>
      <c r="AC187" s="447">
        <f>IFERROR(__xludf.DUMMYFUNCTION("""COMPUTED_VALUE"""),0.0)</f>
        <v>0</v>
      </c>
      <c r="AD187" s="447">
        <f>IFERROR(__xludf.DUMMYFUNCTION("""COMPUTED_VALUE"""),48.0)</f>
        <v>48</v>
      </c>
      <c r="AE187" s="447">
        <f>IFERROR(__xludf.DUMMYFUNCTION("""COMPUTED_VALUE"""),7.0)</f>
        <v>7</v>
      </c>
      <c r="AF187" s="447">
        <f>IFERROR(__xludf.DUMMYFUNCTION("""COMPUTED_VALUE"""),1.0)</f>
        <v>1</v>
      </c>
      <c r="AG187" s="443" t="s">
        <v>127</v>
      </c>
      <c r="AH187" s="443" t="s">
        <v>343</v>
      </c>
      <c r="AI187" s="443"/>
      <c r="AJ187" s="443"/>
      <c r="AK187" s="443"/>
      <c r="AL187" s="443"/>
      <c r="AM187" s="443"/>
      <c r="AN187" s="443"/>
      <c r="AO187" s="443"/>
      <c r="AP187" s="443"/>
      <c r="AQ187" s="443"/>
      <c r="AR187" s="443"/>
      <c r="AS187" s="443"/>
      <c r="AT187" s="443"/>
      <c r="AU187" s="443"/>
      <c r="AV187" s="443"/>
      <c r="AW187" s="443"/>
      <c r="AX187" s="443"/>
      <c r="AY187" s="443"/>
      <c r="AZ187" s="443"/>
      <c r="BA187" s="443"/>
      <c r="BB187" s="443"/>
      <c r="BC187" s="443"/>
      <c r="BD187" s="443"/>
      <c r="BE187" s="443"/>
    </row>
    <row r="188" hidden="1">
      <c r="A188" s="445">
        <f t="shared" si="5"/>
        <v>45478</v>
      </c>
      <c r="B188" s="449">
        <v>567.0</v>
      </c>
      <c r="C188" s="462">
        <v>0.6</v>
      </c>
      <c r="D188" s="462">
        <v>1.0645833333333334</v>
      </c>
      <c r="E188" s="436">
        <f t="array" ref="E188">IF(B188=0,"",(J188+K188)/60)</f>
        <v>1</v>
      </c>
      <c r="F188" s="437">
        <f t="shared" si="1"/>
        <v>11.15</v>
      </c>
      <c r="G188" s="438">
        <f t="shared" si="2"/>
        <v>50.85201794</v>
      </c>
      <c r="H188" s="438">
        <f t="shared" si="3"/>
        <v>55.86206897</v>
      </c>
      <c r="I188" s="436">
        <f t="shared" si="4"/>
        <v>1.017040359</v>
      </c>
      <c r="J188" s="460">
        <v>60.0</v>
      </c>
      <c r="K188" s="464"/>
      <c r="L188" s="443"/>
      <c r="M188" s="447">
        <f>IFERROR(__xludf.DUMMYFUNCTION("""COMPUTED_VALUE"""),57.0)</f>
        <v>57</v>
      </c>
      <c r="N188" s="447">
        <f>IFERROR(__xludf.DUMMYFUNCTION("""COMPUTED_VALUE"""),56.0)</f>
        <v>56</v>
      </c>
      <c r="O188" s="447">
        <f>IFERROR(__xludf.DUMMYFUNCTION("""COMPUTED_VALUE"""),0.0)</f>
        <v>0</v>
      </c>
      <c r="P188" s="447">
        <f>IFERROR(__xludf.DUMMYFUNCTION("""COMPUTED_VALUE"""),0.0)</f>
        <v>0</v>
      </c>
      <c r="Q188" s="447">
        <f>IFERROR(__xludf.DUMMYFUNCTION("""COMPUTED_VALUE"""),0.0)</f>
        <v>0</v>
      </c>
      <c r="R188" s="447">
        <f>IFERROR(__xludf.DUMMYFUNCTION("""COMPUTED_VALUE"""),0.0)</f>
        <v>0</v>
      </c>
      <c r="S188" s="447">
        <f>IFERROR(__xludf.DUMMYFUNCTION("""COMPUTED_VALUE"""),2.0)</f>
        <v>2</v>
      </c>
      <c r="T188" s="447">
        <f>IFERROR(__xludf.DUMMYFUNCTION("""COMPUTED_VALUE"""),0.0)</f>
        <v>0</v>
      </c>
      <c r="U188" s="447">
        <f>IFERROR(__xludf.DUMMYFUNCTION("""COMPUTED_VALUE"""),0.0)</f>
        <v>0</v>
      </c>
      <c r="V188" s="447">
        <f>IFERROR(__xludf.DUMMYFUNCTION("""COMPUTED_VALUE"""),2.0)</f>
        <v>2</v>
      </c>
      <c r="W188" s="447">
        <f>IFERROR(__xludf.DUMMYFUNCTION("""COMPUTED_VALUE"""),1.0)</f>
        <v>1</v>
      </c>
      <c r="X188" s="447">
        <f>IFERROR(__xludf.DUMMYFUNCTION("""COMPUTED_VALUE"""),0.0)</f>
        <v>0</v>
      </c>
      <c r="Y188" s="447">
        <f>IFERROR(__xludf.DUMMYFUNCTION("""COMPUTED_VALUE"""),0.0)</f>
        <v>0</v>
      </c>
      <c r="Z188" s="447">
        <f>IFERROR(__xludf.DUMMYFUNCTION("""COMPUTED_VALUE"""),0.0)</f>
        <v>0</v>
      </c>
      <c r="AA188" s="447">
        <f>IFERROR(__xludf.DUMMYFUNCTION("""COMPUTED_VALUE"""),0.0)</f>
        <v>0</v>
      </c>
      <c r="AB188" s="447">
        <f>IFERROR(__xludf.DUMMYFUNCTION("""COMPUTED_VALUE"""),0.0)</f>
        <v>0</v>
      </c>
      <c r="AC188" s="447">
        <f>IFERROR(__xludf.DUMMYFUNCTION("""COMPUTED_VALUE"""),0.0)</f>
        <v>0</v>
      </c>
      <c r="AD188" s="447">
        <f>IFERROR(__xludf.DUMMYFUNCTION("""COMPUTED_VALUE"""),50.0)</f>
        <v>50</v>
      </c>
      <c r="AE188" s="447">
        <f>IFERROR(__xludf.DUMMYFUNCTION("""COMPUTED_VALUE"""),7.0)</f>
        <v>7</v>
      </c>
      <c r="AF188" s="447">
        <f>IFERROR(__xludf.DUMMYFUNCTION("""COMPUTED_VALUE"""),1.0)</f>
        <v>1</v>
      </c>
      <c r="AG188" s="443" t="s">
        <v>127</v>
      </c>
      <c r="AH188" s="443" t="s">
        <v>343</v>
      </c>
      <c r="AI188" s="443"/>
      <c r="AJ188" s="443"/>
      <c r="AK188" s="443"/>
      <c r="AL188" s="443"/>
      <c r="AM188" s="443"/>
      <c r="AN188" s="443"/>
      <c r="AO188" s="443"/>
      <c r="AP188" s="443"/>
      <c r="AQ188" s="443"/>
      <c r="AR188" s="443"/>
      <c r="AS188" s="443"/>
      <c r="AT188" s="443"/>
      <c r="AU188" s="443"/>
      <c r="AV188" s="443"/>
      <c r="AW188" s="443"/>
      <c r="AX188" s="443"/>
      <c r="AY188" s="443"/>
      <c r="AZ188" s="443"/>
      <c r="BA188" s="443"/>
      <c r="BB188" s="443"/>
      <c r="BC188" s="443"/>
      <c r="BD188" s="443"/>
      <c r="BE188" s="443"/>
    </row>
    <row r="189" hidden="1">
      <c r="A189" s="445">
        <f t="shared" si="5"/>
        <v>45479</v>
      </c>
      <c r="B189" s="449">
        <v>333.0</v>
      </c>
      <c r="C189" s="462">
        <v>0.5166666666666667</v>
      </c>
      <c r="D189" s="462">
        <v>0.7756944444444445</v>
      </c>
      <c r="E189" s="436">
        <f t="array" ref="E189">IF(B189=0,"",(J189+K189)/60)</f>
        <v>0</v>
      </c>
      <c r="F189" s="437">
        <f t="shared" si="1"/>
        <v>6.216666667</v>
      </c>
      <c r="G189" s="438">
        <f t="shared" si="2"/>
        <v>53.56568365</v>
      </c>
      <c r="H189" s="438">
        <f t="shared" si="3"/>
        <v>53.56568365</v>
      </c>
      <c r="I189" s="436">
        <f t="shared" si="4"/>
        <v>1.071313673</v>
      </c>
      <c r="J189" s="460">
        <v>0.0</v>
      </c>
      <c r="K189" s="464"/>
      <c r="L189" s="443"/>
      <c r="M189" s="447">
        <f>IFERROR(__xludf.DUMMYFUNCTION("""COMPUTED_VALUE"""),57.0)</f>
        <v>57</v>
      </c>
      <c r="N189" s="447">
        <f>IFERROR(__xludf.DUMMYFUNCTION("""COMPUTED_VALUE"""),56.0)</f>
        <v>56</v>
      </c>
      <c r="O189" s="447">
        <f>IFERROR(__xludf.DUMMYFUNCTION("""COMPUTED_VALUE"""),0.0)</f>
        <v>0</v>
      </c>
      <c r="P189" s="447">
        <f>IFERROR(__xludf.DUMMYFUNCTION("""COMPUTED_VALUE"""),0.0)</f>
        <v>0</v>
      </c>
      <c r="Q189" s="447">
        <f>IFERROR(__xludf.DUMMYFUNCTION("""COMPUTED_VALUE"""),0.0)</f>
        <v>0</v>
      </c>
      <c r="R189" s="447">
        <f>IFERROR(__xludf.DUMMYFUNCTION("""COMPUTED_VALUE"""),0.0)</f>
        <v>0</v>
      </c>
      <c r="S189" s="447">
        <f>IFERROR(__xludf.DUMMYFUNCTION("""COMPUTED_VALUE"""),3.0)</f>
        <v>3</v>
      </c>
      <c r="T189" s="447">
        <f>IFERROR(__xludf.DUMMYFUNCTION("""COMPUTED_VALUE"""),0.0)</f>
        <v>0</v>
      </c>
      <c r="U189" s="447">
        <f>IFERROR(__xludf.DUMMYFUNCTION("""COMPUTED_VALUE"""),0.0)</f>
        <v>0</v>
      </c>
      <c r="V189" s="447">
        <f>IFERROR(__xludf.DUMMYFUNCTION("""COMPUTED_VALUE"""),2.0)</f>
        <v>2</v>
      </c>
      <c r="W189" s="447">
        <f>IFERROR(__xludf.DUMMYFUNCTION("""COMPUTED_VALUE"""),0.0)</f>
        <v>0</v>
      </c>
      <c r="X189" s="447">
        <f>IFERROR(__xludf.DUMMYFUNCTION("""COMPUTED_VALUE"""),0.0)</f>
        <v>0</v>
      </c>
      <c r="Y189" s="447">
        <f>IFERROR(__xludf.DUMMYFUNCTION("""COMPUTED_VALUE"""),0.0)</f>
        <v>0</v>
      </c>
      <c r="Z189" s="447">
        <f>IFERROR(__xludf.DUMMYFUNCTION("""COMPUTED_VALUE"""),0.0)</f>
        <v>0</v>
      </c>
      <c r="AA189" s="447">
        <f>IFERROR(__xludf.DUMMYFUNCTION("""COMPUTED_VALUE"""),0.0)</f>
        <v>0</v>
      </c>
      <c r="AB189" s="447">
        <f>IFERROR(__xludf.DUMMYFUNCTION("""COMPUTED_VALUE"""),0.0)</f>
        <v>0</v>
      </c>
      <c r="AC189" s="447">
        <f>IFERROR(__xludf.DUMMYFUNCTION("""COMPUTED_VALUE"""),0.0)</f>
        <v>0</v>
      </c>
      <c r="AD189" s="447">
        <f>IFERROR(__xludf.DUMMYFUNCTION("""COMPUTED_VALUE"""),50.0)</f>
        <v>50</v>
      </c>
      <c r="AE189" s="447">
        <f>IFERROR(__xludf.DUMMYFUNCTION("""COMPUTED_VALUE"""),7.0)</f>
        <v>7</v>
      </c>
      <c r="AF189" s="447">
        <f>IFERROR(__xludf.DUMMYFUNCTION("""COMPUTED_VALUE"""),1.0)</f>
        <v>1</v>
      </c>
      <c r="AG189" s="443" t="s">
        <v>127</v>
      </c>
      <c r="AH189" s="443" t="s">
        <v>343</v>
      </c>
      <c r="AI189" s="443"/>
      <c r="AJ189" s="443"/>
      <c r="AK189" s="443"/>
      <c r="AL189" s="443"/>
      <c r="AM189" s="443"/>
      <c r="AN189" s="443"/>
      <c r="AO189" s="443"/>
      <c r="AP189" s="443"/>
      <c r="AQ189" s="443"/>
      <c r="AR189" s="443"/>
      <c r="AS189" s="443"/>
      <c r="AT189" s="443"/>
      <c r="AU189" s="443"/>
      <c r="AV189" s="443"/>
      <c r="AW189" s="443"/>
      <c r="AX189" s="443"/>
      <c r="AY189" s="443"/>
      <c r="AZ189" s="443"/>
      <c r="BA189" s="443"/>
      <c r="BB189" s="443"/>
      <c r="BC189" s="443"/>
      <c r="BD189" s="443"/>
      <c r="BE189" s="443"/>
    </row>
    <row r="190" hidden="1">
      <c r="A190" s="445">
        <f t="shared" si="5"/>
        <v>45480</v>
      </c>
      <c r="B190" s="449">
        <v>0.0</v>
      </c>
      <c r="C190" s="462"/>
      <c r="D190" s="443"/>
      <c r="E190" s="436" t="str">
        <f t="array" ref="E190">IF(B190=0,"",(J190+K190)/60)</f>
        <v/>
      </c>
      <c r="F190" s="437" t="str">
        <f t="shared" si="1"/>
        <v/>
      </c>
      <c r="G190" s="438" t="str">
        <f t="shared" si="2"/>
        <v/>
      </c>
      <c r="H190" s="438" t="str">
        <f t="shared" si="3"/>
        <v/>
      </c>
      <c r="I190" s="436" t="str">
        <f t="shared" si="4"/>
        <v/>
      </c>
      <c r="J190" s="460">
        <v>0.0</v>
      </c>
      <c r="K190" s="464"/>
      <c r="L190" s="443"/>
      <c r="M190" s="447">
        <f>IFERROR(__xludf.DUMMYFUNCTION("""COMPUTED_VALUE"""),57.0)</f>
        <v>57</v>
      </c>
      <c r="N190" s="447">
        <f>IFERROR(__xludf.DUMMYFUNCTION("""COMPUTED_VALUE"""),57.0)</f>
        <v>57</v>
      </c>
      <c r="O190" s="447">
        <f>IFERROR(__xludf.DUMMYFUNCTION("""COMPUTED_VALUE"""),0.0)</f>
        <v>0</v>
      </c>
      <c r="P190" s="447">
        <f>IFERROR(__xludf.DUMMYFUNCTION("""COMPUTED_VALUE"""),0.0)</f>
        <v>0</v>
      </c>
      <c r="Q190" s="447">
        <f>IFERROR(__xludf.DUMMYFUNCTION("""COMPUTED_VALUE"""),0.0)</f>
        <v>0</v>
      </c>
      <c r="R190" s="447">
        <f>IFERROR(__xludf.DUMMYFUNCTION("""COMPUTED_VALUE"""),0.0)</f>
        <v>0</v>
      </c>
      <c r="S190" s="447">
        <f>IFERROR(__xludf.DUMMYFUNCTION("""COMPUTED_VALUE"""),0.0)</f>
        <v>0</v>
      </c>
      <c r="T190" s="447">
        <f>IFERROR(__xludf.DUMMYFUNCTION("""COMPUTED_VALUE"""),0.0)</f>
        <v>0</v>
      </c>
      <c r="U190" s="447">
        <f>IFERROR(__xludf.DUMMYFUNCTION("""COMPUTED_VALUE"""),0.0)</f>
        <v>0</v>
      </c>
      <c r="V190" s="447">
        <f>IFERROR(__xludf.DUMMYFUNCTION("""COMPUTED_VALUE"""),0.0)</f>
        <v>0</v>
      </c>
      <c r="W190" s="447">
        <f>IFERROR(__xludf.DUMMYFUNCTION("""COMPUTED_VALUE"""),0.0)</f>
        <v>0</v>
      </c>
      <c r="X190" s="447">
        <f>IFERROR(__xludf.DUMMYFUNCTION("""COMPUTED_VALUE"""),0.0)</f>
        <v>0</v>
      </c>
      <c r="Y190" s="447">
        <f>IFERROR(__xludf.DUMMYFUNCTION("""COMPUTED_VALUE"""),0.0)</f>
        <v>0</v>
      </c>
      <c r="Z190" s="447">
        <f>IFERROR(__xludf.DUMMYFUNCTION("""COMPUTED_VALUE"""),0.0)</f>
        <v>0</v>
      </c>
      <c r="AA190" s="447">
        <f>IFERROR(__xludf.DUMMYFUNCTION("""COMPUTED_VALUE"""),0.0)</f>
        <v>0</v>
      </c>
      <c r="AB190" s="447">
        <f>IFERROR(__xludf.DUMMYFUNCTION("""COMPUTED_VALUE"""),0.0)</f>
        <v>0</v>
      </c>
      <c r="AC190" s="447">
        <f>IFERROR(__xludf.DUMMYFUNCTION("""COMPUTED_VALUE"""),0.0)</f>
        <v>0</v>
      </c>
      <c r="AD190" s="447">
        <f>IFERROR(__xludf.DUMMYFUNCTION("""COMPUTED_VALUE"""),0.0)</f>
        <v>0</v>
      </c>
      <c r="AE190" s="447">
        <f>IFERROR(__xludf.DUMMYFUNCTION("""COMPUTED_VALUE"""),0.0)</f>
        <v>0</v>
      </c>
      <c r="AF190" s="447">
        <f>IFERROR(__xludf.DUMMYFUNCTION("""COMPUTED_VALUE"""),0.0)</f>
        <v>0</v>
      </c>
      <c r="AG190" s="443" t="s">
        <v>127</v>
      </c>
      <c r="AH190" s="443" t="s">
        <v>343</v>
      </c>
      <c r="AI190" s="443"/>
      <c r="AJ190" s="443"/>
      <c r="AK190" s="443"/>
      <c r="AL190" s="443"/>
      <c r="AM190" s="443"/>
      <c r="AN190" s="443"/>
      <c r="AO190" s="443"/>
      <c r="AP190" s="443"/>
      <c r="AQ190" s="443"/>
      <c r="AR190" s="443"/>
      <c r="AS190" s="443"/>
      <c r="AT190" s="443"/>
      <c r="AU190" s="443"/>
      <c r="AV190" s="443"/>
      <c r="AW190" s="443"/>
      <c r="AX190" s="443"/>
      <c r="AY190" s="443"/>
      <c r="AZ190" s="443"/>
      <c r="BA190" s="443"/>
      <c r="BB190" s="443"/>
      <c r="BC190" s="443"/>
      <c r="BD190" s="443"/>
      <c r="BE190" s="443"/>
    </row>
    <row r="191" hidden="1">
      <c r="A191" s="445">
        <f t="shared" si="5"/>
        <v>45481</v>
      </c>
      <c r="B191" s="449">
        <v>500.0</v>
      </c>
      <c r="C191" s="462">
        <v>0.6</v>
      </c>
      <c r="D191" s="462">
        <v>0.9847222222222223</v>
      </c>
      <c r="E191" s="436">
        <f t="array" ref="E191">IF(B191=0,"",(J191+K191)/60)</f>
        <v>0.5</v>
      </c>
      <c r="F191" s="437">
        <f t="shared" si="1"/>
        <v>9.233333333</v>
      </c>
      <c r="G191" s="438">
        <f t="shared" si="2"/>
        <v>54.15162455</v>
      </c>
      <c r="H191" s="438">
        <f t="shared" si="3"/>
        <v>57.2519084</v>
      </c>
      <c r="I191" s="436">
        <f t="shared" si="4"/>
        <v>1.06179656</v>
      </c>
      <c r="J191" s="460">
        <v>30.0</v>
      </c>
      <c r="K191" s="464"/>
      <c r="L191" s="443"/>
      <c r="M191" s="447">
        <f>IFERROR(__xludf.DUMMYFUNCTION("""COMPUTED_VALUE"""),57.0)</f>
        <v>57</v>
      </c>
      <c r="N191" s="447">
        <f>IFERROR(__xludf.DUMMYFUNCTION("""COMPUTED_VALUE"""),56.0)</f>
        <v>56</v>
      </c>
      <c r="O191" s="447">
        <f>IFERROR(__xludf.DUMMYFUNCTION("""COMPUTED_VALUE"""),0.0)</f>
        <v>0</v>
      </c>
      <c r="P191" s="447">
        <f>IFERROR(__xludf.DUMMYFUNCTION("""COMPUTED_VALUE"""),0.0)</f>
        <v>0</v>
      </c>
      <c r="Q191" s="447">
        <f>IFERROR(__xludf.DUMMYFUNCTION("""COMPUTED_VALUE"""),1.0)</f>
        <v>1</v>
      </c>
      <c r="R191" s="447">
        <f>IFERROR(__xludf.DUMMYFUNCTION("""COMPUTED_VALUE"""),0.0)</f>
        <v>0</v>
      </c>
      <c r="S191" s="447">
        <f>IFERROR(__xludf.DUMMYFUNCTION("""COMPUTED_VALUE"""),1.0)</f>
        <v>1</v>
      </c>
      <c r="T191" s="447">
        <f>IFERROR(__xludf.DUMMYFUNCTION("""COMPUTED_VALUE"""),0.0)</f>
        <v>0</v>
      </c>
      <c r="U191" s="447">
        <f>IFERROR(__xludf.DUMMYFUNCTION("""COMPUTED_VALUE"""),0.0)</f>
        <v>0</v>
      </c>
      <c r="V191" s="447">
        <f>IFERROR(__xludf.DUMMYFUNCTION("""COMPUTED_VALUE"""),2.0)</f>
        <v>2</v>
      </c>
      <c r="W191" s="447">
        <f>IFERROR(__xludf.DUMMYFUNCTION("""COMPUTED_VALUE"""),0.0)</f>
        <v>0</v>
      </c>
      <c r="X191" s="447">
        <f>IFERROR(__xludf.DUMMYFUNCTION("""COMPUTED_VALUE"""),0.0)</f>
        <v>0</v>
      </c>
      <c r="Y191" s="447">
        <f>IFERROR(__xludf.DUMMYFUNCTION("""COMPUTED_VALUE"""),0.0)</f>
        <v>0</v>
      </c>
      <c r="Z191" s="447">
        <f>IFERROR(__xludf.DUMMYFUNCTION("""COMPUTED_VALUE"""),0.0)</f>
        <v>0</v>
      </c>
      <c r="AA191" s="447">
        <f>IFERROR(__xludf.DUMMYFUNCTION("""COMPUTED_VALUE"""),0.0)</f>
        <v>0</v>
      </c>
      <c r="AB191" s="447">
        <f>IFERROR(__xludf.DUMMYFUNCTION("""COMPUTED_VALUE"""),0.0)</f>
        <v>0</v>
      </c>
      <c r="AC191" s="447">
        <f>IFERROR(__xludf.DUMMYFUNCTION("""COMPUTED_VALUE"""),0.0)</f>
        <v>0</v>
      </c>
      <c r="AD191" s="447">
        <f>IFERROR(__xludf.DUMMYFUNCTION("""COMPUTED_VALUE"""),51.0)</f>
        <v>51</v>
      </c>
      <c r="AE191" s="447">
        <f>IFERROR(__xludf.DUMMYFUNCTION("""COMPUTED_VALUE"""),6.0)</f>
        <v>6</v>
      </c>
      <c r="AF191" s="447">
        <f>IFERROR(__xludf.DUMMYFUNCTION("""COMPUTED_VALUE"""),1.0)</f>
        <v>1</v>
      </c>
      <c r="AG191" s="443" t="s">
        <v>127</v>
      </c>
      <c r="AH191" s="443" t="s">
        <v>343</v>
      </c>
      <c r="AI191" s="443"/>
      <c r="AJ191" s="443"/>
      <c r="AK191" s="443"/>
      <c r="AL191" s="443"/>
      <c r="AM191" s="443"/>
      <c r="AN191" s="443"/>
      <c r="AO191" s="443"/>
      <c r="AP191" s="443"/>
      <c r="AQ191" s="443"/>
      <c r="AR191" s="443"/>
      <c r="AS191" s="443"/>
      <c r="AT191" s="443"/>
      <c r="AU191" s="443"/>
      <c r="AV191" s="443"/>
      <c r="AW191" s="443"/>
      <c r="AX191" s="443"/>
      <c r="AY191" s="443"/>
      <c r="AZ191" s="443"/>
      <c r="BA191" s="443"/>
      <c r="BB191" s="443"/>
      <c r="BC191" s="443"/>
      <c r="BD191" s="443"/>
      <c r="BE191" s="443"/>
    </row>
    <row r="192" hidden="1">
      <c r="A192" s="445">
        <f t="shared" si="5"/>
        <v>45482</v>
      </c>
      <c r="B192" s="449">
        <v>367.0</v>
      </c>
      <c r="C192" s="462">
        <v>0.6</v>
      </c>
      <c r="D192" s="462">
        <v>0.9125</v>
      </c>
      <c r="E192" s="436">
        <f t="array" ref="E192">IF(B192=0,"",(J192+K192)/60)</f>
        <v>0.5</v>
      </c>
      <c r="F192" s="437">
        <f t="shared" si="1"/>
        <v>7.5</v>
      </c>
      <c r="G192" s="438">
        <f t="shared" si="2"/>
        <v>48.93333333</v>
      </c>
      <c r="H192" s="438">
        <f t="shared" si="3"/>
        <v>52.42857143</v>
      </c>
      <c r="I192" s="436">
        <f t="shared" si="4"/>
        <v>0.9786666667</v>
      </c>
      <c r="J192" s="460">
        <v>30.0</v>
      </c>
      <c r="K192" s="464"/>
      <c r="L192" s="443"/>
      <c r="M192" s="447">
        <f>IFERROR(__xludf.DUMMYFUNCTION("""COMPUTED_VALUE"""),57.0)</f>
        <v>57</v>
      </c>
      <c r="N192" s="447">
        <f>IFERROR(__xludf.DUMMYFUNCTION("""COMPUTED_VALUE"""),55.0)</f>
        <v>55</v>
      </c>
      <c r="O192" s="447">
        <f>IFERROR(__xludf.DUMMYFUNCTION("""COMPUTED_VALUE"""),0.0)</f>
        <v>0</v>
      </c>
      <c r="P192" s="447">
        <f>IFERROR(__xludf.DUMMYFUNCTION("""COMPUTED_VALUE"""),0.0)</f>
        <v>0</v>
      </c>
      <c r="Q192" s="447">
        <f>IFERROR(__xludf.DUMMYFUNCTION("""COMPUTED_VALUE"""),0.0)</f>
        <v>0</v>
      </c>
      <c r="R192" s="447">
        <f>IFERROR(__xludf.DUMMYFUNCTION("""COMPUTED_VALUE"""),0.0)</f>
        <v>0</v>
      </c>
      <c r="S192" s="447">
        <f>IFERROR(__xludf.DUMMYFUNCTION("""COMPUTED_VALUE"""),1.0)</f>
        <v>1</v>
      </c>
      <c r="T192" s="447">
        <f>IFERROR(__xludf.DUMMYFUNCTION("""COMPUTED_VALUE"""),0.0)</f>
        <v>0</v>
      </c>
      <c r="U192" s="447">
        <f>IFERROR(__xludf.DUMMYFUNCTION("""COMPUTED_VALUE"""),1.0)</f>
        <v>1</v>
      </c>
      <c r="V192" s="447">
        <f>IFERROR(__xludf.DUMMYFUNCTION("""COMPUTED_VALUE"""),2.0)</f>
        <v>2</v>
      </c>
      <c r="W192" s="447">
        <f>IFERROR(__xludf.DUMMYFUNCTION("""COMPUTED_VALUE"""),1.0)</f>
        <v>1</v>
      </c>
      <c r="X192" s="447">
        <f>IFERROR(__xludf.DUMMYFUNCTION("""COMPUTED_VALUE"""),0.0)</f>
        <v>0</v>
      </c>
      <c r="Y192" s="447">
        <f>IFERROR(__xludf.DUMMYFUNCTION("""COMPUTED_VALUE"""),0.0)</f>
        <v>0</v>
      </c>
      <c r="Z192" s="447">
        <f>IFERROR(__xludf.DUMMYFUNCTION("""COMPUTED_VALUE"""),0.0)</f>
        <v>0</v>
      </c>
      <c r="AA192" s="447">
        <f>IFERROR(__xludf.DUMMYFUNCTION("""COMPUTED_VALUE"""),0.0)</f>
        <v>0</v>
      </c>
      <c r="AB192" s="447">
        <f>IFERROR(__xludf.DUMMYFUNCTION("""COMPUTED_VALUE"""),0.0)</f>
        <v>0</v>
      </c>
      <c r="AC192" s="447">
        <f>IFERROR(__xludf.DUMMYFUNCTION("""COMPUTED_VALUE"""),0.0)</f>
        <v>0</v>
      </c>
      <c r="AD192" s="447">
        <f>IFERROR(__xludf.DUMMYFUNCTION("""COMPUTED_VALUE"""),50.0)</f>
        <v>50</v>
      </c>
      <c r="AE192" s="447">
        <f>IFERROR(__xludf.DUMMYFUNCTION("""COMPUTED_VALUE"""),7.0)</f>
        <v>7</v>
      </c>
      <c r="AF192" s="447">
        <f>IFERROR(__xludf.DUMMYFUNCTION("""COMPUTED_VALUE"""),2.0)</f>
        <v>2</v>
      </c>
      <c r="AG192" s="443" t="s">
        <v>127</v>
      </c>
      <c r="AH192" s="443" t="s">
        <v>343</v>
      </c>
      <c r="AI192" s="443"/>
      <c r="AJ192" s="443"/>
      <c r="AK192" s="443"/>
      <c r="AL192" s="443"/>
      <c r="AM192" s="443"/>
      <c r="AN192" s="443"/>
      <c r="AO192" s="443"/>
      <c r="AP192" s="443"/>
      <c r="AQ192" s="443"/>
      <c r="AR192" s="443"/>
      <c r="AS192" s="443"/>
      <c r="AT192" s="443"/>
      <c r="AU192" s="443"/>
      <c r="AV192" s="443"/>
      <c r="AW192" s="443"/>
      <c r="AX192" s="443"/>
      <c r="AY192" s="443"/>
      <c r="AZ192" s="443"/>
      <c r="BA192" s="443"/>
      <c r="BB192" s="443"/>
      <c r="BC192" s="443"/>
      <c r="BD192" s="443"/>
      <c r="BE192" s="443"/>
    </row>
    <row r="193" hidden="1">
      <c r="A193" s="445">
        <f t="shared" si="5"/>
        <v>45483</v>
      </c>
      <c r="B193" s="449">
        <v>552.0</v>
      </c>
      <c r="C193" s="462">
        <v>0.6</v>
      </c>
      <c r="D193" s="462">
        <v>1.0555555555555556</v>
      </c>
      <c r="E193" s="436">
        <f t="array" ref="E193">IF(B193=0,"",(J193+K193)/60)</f>
        <v>1.183333333</v>
      </c>
      <c r="F193" s="437">
        <f t="shared" si="1"/>
        <v>10.93333333</v>
      </c>
      <c r="G193" s="438">
        <f t="shared" si="2"/>
        <v>50.48780488</v>
      </c>
      <c r="H193" s="438">
        <f t="shared" si="3"/>
        <v>56.61538462</v>
      </c>
      <c r="I193" s="436">
        <f t="shared" si="4"/>
        <v>1.009756098</v>
      </c>
      <c r="J193" s="460">
        <v>60.0</v>
      </c>
      <c r="K193" s="460">
        <v>11.0</v>
      </c>
      <c r="L193" s="443"/>
      <c r="M193" s="447">
        <f>IFERROR(__xludf.DUMMYFUNCTION("""COMPUTED_VALUE"""),57.0)</f>
        <v>57</v>
      </c>
      <c r="N193" s="447">
        <f>IFERROR(__xludf.DUMMYFUNCTION("""COMPUTED_VALUE"""),55.0)</f>
        <v>55</v>
      </c>
      <c r="O193" s="447">
        <f>IFERROR(__xludf.DUMMYFUNCTION("""COMPUTED_VALUE"""),0.0)</f>
        <v>0</v>
      </c>
      <c r="P193" s="447">
        <f>IFERROR(__xludf.DUMMYFUNCTION("""COMPUTED_VALUE"""),0.0)</f>
        <v>0</v>
      </c>
      <c r="Q193" s="447">
        <f>IFERROR(__xludf.DUMMYFUNCTION("""COMPUTED_VALUE"""),0.0)</f>
        <v>0</v>
      </c>
      <c r="R193" s="447">
        <f>IFERROR(__xludf.DUMMYFUNCTION("""COMPUTED_VALUE"""),0.0)</f>
        <v>0</v>
      </c>
      <c r="S193" s="447">
        <f>IFERROR(__xludf.DUMMYFUNCTION("""COMPUTED_VALUE"""),1.0)</f>
        <v>1</v>
      </c>
      <c r="T193" s="447">
        <f>IFERROR(__xludf.DUMMYFUNCTION("""COMPUTED_VALUE"""),0.0)</f>
        <v>0</v>
      </c>
      <c r="U193" s="447">
        <f>IFERROR(__xludf.DUMMYFUNCTION("""COMPUTED_VALUE"""),1.0)</f>
        <v>1</v>
      </c>
      <c r="V193" s="447">
        <f>IFERROR(__xludf.DUMMYFUNCTION("""COMPUTED_VALUE"""),2.0)</f>
        <v>2</v>
      </c>
      <c r="W193" s="447">
        <f>IFERROR(__xludf.DUMMYFUNCTION("""COMPUTED_VALUE"""),1.0)</f>
        <v>1</v>
      </c>
      <c r="X193" s="447">
        <f>IFERROR(__xludf.DUMMYFUNCTION("""COMPUTED_VALUE"""),0.0)</f>
        <v>0</v>
      </c>
      <c r="Y193" s="447">
        <f>IFERROR(__xludf.DUMMYFUNCTION("""COMPUTED_VALUE"""),0.0)</f>
        <v>0</v>
      </c>
      <c r="Z193" s="447">
        <f>IFERROR(__xludf.DUMMYFUNCTION("""COMPUTED_VALUE"""),0.0)</f>
        <v>0</v>
      </c>
      <c r="AA193" s="447">
        <f>IFERROR(__xludf.DUMMYFUNCTION("""COMPUTED_VALUE"""),0.0)</f>
        <v>0</v>
      </c>
      <c r="AB193" s="447">
        <f>IFERROR(__xludf.DUMMYFUNCTION("""COMPUTED_VALUE"""),0.0)</f>
        <v>0</v>
      </c>
      <c r="AC193" s="447">
        <f>IFERROR(__xludf.DUMMYFUNCTION("""COMPUTED_VALUE"""),0.0)</f>
        <v>0</v>
      </c>
      <c r="AD193" s="447">
        <f>IFERROR(__xludf.DUMMYFUNCTION("""COMPUTED_VALUE"""),50.0)</f>
        <v>50</v>
      </c>
      <c r="AE193" s="447">
        <f>IFERROR(__xludf.DUMMYFUNCTION("""COMPUTED_VALUE"""),7.0)</f>
        <v>7</v>
      </c>
      <c r="AF193" s="447">
        <f>IFERROR(__xludf.DUMMYFUNCTION("""COMPUTED_VALUE"""),2.0)</f>
        <v>2</v>
      </c>
      <c r="AG193" s="443" t="s">
        <v>127</v>
      </c>
      <c r="AH193" s="443" t="s">
        <v>343</v>
      </c>
      <c r="AI193" s="443"/>
      <c r="AJ193" s="443"/>
      <c r="AK193" s="443"/>
      <c r="AL193" s="443"/>
      <c r="AM193" s="443"/>
      <c r="AN193" s="443"/>
      <c r="AO193" s="443"/>
      <c r="AP193" s="443"/>
      <c r="AQ193" s="443"/>
      <c r="AR193" s="443"/>
      <c r="AS193" s="443"/>
      <c r="AT193" s="443"/>
      <c r="AU193" s="443"/>
      <c r="AV193" s="443"/>
      <c r="AW193" s="443"/>
      <c r="AX193" s="443"/>
      <c r="AY193" s="443"/>
      <c r="AZ193" s="443"/>
      <c r="BA193" s="443"/>
      <c r="BB193" s="443"/>
      <c r="BC193" s="443"/>
      <c r="BD193" s="443"/>
      <c r="BE193" s="443"/>
    </row>
    <row r="194" hidden="1">
      <c r="A194" s="445">
        <f t="shared" si="5"/>
        <v>45484</v>
      </c>
      <c r="B194" s="449">
        <v>477.0</v>
      </c>
      <c r="C194" s="462">
        <v>0.6</v>
      </c>
      <c r="D194" s="462">
        <v>0.9833333333333333</v>
      </c>
      <c r="E194" s="436">
        <f t="array" ref="E194">IF(B194=0,"",(J194+K194)/60)</f>
        <v>0.5</v>
      </c>
      <c r="F194" s="437">
        <f t="shared" si="1"/>
        <v>9.2</v>
      </c>
      <c r="G194" s="438">
        <f t="shared" si="2"/>
        <v>51.84782609</v>
      </c>
      <c r="H194" s="438">
        <f t="shared" si="3"/>
        <v>54.82758621</v>
      </c>
      <c r="I194" s="436">
        <f t="shared" si="4"/>
        <v>1.127126654</v>
      </c>
      <c r="J194" s="460">
        <v>30.0</v>
      </c>
      <c r="K194" s="464"/>
      <c r="L194" s="443"/>
      <c r="M194" s="447">
        <f>IFERROR(__xludf.DUMMYFUNCTION("""COMPUTED_VALUE"""),57.0)</f>
        <v>57</v>
      </c>
      <c r="N194" s="447">
        <f>IFERROR(__xludf.DUMMYFUNCTION("""COMPUTED_VALUE"""),53.0)</f>
        <v>53</v>
      </c>
      <c r="O194" s="447">
        <f>IFERROR(__xludf.DUMMYFUNCTION("""COMPUTED_VALUE"""),0.0)</f>
        <v>0</v>
      </c>
      <c r="P194" s="447">
        <f>IFERROR(__xludf.DUMMYFUNCTION("""COMPUTED_VALUE"""),0.0)</f>
        <v>0</v>
      </c>
      <c r="Q194" s="447">
        <f>IFERROR(__xludf.DUMMYFUNCTION("""COMPUTED_VALUE"""),0.0)</f>
        <v>0</v>
      </c>
      <c r="R194" s="447">
        <f>IFERROR(__xludf.DUMMYFUNCTION("""COMPUTED_VALUE"""),0.0)</f>
        <v>0</v>
      </c>
      <c r="S194" s="447">
        <f>IFERROR(__xludf.DUMMYFUNCTION("""COMPUTED_VALUE"""),2.0)</f>
        <v>2</v>
      </c>
      <c r="T194" s="447">
        <f>IFERROR(__xludf.DUMMYFUNCTION("""COMPUTED_VALUE"""),0.0)</f>
        <v>0</v>
      </c>
      <c r="U194" s="447">
        <f>IFERROR(__xludf.DUMMYFUNCTION("""COMPUTED_VALUE"""),3.0)</f>
        <v>3</v>
      </c>
      <c r="V194" s="447">
        <f>IFERROR(__xludf.DUMMYFUNCTION("""COMPUTED_VALUE"""),2.0)</f>
        <v>2</v>
      </c>
      <c r="W194" s="447">
        <f>IFERROR(__xludf.DUMMYFUNCTION("""COMPUTED_VALUE"""),2.0)</f>
        <v>2</v>
      </c>
      <c r="X194" s="447">
        <f>IFERROR(__xludf.DUMMYFUNCTION("""COMPUTED_VALUE"""),0.0)</f>
        <v>0</v>
      </c>
      <c r="Y194" s="447">
        <f>IFERROR(__xludf.DUMMYFUNCTION("""COMPUTED_VALUE"""),0.0)</f>
        <v>0</v>
      </c>
      <c r="Z194" s="447">
        <f>IFERROR(__xludf.DUMMYFUNCTION("""COMPUTED_VALUE"""),0.0)</f>
        <v>0</v>
      </c>
      <c r="AA194" s="447">
        <f>IFERROR(__xludf.DUMMYFUNCTION("""COMPUTED_VALUE"""),0.0)</f>
        <v>0</v>
      </c>
      <c r="AB194" s="447">
        <f>IFERROR(__xludf.DUMMYFUNCTION("""COMPUTED_VALUE"""),0.0)</f>
        <v>0</v>
      </c>
      <c r="AC194" s="447">
        <f>IFERROR(__xludf.DUMMYFUNCTION("""COMPUTED_VALUE"""),0.0)</f>
        <v>0</v>
      </c>
      <c r="AD194" s="447">
        <f>IFERROR(__xludf.DUMMYFUNCTION("""COMPUTED_VALUE"""),46.0)</f>
        <v>46</v>
      </c>
      <c r="AE194" s="447">
        <f>IFERROR(__xludf.DUMMYFUNCTION("""COMPUTED_VALUE"""),11.0)</f>
        <v>11</v>
      </c>
      <c r="AF194" s="447">
        <f>IFERROR(__xludf.DUMMYFUNCTION("""COMPUTED_VALUE"""),4.0)</f>
        <v>4</v>
      </c>
      <c r="AG194" s="443" t="s">
        <v>127</v>
      </c>
      <c r="AH194" s="443" t="s">
        <v>343</v>
      </c>
      <c r="AI194" s="443"/>
      <c r="AJ194" s="443"/>
      <c r="AK194" s="443"/>
      <c r="AL194" s="443"/>
      <c r="AM194" s="443"/>
      <c r="AN194" s="443"/>
      <c r="AO194" s="443"/>
      <c r="AP194" s="443"/>
      <c r="AQ194" s="443"/>
      <c r="AR194" s="443"/>
      <c r="AS194" s="443"/>
      <c r="AT194" s="443"/>
      <c r="AU194" s="443"/>
      <c r="AV194" s="443"/>
      <c r="AW194" s="443"/>
      <c r="AX194" s="443"/>
      <c r="AY194" s="443"/>
      <c r="AZ194" s="443"/>
      <c r="BA194" s="443"/>
      <c r="BB194" s="443"/>
      <c r="BC194" s="443"/>
      <c r="BD194" s="443"/>
      <c r="BE194" s="443"/>
    </row>
    <row r="195" hidden="1">
      <c r="A195" s="445">
        <f t="shared" si="5"/>
        <v>45485</v>
      </c>
      <c r="B195" s="449">
        <v>438.0</v>
      </c>
      <c r="C195" s="462">
        <v>0.6</v>
      </c>
      <c r="D195" s="462">
        <v>0.95</v>
      </c>
      <c r="E195" s="436">
        <f t="array" ref="E195">IF(B195=0,"",(J195+K195)/60)</f>
        <v>0.5</v>
      </c>
      <c r="F195" s="437">
        <f t="shared" si="1"/>
        <v>8.4</v>
      </c>
      <c r="G195" s="438">
        <f t="shared" si="2"/>
        <v>52.14285714</v>
      </c>
      <c r="H195" s="438">
        <f t="shared" si="3"/>
        <v>55.44303797</v>
      </c>
      <c r="I195" s="436">
        <f t="shared" si="4"/>
        <v>1.158730159</v>
      </c>
      <c r="J195" s="460">
        <v>30.0</v>
      </c>
      <c r="K195" s="464"/>
      <c r="L195" s="443"/>
      <c r="M195" s="447">
        <f>IFERROR(__xludf.DUMMYFUNCTION("""COMPUTED_VALUE"""),57.0)</f>
        <v>57</v>
      </c>
      <c r="N195" s="447">
        <f>IFERROR(__xludf.DUMMYFUNCTION("""COMPUTED_VALUE"""),53.0)</f>
        <v>53</v>
      </c>
      <c r="O195" s="447">
        <f>IFERROR(__xludf.DUMMYFUNCTION("""COMPUTED_VALUE"""),0.0)</f>
        <v>0</v>
      </c>
      <c r="P195" s="447">
        <f>IFERROR(__xludf.DUMMYFUNCTION("""COMPUTED_VALUE"""),0.0)</f>
        <v>0</v>
      </c>
      <c r="Q195" s="447">
        <f>IFERROR(__xludf.DUMMYFUNCTION("""COMPUTED_VALUE"""),0.0)</f>
        <v>0</v>
      </c>
      <c r="R195" s="447">
        <f>IFERROR(__xludf.DUMMYFUNCTION("""COMPUTED_VALUE"""),0.0)</f>
        <v>0</v>
      </c>
      <c r="S195" s="447">
        <f>IFERROR(__xludf.DUMMYFUNCTION("""COMPUTED_VALUE"""),3.0)</f>
        <v>3</v>
      </c>
      <c r="T195" s="447">
        <f>IFERROR(__xludf.DUMMYFUNCTION("""COMPUTED_VALUE"""),0.0)</f>
        <v>0</v>
      </c>
      <c r="U195" s="447">
        <f>IFERROR(__xludf.DUMMYFUNCTION("""COMPUTED_VALUE"""),3.0)</f>
        <v>3</v>
      </c>
      <c r="V195" s="447">
        <f>IFERROR(__xludf.DUMMYFUNCTION("""COMPUTED_VALUE"""),3.0)</f>
        <v>3</v>
      </c>
      <c r="W195" s="447">
        <f>IFERROR(__xludf.DUMMYFUNCTION("""COMPUTED_VALUE"""),1.0)</f>
        <v>1</v>
      </c>
      <c r="X195" s="447">
        <f>IFERROR(__xludf.DUMMYFUNCTION("""COMPUTED_VALUE"""),0.0)</f>
        <v>0</v>
      </c>
      <c r="Y195" s="447">
        <f>IFERROR(__xludf.DUMMYFUNCTION("""COMPUTED_VALUE"""),0.0)</f>
        <v>0</v>
      </c>
      <c r="Z195" s="447">
        <f>IFERROR(__xludf.DUMMYFUNCTION("""COMPUTED_VALUE"""),0.0)</f>
        <v>0</v>
      </c>
      <c r="AA195" s="447">
        <f>IFERROR(__xludf.DUMMYFUNCTION("""COMPUTED_VALUE"""),0.0)</f>
        <v>0</v>
      </c>
      <c r="AB195" s="447">
        <f>IFERROR(__xludf.DUMMYFUNCTION("""COMPUTED_VALUE"""),0.0)</f>
        <v>0</v>
      </c>
      <c r="AC195" s="447">
        <f>IFERROR(__xludf.DUMMYFUNCTION("""COMPUTED_VALUE"""),0.0)</f>
        <v>0</v>
      </c>
      <c r="AD195" s="447">
        <f>IFERROR(__xludf.DUMMYFUNCTION("""COMPUTED_VALUE"""),45.0)</f>
        <v>45</v>
      </c>
      <c r="AE195" s="447">
        <f>IFERROR(__xludf.DUMMYFUNCTION("""COMPUTED_VALUE"""),12.0)</f>
        <v>12</v>
      </c>
      <c r="AF195" s="447">
        <f>IFERROR(__xludf.DUMMYFUNCTION("""COMPUTED_VALUE"""),4.0)</f>
        <v>4</v>
      </c>
      <c r="AG195" s="443" t="s">
        <v>127</v>
      </c>
      <c r="AH195" s="443" t="s">
        <v>343</v>
      </c>
      <c r="AI195" s="443"/>
      <c r="AJ195" s="443"/>
      <c r="AK195" s="443"/>
      <c r="AL195" s="443"/>
      <c r="AM195" s="443"/>
      <c r="AN195" s="443"/>
      <c r="AO195" s="443"/>
      <c r="AP195" s="443"/>
      <c r="AQ195" s="443"/>
      <c r="AR195" s="443"/>
      <c r="AS195" s="443"/>
      <c r="AT195" s="443"/>
      <c r="AU195" s="443"/>
      <c r="AV195" s="443"/>
      <c r="AW195" s="443"/>
      <c r="AX195" s="443"/>
      <c r="AY195" s="443"/>
      <c r="AZ195" s="443"/>
      <c r="BA195" s="443"/>
      <c r="BB195" s="443"/>
      <c r="BC195" s="443"/>
      <c r="BD195" s="443"/>
      <c r="BE195" s="443"/>
    </row>
    <row r="196" hidden="1">
      <c r="A196" s="445">
        <f t="shared" si="5"/>
        <v>45486</v>
      </c>
      <c r="B196" s="449">
        <v>383.0</v>
      </c>
      <c r="C196" s="462">
        <v>0.5166666666666667</v>
      </c>
      <c r="D196" s="462">
        <v>0.9055555555555556</v>
      </c>
      <c r="E196" s="436">
        <f t="array" ref="E196">IF(B196=0,"",(J196+K196)/60)</f>
        <v>0.5</v>
      </c>
      <c r="F196" s="437">
        <f t="shared" si="1"/>
        <v>9.333333333</v>
      </c>
      <c r="G196" s="438">
        <f t="shared" si="2"/>
        <v>41.03571429</v>
      </c>
      <c r="H196" s="438">
        <f t="shared" si="3"/>
        <v>43.35849057</v>
      </c>
      <c r="I196" s="436">
        <f t="shared" si="4"/>
        <v>0.9326298701</v>
      </c>
      <c r="J196" s="460">
        <v>30.0</v>
      </c>
      <c r="K196" s="464"/>
      <c r="L196" s="443"/>
      <c r="M196" s="447">
        <f>IFERROR(__xludf.DUMMYFUNCTION("""COMPUTED_VALUE"""),57.0)</f>
        <v>57</v>
      </c>
      <c r="N196" s="447">
        <f>IFERROR(__xludf.DUMMYFUNCTION("""COMPUTED_VALUE"""),52.0)</f>
        <v>52</v>
      </c>
      <c r="O196" s="447">
        <f>IFERROR(__xludf.DUMMYFUNCTION("""COMPUTED_VALUE"""),0.0)</f>
        <v>0</v>
      </c>
      <c r="P196" s="447">
        <f>IFERROR(__xludf.DUMMYFUNCTION("""COMPUTED_VALUE"""),0.0)</f>
        <v>0</v>
      </c>
      <c r="Q196" s="447">
        <f>IFERROR(__xludf.DUMMYFUNCTION("""COMPUTED_VALUE"""),1.0)</f>
        <v>1</v>
      </c>
      <c r="R196" s="447">
        <f>IFERROR(__xludf.DUMMYFUNCTION("""COMPUTED_VALUE"""),0.0)</f>
        <v>0</v>
      </c>
      <c r="S196" s="447">
        <f>IFERROR(__xludf.DUMMYFUNCTION("""COMPUTED_VALUE"""),3.0)</f>
        <v>3</v>
      </c>
      <c r="T196" s="447">
        <f>IFERROR(__xludf.DUMMYFUNCTION("""COMPUTED_VALUE"""),0.0)</f>
        <v>0</v>
      </c>
      <c r="U196" s="447">
        <f>IFERROR(__xludf.DUMMYFUNCTION("""COMPUTED_VALUE"""),4.0)</f>
        <v>4</v>
      </c>
      <c r="V196" s="447">
        <f>IFERROR(__xludf.DUMMYFUNCTION("""COMPUTED_VALUE"""),3.0)</f>
        <v>3</v>
      </c>
      <c r="W196" s="447">
        <f>IFERROR(__xludf.DUMMYFUNCTION("""COMPUTED_VALUE"""),0.0)</f>
        <v>0</v>
      </c>
      <c r="X196" s="447">
        <f>IFERROR(__xludf.DUMMYFUNCTION("""COMPUTED_VALUE"""),0.0)</f>
        <v>0</v>
      </c>
      <c r="Y196" s="447">
        <f>IFERROR(__xludf.DUMMYFUNCTION("""COMPUTED_VALUE"""),0.0)</f>
        <v>0</v>
      </c>
      <c r="Z196" s="447">
        <f>IFERROR(__xludf.DUMMYFUNCTION("""COMPUTED_VALUE"""),0.0)</f>
        <v>0</v>
      </c>
      <c r="AA196" s="447">
        <f>IFERROR(__xludf.DUMMYFUNCTION("""COMPUTED_VALUE"""),0.0)</f>
        <v>0</v>
      </c>
      <c r="AB196" s="447">
        <f>IFERROR(__xludf.DUMMYFUNCTION("""COMPUTED_VALUE"""),0.0)</f>
        <v>0</v>
      </c>
      <c r="AC196" s="447">
        <f>IFERROR(__xludf.DUMMYFUNCTION("""COMPUTED_VALUE"""),0.0)</f>
        <v>0</v>
      </c>
      <c r="AD196" s="447">
        <f>IFERROR(__xludf.DUMMYFUNCTION("""COMPUTED_VALUE"""),44.0)</f>
        <v>44</v>
      </c>
      <c r="AE196" s="447">
        <f>IFERROR(__xludf.DUMMYFUNCTION("""COMPUTED_VALUE"""),13.0)</f>
        <v>13</v>
      </c>
      <c r="AF196" s="447">
        <f>IFERROR(__xludf.DUMMYFUNCTION("""COMPUTED_VALUE"""),5.0)</f>
        <v>5</v>
      </c>
      <c r="AG196" s="443" t="s">
        <v>127</v>
      </c>
      <c r="AH196" s="443" t="s">
        <v>343</v>
      </c>
      <c r="AI196" s="443"/>
      <c r="AJ196" s="443"/>
      <c r="AK196" s="443"/>
      <c r="AL196" s="443"/>
      <c r="AM196" s="443"/>
      <c r="AN196" s="443"/>
      <c r="AO196" s="443"/>
      <c r="AP196" s="443"/>
      <c r="AQ196" s="443"/>
      <c r="AR196" s="443"/>
      <c r="AS196" s="443"/>
      <c r="AT196" s="443"/>
      <c r="AU196" s="443"/>
      <c r="AV196" s="443"/>
      <c r="AW196" s="443"/>
      <c r="AX196" s="443"/>
      <c r="AY196" s="443"/>
      <c r="AZ196" s="443"/>
      <c r="BA196" s="443"/>
      <c r="BB196" s="443"/>
      <c r="BC196" s="443"/>
      <c r="BD196" s="443"/>
      <c r="BE196" s="443"/>
    </row>
    <row r="197" hidden="1">
      <c r="A197" s="445">
        <f t="shared" si="5"/>
        <v>45487</v>
      </c>
      <c r="B197" s="449">
        <v>0.0</v>
      </c>
      <c r="C197" s="462"/>
      <c r="D197" s="462"/>
      <c r="E197" s="436" t="str">
        <f t="array" ref="E197">IF(B197=0,"",(J197+K197)/60)</f>
        <v/>
      </c>
      <c r="F197" s="437" t="str">
        <f t="shared" si="1"/>
        <v/>
      </c>
      <c r="G197" s="438" t="str">
        <f t="shared" si="2"/>
        <v/>
      </c>
      <c r="H197" s="438" t="str">
        <f t="shared" si="3"/>
        <v/>
      </c>
      <c r="I197" s="436" t="str">
        <f t="shared" si="4"/>
        <v/>
      </c>
      <c r="J197" s="460">
        <v>0.0</v>
      </c>
      <c r="K197" s="460"/>
      <c r="L197" s="443"/>
      <c r="M197" s="447">
        <f>IFERROR(__xludf.DUMMYFUNCTION("""COMPUTED_VALUE"""),57.0)</f>
        <v>57</v>
      </c>
      <c r="N197" s="447">
        <f>IFERROR(__xludf.DUMMYFUNCTION("""COMPUTED_VALUE"""),57.0)</f>
        <v>57</v>
      </c>
      <c r="O197" s="447">
        <f>IFERROR(__xludf.DUMMYFUNCTION("""COMPUTED_VALUE"""),0.0)</f>
        <v>0</v>
      </c>
      <c r="P197" s="447">
        <f>IFERROR(__xludf.DUMMYFUNCTION("""COMPUTED_VALUE"""),0.0)</f>
        <v>0</v>
      </c>
      <c r="Q197" s="447">
        <f>IFERROR(__xludf.DUMMYFUNCTION("""COMPUTED_VALUE"""),0.0)</f>
        <v>0</v>
      </c>
      <c r="R197" s="447">
        <f>IFERROR(__xludf.DUMMYFUNCTION("""COMPUTED_VALUE"""),0.0)</f>
        <v>0</v>
      </c>
      <c r="S197" s="447">
        <f>IFERROR(__xludf.DUMMYFUNCTION("""COMPUTED_VALUE"""),0.0)</f>
        <v>0</v>
      </c>
      <c r="T197" s="447">
        <f>IFERROR(__xludf.DUMMYFUNCTION("""COMPUTED_VALUE"""),0.0)</f>
        <v>0</v>
      </c>
      <c r="U197" s="447">
        <f>IFERROR(__xludf.DUMMYFUNCTION("""COMPUTED_VALUE"""),0.0)</f>
        <v>0</v>
      </c>
      <c r="V197" s="447">
        <f>IFERROR(__xludf.DUMMYFUNCTION("""COMPUTED_VALUE"""),0.0)</f>
        <v>0</v>
      </c>
      <c r="W197" s="447">
        <f>IFERROR(__xludf.DUMMYFUNCTION("""COMPUTED_VALUE"""),0.0)</f>
        <v>0</v>
      </c>
      <c r="X197" s="447">
        <f>IFERROR(__xludf.DUMMYFUNCTION("""COMPUTED_VALUE"""),0.0)</f>
        <v>0</v>
      </c>
      <c r="Y197" s="447">
        <f>IFERROR(__xludf.DUMMYFUNCTION("""COMPUTED_VALUE"""),0.0)</f>
        <v>0</v>
      </c>
      <c r="Z197" s="447">
        <f>IFERROR(__xludf.DUMMYFUNCTION("""COMPUTED_VALUE"""),0.0)</f>
        <v>0</v>
      </c>
      <c r="AA197" s="447">
        <f>IFERROR(__xludf.DUMMYFUNCTION("""COMPUTED_VALUE"""),0.0)</f>
        <v>0</v>
      </c>
      <c r="AB197" s="447">
        <f>IFERROR(__xludf.DUMMYFUNCTION("""COMPUTED_VALUE"""),0.0)</f>
        <v>0</v>
      </c>
      <c r="AC197" s="447">
        <f>IFERROR(__xludf.DUMMYFUNCTION("""COMPUTED_VALUE"""),0.0)</f>
        <v>0</v>
      </c>
      <c r="AD197" s="447">
        <f>IFERROR(__xludf.DUMMYFUNCTION("""COMPUTED_VALUE"""),0.0)</f>
        <v>0</v>
      </c>
      <c r="AE197" s="447">
        <f>IFERROR(__xludf.DUMMYFUNCTION("""COMPUTED_VALUE"""),0.0)</f>
        <v>0</v>
      </c>
      <c r="AF197" s="447">
        <f>IFERROR(__xludf.DUMMYFUNCTION("""COMPUTED_VALUE"""),0.0)</f>
        <v>0</v>
      </c>
      <c r="AG197" s="443" t="s">
        <v>127</v>
      </c>
      <c r="AH197" s="443" t="s">
        <v>343</v>
      </c>
      <c r="AI197" s="443"/>
      <c r="AJ197" s="443"/>
      <c r="AK197" s="443"/>
      <c r="AL197" s="443"/>
      <c r="AM197" s="443"/>
      <c r="AN197" s="443"/>
      <c r="AO197" s="443"/>
      <c r="AP197" s="443"/>
      <c r="AQ197" s="443"/>
      <c r="AR197" s="443"/>
      <c r="AS197" s="443"/>
      <c r="AT197" s="443"/>
      <c r="AU197" s="443"/>
      <c r="AV197" s="443"/>
      <c r="AW197" s="443"/>
      <c r="AX197" s="443"/>
      <c r="AY197" s="443"/>
      <c r="AZ197" s="443"/>
      <c r="BA197" s="443"/>
      <c r="BB197" s="443"/>
      <c r="BC197" s="443"/>
      <c r="BD197" s="443"/>
      <c r="BE197" s="443"/>
    </row>
    <row r="198" hidden="1">
      <c r="A198" s="445">
        <f t="shared" si="5"/>
        <v>45488</v>
      </c>
      <c r="B198" s="449">
        <v>363.0</v>
      </c>
      <c r="C198" s="462">
        <v>0.6</v>
      </c>
      <c r="D198" s="462">
        <v>0.925</v>
      </c>
      <c r="E198" s="436">
        <f t="array" ref="E198">IF(B198=0,"",(J198+K198)/60)</f>
        <v>0.75</v>
      </c>
      <c r="F198" s="437">
        <f t="shared" si="1"/>
        <v>7.8</v>
      </c>
      <c r="G198" s="438">
        <f t="shared" si="2"/>
        <v>46.53846154</v>
      </c>
      <c r="H198" s="438">
        <f t="shared" si="3"/>
        <v>51.4893617</v>
      </c>
      <c r="I198" s="436">
        <f t="shared" si="4"/>
        <v>1.034188034</v>
      </c>
      <c r="J198" s="460">
        <v>15.0</v>
      </c>
      <c r="K198" s="460">
        <v>30.0</v>
      </c>
      <c r="L198" s="443"/>
      <c r="M198" s="447">
        <f>IFERROR(__xludf.DUMMYFUNCTION("""COMPUTED_VALUE"""),57.0)</f>
        <v>57</v>
      </c>
      <c r="N198" s="447">
        <f>IFERROR(__xludf.DUMMYFUNCTION("""COMPUTED_VALUE"""),52.0)</f>
        <v>52</v>
      </c>
      <c r="O198" s="447">
        <f>IFERROR(__xludf.DUMMYFUNCTION("""COMPUTED_VALUE"""),0.0)</f>
        <v>0</v>
      </c>
      <c r="P198" s="447">
        <f>IFERROR(__xludf.DUMMYFUNCTION("""COMPUTED_VALUE"""),0.0)</f>
        <v>0</v>
      </c>
      <c r="Q198" s="447">
        <f>IFERROR(__xludf.DUMMYFUNCTION("""COMPUTED_VALUE"""),0.0)</f>
        <v>0</v>
      </c>
      <c r="R198" s="447">
        <f>IFERROR(__xludf.DUMMYFUNCTION("""COMPUTED_VALUE"""),0.0)</f>
        <v>0</v>
      </c>
      <c r="S198" s="447">
        <f>IFERROR(__xludf.DUMMYFUNCTION("""COMPUTED_VALUE"""),3.0)</f>
        <v>3</v>
      </c>
      <c r="T198" s="447">
        <f>IFERROR(__xludf.DUMMYFUNCTION("""COMPUTED_VALUE"""),0.0)</f>
        <v>0</v>
      </c>
      <c r="U198" s="447">
        <f>IFERROR(__xludf.DUMMYFUNCTION("""COMPUTED_VALUE"""),4.0)</f>
        <v>4</v>
      </c>
      <c r="V198" s="447">
        <f>IFERROR(__xludf.DUMMYFUNCTION("""COMPUTED_VALUE"""),3.0)</f>
        <v>3</v>
      </c>
      <c r="W198" s="447">
        <f>IFERROR(__xludf.DUMMYFUNCTION("""COMPUTED_VALUE"""),0.0)</f>
        <v>0</v>
      </c>
      <c r="X198" s="447">
        <f>IFERROR(__xludf.DUMMYFUNCTION("""COMPUTED_VALUE"""),0.0)</f>
        <v>0</v>
      </c>
      <c r="Y198" s="447">
        <f>IFERROR(__xludf.DUMMYFUNCTION("""COMPUTED_VALUE"""),0.0)</f>
        <v>0</v>
      </c>
      <c r="Z198" s="447">
        <f>IFERROR(__xludf.DUMMYFUNCTION("""COMPUTED_VALUE"""),0.0)</f>
        <v>0</v>
      </c>
      <c r="AA198" s="447">
        <f>IFERROR(__xludf.DUMMYFUNCTION("""COMPUTED_VALUE"""),0.0)</f>
        <v>0</v>
      </c>
      <c r="AB198" s="447">
        <f>IFERROR(__xludf.DUMMYFUNCTION("""COMPUTED_VALUE"""),0.0)</f>
        <v>0</v>
      </c>
      <c r="AC198" s="447">
        <f>IFERROR(__xludf.DUMMYFUNCTION("""COMPUTED_VALUE"""),0.0)</f>
        <v>0</v>
      </c>
      <c r="AD198" s="447">
        <f>IFERROR(__xludf.DUMMYFUNCTION("""COMPUTED_VALUE"""),45.0)</f>
        <v>45</v>
      </c>
      <c r="AE198" s="447">
        <f>IFERROR(__xludf.DUMMYFUNCTION("""COMPUTED_VALUE"""),12.0)</f>
        <v>12</v>
      </c>
      <c r="AF198" s="447">
        <f>IFERROR(__xludf.DUMMYFUNCTION("""COMPUTED_VALUE"""),5.0)</f>
        <v>5</v>
      </c>
      <c r="AG198" s="443" t="s">
        <v>127</v>
      </c>
      <c r="AH198" s="443" t="s">
        <v>343</v>
      </c>
      <c r="AI198" s="443"/>
      <c r="AJ198" s="443"/>
      <c r="AK198" s="443"/>
      <c r="AL198" s="443"/>
      <c r="AM198" s="443"/>
      <c r="AN198" s="443"/>
      <c r="AO198" s="443"/>
      <c r="AP198" s="443"/>
      <c r="AQ198" s="443"/>
      <c r="AR198" s="443"/>
      <c r="AS198" s="443"/>
      <c r="AT198" s="443"/>
      <c r="AU198" s="443"/>
      <c r="AV198" s="443"/>
      <c r="AW198" s="443"/>
      <c r="AX198" s="443"/>
      <c r="AY198" s="443"/>
      <c r="AZ198" s="443"/>
      <c r="BA198" s="443"/>
      <c r="BB198" s="443"/>
      <c r="BC198" s="443"/>
      <c r="BD198" s="443"/>
      <c r="BE198" s="443"/>
    </row>
    <row r="199" hidden="1">
      <c r="A199" s="445">
        <f t="shared" si="5"/>
        <v>45489</v>
      </c>
      <c r="B199" s="449">
        <v>494.0</v>
      </c>
      <c r="C199" s="462">
        <v>0.6</v>
      </c>
      <c r="D199" s="462">
        <v>0.9875</v>
      </c>
      <c r="E199" s="436">
        <f t="array" ref="E199">IF(B199=0,"",(J199+K199)/60)</f>
        <v>0.5</v>
      </c>
      <c r="F199" s="437">
        <f t="shared" si="1"/>
        <v>9.3</v>
      </c>
      <c r="G199" s="438">
        <f t="shared" si="2"/>
        <v>53.11827957</v>
      </c>
      <c r="H199" s="438">
        <f t="shared" si="3"/>
        <v>56.13636364</v>
      </c>
      <c r="I199" s="436">
        <f t="shared" si="4"/>
        <v>1.180406213</v>
      </c>
      <c r="J199" s="460">
        <v>30.0</v>
      </c>
      <c r="K199" s="464"/>
      <c r="L199" s="443"/>
      <c r="M199" s="447">
        <f>IFERROR(__xludf.DUMMYFUNCTION("""COMPUTED_VALUE"""),57.0)</f>
        <v>57</v>
      </c>
      <c r="N199" s="447">
        <f>IFERROR(__xludf.DUMMYFUNCTION("""COMPUTED_VALUE"""),52.0)</f>
        <v>52</v>
      </c>
      <c r="O199" s="447">
        <f>IFERROR(__xludf.DUMMYFUNCTION("""COMPUTED_VALUE"""),0.0)</f>
        <v>0</v>
      </c>
      <c r="P199" s="447">
        <f>IFERROR(__xludf.DUMMYFUNCTION("""COMPUTED_VALUE"""),0.0)</f>
        <v>0</v>
      </c>
      <c r="Q199" s="447">
        <f>IFERROR(__xludf.DUMMYFUNCTION("""COMPUTED_VALUE"""),1.0)</f>
        <v>1</v>
      </c>
      <c r="R199" s="447">
        <f>IFERROR(__xludf.DUMMYFUNCTION("""COMPUTED_VALUE"""),0.0)</f>
        <v>0</v>
      </c>
      <c r="S199" s="447">
        <f>IFERROR(__xludf.DUMMYFUNCTION("""COMPUTED_VALUE"""),3.0)</f>
        <v>3</v>
      </c>
      <c r="T199" s="447">
        <f>IFERROR(__xludf.DUMMYFUNCTION("""COMPUTED_VALUE"""),0.0)</f>
        <v>0</v>
      </c>
      <c r="U199" s="447">
        <f>IFERROR(__xludf.DUMMYFUNCTION("""COMPUTED_VALUE"""),4.0)</f>
        <v>4</v>
      </c>
      <c r="V199" s="447">
        <f>IFERROR(__xludf.DUMMYFUNCTION("""COMPUTED_VALUE"""),1.0)</f>
        <v>1</v>
      </c>
      <c r="W199" s="447">
        <f>IFERROR(__xludf.DUMMYFUNCTION("""COMPUTED_VALUE"""),0.0)</f>
        <v>0</v>
      </c>
      <c r="X199" s="447">
        <f>IFERROR(__xludf.DUMMYFUNCTION("""COMPUTED_VALUE"""),0.0)</f>
        <v>0</v>
      </c>
      <c r="Y199" s="447">
        <f>IFERROR(__xludf.DUMMYFUNCTION("""COMPUTED_VALUE"""),0.0)</f>
        <v>0</v>
      </c>
      <c r="Z199" s="447">
        <f>IFERROR(__xludf.DUMMYFUNCTION("""COMPUTED_VALUE"""),0.0)</f>
        <v>0</v>
      </c>
      <c r="AA199" s="447">
        <f>IFERROR(__xludf.DUMMYFUNCTION("""COMPUTED_VALUE"""),2.0)</f>
        <v>2</v>
      </c>
      <c r="AB199" s="447">
        <f>IFERROR(__xludf.DUMMYFUNCTION("""COMPUTED_VALUE"""),0.0)</f>
        <v>0</v>
      </c>
      <c r="AC199" s="447">
        <f>IFERROR(__xludf.DUMMYFUNCTION("""COMPUTED_VALUE"""),0.0)</f>
        <v>0</v>
      </c>
      <c r="AD199" s="447">
        <f>IFERROR(__xludf.DUMMYFUNCTION("""COMPUTED_VALUE"""),45.0)</f>
        <v>45</v>
      </c>
      <c r="AE199" s="447">
        <f>IFERROR(__xludf.DUMMYFUNCTION("""COMPUTED_VALUE"""),12.0)</f>
        <v>12</v>
      </c>
      <c r="AF199" s="447">
        <f>IFERROR(__xludf.DUMMYFUNCTION("""COMPUTED_VALUE"""),5.0)</f>
        <v>5</v>
      </c>
      <c r="AG199" s="443" t="s">
        <v>127</v>
      </c>
      <c r="AH199" s="443" t="s">
        <v>343</v>
      </c>
      <c r="AI199" s="443"/>
      <c r="AJ199" s="443"/>
      <c r="AK199" s="443"/>
      <c r="AL199" s="443"/>
      <c r="AM199" s="443"/>
      <c r="AN199" s="443"/>
      <c r="AO199" s="443"/>
      <c r="AP199" s="443"/>
      <c r="AQ199" s="443"/>
      <c r="AR199" s="443"/>
      <c r="AS199" s="443"/>
      <c r="AT199" s="443"/>
      <c r="AU199" s="443"/>
      <c r="AV199" s="443"/>
      <c r="AW199" s="443"/>
      <c r="AX199" s="443"/>
      <c r="AY199" s="443"/>
      <c r="AZ199" s="443"/>
      <c r="BA199" s="443"/>
      <c r="BB199" s="443"/>
      <c r="BC199" s="443"/>
      <c r="BD199" s="443"/>
      <c r="BE199" s="443"/>
    </row>
    <row r="200" hidden="1">
      <c r="A200" s="445">
        <f t="shared" si="5"/>
        <v>45490</v>
      </c>
      <c r="B200" s="449">
        <v>407.0</v>
      </c>
      <c r="C200" s="462">
        <v>0.6</v>
      </c>
      <c r="D200" s="462">
        <v>0.9208333333333333</v>
      </c>
      <c r="E200" s="436">
        <f t="array" ref="E200">IF(B200=0,"",(J200+K200)/60)</f>
        <v>0.5</v>
      </c>
      <c r="F200" s="437">
        <f t="shared" si="1"/>
        <v>7.7</v>
      </c>
      <c r="G200" s="438">
        <f t="shared" si="2"/>
        <v>52.85714286</v>
      </c>
      <c r="H200" s="438">
        <f t="shared" si="3"/>
        <v>56.52777778</v>
      </c>
      <c r="I200" s="436">
        <f t="shared" si="4"/>
        <v>1.201298701</v>
      </c>
      <c r="J200" s="460">
        <v>30.0</v>
      </c>
      <c r="K200" s="464"/>
      <c r="L200" s="443"/>
      <c r="M200" s="447">
        <f>IFERROR(__xludf.DUMMYFUNCTION("""COMPUTED_VALUE"""),57.0)</f>
        <v>57</v>
      </c>
      <c r="N200" s="447">
        <f>IFERROR(__xludf.DUMMYFUNCTION("""COMPUTED_VALUE"""),51.0)</f>
        <v>51</v>
      </c>
      <c r="O200" s="447">
        <f>IFERROR(__xludf.DUMMYFUNCTION("""COMPUTED_VALUE"""),0.0)</f>
        <v>0</v>
      </c>
      <c r="P200" s="447">
        <f>IFERROR(__xludf.DUMMYFUNCTION("""COMPUTED_VALUE"""),0.0)</f>
        <v>0</v>
      </c>
      <c r="Q200" s="447">
        <f>IFERROR(__xludf.DUMMYFUNCTION("""COMPUTED_VALUE"""),0.0)</f>
        <v>0</v>
      </c>
      <c r="R200" s="447">
        <f>IFERROR(__xludf.DUMMYFUNCTION("""COMPUTED_VALUE"""),0.0)</f>
        <v>0</v>
      </c>
      <c r="S200" s="447">
        <f>IFERROR(__xludf.DUMMYFUNCTION("""COMPUTED_VALUE"""),2.0)</f>
        <v>2</v>
      </c>
      <c r="T200" s="447">
        <f>IFERROR(__xludf.DUMMYFUNCTION("""COMPUTED_VALUE"""),1.0)</f>
        <v>1</v>
      </c>
      <c r="U200" s="447">
        <f>IFERROR(__xludf.DUMMYFUNCTION("""COMPUTED_VALUE"""),5.0)</f>
        <v>5</v>
      </c>
      <c r="V200" s="447">
        <f>IFERROR(__xludf.DUMMYFUNCTION("""COMPUTED_VALUE"""),4.0)</f>
        <v>4</v>
      </c>
      <c r="W200" s="447">
        <f>IFERROR(__xludf.DUMMYFUNCTION("""COMPUTED_VALUE"""),0.0)</f>
        <v>0</v>
      </c>
      <c r="X200" s="447">
        <f>IFERROR(__xludf.DUMMYFUNCTION("""COMPUTED_VALUE"""),0.0)</f>
        <v>0</v>
      </c>
      <c r="Y200" s="447">
        <f>IFERROR(__xludf.DUMMYFUNCTION("""COMPUTED_VALUE"""),0.0)</f>
        <v>0</v>
      </c>
      <c r="Z200" s="447">
        <f>IFERROR(__xludf.DUMMYFUNCTION("""COMPUTED_VALUE"""),0.0)</f>
        <v>0</v>
      </c>
      <c r="AA200" s="447">
        <f>IFERROR(__xludf.DUMMYFUNCTION("""COMPUTED_VALUE"""),0.0)</f>
        <v>0</v>
      </c>
      <c r="AB200" s="447">
        <f>IFERROR(__xludf.DUMMYFUNCTION("""COMPUTED_VALUE"""),0.0)</f>
        <v>0</v>
      </c>
      <c r="AC200" s="447">
        <f>IFERROR(__xludf.DUMMYFUNCTION("""COMPUTED_VALUE"""),0.0)</f>
        <v>0</v>
      </c>
      <c r="AD200" s="447">
        <f>IFERROR(__xludf.DUMMYFUNCTION("""COMPUTED_VALUE"""),44.0)</f>
        <v>44</v>
      </c>
      <c r="AE200" s="447">
        <f>IFERROR(__xludf.DUMMYFUNCTION("""COMPUTED_VALUE"""),13.0)</f>
        <v>13</v>
      </c>
      <c r="AF200" s="447">
        <f>IFERROR(__xludf.DUMMYFUNCTION("""COMPUTED_VALUE"""),6.0)</f>
        <v>6</v>
      </c>
      <c r="AG200" s="443" t="s">
        <v>127</v>
      </c>
      <c r="AH200" s="443" t="s">
        <v>343</v>
      </c>
      <c r="AI200" s="443"/>
      <c r="AJ200" s="443"/>
      <c r="AK200" s="443"/>
      <c r="AL200" s="443"/>
      <c r="AM200" s="443"/>
      <c r="AN200" s="443"/>
      <c r="AO200" s="443"/>
      <c r="AP200" s="443"/>
      <c r="AQ200" s="443"/>
      <c r="AR200" s="443"/>
      <c r="AS200" s="443"/>
      <c r="AT200" s="443"/>
      <c r="AU200" s="443"/>
      <c r="AV200" s="443"/>
      <c r="AW200" s="443"/>
      <c r="AX200" s="443"/>
      <c r="AY200" s="443"/>
      <c r="AZ200" s="443"/>
      <c r="BA200" s="443"/>
      <c r="BB200" s="443"/>
      <c r="BC200" s="443"/>
      <c r="BD200" s="443"/>
      <c r="BE200" s="443"/>
    </row>
    <row r="201" hidden="1">
      <c r="A201" s="445">
        <f t="shared" si="5"/>
        <v>45491</v>
      </c>
      <c r="B201" s="449">
        <v>534.0</v>
      </c>
      <c r="C201" s="462">
        <v>0.6</v>
      </c>
      <c r="D201" s="462">
        <v>1.0354166666666667</v>
      </c>
      <c r="E201" s="436">
        <f t="array" ref="E201">IF(B201=0,"",(J201+K201)/60)</f>
        <v>0.5</v>
      </c>
      <c r="F201" s="437">
        <f t="shared" si="1"/>
        <v>10.45</v>
      </c>
      <c r="G201" s="438">
        <f t="shared" si="2"/>
        <v>51.10047847</v>
      </c>
      <c r="H201" s="438">
        <f t="shared" si="3"/>
        <v>53.66834171</v>
      </c>
      <c r="I201" s="436">
        <f t="shared" si="4"/>
        <v>1.18838322</v>
      </c>
      <c r="J201" s="460">
        <v>30.0</v>
      </c>
      <c r="K201" s="464"/>
      <c r="L201" s="443"/>
      <c r="M201" s="447">
        <f>IFERROR(__xludf.DUMMYFUNCTION("""COMPUTED_VALUE"""),57.0)</f>
        <v>57</v>
      </c>
      <c r="N201" s="447">
        <f>IFERROR(__xludf.DUMMYFUNCTION("""COMPUTED_VALUE"""),51.0)</f>
        <v>51</v>
      </c>
      <c r="O201" s="447">
        <f>IFERROR(__xludf.DUMMYFUNCTION("""COMPUTED_VALUE"""),0.0)</f>
        <v>0</v>
      </c>
      <c r="P201" s="447">
        <f>IFERROR(__xludf.DUMMYFUNCTION("""COMPUTED_VALUE"""),0.0)</f>
        <v>0</v>
      </c>
      <c r="Q201" s="447">
        <f>IFERROR(__xludf.DUMMYFUNCTION("""COMPUTED_VALUE"""),0.0)</f>
        <v>0</v>
      </c>
      <c r="R201" s="447">
        <f>IFERROR(__xludf.DUMMYFUNCTION("""COMPUTED_VALUE"""),0.0)</f>
        <v>0</v>
      </c>
      <c r="S201" s="447">
        <f>IFERROR(__xludf.DUMMYFUNCTION("""COMPUTED_VALUE"""),3.0)</f>
        <v>3</v>
      </c>
      <c r="T201" s="447">
        <f>IFERROR(__xludf.DUMMYFUNCTION("""COMPUTED_VALUE"""),1.0)</f>
        <v>1</v>
      </c>
      <c r="U201" s="447">
        <f>IFERROR(__xludf.DUMMYFUNCTION("""COMPUTED_VALUE"""),5.0)</f>
        <v>5</v>
      </c>
      <c r="V201" s="447">
        <f>IFERROR(__xludf.DUMMYFUNCTION("""COMPUTED_VALUE"""),4.0)</f>
        <v>4</v>
      </c>
      <c r="W201" s="447">
        <f>IFERROR(__xludf.DUMMYFUNCTION("""COMPUTED_VALUE"""),0.0)</f>
        <v>0</v>
      </c>
      <c r="X201" s="447">
        <f>IFERROR(__xludf.DUMMYFUNCTION("""COMPUTED_VALUE"""),0.0)</f>
        <v>0</v>
      </c>
      <c r="Y201" s="447">
        <f>IFERROR(__xludf.DUMMYFUNCTION("""COMPUTED_VALUE"""),0.0)</f>
        <v>0</v>
      </c>
      <c r="Z201" s="447">
        <f>IFERROR(__xludf.DUMMYFUNCTION("""COMPUTED_VALUE"""),0.0)</f>
        <v>0</v>
      </c>
      <c r="AA201" s="447">
        <f>IFERROR(__xludf.DUMMYFUNCTION("""COMPUTED_VALUE"""),0.0)</f>
        <v>0</v>
      </c>
      <c r="AB201" s="447">
        <f>IFERROR(__xludf.DUMMYFUNCTION("""COMPUTED_VALUE"""),0.0)</f>
        <v>0</v>
      </c>
      <c r="AC201" s="447">
        <f>IFERROR(__xludf.DUMMYFUNCTION("""COMPUTED_VALUE"""),0.0)</f>
        <v>0</v>
      </c>
      <c r="AD201" s="447">
        <f>IFERROR(__xludf.DUMMYFUNCTION("""COMPUTED_VALUE"""),43.0)</f>
        <v>43</v>
      </c>
      <c r="AE201" s="447">
        <f>IFERROR(__xludf.DUMMYFUNCTION("""COMPUTED_VALUE"""),14.0)</f>
        <v>14</v>
      </c>
      <c r="AF201" s="447">
        <f>IFERROR(__xludf.DUMMYFUNCTION("""COMPUTED_VALUE"""),6.0)</f>
        <v>6</v>
      </c>
      <c r="AG201" s="443" t="s">
        <v>127</v>
      </c>
      <c r="AH201" s="443" t="s">
        <v>343</v>
      </c>
      <c r="AI201" s="443"/>
      <c r="AJ201" s="443"/>
      <c r="AK201" s="443"/>
      <c r="AL201" s="443"/>
      <c r="AM201" s="443"/>
      <c r="AN201" s="443"/>
      <c r="AO201" s="443"/>
      <c r="AP201" s="443"/>
      <c r="AQ201" s="443"/>
      <c r="AR201" s="443"/>
      <c r="AS201" s="443"/>
      <c r="AT201" s="443"/>
      <c r="AU201" s="443"/>
      <c r="AV201" s="443"/>
      <c r="AW201" s="443"/>
      <c r="AX201" s="443"/>
      <c r="AY201" s="443"/>
      <c r="AZ201" s="443"/>
      <c r="BA201" s="443"/>
      <c r="BB201" s="443"/>
      <c r="BC201" s="443"/>
      <c r="BD201" s="443"/>
      <c r="BE201" s="443"/>
    </row>
    <row r="202" hidden="1">
      <c r="A202" s="445">
        <f t="shared" si="5"/>
        <v>45492</v>
      </c>
      <c r="B202" s="449">
        <v>356.0</v>
      </c>
      <c r="C202" s="462">
        <v>0.6</v>
      </c>
      <c r="D202" s="462">
        <v>0.91875</v>
      </c>
      <c r="E202" s="436">
        <f t="array" ref="E202">IF(B202=0,"",(J202+K202)/60)</f>
        <v>0.5</v>
      </c>
      <c r="F202" s="437">
        <f t="shared" si="1"/>
        <v>7.65</v>
      </c>
      <c r="G202" s="438">
        <f t="shared" si="2"/>
        <v>46.53594771</v>
      </c>
      <c r="H202" s="438">
        <f t="shared" si="3"/>
        <v>49.79020979</v>
      </c>
      <c r="I202" s="436">
        <f t="shared" si="4"/>
        <v>1.107998755</v>
      </c>
      <c r="J202" s="460">
        <v>30.0</v>
      </c>
      <c r="K202" s="464"/>
      <c r="L202" s="443"/>
      <c r="M202" s="447">
        <f>IFERROR(__xludf.DUMMYFUNCTION("""COMPUTED_VALUE"""),57.0)</f>
        <v>57</v>
      </c>
      <c r="N202" s="447">
        <f>IFERROR(__xludf.DUMMYFUNCTION("""COMPUTED_VALUE"""),51.0)</f>
        <v>51</v>
      </c>
      <c r="O202" s="447">
        <f>IFERROR(__xludf.DUMMYFUNCTION("""COMPUTED_VALUE"""),0.0)</f>
        <v>0</v>
      </c>
      <c r="P202" s="447">
        <f>IFERROR(__xludf.DUMMYFUNCTION("""COMPUTED_VALUE"""),0.0)</f>
        <v>0</v>
      </c>
      <c r="Q202" s="447">
        <f>IFERROR(__xludf.DUMMYFUNCTION("""COMPUTED_VALUE"""),0.0)</f>
        <v>0</v>
      </c>
      <c r="R202" s="447">
        <f>IFERROR(__xludf.DUMMYFUNCTION("""COMPUTED_VALUE"""),0.0)</f>
        <v>0</v>
      </c>
      <c r="S202" s="447">
        <f>IFERROR(__xludf.DUMMYFUNCTION("""COMPUTED_VALUE"""),5.0)</f>
        <v>5</v>
      </c>
      <c r="T202" s="447">
        <f>IFERROR(__xludf.DUMMYFUNCTION("""COMPUTED_VALUE"""),0.0)</f>
        <v>0</v>
      </c>
      <c r="U202" s="447">
        <f>IFERROR(__xludf.DUMMYFUNCTION("""COMPUTED_VALUE"""),5.0)</f>
        <v>5</v>
      </c>
      <c r="V202" s="447">
        <f>IFERROR(__xludf.DUMMYFUNCTION("""COMPUTED_VALUE"""),4.0)</f>
        <v>4</v>
      </c>
      <c r="W202" s="447">
        <f>IFERROR(__xludf.DUMMYFUNCTION("""COMPUTED_VALUE"""),0.0)</f>
        <v>0</v>
      </c>
      <c r="X202" s="447">
        <f>IFERROR(__xludf.DUMMYFUNCTION("""COMPUTED_VALUE"""),0.0)</f>
        <v>0</v>
      </c>
      <c r="Y202" s="447">
        <f>IFERROR(__xludf.DUMMYFUNCTION("""COMPUTED_VALUE"""),0.0)</f>
        <v>0</v>
      </c>
      <c r="Z202" s="447">
        <f>IFERROR(__xludf.DUMMYFUNCTION("""COMPUTED_VALUE"""),0.0)</f>
        <v>0</v>
      </c>
      <c r="AA202" s="447">
        <f>IFERROR(__xludf.DUMMYFUNCTION("""COMPUTED_VALUE"""),0.0)</f>
        <v>0</v>
      </c>
      <c r="AB202" s="447">
        <f>IFERROR(__xludf.DUMMYFUNCTION("""COMPUTED_VALUE"""),0.0)</f>
        <v>0</v>
      </c>
      <c r="AC202" s="447">
        <f>IFERROR(__xludf.DUMMYFUNCTION("""COMPUTED_VALUE"""),0.0)</f>
        <v>0</v>
      </c>
      <c r="AD202" s="447">
        <f>IFERROR(__xludf.DUMMYFUNCTION("""COMPUTED_VALUE"""),42.0)</f>
        <v>42</v>
      </c>
      <c r="AE202" s="447">
        <f>IFERROR(__xludf.DUMMYFUNCTION("""COMPUTED_VALUE"""),15.0)</f>
        <v>15</v>
      </c>
      <c r="AF202" s="447">
        <f>IFERROR(__xludf.DUMMYFUNCTION("""COMPUTED_VALUE"""),6.0)</f>
        <v>6</v>
      </c>
      <c r="AG202" s="443" t="s">
        <v>127</v>
      </c>
      <c r="AH202" s="443" t="s">
        <v>343</v>
      </c>
      <c r="AI202" s="443"/>
      <c r="AJ202" s="443"/>
      <c r="AK202" s="443"/>
      <c r="AL202" s="443"/>
      <c r="AM202" s="443"/>
      <c r="AN202" s="443"/>
      <c r="AO202" s="443"/>
      <c r="AP202" s="443"/>
      <c r="AQ202" s="443"/>
      <c r="AR202" s="443"/>
      <c r="AS202" s="443"/>
      <c r="AT202" s="443"/>
      <c r="AU202" s="443"/>
      <c r="AV202" s="443"/>
      <c r="AW202" s="443"/>
      <c r="AX202" s="443"/>
      <c r="AY202" s="443"/>
      <c r="AZ202" s="443"/>
      <c r="BA202" s="443"/>
      <c r="BB202" s="443"/>
      <c r="BC202" s="443"/>
      <c r="BD202" s="443"/>
      <c r="BE202" s="443"/>
    </row>
    <row r="203" hidden="1">
      <c r="A203" s="445">
        <f t="shared" si="5"/>
        <v>45493</v>
      </c>
      <c r="B203" s="449">
        <v>277.0</v>
      </c>
      <c r="C203" s="462">
        <v>0.5166666666666667</v>
      </c>
      <c r="D203" s="462">
        <v>0.73125</v>
      </c>
      <c r="E203" s="436">
        <f t="array" ref="E203">IF(B203=0,"",(J203+K203)/60)</f>
        <v>0</v>
      </c>
      <c r="F203" s="437">
        <f t="shared" si="1"/>
        <v>5.15</v>
      </c>
      <c r="G203" s="438">
        <f t="shared" si="2"/>
        <v>53.78640777</v>
      </c>
      <c r="H203" s="438">
        <f t="shared" si="3"/>
        <v>53.78640777</v>
      </c>
      <c r="I203" s="436">
        <f t="shared" si="4"/>
        <v>1.222418358</v>
      </c>
      <c r="J203" s="460">
        <v>0.0</v>
      </c>
      <c r="K203" s="464"/>
      <c r="L203" s="443"/>
      <c r="M203" s="447">
        <f>IFERROR(__xludf.DUMMYFUNCTION("""COMPUTED_VALUE"""),57.0)</f>
        <v>57</v>
      </c>
      <c r="N203" s="447">
        <f>IFERROR(__xludf.DUMMYFUNCTION("""COMPUTED_VALUE"""),51.0)</f>
        <v>51</v>
      </c>
      <c r="O203" s="447">
        <f>IFERROR(__xludf.DUMMYFUNCTION("""COMPUTED_VALUE"""),0.0)</f>
        <v>0</v>
      </c>
      <c r="P203" s="447">
        <f>IFERROR(__xludf.DUMMYFUNCTION("""COMPUTED_VALUE"""),0.0)</f>
        <v>0</v>
      </c>
      <c r="Q203" s="447">
        <f>IFERROR(__xludf.DUMMYFUNCTION("""COMPUTED_VALUE"""),0.0)</f>
        <v>0</v>
      </c>
      <c r="R203" s="447">
        <f>IFERROR(__xludf.DUMMYFUNCTION("""COMPUTED_VALUE"""),0.0)</f>
        <v>0</v>
      </c>
      <c r="S203" s="447">
        <f>IFERROR(__xludf.DUMMYFUNCTION("""COMPUTED_VALUE"""),3.0)</f>
        <v>3</v>
      </c>
      <c r="T203" s="447">
        <f>IFERROR(__xludf.DUMMYFUNCTION("""COMPUTED_VALUE"""),0.0)</f>
        <v>0</v>
      </c>
      <c r="U203" s="447">
        <f>IFERROR(__xludf.DUMMYFUNCTION("""COMPUTED_VALUE"""),5.0)</f>
        <v>5</v>
      </c>
      <c r="V203" s="447">
        <f>IFERROR(__xludf.DUMMYFUNCTION("""COMPUTED_VALUE"""),4.0)</f>
        <v>4</v>
      </c>
      <c r="W203" s="447">
        <f>IFERROR(__xludf.DUMMYFUNCTION("""COMPUTED_VALUE"""),0.0)</f>
        <v>0</v>
      </c>
      <c r="X203" s="447">
        <f>IFERROR(__xludf.DUMMYFUNCTION("""COMPUTED_VALUE"""),0.0)</f>
        <v>0</v>
      </c>
      <c r="Y203" s="447">
        <f>IFERROR(__xludf.DUMMYFUNCTION("""COMPUTED_VALUE"""),0.0)</f>
        <v>0</v>
      </c>
      <c r="Z203" s="447">
        <f>IFERROR(__xludf.DUMMYFUNCTION("""COMPUTED_VALUE"""),0.0)</f>
        <v>0</v>
      </c>
      <c r="AA203" s="447">
        <f>IFERROR(__xludf.DUMMYFUNCTION("""COMPUTED_VALUE"""),0.0)</f>
        <v>0</v>
      </c>
      <c r="AB203" s="447">
        <f>IFERROR(__xludf.DUMMYFUNCTION("""COMPUTED_VALUE"""),0.0)</f>
        <v>0</v>
      </c>
      <c r="AC203" s="447">
        <f>IFERROR(__xludf.DUMMYFUNCTION("""COMPUTED_VALUE"""),0.0)</f>
        <v>0</v>
      </c>
      <c r="AD203" s="447">
        <f>IFERROR(__xludf.DUMMYFUNCTION("""COMPUTED_VALUE"""),44.0)</f>
        <v>44</v>
      </c>
      <c r="AE203" s="447">
        <f>IFERROR(__xludf.DUMMYFUNCTION("""COMPUTED_VALUE"""),13.0)</f>
        <v>13</v>
      </c>
      <c r="AF203" s="447">
        <f>IFERROR(__xludf.DUMMYFUNCTION("""COMPUTED_VALUE"""),6.0)</f>
        <v>6</v>
      </c>
      <c r="AG203" s="443" t="s">
        <v>127</v>
      </c>
      <c r="AH203" s="443" t="s">
        <v>343</v>
      </c>
      <c r="AI203" s="443"/>
      <c r="AJ203" s="443"/>
      <c r="AK203" s="443"/>
      <c r="AL203" s="443"/>
      <c r="AM203" s="443"/>
      <c r="AN203" s="443"/>
      <c r="AO203" s="443"/>
      <c r="AP203" s="443"/>
      <c r="AQ203" s="443"/>
      <c r="AR203" s="443"/>
      <c r="AS203" s="443"/>
      <c r="AT203" s="443"/>
      <c r="AU203" s="443"/>
      <c r="AV203" s="443"/>
      <c r="AW203" s="443"/>
      <c r="AX203" s="443"/>
      <c r="AY203" s="443"/>
      <c r="AZ203" s="443"/>
      <c r="BA203" s="443"/>
      <c r="BB203" s="443"/>
      <c r="BC203" s="443"/>
      <c r="BD203" s="443"/>
      <c r="BE203" s="443"/>
    </row>
    <row r="204" hidden="1">
      <c r="A204" s="445">
        <f t="shared" si="5"/>
        <v>45494</v>
      </c>
      <c r="B204" s="449">
        <v>0.0</v>
      </c>
      <c r="C204" s="443"/>
      <c r="D204" s="443"/>
      <c r="E204" s="436" t="str">
        <f t="array" ref="E204">IF(B204=0,"",(J204+K204)/60)</f>
        <v/>
      </c>
      <c r="F204" s="437" t="str">
        <f t="shared" si="1"/>
        <v/>
      </c>
      <c r="G204" s="438" t="str">
        <f t="shared" si="2"/>
        <v/>
      </c>
      <c r="H204" s="438" t="str">
        <f t="shared" si="3"/>
        <v/>
      </c>
      <c r="I204" s="436" t="str">
        <f t="shared" si="4"/>
        <v/>
      </c>
      <c r="J204" s="464"/>
      <c r="K204" s="464"/>
      <c r="L204" s="443"/>
      <c r="M204" s="447">
        <f>IFERROR(__xludf.DUMMYFUNCTION("""COMPUTED_VALUE"""),57.0)</f>
        <v>57</v>
      </c>
      <c r="N204" s="447">
        <f>IFERROR(__xludf.DUMMYFUNCTION("""COMPUTED_VALUE"""),57.0)</f>
        <v>57</v>
      </c>
      <c r="O204" s="447">
        <f>IFERROR(__xludf.DUMMYFUNCTION("""COMPUTED_VALUE"""),0.0)</f>
        <v>0</v>
      </c>
      <c r="P204" s="447">
        <f>IFERROR(__xludf.DUMMYFUNCTION("""COMPUTED_VALUE"""),0.0)</f>
        <v>0</v>
      </c>
      <c r="Q204" s="447">
        <f>IFERROR(__xludf.DUMMYFUNCTION("""COMPUTED_VALUE"""),0.0)</f>
        <v>0</v>
      </c>
      <c r="R204" s="447">
        <f>IFERROR(__xludf.DUMMYFUNCTION("""COMPUTED_VALUE"""),0.0)</f>
        <v>0</v>
      </c>
      <c r="S204" s="447">
        <f>IFERROR(__xludf.DUMMYFUNCTION("""COMPUTED_VALUE"""),0.0)</f>
        <v>0</v>
      </c>
      <c r="T204" s="447">
        <f>IFERROR(__xludf.DUMMYFUNCTION("""COMPUTED_VALUE"""),0.0)</f>
        <v>0</v>
      </c>
      <c r="U204" s="447">
        <f>IFERROR(__xludf.DUMMYFUNCTION("""COMPUTED_VALUE"""),0.0)</f>
        <v>0</v>
      </c>
      <c r="V204" s="447">
        <f>IFERROR(__xludf.DUMMYFUNCTION("""COMPUTED_VALUE"""),0.0)</f>
        <v>0</v>
      </c>
      <c r="W204" s="447">
        <f>IFERROR(__xludf.DUMMYFUNCTION("""COMPUTED_VALUE"""),0.0)</f>
        <v>0</v>
      </c>
      <c r="X204" s="447">
        <f>IFERROR(__xludf.DUMMYFUNCTION("""COMPUTED_VALUE"""),0.0)</f>
        <v>0</v>
      </c>
      <c r="Y204" s="447">
        <f>IFERROR(__xludf.DUMMYFUNCTION("""COMPUTED_VALUE"""),0.0)</f>
        <v>0</v>
      </c>
      <c r="Z204" s="447">
        <f>IFERROR(__xludf.DUMMYFUNCTION("""COMPUTED_VALUE"""),0.0)</f>
        <v>0</v>
      </c>
      <c r="AA204" s="447">
        <f>IFERROR(__xludf.DUMMYFUNCTION("""COMPUTED_VALUE"""),0.0)</f>
        <v>0</v>
      </c>
      <c r="AB204" s="447">
        <f>IFERROR(__xludf.DUMMYFUNCTION("""COMPUTED_VALUE"""),0.0)</f>
        <v>0</v>
      </c>
      <c r="AC204" s="447">
        <f>IFERROR(__xludf.DUMMYFUNCTION("""COMPUTED_VALUE"""),0.0)</f>
        <v>0</v>
      </c>
      <c r="AD204" s="447">
        <f>IFERROR(__xludf.DUMMYFUNCTION("""COMPUTED_VALUE"""),0.0)</f>
        <v>0</v>
      </c>
      <c r="AE204" s="447">
        <f>IFERROR(__xludf.DUMMYFUNCTION("""COMPUTED_VALUE"""),0.0)</f>
        <v>0</v>
      </c>
      <c r="AF204" s="447">
        <f>IFERROR(__xludf.DUMMYFUNCTION("""COMPUTED_VALUE"""),0.0)</f>
        <v>0</v>
      </c>
      <c r="AG204" s="443" t="s">
        <v>127</v>
      </c>
      <c r="AH204" s="443" t="s">
        <v>343</v>
      </c>
      <c r="AI204" s="443"/>
      <c r="AJ204" s="443"/>
      <c r="AK204" s="443"/>
      <c r="AL204" s="443"/>
      <c r="AM204" s="443"/>
      <c r="AN204" s="443"/>
      <c r="AO204" s="443"/>
      <c r="AP204" s="443"/>
      <c r="AQ204" s="443"/>
      <c r="AR204" s="443"/>
      <c r="AS204" s="443"/>
      <c r="AT204" s="443"/>
      <c r="AU204" s="443"/>
      <c r="AV204" s="443"/>
      <c r="AW204" s="443"/>
      <c r="AX204" s="443"/>
      <c r="AY204" s="443"/>
      <c r="AZ204" s="443"/>
      <c r="BA204" s="443"/>
      <c r="BB204" s="443"/>
      <c r="BC204" s="443"/>
      <c r="BD204" s="443"/>
      <c r="BE204" s="443"/>
    </row>
    <row r="205" hidden="1">
      <c r="A205" s="445">
        <f t="shared" si="5"/>
        <v>45495</v>
      </c>
      <c r="B205" s="449">
        <v>428.0</v>
      </c>
      <c r="C205" s="462">
        <v>0.5583333333333333</v>
      </c>
      <c r="D205" s="462">
        <v>0.9125</v>
      </c>
      <c r="E205" s="436">
        <f t="array" ref="E205">IF(B205=0,"",(J205+K205)/60)</f>
        <v>1</v>
      </c>
      <c r="F205" s="437">
        <f t="shared" si="1"/>
        <v>8.5</v>
      </c>
      <c r="G205" s="438">
        <f t="shared" si="2"/>
        <v>50.35294118</v>
      </c>
      <c r="H205" s="438">
        <f t="shared" si="3"/>
        <v>57.06666667</v>
      </c>
      <c r="I205" s="436">
        <f t="shared" si="4"/>
        <v>1.094629156</v>
      </c>
      <c r="J205" s="460">
        <v>30.0</v>
      </c>
      <c r="K205" s="460">
        <v>30.0</v>
      </c>
      <c r="L205" s="443"/>
      <c r="M205" s="447">
        <f>IFERROR(__xludf.DUMMYFUNCTION("""COMPUTED_VALUE"""),57.0)</f>
        <v>57</v>
      </c>
      <c r="N205" s="447">
        <f>IFERROR(__xludf.DUMMYFUNCTION("""COMPUTED_VALUE"""),51.0)</f>
        <v>51</v>
      </c>
      <c r="O205" s="447">
        <f>IFERROR(__xludf.DUMMYFUNCTION("""COMPUTED_VALUE"""),0.0)</f>
        <v>0</v>
      </c>
      <c r="P205" s="447">
        <f>IFERROR(__xludf.DUMMYFUNCTION("""COMPUTED_VALUE"""),0.0)</f>
        <v>0</v>
      </c>
      <c r="Q205" s="447">
        <f>IFERROR(__xludf.DUMMYFUNCTION("""COMPUTED_VALUE"""),0.0)</f>
        <v>0</v>
      </c>
      <c r="R205" s="447">
        <f>IFERROR(__xludf.DUMMYFUNCTION("""COMPUTED_VALUE"""),0.0)</f>
        <v>0</v>
      </c>
      <c r="S205" s="447">
        <f>IFERROR(__xludf.DUMMYFUNCTION("""COMPUTED_VALUE"""),0.0)</f>
        <v>0</v>
      </c>
      <c r="T205" s="447">
        <f>IFERROR(__xludf.DUMMYFUNCTION("""COMPUTED_VALUE"""),1.0)</f>
        <v>1</v>
      </c>
      <c r="U205" s="447">
        <f>IFERROR(__xludf.DUMMYFUNCTION("""COMPUTED_VALUE"""),5.0)</f>
        <v>5</v>
      </c>
      <c r="V205" s="447">
        <f>IFERROR(__xludf.DUMMYFUNCTION("""COMPUTED_VALUE"""),4.0)</f>
        <v>4</v>
      </c>
      <c r="W205" s="447">
        <f>IFERROR(__xludf.DUMMYFUNCTION("""COMPUTED_VALUE"""),0.0)</f>
        <v>0</v>
      </c>
      <c r="X205" s="447">
        <f>IFERROR(__xludf.DUMMYFUNCTION("""COMPUTED_VALUE"""),0.0)</f>
        <v>0</v>
      </c>
      <c r="Y205" s="447">
        <f>IFERROR(__xludf.DUMMYFUNCTION("""COMPUTED_VALUE"""),0.0)</f>
        <v>0</v>
      </c>
      <c r="Z205" s="447">
        <f>IFERROR(__xludf.DUMMYFUNCTION("""COMPUTED_VALUE"""),0.0)</f>
        <v>0</v>
      </c>
      <c r="AA205" s="447">
        <f>IFERROR(__xludf.DUMMYFUNCTION("""COMPUTED_VALUE"""),0.0)</f>
        <v>0</v>
      </c>
      <c r="AB205" s="447">
        <f>IFERROR(__xludf.DUMMYFUNCTION("""COMPUTED_VALUE"""),0.0)</f>
        <v>0</v>
      </c>
      <c r="AC205" s="447">
        <f>IFERROR(__xludf.DUMMYFUNCTION("""COMPUTED_VALUE"""),0.0)</f>
        <v>0</v>
      </c>
      <c r="AD205" s="447">
        <f>IFERROR(__xludf.DUMMYFUNCTION("""COMPUTED_VALUE"""),46.0)</f>
        <v>46</v>
      </c>
      <c r="AE205" s="447">
        <f>IFERROR(__xludf.DUMMYFUNCTION("""COMPUTED_VALUE"""),11.0)</f>
        <v>11</v>
      </c>
      <c r="AF205" s="447">
        <f>IFERROR(__xludf.DUMMYFUNCTION("""COMPUTED_VALUE"""),6.0)</f>
        <v>6</v>
      </c>
      <c r="AG205" s="443" t="s">
        <v>127</v>
      </c>
      <c r="AH205" s="443" t="s">
        <v>343</v>
      </c>
      <c r="AI205" s="443"/>
      <c r="AJ205" s="443"/>
      <c r="AK205" s="443"/>
      <c r="AL205" s="443"/>
      <c r="AM205" s="443"/>
      <c r="AN205" s="443"/>
      <c r="AO205" s="443"/>
      <c r="AP205" s="443"/>
      <c r="AQ205" s="443"/>
      <c r="AR205" s="443"/>
      <c r="AS205" s="443"/>
      <c r="AT205" s="443"/>
      <c r="AU205" s="443"/>
      <c r="AV205" s="443"/>
      <c r="AW205" s="443"/>
      <c r="AX205" s="443"/>
      <c r="AY205" s="443"/>
      <c r="AZ205" s="443"/>
      <c r="BA205" s="443"/>
      <c r="BB205" s="443"/>
      <c r="BC205" s="443"/>
      <c r="BD205" s="443"/>
      <c r="BE205" s="443"/>
    </row>
    <row r="206" hidden="1">
      <c r="A206" s="445">
        <f t="shared" si="5"/>
        <v>45496</v>
      </c>
      <c r="B206" s="449">
        <v>439.0</v>
      </c>
      <c r="C206" s="462">
        <v>0.6</v>
      </c>
      <c r="D206" s="462">
        <v>0.9597222222222223</v>
      </c>
      <c r="E206" s="436">
        <f t="array" ref="E206">IF(B206=0,"",(J206+K206)/60)</f>
        <v>0.5</v>
      </c>
      <c r="F206" s="437">
        <f t="shared" si="1"/>
        <v>8.633333333</v>
      </c>
      <c r="G206" s="438">
        <f t="shared" si="2"/>
        <v>50.84942085</v>
      </c>
      <c r="H206" s="438">
        <f t="shared" si="3"/>
        <v>53.97540984</v>
      </c>
      <c r="I206" s="436">
        <f t="shared" si="4"/>
        <v>1.182544671</v>
      </c>
      <c r="J206" s="460">
        <v>30.0</v>
      </c>
      <c r="K206" s="464"/>
      <c r="L206" s="443"/>
      <c r="M206" s="447">
        <f>IFERROR(__xludf.DUMMYFUNCTION("""COMPUTED_VALUE"""),57.0)</f>
        <v>57</v>
      </c>
      <c r="N206" s="447">
        <f>IFERROR(__xludf.DUMMYFUNCTION("""COMPUTED_VALUE"""),50.0)</f>
        <v>50</v>
      </c>
      <c r="O206" s="447">
        <f>IFERROR(__xludf.DUMMYFUNCTION("""COMPUTED_VALUE"""),0.0)</f>
        <v>0</v>
      </c>
      <c r="P206" s="447">
        <f>IFERROR(__xludf.DUMMYFUNCTION("""COMPUTED_VALUE"""),0.0)</f>
        <v>0</v>
      </c>
      <c r="Q206" s="447">
        <f>IFERROR(__xludf.DUMMYFUNCTION("""COMPUTED_VALUE"""),0.0)</f>
        <v>0</v>
      </c>
      <c r="R206" s="447">
        <f>IFERROR(__xludf.DUMMYFUNCTION("""COMPUTED_VALUE"""),0.0)</f>
        <v>0</v>
      </c>
      <c r="S206" s="447">
        <f>IFERROR(__xludf.DUMMYFUNCTION("""COMPUTED_VALUE"""),2.0)</f>
        <v>2</v>
      </c>
      <c r="T206" s="447">
        <f>IFERROR(__xludf.DUMMYFUNCTION("""COMPUTED_VALUE"""),0.0)</f>
        <v>0</v>
      </c>
      <c r="U206" s="447">
        <f>IFERROR(__xludf.DUMMYFUNCTION("""COMPUTED_VALUE"""),6.0)</f>
        <v>6</v>
      </c>
      <c r="V206" s="447">
        <f>IFERROR(__xludf.DUMMYFUNCTION("""COMPUTED_VALUE"""),4.0)</f>
        <v>4</v>
      </c>
      <c r="W206" s="447">
        <f>IFERROR(__xludf.DUMMYFUNCTION("""COMPUTED_VALUE"""),0.0)</f>
        <v>0</v>
      </c>
      <c r="X206" s="447">
        <f>IFERROR(__xludf.DUMMYFUNCTION("""COMPUTED_VALUE"""),0.0)</f>
        <v>0</v>
      </c>
      <c r="Y206" s="447">
        <f>IFERROR(__xludf.DUMMYFUNCTION("""COMPUTED_VALUE"""),1.0)</f>
        <v>1</v>
      </c>
      <c r="Z206" s="447">
        <f>IFERROR(__xludf.DUMMYFUNCTION("""COMPUTED_VALUE"""),0.0)</f>
        <v>0</v>
      </c>
      <c r="AA206" s="447">
        <f>IFERROR(__xludf.DUMMYFUNCTION("""COMPUTED_VALUE"""),0.0)</f>
        <v>0</v>
      </c>
      <c r="AB206" s="447">
        <f>IFERROR(__xludf.DUMMYFUNCTION("""COMPUTED_VALUE"""),0.0)</f>
        <v>0</v>
      </c>
      <c r="AC206" s="447">
        <f>IFERROR(__xludf.DUMMYFUNCTION("""COMPUTED_VALUE"""),0.0)</f>
        <v>0</v>
      </c>
      <c r="AD206" s="447">
        <f>IFERROR(__xludf.DUMMYFUNCTION("""COMPUTED_VALUE"""),43.0)</f>
        <v>43</v>
      </c>
      <c r="AE206" s="447">
        <f>IFERROR(__xludf.DUMMYFUNCTION("""COMPUTED_VALUE"""),14.0)</f>
        <v>14</v>
      </c>
      <c r="AF206" s="447">
        <f>IFERROR(__xludf.DUMMYFUNCTION("""COMPUTED_VALUE"""),7.0)</f>
        <v>7</v>
      </c>
      <c r="AG206" s="443" t="s">
        <v>127</v>
      </c>
      <c r="AH206" s="443" t="s">
        <v>343</v>
      </c>
      <c r="AI206" s="443"/>
      <c r="AJ206" s="443"/>
      <c r="AK206" s="443"/>
      <c r="AL206" s="443"/>
      <c r="AM206" s="443"/>
      <c r="AN206" s="443"/>
      <c r="AO206" s="443"/>
      <c r="AP206" s="443"/>
      <c r="AQ206" s="443"/>
      <c r="AR206" s="443"/>
      <c r="AS206" s="443"/>
      <c r="AT206" s="443"/>
      <c r="AU206" s="443"/>
      <c r="AV206" s="443"/>
      <c r="AW206" s="443"/>
      <c r="AX206" s="443"/>
      <c r="AY206" s="443"/>
      <c r="AZ206" s="443"/>
      <c r="BA206" s="443"/>
      <c r="BB206" s="443"/>
      <c r="BC206" s="443"/>
      <c r="BD206" s="443"/>
      <c r="BE206" s="443"/>
    </row>
    <row r="207" hidden="1">
      <c r="A207" s="445">
        <f t="shared" si="5"/>
        <v>45497</v>
      </c>
      <c r="B207" s="449">
        <v>473.0</v>
      </c>
      <c r="C207" s="462">
        <v>0.6</v>
      </c>
      <c r="D207" s="462">
        <v>0.9840277777777777</v>
      </c>
      <c r="E207" s="436">
        <f t="array" ref="E207">IF(B207=0,"",(J207+K207)/60)</f>
        <v>0.5</v>
      </c>
      <c r="F207" s="437">
        <f t="shared" si="1"/>
        <v>9.216666667</v>
      </c>
      <c r="G207" s="438">
        <f t="shared" si="2"/>
        <v>51.32007233</v>
      </c>
      <c r="H207" s="438">
        <f t="shared" si="3"/>
        <v>54.26386233</v>
      </c>
      <c r="I207" s="436">
        <f t="shared" si="4"/>
        <v>1.193490054</v>
      </c>
      <c r="J207" s="460">
        <v>30.0</v>
      </c>
      <c r="K207" s="464"/>
      <c r="L207" s="443"/>
      <c r="M207" s="447">
        <f>IFERROR(__xludf.DUMMYFUNCTION("""COMPUTED_VALUE"""),57.0)</f>
        <v>57</v>
      </c>
      <c r="N207" s="447">
        <f>IFERROR(__xludf.DUMMYFUNCTION("""COMPUTED_VALUE"""),54.0)</f>
        <v>54</v>
      </c>
      <c r="O207" s="447">
        <f>IFERROR(__xludf.DUMMYFUNCTION("""COMPUTED_VALUE"""),0.0)</f>
        <v>0</v>
      </c>
      <c r="P207" s="447">
        <f>IFERROR(__xludf.DUMMYFUNCTION("""COMPUTED_VALUE"""),0.0)</f>
        <v>0</v>
      </c>
      <c r="Q207" s="447">
        <f>IFERROR(__xludf.DUMMYFUNCTION("""COMPUTED_VALUE"""),0.0)</f>
        <v>0</v>
      </c>
      <c r="R207" s="447">
        <f>IFERROR(__xludf.DUMMYFUNCTION("""COMPUTED_VALUE"""),0.0)</f>
        <v>0</v>
      </c>
      <c r="S207" s="447">
        <f>IFERROR(__xludf.DUMMYFUNCTION("""COMPUTED_VALUE"""),2.0)</f>
        <v>2</v>
      </c>
      <c r="T207" s="447">
        <f>IFERROR(__xludf.DUMMYFUNCTION("""COMPUTED_VALUE"""),1.0)</f>
        <v>1</v>
      </c>
      <c r="U207" s="447">
        <f>IFERROR(__xludf.DUMMYFUNCTION("""COMPUTED_VALUE"""),2.0)</f>
        <v>2</v>
      </c>
      <c r="V207" s="447">
        <f>IFERROR(__xludf.DUMMYFUNCTION("""COMPUTED_VALUE"""),3.0)</f>
        <v>3</v>
      </c>
      <c r="W207" s="447">
        <f>IFERROR(__xludf.DUMMYFUNCTION("""COMPUTED_VALUE"""),0.0)</f>
        <v>0</v>
      </c>
      <c r="X207" s="447">
        <f>IFERROR(__xludf.DUMMYFUNCTION("""COMPUTED_VALUE"""),0.0)</f>
        <v>0</v>
      </c>
      <c r="Y207" s="447">
        <f>IFERROR(__xludf.DUMMYFUNCTION("""COMPUTED_VALUE"""),1.0)</f>
        <v>1</v>
      </c>
      <c r="Z207" s="447">
        <f>IFERROR(__xludf.DUMMYFUNCTION("""COMPUTED_VALUE"""),0.0)</f>
        <v>0</v>
      </c>
      <c r="AA207" s="447">
        <f>IFERROR(__xludf.DUMMYFUNCTION("""COMPUTED_VALUE"""),0.0)</f>
        <v>0</v>
      </c>
      <c r="AB207" s="447">
        <f>IFERROR(__xludf.DUMMYFUNCTION("""COMPUTED_VALUE"""),4.0)</f>
        <v>4</v>
      </c>
      <c r="AC207" s="447">
        <f>IFERROR(__xludf.DUMMYFUNCTION("""COMPUTED_VALUE"""),0.0)</f>
        <v>0</v>
      </c>
      <c r="AD207" s="447">
        <f>IFERROR(__xludf.DUMMYFUNCTION("""COMPUTED_VALUE"""),43.0)</f>
        <v>43</v>
      </c>
      <c r="AE207" s="447">
        <f>IFERROR(__xludf.DUMMYFUNCTION("""COMPUTED_VALUE"""),10.0)</f>
        <v>10</v>
      </c>
      <c r="AF207" s="447">
        <f>IFERROR(__xludf.DUMMYFUNCTION("""COMPUTED_VALUE"""),3.0)</f>
        <v>3</v>
      </c>
      <c r="AG207" s="443" t="s">
        <v>127</v>
      </c>
      <c r="AH207" s="443" t="s">
        <v>343</v>
      </c>
      <c r="AI207" s="443"/>
      <c r="AJ207" s="443"/>
      <c r="AK207" s="443"/>
      <c r="AL207" s="443"/>
      <c r="AM207" s="443"/>
      <c r="AN207" s="443"/>
      <c r="AO207" s="443"/>
      <c r="AP207" s="443"/>
      <c r="AQ207" s="443"/>
      <c r="AR207" s="443"/>
      <c r="AS207" s="443"/>
      <c r="AT207" s="443"/>
      <c r="AU207" s="443"/>
      <c r="AV207" s="443"/>
      <c r="AW207" s="443"/>
      <c r="AX207" s="443"/>
      <c r="AY207" s="443"/>
      <c r="AZ207" s="443"/>
      <c r="BA207" s="443"/>
      <c r="BB207" s="443"/>
      <c r="BC207" s="443"/>
      <c r="BD207" s="443"/>
      <c r="BE207" s="443"/>
    </row>
    <row r="208" hidden="1">
      <c r="A208" s="445">
        <f t="shared" si="5"/>
        <v>45498</v>
      </c>
      <c r="B208" s="449">
        <v>358.0</v>
      </c>
      <c r="C208" s="462">
        <v>0.6</v>
      </c>
      <c r="D208" s="462">
        <v>0.8930555555555556</v>
      </c>
      <c r="E208" s="436">
        <f t="array" ref="E208">IF(B208=0,"",(J208+K208)/60)</f>
        <v>1</v>
      </c>
      <c r="F208" s="437">
        <f t="shared" si="1"/>
        <v>7.033333333</v>
      </c>
      <c r="G208" s="438">
        <f t="shared" si="2"/>
        <v>50.90047393</v>
      </c>
      <c r="H208" s="438">
        <f t="shared" si="3"/>
        <v>59.33701657</v>
      </c>
      <c r="I208" s="436">
        <f t="shared" si="4"/>
        <v>1.038785182</v>
      </c>
      <c r="J208" s="460">
        <v>30.0</v>
      </c>
      <c r="K208" s="460">
        <v>30.0</v>
      </c>
      <c r="L208" s="443"/>
      <c r="M208" s="447">
        <f>IFERROR(__xludf.DUMMYFUNCTION("""COMPUTED_VALUE"""),57.0)</f>
        <v>57</v>
      </c>
      <c r="N208" s="447">
        <f>IFERROR(__xludf.DUMMYFUNCTION("""COMPUTED_VALUE"""),54.0)</f>
        <v>54</v>
      </c>
      <c r="O208" s="447">
        <f>IFERROR(__xludf.DUMMYFUNCTION("""COMPUTED_VALUE"""),0.0)</f>
        <v>0</v>
      </c>
      <c r="P208" s="447">
        <f>IFERROR(__xludf.DUMMYFUNCTION("""COMPUTED_VALUE"""),0.0)</f>
        <v>0</v>
      </c>
      <c r="Q208" s="447">
        <f>IFERROR(__xludf.DUMMYFUNCTION("""COMPUTED_VALUE"""),1.0)</f>
        <v>1</v>
      </c>
      <c r="R208" s="447">
        <f>IFERROR(__xludf.DUMMYFUNCTION("""COMPUTED_VALUE"""),0.0)</f>
        <v>0</v>
      </c>
      <c r="S208" s="447">
        <f>IFERROR(__xludf.DUMMYFUNCTION("""COMPUTED_VALUE"""),0.0)</f>
        <v>0</v>
      </c>
      <c r="T208" s="447">
        <f>IFERROR(__xludf.DUMMYFUNCTION("""COMPUTED_VALUE"""),0.0)</f>
        <v>0</v>
      </c>
      <c r="U208" s="447">
        <f>IFERROR(__xludf.DUMMYFUNCTION("""COMPUTED_VALUE"""),2.0)</f>
        <v>2</v>
      </c>
      <c r="V208" s="447">
        <f>IFERROR(__xludf.DUMMYFUNCTION("""COMPUTED_VALUE"""),4.0)</f>
        <v>4</v>
      </c>
      <c r="W208" s="447">
        <f>IFERROR(__xludf.DUMMYFUNCTION("""COMPUTED_VALUE"""),0.0)</f>
        <v>0</v>
      </c>
      <c r="X208" s="447">
        <f>IFERROR(__xludf.DUMMYFUNCTION("""COMPUTED_VALUE"""),0.0)</f>
        <v>0</v>
      </c>
      <c r="Y208" s="447">
        <f>IFERROR(__xludf.DUMMYFUNCTION("""COMPUTED_VALUE"""),1.0)</f>
        <v>1</v>
      </c>
      <c r="Z208" s="447">
        <f>IFERROR(__xludf.DUMMYFUNCTION("""COMPUTED_VALUE"""),0.0)</f>
        <v>0</v>
      </c>
      <c r="AA208" s="447">
        <f>IFERROR(__xludf.DUMMYFUNCTION("""COMPUTED_VALUE"""),0.0)</f>
        <v>0</v>
      </c>
      <c r="AB208" s="447">
        <f>IFERROR(__xludf.DUMMYFUNCTION("""COMPUTED_VALUE"""),0.0)</f>
        <v>0</v>
      </c>
      <c r="AC208" s="447">
        <f>IFERROR(__xludf.DUMMYFUNCTION("""COMPUTED_VALUE"""),0.0)</f>
        <v>0</v>
      </c>
      <c r="AD208" s="447">
        <f>IFERROR(__xludf.DUMMYFUNCTION("""COMPUTED_VALUE"""),49.0)</f>
        <v>49</v>
      </c>
      <c r="AE208" s="447">
        <f>IFERROR(__xludf.DUMMYFUNCTION("""COMPUTED_VALUE"""),9.0)</f>
        <v>9</v>
      </c>
      <c r="AF208" s="447">
        <f>IFERROR(__xludf.DUMMYFUNCTION("""COMPUTED_VALUE"""),3.0)</f>
        <v>3</v>
      </c>
      <c r="AG208" s="443" t="s">
        <v>127</v>
      </c>
      <c r="AH208" s="443" t="s">
        <v>343</v>
      </c>
      <c r="AI208" s="443"/>
      <c r="AJ208" s="443"/>
      <c r="AK208" s="443"/>
      <c r="AL208" s="443"/>
      <c r="AM208" s="443"/>
      <c r="AN208" s="443"/>
      <c r="AO208" s="443"/>
      <c r="AP208" s="443"/>
      <c r="AQ208" s="443"/>
      <c r="AR208" s="443"/>
      <c r="AS208" s="443"/>
      <c r="AT208" s="443"/>
      <c r="AU208" s="443"/>
      <c r="AV208" s="443"/>
      <c r="AW208" s="443"/>
      <c r="AX208" s="443"/>
      <c r="AY208" s="443"/>
      <c r="AZ208" s="443"/>
      <c r="BA208" s="443"/>
      <c r="BB208" s="443"/>
      <c r="BC208" s="443"/>
      <c r="BD208" s="443"/>
      <c r="BE208" s="443"/>
    </row>
    <row r="209" hidden="1">
      <c r="A209" s="445">
        <f t="shared" si="5"/>
        <v>45499</v>
      </c>
      <c r="B209" s="449">
        <v>423.0</v>
      </c>
      <c r="C209" s="462">
        <v>0.6</v>
      </c>
      <c r="D209" s="462">
        <v>0.9631944444444445</v>
      </c>
      <c r="E209" s="436">
        <f t="array" ref="E209">IF(B209=0,"",(J209+K209)/60)</f>
        <v>0.5</v>
      </c>
      <c r="F209" s="437">
        <f t="shared" si="1"/>
        <v>8.716666667</v>
      </c>
      <c r="G209" s="438">
        <f t="shared" si="2"/>
        <v>48.52772467</v>
      </c>
      <c r="H209" s="438">
        <f t="shared" si="3"/>
        <v>51.48073022</v>
      </c>
      <c r="I209" s="436">
        <f t="shared" si="4"/>
        <v>1.03250478</v>
      </c>
      <c r="J209" s="460">
        <v>30.0</v>
      </c>
      <c r="K209" s="460"/>
      <c r="L209" s="443"/>
      <c r="M209" s="447">
        <f>IFERROR(__xludf.DUMMYFUNCTION("""COMPUTED_VALUE"""),57.0)</f>
        <v>57</v>
      </c>
      <c r="N209" s="447">
        <f>IFERROR(__xludf.DUMMYFUNCTION("""COMPUTED_VALUE"""),53.0)</f>
        <v>53</v>
      </c>
      <c r="O209" s="447">
        <f>IFERROR(__xludf.DUMMYFUNCTION("""COMPUTED_VALUE"""),0.0)</f>
        <v>0</v>
      </c>
      <c r="P209" s="447">
        <f>IFERROR(__xludf.DUMMYFUNCTION("""COMPUTED_VALUE"""),0.0)</f>
        <v>0</v>
      </c>
      <c r="Q209" s="447">
        <f>IFERROR(__xludf.DUMMYFUNCTION("""COMPUTED_VALUE"""),0.0)</f>
        <v>0</v>
      </c>
      <c r="R209" s="447">
        <f>IFERROR(__xludf.DUMMYFUNCTION("""COMPUTED_VALUE"""),0.0)</f>
        <v>0</v>
      </c>
      <c r="S209" s="447">
        <f>IFERROR(__xludf.DUMMYFUNCTION("""COMPUTED_VALUE"""),2.0)</f>
        <v>2</v>
      </c>
      <c r="T209" s="447">
        <f>IFERROR(__xludf.DUMMYFUNCTION("""COMPUTED_VALUE"""),0.0)</f>
        <v>0</v>
      </c>
      <c r="U209" s="447">
        <f>IFERROR(__xludf.DUMMYFUNCTION("""COMPUTED_VALUE"""),3.0)</f>
        <v>3</v>
      </c>
      <c r="V209" s="447">
        <f>IFERROR(__xludf.DUMMYFUNCTION("""COMPUTED_VALUE"""),4.0)</f>
        <v>4</v>
      </c>
      <c r="W209" s="447">
        <f>IFERROR(__xludf.DUMMYFUNCTION("""COMPUTED_VALUE"""),0.0)</f>
        <v>0</v>
      </c>
      <c r="X209" s="447">
        <f>IFERROR(__xludf.DUMMYFUNCTION("""COMPUTED_VALUE"""),0.0)</f>
        <v>0</v>
      </c>
      <c r="Y209" s="447">
        <f>IFERROR(__xludf.DUMMYFUNCTION("""COMPUTED_VALUE"""),1.0)</f>
        <v>1</v>
      </c>
      <c r="Z209" s="447">
        <f>IFERROR(__xludf.DUMMYFUNCTION("""COMPUTED_VALUE"""),0.0)</f>
        <v>0</v>
      </c>
      <c r="AA209" s="447">
        <f>IFERROR(__xludf.DUMMYFUNCTION("""COMPUTED_VALUE"""),0.0)</f>
        <v>0</v>
      </c>
      <c r="AB209" s="447">
        <f>IFERROR(__xludf.DUMMYFUNCTION("""COMPUTED_VALUE"""),0.0)</f>
        <v>0</v>
      </c>
      <c r="AC209" s="447">
        <f>IFERROR(__xludf.DUMMYFUNCTION("""COMPUTED_VALUE"""),0.0)</f>
        <v>0</v>
      </c>
      <c r="AD209" s="447">
        <f>IFERROR(__xludf.DUMMYFUNCTION("""COMPUTED_VALUE"""),47.0)</f>
        <v>47</v>
      </c>
      <c r="AE209" s="447">
        <f>IFERROR(__xludf.DUMMYFUNCTION("""COMPUTED_VALUE"""),11.0)</f>
        <v>11</v>
      </c>
      <c r="AF209" s="447">
        <f>IFERROR(__xludf.DUMMYFUNCTION("""COMPUTED_VALUE"""),4.0)</f>
        <v>4</v>
      </c>
      <c r="AG209" s="443" t="s">
        <v>127</v>
      </c>
      <c r="AH209" s="443" t="s">
        <v>343</v>
      </c>
      <c r="AI209" s="443"/>
      <c r="AJ209" s="443"/>
      <c r="AK209" s="443"/>
      <c r="AL209" s="443"/>
      <c r="AM209" s="443"/>
      <c r="AN209" s="443"/>
      <c r="AO209" s="443"/>
      <c r="AP209" s="443"/>
      <c r="AQ209" s="443"/>
      <c r="AR209" s="443"/>
      <c r="AS209" s="443"/>
      <c r="AT209" s="443"/>
      <c r="AU209" s="443"/>
      <c r="AV209" s="443"/>
      <c r="AW209" s="443"/>
      <c r="AX209" s="443"/>
      <c r="AY209" s="443"/>
      <c r="AZ209" s="443"/>
      <c r="BA209" s="443"/>
      <c r="BB209" s="443"/>
      <c r="BC209" s="443"/>
      <c r="BD209" s="443"/>
      <c r="BE209" s="443"/>
    </row>
    <row r="210" hidden="1">
      <c r="A210" s="445">
        <f t="shared" si="5"/>
        <v>45500</v>
      </c>
      <c r="B210" s="449">
        <v>347.0</v>
      </c>
      <c r="C210" s="462">
        <v>0.6548611111111111</v>
      </c>
      <c r="D210" s="462">
        <v>0.9152777777777777</v>
      </c>
      <c r="E210" s="436">
        <f t="array" ref="E210">IF(B210=0,"",(J210+K210)/60)</f>
        <v>0.5</v>
      </c>
      <c r="F210" s="437">
        <f t="shared" si="1"/>
        <v>6.25</v>
      </c>
      <c r="G210" s="438">
        <f t="shared" si="2"/>
        <v>55.52</v>
      </c>
      <c r="H210" s="438">
        <f t="shared" si="3"/>
        <v>60.34782609</v>
      </c>
      <c r="I210" s="436">
        <f t="shared" si="4"/>
        <v>1.233777778</v>
      </c>
      <c r="J210" s="460">
        <v>30.0</v>
      </c>
      <c r="K210" s="464"/>
      <c r="L210" s="443"/>
      <c r="M210" s="447">
        <f>IFERROR(__xludf.DUMMYFUNCTION("""COMPUTED_VALUE"""),57.0)</f>
        <v>57</v>
      </c>
      <c r="N210" s="447">
        <f>IFERROR(__xludf.DUMMYFUNCTION("""COMPUTED_VALUE"""),53.0)</f>
        <v>53</v>
      </c>
      <c r="O210" s="447">
        <f>IFERROR(__xludf.DUMMYFUNCTION("""COMPUTED_VALUE"""),1.0)</f>
        <v>1</v>
      </c>
      <c r="P210" s="447">
        <f>IFERROR(__xludf.DUMMYFUNCTION("""COMPUTED_VALUE"""),0.0)</f>
        <v>0</v>
      </c>
      <c r="Q210" s="447">
        <f>IFERROR(__xludf.DUMMYFUNCTION("""COMPUTED_VALUE"""),0.0)</f>
        <v>0</v>
      </c>
      <c r="R210" s="447">
        <f>IFERROR(__xludf.DUMMYFUNCTION("""COMPUTED_VALUE"""),1.0)</f>
        <v>1</v>
      </c>
      <c r="S210" s="447">
        <f>IFERROR(__xludf.DUMMYFUNCTION("""COMPUTED_VALUE"""),2.0)</f>
        <v>2</v>
      </c>
      <c r="T210" s="447">
        <f>IFERROR(__xludf.DUMMYFUNCTION("""COMPUTED_VALUE"""),0.0)</f>
        <v>0</v>
      </c>
      <c r="U210" s="447">
        <f>IFERROR(__xludf.DUMMYFUNCTION("""COMPUTED_VALUE"""),3.0)</f>
        <v>3</v>
      </c>
      <c r="V210" s="447">
        <f>IFERROR(__xludf.DUMMYFUNCTION("""COMPUTED_VALUE"""),4.0)</f>
        <v>4</v>
      </c>
      <c r="W210" s="447">
        <f>IFERROR(__xludf.DUMMYFUNCTION("""COMPUTED_VALUE"""),0.0)</f>
        <v>0</v>
      </c>
      <c r="X210" s="447">
        <f>IFERROR(__xludf.DUMMYFUNCTION("""COMPUTED_VALUE"""),0.0)</f>
        <v>0</v>
      </c>
      <c r="Y210" s="447">
        <f>IFERROR(__xludf.DUMMYFUNCTION("""COMPUTED_VALUE"""),1.0)</f>
        <v>1</v>
      </c>
      <c r="Z210" s="447">
        <f>IFERROR(__xludf.DUMMYFUNCTION("""COMPUTED_VALUE"""),0.0)</f>
        <v>0</v>
      </c>
      <c r="AA210" s="447">
        <f>IFERROR(__xludf.DUMMYFUNCTION("""COMPUTED_VALUE"""),0.0)</f>
        <v>0</v>
      </c>
      <c r="AB210" s="447">
        <f>IFERROR(__xludf.DUMMYFUNCTION("""COMPUTED_VALUE"""),0.0)</f>
        <v>0</v>
      </c>
      <c r="AC210" s="447">
        <f>IFERROR(__xludf.DUMMYFUNCTION("""COMPUTED_VALUE"""),0.0)</f>
        <v>0</v>
      </c>
      <c r="AD210" s="447">
        <f>IFERROR(__xludf.DUMMYFUNCTION("""COMPUTED_VALUE"""),45.0)</f>
        <v>45</v>
      </c>
      <c r="AE210" s="447">
        <f>IFERROR(__xludf.DUMMYFUNCTION("""COMPUTED_VALUE"""),12.0)</f>
        <v>12</v>
      </c>
      <c r="AF210" s="447">
        <f>IFERROR(__xludf.DUMMYFUNCTION("""COMPUTED_VALUE"""),4.0)</f>
        <v>4</v>
      </c>
      <c r="AG210" s="443" t="s">
        <v>127</v>
      </c>
      <c r="AH210" s="443" t="s">
        <v>343</v>
      </c>
      <c r="AI210" s="443"/>
      <c r="AJ210" s="443"/>
      <c r="AK210" s="443"/>
      <c r="AL210" s="443"/>
      <c r="AM210" s="443"/>
      <c r="AN210" s="443"/>
      <c r="AO210" s="443"/>
      <c r="AP210" s="443"/>
      <c r="AQ210" s="443"/>
      <c r="AR210" s="443"/>
      <c r="AS210" s="443"/>
      <c r="AT210" s="443"/>
      <c r="AU210" s="443"/>
      <c r="AV210" s="443"/>
      <c r="AW210" s="443"/>
      <c r="AX210" s="443"/>
      <c r="AY210" s="443"/>
      <c r="AZ210" s="443"/>
      <c r="BA210" s="443"/>
      <c r="BB210" s="443"/>
      <c r="BC210" s="443"/>
      <c r="BD210" s="443"/>
      <c r="BE210" s="443"/>
    </row>
    <row r="211" hidden="1">
      <c r="A211" s="445">
        <f t="shared" si="5"/>
        <v>45501</v>
      </c>
      <c r="B211" s="449">
        <v>0.0</v>
      </c>
      <c r="C211" s="443"/>
      <c r="D211" s="443"/>
      <c r="E211" s="436" t="str">
        <f t="array" ref="E211">IF(B211=0,"",(J211+K211)/60)</f>
        <v/>
      </c>
      <c r="F211" s="437" t="str">
        <f t="shared" si="1"/>
        <v/>
      </c>
      <c r="G211" s="438" t="str">
        <f t="shared" si="2"/>
        <v/>
      </c>
      <c r="H211" s="438" t="str">
        <f t="shared" si="3"/>
        <v/>
      </c>
      <c r="I211" s="436" t="str">
        <f t="shared" si="4"/>
        <v/>
      </c>
      <c r="J211" s="464"/>
      <c r="K211" s="464"/>
      <c r="L211" s="443"/>
      <c r="M211" s="447">
        <f>IFERROR(__xludf.DUMMYFUNCTION("""COMPUTED_VALUE"""),57.0)</f>
        <v>57</v>
      </c>
      <c r="N211" s="447">
        <f>IFERROR(__xludf.DUMMYFUNCTION("""COMPUTED_VALUE"""),57.0)</f>
        <v>57</v>
      </c>
      <c r="O211" s="447">
        <f>IFERROR(__xludf.DUMMYFUNCTION("""COMPUTED_VALUE"""),0.0)</f>
        <v>0</v>
      </c>
      <c r="P211" s="447">
        <f>IFERROR(__xludf.DUMMYFUNCTION("""COMPUTED_VALUE"""),0.0)</f>
        <v>0</v>
      </c>
      <c r="Q211" s="447">
        <f>IFERROR(__xludf.DUMMYFUNCTION("""COMPUTED_VALUE"""),0.0)</f>
        <v>0</v>
      </c>
      <c r="R211" s="447">
        <f>IFERROR(__xludf.DUMMYFUNCTION("""COMPUTED_VALUE"""),0.0)</f>
        <v>0</v>
      </c>
      <c r="S211" s="447">
        <f>IFERROR(__xludf.DUMMYFUNCTION("""COMPUTED_VALUE"""),0.0)</f>
        <v>0</v>
      </c>
      <c r="T211" s="447">
        <f>IFERROR(__xludf.DUMMYFUNCTION("""COMPUTED_VALUE"""),0.0)</f>
        <v>0</v>
      </c>
      <c r="U211" s="447">
        <f>IFERROR(__xludf.DUMMYFUNCTION("""COMPUTED_VALUE"""),0.0)</f>
        <v>0</v>
      </c>
      <c r="V211" s="447">
        <f>IFERROR(__xludf.DUMMYFUNCTION("""COMPUTED_VALUE"""),0.0)</f>
        <v>0</v>
      </c>
      <c r="W211" s="447">
        <f>IFERROR(__xludf.DUMMYFUNCTION("""COMPUTED_VALUE"""),0.0)</f>
        <v>0</v>
      </c>
      <c r="X211" s="447">
        <f>IFERROR(__xludf.DUMMYFUNCTION("""COMPUTED_VALUE"""),0.0)</f>
        <v>0</v>
      </c>
      <c r="Y211" s="447">
        <f>IFERROR(__xludf.DUMMYFUNCTION("""COMPUTED_VALUE"""),0.0)</f>
        <v>0</v>
      </c>
      <c r="Z211" s="447">
        <f>IFERROR(__xludf.DUMMYFUNCTION("""COMPUTED_VALUE"""),0.0)</f>
        <v>0</v>
      </c>
      <c r="AA211" s="447">
        <f>IFERROR(__xludf.DUMMYFUNCTION("""COMPUTED_VALUE"""),0.0)</f>
        <v>0</v>
      </c>
      <c r="AB211" s="447">
        <f>IFERROR(__xludf.DUMMYFUNCTION("""COMPUTED_VALUE"""),0.0)</f>
        <v>0</v>
      </c>
      <c r="AC211" s="447">
        <f>IFERROR(__xludf.DUMMYFUNCTION("""COMPUTED_VALUE"""),0.0)</f>
        <v>0</v>
      </c>
      <c r="AD211" s="447">
        <f>IFERROR(__xludf.DUMMYFUNCTION("""COMPUTED_VALUE"""),0.0)</f>
        <v>0</v>
      </c>
      <c r="AE211" s="447">
        <f>IFERROR(__xludf.DUMMYFUNCTION("""COMPUTED_VALUE"""),0.0)</f>
        <v>0</v>
      </c>
      <c r="AF211" s="447">
        <f>IFERROR(__xludf.DUMMYFUNCTION("""COMPUTED_VALUE"""),0.0)</f>
        <v>0</v>
      </c>
      <c r="AG211" s="443" t="s">
        <v>127</v>
      </c>
      <c r="AH211" s="443" t="s">
        <v>343</v>
      </c>
      <c r="AI211" s="443"/>
      <c r="AJ211" s="443"/>
      <c r="AK211" s="443"/>
      <c r="AL211" s="443"/>
      <c r="AM211" s="443"/>
      <c r="AN211" s="443"/>
      <c r="AO211" s="443"/>
      <c r="AP211" s="443"/>
      <c r="AQ211" s="443"/>
      <c r="AR211" s="443"/>
      <c r="AS211" s="443"/>
      <c r="AT211" s="443"/>
      <c r="AU211" s="443"/>
      <c r="AV211" s="443"/>
      <c r="AW211" s="443"/>
      <c r="AX211" s="443"/>
      <c r="AY211" s="443"/>
      <c r="AZ211" s="443"/>
      <c r="BA211" s="443"/>
      <c r="BB211" s="443"/>
      <c r="BC211" s="443"/>
      <c r="BD211" s="443"/>
      <c r="BE211" s="443"/>
    </row>
    <row r="212" hidden="1">
      <c r="A212" s="445">
        <f t="shared" si="5"/>
        <v>45502</v>
      </c>
      <c r="B212" s="449">
        <v>462.0</v>
      </c>
      <c r="C212" s="462">
        <v>0.5583333333333333</v>
      </c>
      <c r="D212" s="462">
        <v>0.9201388888888888</v>
      </c>
      <c r="E212" s="436">
        <f t="array" ref="E212">IF(B212=0,"",(J212+K212)/60)</f>
        <v>0.5</v>
      </c>
      <c r="F212" s="437">
        <f t="shared" si="1"/>
        <v>8.683333333</v>
      </c>
      <c r="G212" s="438">
        <f t="shared" si="2"/>
        <v>53.20537428</v>
      </c>
      <c r="H212" s="438">
        <f t="shared" si="3"/>
        <v>56.45621181</v>
      </c>
      <c r="I212" s="436">
        <f t="shared" si="4"/>
        <v>1.182341651</v>
      </c>
      <c r="J212" s="460">
        <v>30.0</v>
      </c>
      <c r="K212" s="464"/>
      <c r="L212" s="443"/>
      <c r="M212" s="447">
        <f>IFERROR(__xludf.DUMMYFUNCTION("""COMPUTED_VALUE"""),57.0)</f>
        <v>57</v>
      </c>
      <c r="N212" s="447">
        <f>IFERROR(__xludf.DUMMYFUNCTION("""COMPUTED_VALUE"""),53.0)</f>
        <v>53</v>
      </c>
      <c r="O212" s="447">
        <f>IFERROR(__xludf.DUMMYFUNCTION("""COMPUTED_VALUE"""),0.0)</f>
        <v>0</v>
      </c>
      <c r="P212" s="447">
        <f>IFERROR(__xludf.DUMMYFUNCTION("""COMPUTED_VALUE"""),0.0)</f>
        <v>0</v>
      </c>
      <c r="Q212" s="447">
        <f>IFERROR(__xludf.DUMMYFUNCTION("""COMPUTED_VALUE"""),0.0)</f>
        <v>0</v>
      </c>
      <c r="R212" s="447">
        <f>IFERROR(__xludf.DUMMYFUNCTION("""COMPUTED_VALUE"""),0.0)</f>
        <v>0</v>
      </c>
      <c r="S212" s="447">
        <f>IFERROR(__xludf.DUMMYFUNCTION("""COMPUTED_VALUE"""),3.0)</f>
        <v>3</v>
      </c>
      <c r="T212" s="447">
        <f>IFERROR(__xludf.DUMMYFUNCTION("""COMPUTED_VALUE"""),0.0)</f>
        <v>0</v>
      </c>
      <c r="U212" s="447">
        <f>IFERROR(__xludf.DUMMYFUNCTION("""COMPUTED_VALUE"""),4.0)</f>
        <v>4</v>
      </c>
      <c r="V212" s="447">
        <f>IFERROR(__xludf.DUMMYFUNCTION("""COMPUTED_VALUE"""),4.0)</f>
        <v>4</v>
      </c>
      <c r="W212" s="447">
        <f>IFERROR(__xludf.DUMMYFUNCTION("""COMPUTED_VALUE"""),0.0)</f>
        <v>0</v>
      </c>
      <c r="X212" s="447">
        <f>IFERROR(__xludf.DUMMYFUNCTION("""COMPUTED_VALUE"""),0.0)</f>
        <v>0</v>
      </c>
      <c r="Y212" s="447">
        <f>IFERROR(__xludf.DUMMYFUNCTION("""COMPUTED_VALUE"""),1.0)</f>
        <v>1</v>
      </c>
      <c r="Z212" s="447">
        <f>IFERROR(__xludf.DUMMYFUNCTION("""COMPUTED_VALUE"""),1.0)</f>
        <v>1</v>
      </c>
      <c r="AA212" s="447">
        <f>IFERROR(__xludf.DUMMYFUNCTION("""COMPUTED_VALUE"""),0.0)</f>
        <v>0</v>
      </c>
      <c r="AB212" s="447">
        <f>IFERROR(__xludf.DUMMYFUNCTION("""COMPUTED_VALUE"""),0.0)</f>
        <v>0</v>
      </c>
      <c r="AC212" s="447">
        <f>IFERROR(__xludf.DUMMYFUNCTION("""COMPUTED_VALUE"""),0.0)</f>
        <v>0</v>
      </c>
      <c r="AD212" s="447">
        <f>IFERROR(__xludf.DUMMYFUNCTION("""COMPUTED_VALUE"""),45.0)</f>
        <v>45</v>
      </c>
      <c r="AE212" s="447">
        <f>IFERROR(__xludf.DUMMYFUNCTION("""COMPUTED_VALUE"""),12.0)</f>
        <v>12</v>
      </c>
      <c r="AF212" s="447">
        <f>IFERROR(__xludf.DUMMYFUNCTION("""COMPUTED_VALUE"""),4.0)</f>
        <v>4</v>
      </c>
      <c r="AG212" s="443" t="s">
        <v>127</v>
      </c>
      <c r="AH212" s="443" t="s">
        <v>343</v>
      </c>
      <c r="AI212" s="443"/>
      <c r="AJ212" s="443"/>
      <c r="AK212" s="443"/>
      <c r="AL212" s="443"/>
      <c r="AM212" s="443"/>
      <c r="AN212" s="443"/>
      <c r="AO212" s="443"/>
      <c r="AP212" s="443"/>
      <c r="AQ212" s="443"/>
      <c r="AR212" s="443"/>
      <c r="AS212" s="443"/>
      <c r="AT212" s="443"/>
      <c r="AU212" s="443"/>
      <c r="AV212" s="443"/>
      <c r="AW212" s="443"/>
      <c r="AX212" s="443"/>
      <c r="AY212" s="443"/>
      <c r="AZ212" s="443"/>
      <c r="BA212" s="443"/>
      <c r="BB212" s="443"/>
      <c r="BC212" s="443"/>
      <c r="BD212" s="443"/>
      <c r="BE212" s="443"/>
    </row>
    <row r="213" hidden="1">
      <c r="A213" s="445">
        <f t="shared" si="5"/>
        <v>45503</v>
      </c>
      <c r="B213" s="449">
        <v>444.0</v>
      </c>
      <c r="C213" s="462">
        <v>0.6</v>
      </c>
      <c r="D213" s="462">
        <v>0.9625</v>
      </c>
      <c r="E213" s="436">
        <f t="array" ref="E213">IF(B213=0,"",(J213+K213)/60)</f>
        <v>0.5</v>
      </c>
      <c r="F213" s="437">
        <f t="shared" si="1"/>
        <v>8.7</v>
      </c>
      <c r="G213" s="438">
        <f t="shared" si="2"/>
        <v>51.03448276</v>
      </c>
      <c r="H213" s="438">
        <f t="shared" si="3"/>
        <v>54.14634146</v>
      </c>
      <c r="I213" s="436">
        <f t="shared" si="4"/>
        <v>1.215106732</v>
      </c>
      <c r="J213" s="460">
        <v>30.0</v>
      </c>
      <c r="K213" s="464"/>
      <c r="L213" s="443"/>
      <c r="M213" s="447">
        <f>IFERROR(__xludf.DUMMYFUNCTION("""COMPUTED_VALUE"""),57.0)</f>
        <v>57</v>
      </c>
      <c r="N213" s="447">
        <f>IFERROR(__xludf.DUMMYFUNCTION("""COMPUTED_VALUE"""),53.0)</f>
        <v>53</v>
      </c>
      <c r="O213" s="447">
        <f>IFERROR(__xludf.DUMMYFUNCTION("""COMPUTED_VALUE"""),0.0)</f>
        <v>0</v>
      </c>
      <c r="P213" s="447">
        <f>IFERROR(__xludf.DUMMYFUNCTION("""COMPUTED_VALUE"""),0.0)</f>
        <v>0</v>
      </c>
      <c r="Q213" s="447">
        <f>IFERROR(__xludf.DUMMYFUNCTION("""COMPUTED_VALUE"""),0.0)</f>
        <v>0</v>
      </c>
      <c r="R213" s="447">
        <f>IFERROR(__xludf.DUMMYFUNCTION("""COMPUTED_VALUE"""),1.0)</f>
        <v>1</v>
      </c>
      <c r="S213" s="447">
        <f>IFERROR(__xludf.DUMMYFUNCTION("""COMPUTED_VALUE"""),5.0)</f>
        <v>5</v>
      </c>
      <c r="T213" s="447">
        <f>IFERROR(__xludf.DUMMYFUNCTION("""COMPUTED_VALUE"""),0.0)</f>
        <v>0</v>
      </c>
      <c r="U213" s="447">
        <f>IFERROR(__xludf.DUMMYFUNCTION("""COMPUTED_VALUE"""),4.0)</f>
        <v>4</v>
      </c>
      <c r="V213" s="447">
        <f>IFERROR(__xludf.DUMMYFUNCTION("""COMPUTED_VALUE"""),4.0)</f>
        <v>4</v>
      </c>
      <c r="W213" s="447">
        <f>IFERROR(__xludf.DUMMYFUNCTION("""COMPUTED_VALUE"""),0.0)</f>
        <v>0</v>
      </c>
      <c r="X213" s="447">
        <f>IFERROR(__xludf.DUMMYFUNCTION("""COMPUTED_VALUE"""),0.0)</f>
        <v>0</v>
      </c>
      <c r="Y213" s="447">
        <f>IFERROR(__xludf.DUMMYFUNCTION("""COMPUTED_VALUE"""),1.0)</f>
        <v>1</v>
      </c>
      <c r="Z213" s="447">
        <f>IFERROR(__xludf.DUMMYFUNCTION("""COMPUTED_VALUE"""),1.0)</f>
        <v>1</v>
      </c>
      <c r="AA213" s="447">
        <f>IFERROR(__xludf.DUMMYFUNCTION("""COMPUTED_VALUE"""),0.0)</f>
        <v>0</v>
      </c>
      <c r="AB213" s="447">
        <f>IFERROR(__xludf.DUMMYFUNCTION("""COMPUTED_VALUE"""),0.0)</f>
        <v>0</v>
      </c>
      <c r="AC213" s="447">
        <f>IFERROR(__xludf.DUMMYFUNCTION("""COMPUTED_VALUE"""),0.0)</f>
        <v>0</v>
      </c>
      <c r="AD213" s="447">
        <f>IFERROR(__xludf.DUMMYFUNCTION("""COMPUTED_VALUE"""),42.0)</f>
        <v>42</v>
      </c>
      <c r="AE213" s="447">
        <f>IFERROR(__xludf.DUMMYFUNCTION("""COMPUTED_VALUE"""),14.0)</f>
        <v>14</v>
      </c>
      <c r="AF213" s="447">
        <f>IFERROR(__xludf.DUMMYFUNCTION("""COMPUTED_VALUE"""),4.0)</f>
        <v>4</v>
      </c>
      <c r="AG213" s="443" t="s">
        <v>127</v>
      </c>
      <c r="AH213" s="443" t="s">
        <v>343</v>
      </c>
      <c r="AI213" s="443"/>
      <c r="AJ213" s="443"/>
      <c r="AK213" s="443"/>
      <c r="AL213" s="443"/>
      <c r="AM213" s="443"/>
      <c r="AN213" s="443"/>
      <c r="AO213" s="443"/>
      <c r="AP213" s="443"/>
      <c r="AQ213" s="443"/>
      <c r="AR213" s="443"/>
      <c r="AS213" s="443"/>
      <c r="AT213" s="443"/>
      <c r="AU213" s="443"/>
      <c r="AV213" s="443"/>
      <c r="AW213" s="443"/>
      <c r="AX213" s="443"/>
      <c r="AY213" s="443"/>
      <c r="AZ213" s="443"/>
      <c r="BA213" s="443"/>
      <c r="BB213" s="443"/>
      <c r="BC213" s="443"/>
      <c r="BD213" s="443"/>
      <c r="BE213" s="443"/>
    </row>
    <row r="214" hidden="1">
      <c r="A214" s="445">
        <f t="shared" si="5"/>
        <v>45504</v>
      </c>
      <c r="B214" s="449">
        <v>360.0</v>
      </c>
      <c r="C214" s="462">
        <v>0.6</v>
      </c>
      <c r="D214" s="462">
        <v>0.9277777777777778</v>
      </c>
      <c r="E214" s="436">
        <f t="array" ref="E214">IF(B214=0,"",(J214+K214)/60)</f>
        <v>0.5</v>
      </c>
      <c r="F214" s="437">
        <f t="shared" si="1"/>
        <v>7.866666667</v>
      </c>
      <c r="G214" s="438">
        <f t="shared" si="2"/>
        <v>45.76271186</v>
      </c>
      <c r="H214" s="438">
        <f t="shared" si="3"/>
        <v>48.86877828</v>
      </c>
      <c r="I214" s="436">
        <f t="shared" si="4"/>
        <v>1.089588378</v>
      </c>
      <c r="J214" s="460">
        <v>30.0</v>
      </c>
      <c r="K214" s="464"/>
      <c r="L214" s="443"/>
      <c r="M214" s="567">
        <f>IFERROR(__xludf.DUMMYFUNCTION("""COMPUTED_VALUE"""),57.0)</f>
        <v>57</v>
      </c>
      <c r="N214" s="447">
        <f>IFERROR(__xludf.DUMMYFUNCTION("""COMPUTED_VALUE"""),52.0)</f>
        <v>52</v>
      </c>
      <c r="O214" s="447">
        <f>IFERROR(__xludf.DUMMYFUNCTION("""COMPUTED_VALUE"""),0.0)</f>
        <v>0</v>
      </c>
      <c r="P214" s="447">
        <f>IFERROR(__xludf.DUMMYFUNCTION("""COMPUTED_VALUE"""),0.0)</f>
        <v>0</v>
      </c>
      <c r="Q214" s="447">
        <f>IFERROR(__xludf.DUMMYFUNCTION("""COMPUTED_VALUE"""),1.0)</f>
        <v>1</v>
      </c>
      <c r="R214" s="447">
        <f>IFERROR(__xludf.DUMMYFUNCTION("""COMPUTED_VALUE"""),0.0)</f>
        <v>0</v>
      </c>
      <c r="S214" s="447">
        <f>IFERROR(__xludf.DUMMYFUNCTION("""COMPUTED_VALUE"""),4.0)</f>
        <v>4</v>
      </c>
      <c r="T214" s="447">
        <f>IFERROR(__xludf.DUMMYFUNCTION("""COMPUTED_VALUE"""),0.0)</f>
        <v>0</v>
      </c>
      <c r="U214" s="447">
        <f>IFERROR(__xludf.DUMMYFUNCTION("""COMPUTED_VALUE"""),5.0)</f>
        <v>5</v>
      </c>
      <c r="V214" s="447">
        <f>IFERROR(__xludf.DUMMYFUNCTION("""COMPUTED_VALUE"""),4.0)</f>
        <v>4</v>
      </c>
      <c r="W214" s="447">
        <f>IFERROR(__xludf.DUMMYFUNCTION("""COMPUTED_VALUE"""),0.0)</f>
        <v>0</v>
      </c>
      <c r="X214" s="447">
        <f>IFERROR(__xludf.DUMMYFUNCTION("""COMPUTED_VALUE"""),0.0)</f>
        <v>0</v>
      </c>
      <c r="Y214" s="447">
        <f>IFERROR(__xludf.DUMMYFUNCTION("""COMPUTED_VALUE"""),1.0)</f>
        <v>1</v>
      </c>
      <c r="Z214" s="447">
        <f>IFERROR(__xludf.DUMMYFUNCTION("""COMPUTED_VALUE"""),1.0)</f>
        <v>1</v>
      </c>
      <c r="AA214" s="447">
        <f>IFERROR(__xludf.DUMMYFUNCTION("""COMPUTED_VALUE"""),0.0)</f>
        <v>0</v>
      </c>
      <c r="AB214" s="447">
        <f>IFERROR(__xludf.DUMMYFUNCTION("""COMPUTED_VALUE"""),0.0)</f>
        <v>0</v>
      </c>
      <c r="AC214" s="447">
        <f>IFERROR(__xludf.DUMMYFUNCTION("""COMPUTED_VALUE"""),0.0)</f>
        <v>0</v>
      </c>
      <c r="AD214" s="447">
        <f>IFERROR(__xludf.DUMMYFUNCTION("""COMPUTED_VALUE"""),42.0)</f>
        <v>42</v>
      </c>
      <c r="AE214" s="447">
        <f>IFERROR(__xludf.DUMMYFUNCTION("""COMPUTED_VALUE"""),15.0)</f>
        <v>15</v>
      </c>
      <c r="AF214" s="447">
        <f>IFERROR(__xludf.DUMMYFUNCTION("""COMPUTED_VALUE"""),5.0)</f>
        <v>5</v>
      </c>
      <c r="AG214" s="443" t="s">
        <v>127</v>
      </c>
      <c r="AH214" s="443" t="s">
        <v>343</v>
      </c>
      <c r="AI214" s="443"/>
      <c r="AJ214" s="443"/>
      <c r="AK214" s="443"/>
      <c r="AL214" s="443"/>
      <c r="AM214" s="443"/>
      <c r="AN214" s="443"/>
      <c r="AO214" s="443"/>
      <c r="AP214" s="443"/>
      <c r="AQ214" s="443"/>
      <c r="AR214" s="443"/>
      <c r="AS214" s="443"/>
      <c r="AT214" s="443"/>
      <c r="AU214" s="443"/>
      <c r="AV214" s="443"/>
      <c r="AW214" s="443"/>
      <c r="AX214" s="443"/>
      <c r="AY214" s="443"/>
      <c r="AZ214" s="443"/>
      <c r="BA214" s="443"/>
      <c r="BB214" s="443"/>
      <c r="BC214" s="443"/>
      <c r="BD214" s="443"/>
      <c r="BE214" s="443"/>
    </row>
    <row r="215" hidden="1">
      <c r="A215" s="445">
        <f t="shared" si="5"/>
        <v>45505</v>
      </c>
      <c r="B215" s="449">
        <v>475.0</v>
      </c>
      <c r="C215" s="462">
        <v>0.6</v>
      </c>
      <c r="D215" s="462">
        <v>0.98125</v>
      </c>
      <c r="E215" s="436">
        <f t="array" ref="E215">IF(B215=0,"",(J215+K215)/60)</f>
        <v>0.8666666667</v>
      </c>
      <c r="F215" s="437">
        <f t="shared" si="1"/>
        <v>9.15</v>
      </c>
      <c r="G215" s="438">
        <f t="shared" si="2"/>
        <v>51.91256831</v>
      </c>
      <c r="H215" s="438">
        <f t="shared" si="3"/>
        <v>57.34406439</v>
      </c>
      <c r="I215" s="436">
        <f t="shared" si="4"/>
        <v>1.297814208</v>
      </c>
      <c r="J215" s="460">
        <v>0.0</v>
      </c>
      <c r="K215" s="460">
        <f>7+45</f>
        <v>52</v>
      </c>
      <c r="L215" s="443"/>
      <c r="M215" s="469">
        <f>IFERROR(__xludf.DUMMYFUNCTION("TRANSPOSE(IMPORTRANGE(""https://docs.google.com/spreadsheets/d/1CNeKSHTeNNJnfn5EymHwGg5Mkuk6EcepW7_9QkJxalc/edit#gid=1218471306"",""AGOSTO 2024!F2:Aj21""))"),57.0)</f>
        <v>57</v>
      </c>
      <c r="N215" s="447">
        <f>IFERROR(__xludf.DUMMYFUNCTION("""COMPUTED_VALUE"""),51.0)</f>
        <v>51</v>
      </c>
      <c r="O215" s="447">
        <f>IFERROR(__xludf.DUMMYFUNCTION("""COMPUTED_VALUE"""),0.0)</f>
        <v>0</v>
      </c>
      <c r="P215" s="447">
        <f>IFERROR(__xludf.DUMMYFUNCTION("""COMPUTED_VALUE"""),0.0)</f>
        <v>0</v>
      </c>
      <c r="Q215" s="447">
        <f>IFERROR(__xludf.DUMMYFUNCTION("""COMPUTED_VALUE"""),0.0)</f>
        <v>0</v>
      </c>
      <c r="R215" s="447">
        <f>IFERROR(__xludf.DUMMYFUNCTION("""COMPUTED_VALUE"""),0.0)</f>
        <v>0</v>
      </c>
      <c r="S215" s="447">
        <f>IFERROR(__xludf.DUMMYFUNCTION("""COMPUTED_VALUE"""),6.0)</f>
        <v>6</v>
      </c>
      <c r="T215" s="447">
        <f>IFERROR(__xludf.DUMMYFUNCTION("""COMPUTED_VALUE"""),0.0)</f>
        <v>0</v>
      </c>
      <c r="U215" s="447">
        <f>IFERROR(__xludf.DUMMYFUNCTION("""COMPUTED_VALUE"""),5.0)</f>
        <v>5</v>
      </c>
      <c r="V215" s="447">
        <f>IFERROR(__xludf.DUMMYFUNCTION("""COMPUTED_VALUE"""),4.0)</f>
        <v>4</v>
      </c>
      <c r="W215" s="447">
        <f>IFERROR(__xludf.DUMMYFUNCTION("""COMPUTED_VALUE"""),0.0)</f>
        <v>0</v>
      </c>
      <c r="X215" s="447">
        <f>IFERROR(__xludf.DUMMYFUNCTION("""COMPUTED_VALUE"""),0.0)</f>
        <v>0</v>
      </c>
      <c r="Y215" s="447">
        <f>IFERROR(__xludf.DUMMYFUNCTION("""COMPUTED_VALUE"""),1.0)</f>
        <v>1</v>
      </c>
      <c r="Z215" s="447">
        <f>IFERROR(__xludf.DUMMYFUNCTION("""COMPUTED_VALUE"""),0.0)</f>
        <v>0</v>
      </c>
      <c r="AA215" s="447">
        <f>IFERROR(__xludf.DUMMYFUNCTION("""COMPUTED_VALUE"""),0.0)</f>
        <v>0</v>
      </c>
      <c r="AB215" s="447">
        <f>IFERROR(__xludf.DUMMYFUNCTION("""COMPUTED_VALUE"""),0.0)</f>
        <v>0</v>
      </c>
      <c r="AC215" s="447">
        <f>IFERROR(__xludf.DUMMYFUNCTION("""COMPUTED_VALUE"""),0.0)</f>
        <v>0</v>
      </c>
      <c r="AD215" s="447">
        <f>IFERROR(__xludf.DUMMYFUNCTION("""COMPUTED_VALUE"""),40.0)</f>
        <v>40</v>
      </c>
      <c r="AE215" s="447">
        <f>IFERROR(__xludf.DUMMYFUNCTION("""COMPUTED_VALUE"""),17.0)</f>
        <v>17</v>
      </c>
      <c r="AF215" s="447">
        <f>IFERROR(__xludf.DUMMYFUNCTION("""COMPUTED_VALUE"""),6.0)</f>
        <v>6</v>
      </c>
      <c r="AG215" s="443" t="s">
        <v>129</v>
      </c>
      <c r="AH215" s="443" t="s">
        <v>343</v>
      </c>
      <c r="AI215" s="443"/>
      <c r="AJ215" s="443"/>
      <c r="AK215" s="443"/>
      <c r="AL215" s="443"/>
      <c r="AM215" s="443"/>
      <c r="AN215" s="443"/>
      <c r="AO215" s="443"/>
      <c r="AP215" s="443"/>
      <c r="AQ215" s="443"/>
      <c r="AR215" s="443"/>
      <c r="AS215" s="443"/>
      <c r="AT215" s="443"/>
      <c r="AU215" s="443"/>
      <c r="AV215" s="443"/>
      <c r="AW215" s="443"/>
      <c r="AX215" s="443"/>
      <c r="AY215" s="443"/>
      <c r="AZ215" s="443"/>
      <c r="BA215" s="443"/>
      <c r="BB215" s="443"/>
      <c r="BC215" s="443"/>
      <c r="BD215" s="443"/>
      <c r="BE215" s="443"/>
    </row>
    <row r="216" hidden="1">
      <c r="A216" s="445">
        <f t="shared" si="5"/>
        <v>45506</v>
      </c>
      <c r="B216" s="449">
        <v>384.0</v>
      </c>
      <c r="C216" s="462">
        <v>0.6</v>
      </c>
      <c r="D216" s="462">
        <v>0.9548611111111112</v>
      </c>
      <c r="E216" s="436">
        <f t="array" ref="E216">IF(B216=0,"",(J216+K216)/60)</f>
        <v>0.6833333333</v>
      </c>
      <c r="F216" s="437">
        <f t="shared" si="1"/>
        <v>8.516666667</v>
      </c>
      <c r="G216" s="438">
        <f t="shared" si="2"/>
        <v>45.08806262</v>
      </c>
      <c r="H216" s="438">
        <f t="shared" si="3"/>
        <v>49.0212766</v>
      </c>
      <c r="I216" s="436">
        <f t="shared" si="4"/>
        <v>1.186527964</v>
      </c>
      <c r="J216" s="460">
        <v>30.0</v>
      </c>
      <c r="K216" s="460">
        <v>11.0</v>
      </c>
      <c r="L216" s="443"/>
      <c r="M216" s="447">
        <f>IFERROR(__xludf.DUMMYFUNCTION("""COMPUTED_VALUE"""),57.0)</f>
        <v>57</v>
      </c>
      <c r="N216" s="447">
        <f>IFERROR(__xludf.DUMMYFUNCTION("""COMPUTED_VALUE"""),50.0)</f>
        <v>50</v>
      </c>
      <c r="O216" s="447">
        <f>IFERROR(__xludf.DUMMYFUNCTION("""COMPUTED_VALUE"""),0.0)</f>
        <v>0</v>
      </c>
      <c r="P216" s="447">
        <f>IFERROR(__xludf.DUMMYFUNCTION("""COMPUTED_VALUE"""),0.0)</f>
        <v>0</v>
      </c>
      <c r="Q216" s="447">
        <f>IFERROR(__xludf.DUMMYFUNCTION("""COMPUTED_VALUE"""),1.0)</f>
        <v>1</v>
      </c>
      <c r="R216" s="447">
        <f>IFERROR(__xludf.DUMMYFUNCTION("""COMPUTED_VALUE"""),0.0)</f>
        <v>0</v>
      </c>
      <c r="S216" s="447">
        <f>IFERROR(__xludf.DUMMYFUNCTION("""COMPUTED_VALUE"""),6.0)</f>
        <v>6</v>
      </c>
      <c r="T216" s="447">
        <f>IFERROR(__xludf.DUMMYFUNCTION("""COMPUTED_VALUE"""),0.0)</f>
        <v>0</v>
      </c>
      <c r="U216" s="447">
        <f>IFERROR(__xludf.DUMMYFUNCTION("""COMPUTED_VALUE"""),6.0)</f>
        <v>6</v>
      </c>
      <c r="V216" s="447">
        <f>IFERROR(__xludf.DUMMYFUNCTION("""COMPUTED_VALUE"""),4.0)</f>
        <v>4</v>
      </c>
      <c r="W216" s="447">
        <f>IFERROR(__xludf.DUMMYFUNCTION("""COMPUTED_VALUE"""),0.0)</f>
        <v>0</v>
      </c>
      <c r="X216" s="447">
        <f>IFERROR(__xludf.DUMMYFUNCTION("""COMPUTED_VALUE"""),0.0)</f>
        <v>0</v>
      </c>
      <c r="Y216" s="447">
        <f>IFERROR(__xludf.DUMMYFUNCTION("""COMPUTED_VALUE"""),1.0)</f>
        <v>1</v>
      </c>
      <c r="Z216" s="447">
        <f>IFERROR(__xludf.DUMMYFUNCTION("""COMPUTED_VALUE"""),0.0)</f>
        <v>0</v>
      </c>
      <c r="AA216" s="447">
        <f>IFERROR(__xludf.DUMMYFUNCTION("""COMPUTED_VALUE"""),0.0)</f>
        <v>0</v>
      </c>
      <c r="AB216" s="447">
        <f>IFERROR(__xludf.DUMMYFUNCTION("""COMPUTED_VALUE"""),0.0)</f>
        <v>0</v>
      </c>
      <c r="AC216" s="447">
        <f>IFERROR(__xludf.DUMMYFUNCTION("""COMPUTED_VALUE"""),0.0)</f>
        <v>0</v>
      </c>
      <c r="AD216" s="447">
        <f>IFERROR(__xludf.DUMMYFUNCTION("""COMPUTED_VALUE"""),38.0)</f>
        <v>38</v>
      </c>
      <c r="AE216" s="447">
        <f>IFERROR(__xludf.DUMMYFUNCTION("""COMPUTED_VALUE"""),19.0)</f>
        <v>19</v>
      </c>
      <c r="AF216" s="447">
        <f>IFERROR(__xludf.DUMMYFUNCTION("""COMPUTED_VALUE"""),7.0)</f>
        <v>7</v>
      </c>
      <c r="AG216" s="443" t="s">
        <v>129</v>
      </c>
      <c r="AH216" s="443" t="s">
        <v>343</v>
      </c>
      <c r="AI216" s="443"/>
      <c r="AJ216" s="443"/>
      <c r="AK216" s="443"/>
      <c r="AL216" s="443"/>
      <c r="AM216" s="443"/>
      <c r="AN216" s="443"/>
      <c r="AO216" s="443"/>
      <c r="AP216" s="443"/>
      <c r="AQ216" s="443"/>
      <c r="AR216" s="443"/>
      <c r="AS216" s="443"/>
      <c r="AT216" s="443"/>
      <c r="AU216" s="443"/>
      <c r="AV216" s="443"/>
      <c r="AW216" s="443"/>
      <c r="AX216" s="443"/>
      <c r="AY216" s="443"/>
      <c r="AZ216" s="443"/>
      <c r="BA216" s="443"/>
      <c r="BB216" s="443"/>
      <c r="BC216" s="443"/>
      <c r="BD216" s="443"/>
      <c r="BE216" s="443"/>
    </row>
    <row r="217" hidden="1">
      <c r="A217" s="445">
        <f t="shared" si="5"/>
        <v>45507</v>
      </c>
      <c r="B217" s="535">
        <v>275.0</v>
      </c>
      <c r="C217" s="527">
        <v>0.5583333333333333</v>
      </c>
      <c r="D217" s="527">
        <v>0.8680555555555556</v>
      </c>
      <c r="E217" s="436">
        <f t="array" ref="E217">IF(B217=0,"",(J217+K217)/60)</f>
        <v>0</v>
      </c>
      <c r="F217" s="437">
        <f t="shared" si="1"/>
        <v>7.433333333</v>
      </c>
      <c r="G217" s="438">
        <f t="shared" si="2"/>
        <v>36.9955157</v>
      </c>
      <c r="H217" s="438">
        <f t="shared" si="3"/>
        <v>36.9955157</v>
      </c>
      <c r="I217" s="436">
        <f t="shared" si="4"/>
        <v>0.8603608301</v>
      </c>
      <c r="J217" s="531">
        <v>0.0</v>
      </c>
      <c r="K217" s="532"/>
      <c r="L217" s="511" t="s">
        <v>571</v>
      </c>
      <c r="M217" s="533">
        <f>IFERROR(__xludf.DUMMYFUNCTION("""COMPUTED_VALUE"""),57.0)</f>
        <v>57</v>
      </c>
      <c r="N217" s="533">
        <f>IFERROR(__xludf.DUMMYFUNCTION("""COMPUTED_VALUE"""),50.0)</f>
        <v>50</v>
      </c>
      <c r="O217" s="533">
        <f>IFERROR(__xludf.DUMMYFUNCTION("""COMPUTED_VALUE"""),0.0)</f>
        <v>0</v>
      </c>
      <c r="P217" s="533">
        <f>IFERROR(__xludf.DUMMYFUNCTION("""COMPUTED_VALUE"""),0.0)</f>
        <v>0</v>
      </c>
      <c r="Q217" s="533">
        <f>IFERROR(__xludf.DUMMYFUNCTION("""COMPUTED_VALUE"""),0.0)</f>
        <v>0</v>
      </c>
      <c r="R217" s="533">
        <f>IFERROR(__xludf.DUMMYFUNCTION("""COMPUTED_VALUE"""),0.0)</f>
        <v>0</v>
      </c>
      <c r="S217" s="533">
        <f>IFERROR(__xludf.DUMMYFUNCTION("""COMPUTED_VALUE"""),2.0)</f>
        <v>2</v>
      </c>
      <c r="T217" s="533">
        <f>IFERROR(__xludf.DUMMYFUNCTION("""COMPUTED_VALUE"""),0.0)</f>
        <v>0</v>
      </c>
      <c r="U217" s="533">
        <f>IFERROR(__xludf.DUMMYFUNCTION("""COMPUTED_VALUE"""),6.0)</f>
        <v>6</v>
      </c>
      <c r="V217" s="533">
        <f>IFERROR(__xludf.DUMMYFUNCTION("""COMPUTED_VALUE"""),4.0)</f>
        <v>4</v>
      </c>
      <c r="W217" s="533">
        <f>IFERROR(__xludf.DUMMYFUNCTION("""COMPUTED_VALUE"""),0.0)</f>
        <v>0</v>
      </c>
      <c r="X217" s="533">
        <f>IFERROR(__xludf.DUMMYFUNCTION("""COMPUTED_VALUE"""),0.0)</f>
        <v>0</v>
      </c>
      <c r="Y217" s="533">
        <f>IFERROR(__xludf.DUMMYFUNCTION("""COMPUTED_VALUE"""),1.0)</f>
        <v>1</v>
      </c>
      <c r="Z217" s="533">
        <f>IFERROR(__xludf.DUMMYFUNCTION("""COMPUTED_VALUE"""),0.0)</f>
        <v>0</v>
      </c>
      <c r="AA217" s="533">
        <f>IFERROR(__xludf.DUMMYFUNCTION("""COMPUTED_VALUE"""),0.0)</f>
        <v>0</v>
      </c>
      <c r="AB217" s="533">
        <f>IFERROR(__xludf.DUMMYFUNCTION("""COMPUTED_VALUE"""),0.0)</f>
        <v>0</v>
      </c>
      <c r="AC217" s="533">
        <f>IFERROR(__xludf.DUMMYFUNCTION("""COMPUTED_VALUE"""),0.0)</f>
        <v>0</v>
      </c>
      <c r="AD217" s="533">
        <f>IFERROR(__xludf.DUMMYFUNCTION("""COMPUTED_VALUE"""),43.0)</f>
        <v>43</v>
      </c>
      <c r="AE217" s="533">
        <f>IFERROR(__xludf.DUMMYFUNCTION("""COMPUTED_VALUE"""),14.0)</f>
        <v>14</v>
      </c>
      <c r="AF217" s="533">
        <f>IFERROR(__xludf.DUMMYFUNCTION("""COMPUTED_VALUE"""),7.0)</f>
        <v>7</v>
      </c>
      <c r="AG217" s="534" t="s">
        <v>129</v>
      </c>
      <c r="AH217" s="534" t="s">
        <v>343</v>
      </c>
      <c r="AI217" s="534"/>
      <c r="AJ217" s="534"/>
      <c r="AK217" s="534"/>
      <c r="AL217" s="534"/>
      <c r="AM217" s="534"/>
      <c r="AN217" s="534"/>
      <c r="AO217" s="534"/>
      <c r="AP217" s="534"/>
      <c r="AQ217" s="534"/>
      <c r="AR217" s="534"/>
      <c r="AS217" s="534"/>
      <c r="AT217" s="534"/>
      <c r="AU217" s="534"/>
      <c r="AV217" s="534"/>
      <c r="AW217" s="534"/>
      <c r="AX217" s="534"/>
      <c r="AY217" s="534"/>
      <c r="AZ217" s="534"/>
      <c r="BA217" s="534"/>
      <c r="BB217" s="534"/>
      <c r="BC217" s="534"/>
      <c r="BD217" s="534"/>
      <c r="BE217" s="534"/>
    </row>
    <row r="218" hidden="1">
      <c r="A218" s="445">
        <f t="shared" si="5"/>
        <v>45508</v>
      </c>
      <c r="B218" s="449">
        <v>0.0</v>
      </c>
      <c r="C218" s="443"/>
      <c r="D218" s="443"/>
      <c r="E218" s="436" t="str">
        <f t="array" ref="E218">IF(B218=0,"",(J218+K218)/60)</f>
        <v/>
      </c>
      <c r="F218" s="437" t="str">
        <f t="shared" si="1"/>
        <v/>
      </c>
      <c r="G218" s="438" t="str">
        <f t="shared" si="2"/>
        <v/>
      </c>
      <c r="H218" s="438" t="str">
        <f t="shared" si="3"/>
        <v/>
      </c>
      <c r="I218" s="436"/>
      <c r="J218" s="464"/>
      <c r="K218" s="464"/>
      <c r="L218" s="443"/>
      <c r="M218" s="447">
        <f>IFERROR(__xludf.DUMMYFUNCTION("""COMPUTED_VALUE"""),57.0)</f>
        <v>57</v>
      </c>
      <c r="N218" s="447">
        <f>IFERROR(__xludf.DUMMYFUNCTION("""COMPUTED_VALUE"""),57.0)</f>
        <v>57</v>
      </c>
      <c r="O218" s="447">
        <f>IFERROR(__xludf.DUMMYFUNCTION("""COMPUTED_VALUE"""),0.0)</f>
        <v>0</v>
      </c>
      <c r="P218" s="447">
        <f>IFERROR(__xludf.DUMMYFUNCTION("""COMPUTED_VALUE"""),0.0)</f>
        <v>0</v>
      </c>
      <c r="Q218" s="447">
        <f>IFERROR(__xludf.DUMMYFUNCTION("""COMPUTED_VALUE"""),0.0)</f>
        <v>0</v>
      </c>
      <c r="R218" s="447">
        <f>IFERROR(__xludf.DUMMYFUNCTION("""COMPUTED_VALUE"""),0.0)</f>
        <v>0</v>
      </c>
      <c r="S218" s="447">
        <f>IFERROR(__xludf.DUMMYFUNCTION("""COMPUTED_VALUE"""),0.0)</f>
        <v>0</v>
      </c>
      <c r="T218" s="447">
        <f>IFERROR(__xludf.DUMMYFUNCTION("""COMPUTED_VALUE"""),0.0)</f>
        <v>0</v>
      </c>
      <c r="U218" s="447">
        <f>IFERROR(__xludf.DUMMYFUNCTION("""COMPUTED_VALUE"""),0.0)</f>
        <v>0</v>
      </c>
      <c r="V218" s="447">
        <f>IFERROR(__xludf.DUMMYFUNCTION("""COMPUTED_VALUE"""),0.0)</f>
        <v>0</v>
      </c>
      <c r="W218" s="447">
        <f>IFERROR(__xludf.DUMMYFUNCTION("""COMPUTED_VALUE"""),0.0)</f>
        <v>0</v>
      </c>
      <c r="X218" s="447">
        <f>IFERROR(__xludf.DUMMYFUNCTION("""COMPUTED_VALUE"""),0.0)</f>
        <v>0</v>
      </c>
      <c r="Y218" s="447">
        <f>IFERROR(__xludf.DUMMYFUNCTION("""COMPUTED_VALUE"""),0.0)</f>
        <v>0</v>
      </c>
      <c r="Z218" s="447">
        <f>IFERROR(__xludf.DUMMYFUNCTION("""COMPUTED_VALUE"""),0.0)</f>
        <v>0</v>
      </c>
      <c r="AA218" s="447">
        <f>IFERROR(__xludf.DUMMYFUNCTION("""COMPUTED_VALUE"""),0.0)</f>
        <v>0</v>
      </c>
      <c r="AB218" s="447">
        <f>IFERROR(__xludf.DUMMYFUNCTION("""COMPUTED_VALUE"""),0.0)</f>
        <v>0</v>
      </c>
      <c r="AC218" s="447">
        <f>IFERROR(__xludf.DUMMYFUNCTION("""COMPUTED_VALUE"""),0.0)</f>
        <v>0</v>
      </c>
      <c r="AD218" s="447">
        <f>IFERROR(__xludf.DUMMYFUNCTION("""COMPUTED_VALUE"""),0.0)</f>
        <v>0</v>
      </c>
      <c r="AE218" s="447">
        <f>IFERROR(__xludf.DUMMYFUNCTION("""COMPUTED_VALUE"""),0.0)</f>
        <v>0</v>
      </c>
      <c r="AF218" s="447">
        <f>IFERROR(__xludf.DUMMYFUNCTION("""COMPUTED_VALUE"""),0.0)</f>
        <v>0</v>
      </c>
      <c r="AG218" s="443" t="s">
        <v>129</v>
      </c>
      <c r="AH218" s="443" t="s">
        <v>343</v>
      </c>
      <c r="AI218" s="443"/>
      <c r="AJ218" s="443"/>
      <c r="AK218" s="443"/>
      <c r="AL218" s="443"/>
      <c r="AM218" s="443"/>
      <c r="AN218" s="443"/>
      <c r="AO218" s="443"/>
      <c r="AP218" s="443"/>
      <c r="AQ218" s="443"/>
      <c r="AR218" s="443"/>
      <c r="AS218" s="443"/>
      <c r="AT218" s="443"/>
      <c r="AU218" s="443"/>
      <c r="AV218" s="443"/>
      <c r="AW218" s="443"/>
      <c r="AX218" s="443"/>
      <c r="AY218" s="443"/>
      <c r="AZ218" s="443"/>
      <c r="BA218" s="443"/>
      <c r="BB218" s="443"/>
      <c r="BC218" s="443"/>
      <c r="BD218" s="443"/>
      <c r="BE218" s="443"/>
    </row>
    <row r="219" hidden="1">
      <c r="A219" s="445">
        <f t="shared" si="5"/>
        <v>45509</v>
      </c>
      <c r="B219" s="449">
        <v>505.0</v>
      </c>
      <c r="C219" s="462">
        <v>0.5583333333333333</v>
      </c>
      <c r="D219" s="462">
        <v>0.9479166666666666</v>
      </c>
      <c r="E219" s="436">
        <f t="array" ref="E219">IF(B219=0,"",(J219+K219)/60)</f>
        <v>0.5</v>
      </c>
      <c r="F219" s="437">
        <f t="shared" si="1"/>
        <v>9.35</v>
      </c>
      <c r="G219" s="438">
        <f t="shared" si="2"/>
        <v>54.01069519</v>
      </c>
      <c r="H219" s="438">
        <f t="shared" si="3"/>
        <v>57.06214689</v>
      </c>
      <c r="I219" s="436">
        <f t="shared" ref="I219:I602" si="6">IF(B219=0,"",B219/F219/AD219)</f>
        <v>1.174145548</v>
      </c>
      <c r="J219" s="460">
        <v>30.0</v>
      </c>
      <c r="K219" s="464"/>
      <c r="L219" s="443"/>
      <c r="M219" s="447">
        <f>IFERROR(__xludf.DUMMYFUNCTION("""COMPUTED_VALUE"""),57.0)</f>
        <v>57</v>
      </c>
      <c r="N219" s="447">
        <f>IFERROR(__xludf.DUMMYFUNCTION("""COMPUTED_VALUE"""),53.0)</f>
        <v>53</v>
      </c>
      <c r="O219" s="447">
        <f>IFERROR(__xludf.DUMMYFUNCTION("""COMPUTED_VALUE"""),0.0)</f>
        <v>0</v>
      </c>
      <c r="P219" s="447">
        <f>IFERROR(__xludf.DUMMYFUNCTION("""COMPUTED_VALUE"""),0.0)</f>
        <v>0</v>
      </c>
      <c r="Q219" s="447">
        <f>IFERROR(__xludf.DUMMYFUNCTION("""COMPUTED_VALUE"""),1.0)</f>
        <v>1</v>
      </c>
      <c r="R219" s="447">
        <f>IFERROR(__xludf.DUMMYFUNCTION("""COMPUTED_VALUE"""),0.0)</f>
        <v>0</v>
      </c>
      <c r="S219" s="447">
        <f>IFERROR(__xludf.DUMMYFUNCTION("""COMPUTED_VALUE"""),2.0)</f>
        <v>2</v>
      </c>
      <c r="T219" s="447">
        <f>IFERROR(__xludf.DUMMYFUNCTION("""COMPUTED_VALUE"""),0.0)</f>
        <v>0</v>
      </c>
      <c r="U219" s="447">
        <f>IFERROR(__xludf.DUMMYFUNCTION("""COMPUTED_VALUE"""),3.0)</f>
        <v>3</v>
      </c>
      <c r="V219" s="447">
        <f>IFERROR(__xludf.DUMMYFUNCTION("""COMPUTED_VALUE"""),1.0)</f>
        <v>1</v>
      </c>
      <c r="W219" s="447">
        <f>IFERROR(__xludf.DUMMYFUNCTION("""COMPUTED_VALUE"""),1.0)</f>
        <v>1</v>
      </c>
      <c r="X219" s="447">
        <f>IFERROR(__xludf.DUMMYFUNCTION("""COMPUTED_VALUE"""),0.0)</f>
        <v>0</v>
      </c>
      <c r="Y219" s="447">
        <f>IFERROR(__xludf.DUMMYFUNCTION("""COMPUTED_VALUE"""),1.0)</f>
        <v>1</v>
      </c>
      <c r="Z219" s="447">
        <f>IFERROR(__xludf.DUMMYFUNCTION("""COMPUTED_VALUE"""),0.0)</f>
        <v>0</v>
      </c>
      <c r="AA219" s="447">
        <f>IFERROR(__xludf.DUMMYFUNCTION("""COMPUTED_VALUE"""),1.0)</f>
        <v>1</v>
      </c>
      <c r="AB219" s="447">
        <f>IFERROR(__xludf.DUMMYFUNCTION("""COMPUTED_VALUE"""),0.0)</f>
        <v>0</v>
      </c>
      <c r="AC219" s="447">
        <f>IFERROR(__xludf.DUMMYFUNCTION("""COMPUTED_VALUE"""),0.0)</f>
        <v>0</v>
      </c>
      <c r="AD219" s="447">
        <f>IFERROR(__xludf.DUMMYFUNCTION("""COMPUTED_VALUE"""),46.0)</f>
        <v>46</v>
      </c>
      <c r="AE219" s="447">
        <f>IFERROR(__xludf.DUMMYFUNCTION("""COMPUTED_VALUE"""),11.0)</f>
        <v>11</v>
      </c>
      <c r="AF219" s="447">
        <f>IFERROR(__xludf.DUMMYFUNCTION("""COMPUTED_VALUE"""),4.0)</f>
        <v>4</v>
      </c>
      <c r="AG219" s="443" t="s">
        <v>129</v>
      </c>
      <c r="AH219" s="443" t="s">
        <v>343</v>
      </c>
      <c r="AI219" s="443"/>
      <c r="AJ219" s="443"/>
      <c r="AK219" s="443"/>
      <c r="AL219" s="443"/>
      <c r="AM219" s="443"/>
      <c r="AN219" s="443"/>
      <c r="AO219" s="443"/>
      <c r="AP219" s="443"/>
      <c r="AQ219" s="443"/>
      <c r="AR219" s="443"/>
      <c r="AS219" s="443"/>
      <c r="AT219" s="443"/>
      <c r="AU219" s="443"/>
      <c r="AV219" s="443"/>
      <c r="AW219" s="443"/>
      <c r="AX219" s="443"/>
      <c r="AY219" s="443"/>
      <c r="AZ219" s="443"/>
      <c r="BA219" s="443"/>
      <c r="BB219" s="443"/>
      <c r="BC219" s="443"/>
      <c r="BD219" s="443"/>
      <c r="BE219" s="443"/>
    </row>
    <row r="220" hidden="1">
      <c r="A220" s="445">
        <f t="shared" si="5"/>
        <v>45510</v>
      </c>
      <c r="B220" s="449">
        <v>426.0</v>
      </c>
      <c r="C220" s="462">
        <v>0.6</v>
      </c>
      <c r="D220" s="462">
        <v>0.9652777777777778</v>
      </c>
      <c r="E220" s="436">
        <f t="array" ref="E220">IF(B220=0,"",(J220+K220)/60)</f>
        <v>0.5</v>
      </c>
      <c r="F220" s="437">
        <f t="shared" si="1"/>
        <v>8.766666667</v>
      </c>
      <c r="G220" s="438">
        <f t="shared" si="2"/>
        <v>48.59315589</v>
      </c>
      <c r="H220" s="438">
        <f t="shared" si="3"/>
        <v>51.53225806</v>
      </c>
      <c r="I220" s="436">
        <f t="shared" si="6"/>
        <v>1.079847909</v>
      </c>
      <c r="J220" s="460">
        <v>30.0</v>
      </c>
      <c r="K220" s="464"/>
      <c r="L220" s="443"/>
      <c r="M220" s="447">
        <f>IFERROR(__xludf.DUMMYFUNCTION("""COMPUTED_VALUE"""),57.0)</f>
        <v>57</v>
      </c>
      <c r="N220" s="447">
        <f>IFERROR(__xludf.DUMMYFUNCTION("""COMPUTED_VALUE"""),53.0)</f>
        <v>53</v>
      </c>
      <c r="O220" s="447">
        <f>IFERROR(__xludf.DUMMYFUNCTION("""COMPUTED_VALUE"""),0.0)</f>
        <v>0</v>
      </c>
      <c r="P220" s="447">
        <f>IFERROR(__xludf.DUMMYFUNCTION("""COMPUTED_VALUE"""),0.0)</f>
        <v>0</v>
      </c>
      <c r="Q220" s="447">
        <f>IFERROR(__xludf.DUMMYFUNCTION("""COMPUTED_VALUE"""),0.0)</f>
        <v>0</v>
      </c>
      <c r="R220" s="447">
        <f>IFERROR(__xludf.DUMMYFUNCTION("""COMPUTED_VALUE"""),0.0)</f>
        <v>0</v>
      </c>
      <c r="S220" s="447">
        <f>IFERROR(__xludf.DUMMYFUNCTION("""COMPUTED_VALUE"""),5.0)</f>
        <v>5</v>
      </c>
      <c r="T220" s="447">
        <f>IFERROR(__xludf.DUMMYFUNCTION("""COMPUTED_VALUE"""),0.0)</f>
        <v>0</v>
      </c>
      <c r="U220" s="447">
        <f>IFERROR(__xludf.DUMMYFUNCTION("""COMPUTED_VALUE"""),3.0)</f>
        <v>3</v>
      </c>
      <c r="V220" s="447">
        <f>IFERROR(__xludf.DUMMYFUNCTION("""COMPUTED_VALUE"""),2.0)</f>
        <v>2</v>
      </c>
      <c r="W220" s="447">
        <f>IFERROR(__xludf.DUMMYFUNCTION("""COMPUTED_VALUE"""),1.0)</f>
        <v>1</v>
      </c>
      <c r="X220" s="447">
        <f>IFERROR(__xludf.DUMMYFUNCTION("""COMPUTED_VALUE"""),0.0)</f>
        <v>0</v>
      </c>
      <c r="Y220" s="447">
        <f>IFERROR(__xludf.DUMMYFUNCTION("""COMPUTED_VALUE"""),0.0)</f>
        <v>0</v>
      </c>
      <c r="Z220" s="447">
        <f>IFERROR(__xludf.DUMMYFUNCTION("""COMPUTED_VALUE"""),0.0)</f>
        <v>0</v>
      </c>
      <c r="AA220" s="447">
        <f>IFERROR(__xludf.DUMMYFUNCTION("""COMPUTED_VALUE"""),0.0)</f>
        <v>0</v>
      </c>
      <c r="AB220" s="447">
        <f>IFERROR(__xludf.DUMMYFUNCTION("""COMPUTED_VALUE"""),0.0)</f>
        <v>0</v>
      </c>
      <c r="AC220" s="447">
        <f>IFERROR(__xludf.DUMMYFUNCTION("""COMPUTED_VALUE"""),0.0)</f>
        <v>0</v>
      </c>
      <c r="AD220" s="447">
        <f>IFERROR(__xludf.DUMMYFUNCTION("""COMPUTED_VALUE"""),45.0)</f>
        <v>45</v>
      </c>
      <c r="AE220" s="447">
        <f>IFERROR(__xludf.DUMMYFUNCTION("""COMPUTED_VALUE"""),12.0)</f>
        <v>12</v>
      </c>
      <c r="AF220" s="447">
        <f>IFERROR(__xludf.DUMMYFUNCTION("""COMPUTED_VALUE"""),4.0)</f>
        <v>4</v>
      </c>
      <c r="AG220" s="443" t="s">
        <v>129</v>
      </c>
      <c r="AH220" s="443" t="s">
        <v>343</v>
      </c>
      <c r="AI220" s="443"/>
      <c r="AJ220" s="443"/>
      <c r="AK220" s="443"/>
      <c r="AL220" s="443"/>
      <c r="AM220" s="443"/>
      <c r="AN220" s="443"/>
      <c r="AO220" s="443"/>
      <c r="AP220" s="443"/>
      <c r="AQ220" s="443"/>
      <c r="AR220" s="443"/>
      <c r="AS220" s="443"/>
      <c r="AT220" s="443"/>
      <c r="AU220" s="443"/>
      <c r="AV220" s="443"/>
      <c r="AW220" s="443"/>
      <c r="AX220" s="443"/>
      <c r="AY220" s="443"/>
      <c r="AZ220" s="443"/>
      <c r="BA220" s="443"/>
      <c r="BB220" s="443"/>
      <c r="BC220" s="443"/>
      <c r="BD220" s="443"/>
      <c r="BE220" s="443"/>
    </row>
    <row r="221" hidden="1">
      <c r="A221" s="445">
        <f t="shared" si="5"/>
        <v>45511</v>
      </c>
      <c r="B221" s="449">
        <v>480.0</v>
      </c>
      <c r="C221" s="462">
        <v>0.6</v>
      </c>
      <c r="D221" s="462">
        <v>0.9798611111111111</v>
      </c>
      <c r="E221" s="436">
        <f t="array" ref="E221">IF(B221=0,"",(J221+K221)/60)</f>
        <v>0.5</v>
      </c>
      <c r="F221" s="437">
        <f t="shared" si="1"/>
        <v>9.116666667</v>
      </c>
      <c r="G221" s="438">
        <f t="shared" si="2"/>
        <v>52.65082267</v>
      </c>
      <c r="H221" s="438">
        <f t="shared" si="3"/>
        <v>55.70599613</v>
      </c>
      <c r="I221" s="436">
        <f t="shared" si="6"/>
        <v>1.170018282</v>
      </c>
      <c r="J221" s="460">
        <v>30.0</v>
      </c>
      <c r="K221" s="464"/>
      <c r="L221" s="443"/>
      <c r="M221" s="447">
        <f>IFERROR(__xludf.DUMMYFUNCTION("""COMPUTED_VALUE"""),57.0)</f>
        <v>57</v>
      </c>
      <c r="N221" s="447">
        <f>IFERROR(__xludf.DUMMYFUNCTION("""COMPUTED_VALUE"""),53.0)</f>
        <v>53</v>
      </c>
      <c r="O221" s="447">
        <f>IFERROR(__xludf.DUMMYFUNCTION("""COMPUTED_VALUE"""),0.0)</f>
        <v>0</v>
      </c>
      <c r="P221" s="447">
        <f>IFERROR(__xludf.DUMMYFUNCTION("""COMPUTED_VALUE"""),0.0)</f>
        <v>0</v>
      </c>
      <c r="Q221" s="447">
        <f>IFERROR(__xludf.DUMMYFUNCTION("""COMPUTED_VALUE"""),0.0)</f>
        <v>0</v>
      </c>
      <c r="R221" s="447">
        <f>IFERROR(__xludf.DUMMYFUNCTION("""COMPUTED_VALUE"""),0.0)</f>
        <v>0</v>
      </c>
      <c r="S221" s="447">
        <f>IFERROR(__xludf.DUMMYFUNCTION("""COMPUTED_VALUE"""),5.0)</f>
        <v>5</v>
      </c>
      <c r="T221" s="447">
        <f>IFERROR(__xludf.DUMMYFUNCTION("""COMPUTED_VALUE"""),0.0)</f>
        <v>0</v>
      </c>
      <c r="U221" s="447">
        <f>IFERROR(__xludf.DUMMYFUNCTION("""COMPUTED_VALUE"""),3.0)</f>
        <v>3</v>
      </c>
      <c r="V221" s="447">
        <f>IFERROR(__xludf.DUMMYFUNCTION("""COMPUTED_VALUE"""),2.0)</f>
        <v>2</v>
      </c>
      <c r="W221" s="447">
        <f>IFERROR(__xludf.DUMMYFUNCTION("""COMPUTED_VALUE"""),1.0)</f>
        <v>1</v>
      </c>
      <c r="X221" s="447">
        <f>IFERROR(__xludf.DUMMYFUNCTION("""COMPUTED_VALUE"""),0.0)</f>
        <v>0</v>
      </c>
      <c r="Y221" s="447">
        <f>IFERROR(__xludf.DUMMYFUNCTION("""COMPUTED_VALUE"""),0.0)</f>
        <v>0</v>
      </c>
      <c r="Z221" s="447">
        <f>IFERROR(__xludf.DUMMYFUNCTION("""COMPUTED_VALUE"""),0.0)</f>
        <v>0</v>
      </c>
      <c r="AA221" s="447">
        <f>IFERROR(__xludf.DUMMYFUNCTION("""COMPUTED_VALUE"""),0.0)</f>
        <v>0</v>
      </c>
      <c r="AB221" s="447">
        <f>IFERROR(__xludf.DUMMYFUNCTION("""COMPUTED_VALUE"""),0.0)</f>
        <v>0</v>
      </c>
      <c r="AC221" s="447">
        <f>IFERROR(__xludf.DUMMYFUNCTION("""COMPUTED_VALUE"""),0.0)</f>
        <v>0</v>
      </c>
      <c r="AD221" s="447">
        <f>IFERROR(__xludf.DUMMYFUNCTION("""COMPUTED_VALUE"""),45.0)</f>
        <v>45</v>
      </c>
      <c r="AE221" s="447">
        <f>IFERROR(__xludf.DUMMYFUNCTION("""COMPUTED_VALUE"""),12.0)</f>
        <v>12</v>
      </c>
      <c r="AF221" s="447">
        <f>IFERROR(__xludf.DUMMYFUNCTION("""COMPUTED_VALUE"""),4.0)</f>
        <v>4</v>
      </c>
      <c r="AG221" s="443" t="s">
        <v>129</v>
      </c>
      <c r="AH221" s="443" t="s">
        <v>343</v>
      </c>
      <c r="AI221" s="443"/>
      <c r="AJ221" s="443"/>
      <c r="AK221" s="443"/>
      <c r="AL221" s="443"/>
      <c r="AM221" s="443"/>
      <c r="AN221" s="443"/>
      <c r="AO221" s="443"/>
      <c r="AP221" s="443"/>
      <c r="AQ221" s="443"/>
      <c r="AR221" s="443"/>
      <c r="AS221" s="443"/>
      <c r="AT221" s="443"/>
      <c r="AU221" s="443"/>
      <c r="AV221" s="443"/>
      <c r="AW221" s="443"/>
      <c r="AX221" s="443"/>
      <c r="AY221" s="443"/>
      <c r="AZ221" s="443"/>
      <c r="BA221" s="443"/>
      <c r="BB221" s="443"/>
      <c r="BC221" s="443"/>
      <c r="BD221" s="443"/>
      <c r="BE221" s="443"/>
    </row>
    <row r="222" hidden="1">
      <c r="A222" s="445">
        <f t="shared" si="5"/>
        <v>45512</v>
      </c>
      <c r="B222" s="449">
        <v>471.0</v>
      </c>
      <c r="C222" s="462">
        <v>0.6</v>
      </c>
      <c r="D222" s="462">
        <v>1.0555555555555556</v>
      </c>
      <c r="E222" s="436">
        <f t="array" ref="E222">IF(B222=0,"",(J222+K222)/60)</f>
        <v>1.45</v>
      </c>
      <c r="F222" s="437">
        <f t="shared" si="1"/>
        <v>10.93333333</v>
      </c>
      <c r="G222" s="438">
        <f t="shared" si="2"/>
        <v>43.07926829</v>
      </c>
      <c r="H222" s="438">
        <f t="shared" si="3"/>
        <v>49.66608084</v>
      </c>
      <c r="I222" s="436">
        <f t="shared" si="6"/>
        <v>0.9790742794</v>
      </c>
      <c r="J222" s="460">
        <v>30.0</v>
      </c>
      <c r="K222" s="460">
        <v>57.0</v>
      </c>
      <c r="L222" s="443"/>
      <c r="M222" s="447">
        <f>IFERROR(__xludf.DUMMYFUNCTION("""COMPUTED_VALUE"""),57.0)</f>
        <v>57</v>
      </c>
      <c r="N222" s="447">
        <f>IFERROR(__xludf.DUMMYFUNCTION("""COMPUTED_VALUE"""),53.0)</f>
        <v>53</v>
      </c>
      <c r="O222" s="447">
        <f>IFERROR(__xludf.DUMMYFUNCTION("""COMPUTED_VALUE"""),0.0)</f>
        <v>0</v>
      </c>
      <c r="P222" s="447">
        <f>IFERROR(__xludf.DUMMYFUNCTION("""COMPUTED_VALUE"""),0.0)</f>
        <v>0</v>
      </c>
      <c r="Q222" s="447">
        <f>IFERROR(__xludf.DUMMYFUNCTION("""COMPUTED_VALUE"""),0.0)</f>
        <v>0</v>
      </c>
      <c r="R222" s="447">
        <f>IFERROR(__xludf.DUMMYFUNCTION("""COMPUTED_VALUE"""),1.0)</f>
        <v>1</v>
      </c>
      <c r="S222" s="447">
        <f>IFERROR(__xludf.DUMMYFUNCTION("""COMPUTED_VALUE"""),5.0)</f>
        <v>5</v>
      </c>
      <c r="T222" s="447">
        <f>IFERROR(__xludf.DUMMYFUNCTION("""COMPUTED_VALUE"""),0.0)</f>
        <v>0</v>
      </c>
      <c r="U222" s="447">
        <f>IFERROR(__xludf.DUMMYFUNCTION("""COMPUTED_VALUE"""),3.0)</f>
        <v>3</v>
      </c>
      <c r="V222" s="447">
        <f>IFERROR(__xludf.DUMMYFUNCTION("""COMPUTED_VALUE"""),2.0)</f>
        <v>2</v>
      </c>
      <c r="W222" s="447">
        <f>IFERROR(__xludf.DUMMYFUNCTION("""COMPUTED_VALUE"""),1.0)</f>
        <v>1</v>
      </c>
      <c r="X222" s="447">
        <f>IFERROR(__xludf.DUMMYFUNCTION("""COMPUTED_VALUE"""),0.0)</f>
        <v>0</v>
      </c>
      <c r="Y222" s="447">
        <f>IFERROR(__xludf.DUMMYFUNCTION("""COMPUTED_VALUE"""),0.0)</f>
        <v>0</v>
      </c>
      <c r="Z222" s="447">
        <f>IFERROR(__xludf.DUMMYFUNCTION("""COMPUTED_VALUE"""),0.0)</f>
        <v>0</v>
      </c>
      <c r="AA222" s="447">
        <f>IFERROR(__xludf.DUMMYFUNCTION("""COMPUTED_VALUE"""),0.0)</f>
        <v>0</v>
      </c>
      <c r="AB222" s="447">
        <f>IFERROR(__xludf.DUMMYFUNCTION("""COMPUTED_VALUE"""),0.0)</f>
        <v>0</v>
      </c>
      <c r="AC222" s="447">
        <f>IFERROR(__xludf.DUMMYFUNCTION("""COMPUTED_VALUE"""),0.0)</f>
        <v>0</v>
      </c>
      <c r="AD222" s="447">
        <f>IFERROR(__xludf.DUMMYFUNCTION("""COMPUTED_VALUE"""),44.0)</f>
        <v>44</v>
      </c>
      <c r="AE222" s="447">
        <f>IFERROR(__xludf.DUMMYFUNCTION("""COMPUTED_VALUE"""),12.0)</f>
        <v>12</v>
      </c>
      <c r="AF222" s="447">
        <f>IFERROR(__xludf.DUMMYFUNCTION("""COMPUTED_VALUE"""),4.0)</f>
        <v>4</v>
      </c>
      <c r="AG222" s="443" t="s">
        <v>129</v>
      </c>
      <c r="AH222" s="443" t="s">
        <v>343</v>
      </c>
      <c r="AI222" s="443"/>
      <c r="AJ222" s="443"/>
      <c r="AK222" s="443"/>
      <c r="AL222" s="443"/>
      <c r="AM222" s="443"/>
      <c r="AN222" s="443"/>
      <c r="AO222" s="443"/>
      <c r="AP222" s="443"/>
      <c r="AQ222" s="443"/>
      <c r="AR222" s="443"/>
      <c r="AS222" s="443"/>
      <c r="AT222" s="443"/>
      <c r="AU222" s="443"/>
      <c r="AV222" s="443"/>
      <c r="AW222" s="443"/>
      <c r="AX222" s="443"/>
      <c r="AY222" s="443"/>
      <c r="AZ222" s="443"/>
      <c r="BA222" s="443"/>
      <c r="BB222" s="443"/>
      <c r="BC222" s="443"/>
      <c r="BD222" s="443"/>
      <c r="BE222" s="443"/>
    </row>
    <row r="223" hidden="1">
      <c r="A223" s="445">
        <f t="shared" si="5"/>
        <v>45513</v>
      </c>
      <c r="B223" s="449">
        <v>414.0</v>
      </c>
      <c r="C223" s="462">
        <v>0.6416666666666667</v>
      </c>
      <c r="D223" s="462">
        <v>0.99375</v>
      </c>
      <c r="E223" s="436">
        <f t="array" ref="E223">IF(B223=0,"",(J223+K223)/60)</f>
        <v>1.483333333</v>
      </c>
      <c r="F223" s="437">
        <f t="shared" si="1"/>
        <v>8.45</v>
      </c>
      <c r="G223" s="438">
        <f t="shared" si="2"/>
        <v>48.99408284</v>
      </c>
      <c r="H223" s="438">
        <f t="shared" si="3"/>
        <v>59.42583732</v>
      </c>
      <c r="I223" s="436">
        <f t="shared" si="6"/>
        <v>1.113501883</v>
      </c>
      <c r="J223" s="460">
        <v>30.0</v>
      </c>
      <c r="K223" s="460">
        <v>59.0</v>
      </c>
      <c r="L223" s="443"/>
      <c r="M223" s="447">
        <f>IFERROR(__xludf.DUMMYFUNCTION("""COMPUTED_VALUE"""),57.0)</f>
        <v>57</v>
      </c>
      <c r="N223" s="447">
        <f>IFERROR(__xludf.DUMMYFUNCTION("""COMPUTED_VALUE"""),52.0)</f>
        <v>52</v>
      </c>
      <c r="O223" s="447">
        <f>IFERROR(__xludf.DUMMYFUNCTION("""COMPUTED_VALUE"""),0.0)</f>
        <v>0</v>
      </c>
      <c r="P223" s="447">
        <f>IFERROR(__xludf.DUMMYFUNCTION("""COMPUTED_VALUE"""),0.0)</f>
        <v>0</v>
      </c>
      <c r="Q223" s="447">
        <f>IFERROR(__xludf.DUMMYFUNCTION("""COMPUTED_VALUE"""),0.0)</f>
        <v>0</v>
      </c>
      <c r="R223" s="447">
        <f>IFERROR(__xludf.DUMMYFUNCTION("""COMPUTED_VALUE"""),0.0)</f>
        <v>0</v>
      </c>
      <c r="S223" s="447">
        <f>IFERROR(__xludf.DUMMYFUNCTION("""COMPUTED_VALUE"""),6.0)</f>
        <v>6</v>
      </c>
      <c r="T223" s="447">
        <f>IFERROR(__xludf.DUMMYFUNCTION("""COMPUTED_VALUE"""),0.0)</f>
        <v>0</v>
      </c>
      <c r="U223" s="447">
        <f>IFERROR(__xludf.DUMMYFUNCTION("""COMPUTED_VALUE"""),4.0)</f>
        <v>4</v>
      </c>
      <c r="V223" s="447">
        <f>IFERROR(__xludf.DUMMYFUNCTION("""COMPUTED_VALUE"""),2.0)</f>
        <v>2</v>
      </c>
      <c r="W223" s="447">
        <f>IFERROR(__xludf.DUMMYFUNCTION("""COMPUTED_VALUE"""),1.0)</f>
        <v>1</v>
      </c>
      <c r="X223" s="447">
        <f>IFERROR(__xludf.DUMMYFUNCTION("""COMPUTED_VALUE"""),0.0)</f>
        <v>0</v>
      </c>
      <c r="Y223" s="447">
        <f>IFERROR(__xludf.DUMMYFUNCTION("""COMPUTED_VALUE"""),0.0)</f>
        <v>0</v>
      </c>
      <c r="Z223" s="447">
        <f>IFERROR(__xludf.DUMMYFUNCTION("""COMPUTED_VALUE"""),0.0)</f>
        <v>0</v>
      </c>
      <c r="AA223" s="447">
        <f>IFERROR(__xludf.DUMMYFUNCTION("""COMPUTED_VALUE"""),0.0)</f>
        <v>0</v>
      </c>
      <c r="AB223" s="447">
        <f>IFERROR(__xludf.DUMMYFUNCTION("""COMPUTED_VALUE"""),0.0)</f>
        <v>0</v>
      </c>
      <c r="AC223" s="447">
        <f>IFERROR(__xludf.DUMMYFUNCTION("""COMPUTED_VALUE"""),0.0)</f>
        <v>0</v>
      </c>
      <c r="AD223" s="447">
        <f>IFERROR(__xludf.DUMMYFUNCTION("""COMPUTED_VALUE"""),44.0)</f>
        <v>44</v>
      </c>
      <c r="AE223" s="447">
        <f>IFERROR(__xludf.DUMMYFUNCTION("""COMPUTED_VALUE"""),14.0)</f>
        <v>14</v>
      </c>
      <c r="AF223" s="447">
        <f>IFERROR(__xludf.DUMMYFUNCTION("""COMPUTED_VALUE"""),5.0)</f>
        <v>5</v>
      </c>
      <c r="AG223" s="443" t="s">
        <v>129</v>
      </c>
      <c r="AH223" s="443" t="s">
        <v>343</v>
      </c>
      <c r="AI223" s="443"/>
      <c r="AJ223" s="443"/>
      <c r="AK223" s="443"/>
      <c r="AL223" s="443"/>
      <c r="AM223" s="443"/>
      <c r="AN223" s="443"/>
      <c r="AO223" s="443"/>
      <c r="AP223" s="443"/>
      <c r="AQ223" s="443"/>
      <c r="AR223" s="443"/>
      <c r="AS223" s="443"/>
      <c r="AT223" s="443"/>
      <c r="AU223" s="443"/>
      <c r="AV223" s="443"/>
      <c r="AW223" s="443"/>
      <c r="AX223" s="443"/>
      <c r="AY223" s="443"/>
      <c r="AZ223" s="443"/>
      <c r="BA223" s="443"/>
      <c r="BB223" s="443"/>
      <c r="BC223" s="443"/>
      <c r="BD223" s="443"/>
      <c r="BE223" s="443"/>
    </row>
    <row r="224" hidden="1">
      <c r="A224" s="445">
        <f t="shared" si="5"/>
        <v>45514</v>
      </c>
      <c r="B224" s="449">
        <v>312.0</v>
      </c>
      <c r="C224" s="462">
        <v>0.5583333333333333</v>
      </c>
      <c r="D224" s="462">
        <v>0.7986111111111112</v>
      </c>
      <c r="E224" s="436">
        <f t="array" ref="E224">IF(B224=0,"",(J224+K224)/60)</f>
        <v>0</v>
      </c>
      <c r="F224" s="437">
        <f t="shared" si="1"/>
        <v>5.766666667</v>
      </c>
      <c r="G224" s="438">
        <f t="shared" si="2"/>
        <v>54.10404624</v>
      </c>
      <c r="H224" s="438">
        <f t="shared" si="3"/>
        <v>54.10404624</v>
      </c>
      <c r="I224" s="436">
        <f t="shared" si="6"/>
        <v>1.15114992</v>
      </c>
      <c r="J224" s="460">
        <v>0.0</v>
      </c>
      <c r="K224" s="464"/>
      <c r="L224" s="528" t="s">
        <v>607</v>
      </c>
      <c r="M224" s="447">
        <f>IFERROR(__xludf.DUMMYFUNCTION("""COMPUTED_VALUE"""),57.0)</f>
        <v>57</v>
      </c>
      <c r="N224" s="447">
        <f>IFERROR(__xludf.DUMMYFUNCTION("""COMPUTED_VALUE"""),52.0)</f>
        <v>52</v>
      </c>
      <c r="O224" s="447">
        <f>IFERROR(__xludf.DUMMYFUNCTION("""COMPUTED_VALUE"""),0.0)</f>
        <v>0</v>
      </c>
      <c r="P224" s="447">
        <f>IFERROR(__xludf.DUMMYFUNCTION("""COMPUTED_VALUE"""),0.0)</f>
        <v>0</v>
      </c>
      <c r="Q224" s="447">
        <f>IFERROR(__xludf.DUMMYFUNCTION("""COMPUTED_VALUE"""),0.0)</f>
        <v>0</v>
      </c>
      <c r="R224" s="447">
        <f>IFERROR(__xludf.DUMMYFUNCTION("""COMPUTED_VALUE"""),0.0)</f>
        <v>0</v>
      </c>
      <c r="S224" s="447">
        <f>IFERROR(__xludf.DUMMYFUNCTION("""COMPUTED_VALUE"""),5.0)</f>
        <v>5</v>
      </c>
      <c r="T224" s="447">
        <f>IFERROR(__xludf.DUMMYFUNCTION("""COMPUTED_VALUE"""),0.0)</f>
        <v>0</v>
      </c>
      <c r="U224" s="447">
        <f>IFERROR(__xludf.DUMMYFUNCTION("""COMPUTED_VALUE"""),4.0)</f>
        <v>4</v>
      </c>
      <c r="V224" s="447">
        <f>IFERROR(__xludf.DUMMYFUNCTION("""COMPUTED_VALUE"""),1.0)</f>
        <v>1</v>
      </c>
      <c r="W224" s="447">
        <f>IFERROR(__xludf.DUMMYFUNCTION("""COMPUTED_VALUE"""),0.0)</f>
        <v>0</v>
      </c>
      <c r="X224" s="447">
        <f>IFERROR(__xludf.DUMMYFUNCTION("""COMPUTED_VALUE"""),0.0)</f>
        <v>0</v>
      </c>
      <c r="Y224" s="447">
        <f>IFERROR(__xludf.DUMMYFUNCTION("""COMPUTED_VALUE"""),0.0)</f>
        <v>0</v>
      </c>
      <c r="Z224" s="447">
        <f>IFERROR(__xludf.DUMMYFUNCTION("""COMPUTED_VALUE"""),0.0)</f>
        <v>0</v>
      </c>
      <c r="AA224" s="447">
        <f>IFERROR(__xludf.DUMMYFUNCTION("""COMPUTED_VALUE"""),0.0)</f>
        <v>0</v>
      </c>
      <c r="AB224" s="447">
        <f>IFERROR(__xludf.DUMMYFUNCTION("""COMPUTED_VALUE"""),0.0)</f>
        <v>0</v>
      </c>
      <c r="AC224" s="447">
        <f>IFERROR(__xludf.DUMMYFUNCTION("""COMPUTED_VALUE"""),0.0)</f>
        <v>0</v>
      </c>
      <c r="AD224" s="447">
        <f>IFERROR(__xludf.DUMMYFUNCTION("""COMPUTED_VALUE"""),47.0)</f>
        <v>47</v>
      </c>
      <c r="AE224" s="447">
        <f>IFERROR(__xludf.DUMMYFUNCTION("""COMPUTED_VALUE"""),11.0)</f>
        <v>11</v>
      </c>
      <c r="AF224" s="447">
        <f>IFERROR(__xludf.DUMMYFUNCTION("""COMPUTED_VALUE"""),5.0)</f>
        <v>5</v>
      </c>
      <c r="AG224" s="443" t="s">
        <v>129</v>
      </c>
      <c r="AH224" s="443" t="s">
        <v>343</v>
      </c>
      <c r="AI224" s="443"/>
      <c r="AJ224" s="443"/>
      <c r="AK224" s="443"/>
      <c r="AL224" s="443"/>
      <c r="AM224" s="443"/>
      <c r="AN224" s="443"/>
      <c r="AO224" s="443"/>
      <c r="AP224" s="443"/>
      <c r="AQ224" s="443"/>
      <c r="AR224" s="443"/>
      <c r="AS224" s="443"/>
      <c r="AT224" s="443"/>
      <c r="AU224" s="443"/>
      <c r="AV224" s="443"/>
      <c r="AW224" s="443"/>
      <c r="AX224" s="443"/>
      <c r="AY224" s="443"/>
      <c r="AZ224" s="443"/>
      <c r="BA224" s="443"/>
      <c r="BB224" s="443"/>
      <c r="BC224" s="443"/>
      <c r="BD224" s="443"/>
      <c r="BE224" s="443"/>
    </row>
    <row r="225" hidden="1">
      <c r="A225" s="445">
        <f t="shared" si="5"/>
        <v>45515</v>
      </c>
      <c r="B225" s="449">
        <v>0.0</v>
      </c>
      <c r="C225" s="443"/>
      <c r="D225" s="443"/>
      <c r="E225" s="436" t="str">
        <f t="array" ref="E225">IF(B225=0,"",(J225+K225)/60)</f>
        <v/>
      </c>
      <c r="F225" s="437" t="str">
        <f t="shared" si="1"/>
        <v/>
      </c>
      <c r="G225" s="438" t="str">
        <f t="shared" si="2"/>
        <v/>
      </c>
      <c r="H225" s="438" t="str">
        <f t="shared" si="3"/>
        <v/>
      </c>
      <c r="I225" s="436" t="str">
        <f t="shared" si="6"/>
        <v/>
      </c>
      <c r="J225" s="464"/>
      <c r="K225" s="464"/>
      <c r="L225" s="443"/>
      <c r="M225" s="447">
        <f>IFERROR(__xludf.DUMMYFUNCTION("""COMPUTED_VALUE"""),57.0)</f>
        <v>57</v>
      </c>
      <c r="N225" s="447">
        <f>IFERROR(__xludf.DUMMYFUNCTION("""COMPUTED_VALUE"""),57.0)</f>
        <v>57</v>
      </c>
      <c r="O225" s="447">
        <f>IFERROR(__xludf.DUMMYFUNCTION("""COMPUTED_VALUE"""),0.0)</f>
        <v>0</v>
      </c>
      <c r="P225" s="447">
        <f>IFERROR(__xludf.DUMMYFUNCTION("""COMPUTED_VALUE"""),0.0)</f>
        <v>0</v>
      </c>
      <c r="Q225" s="447">
        <f>IFERROR(__xludf.DUMMYFUNCTION("""COMPUTED_VALUE"""),0.0)</f>
        <v>0</v>
      </c>
      <c r="R225" s="447">
        <f>IFERROR(__xludf.DUMMYFUNCTION("""COMPUTED_VALUE"""),0.0)</f>
        <v>0</v>
      </c>
      <c r="S225" s="447">
        <f>IFERROR(__xludf.DUMMYFUNCTION("""COMPUTED_VALUE"""),0.0)</f>
        <v>0</v>
      </c>
      <c r="T225" s="447">
        <f>IFERROR(__xludf.DUMMYFUNCTION("""COMPUTED_VALUE"""),0.0)</f>
        <v>0</v>
      </c>
      <c r="U225" s="447">
        <f>IFERROR(__xludf.DUMMYFUNCTION("""COMPUTED_VALUE"""),0.0)</f>
        <v>0</v>
      </c>
      <c r="V225" s="447">
        <f>IFERROR(__xludf.DUMMYFUNCTION("""COMPUTED_VALUE"""),0.0)</f>
        <v>0</v>
      </c>
      <c r="W225" s="447">
        <f>IFERROR(__xludf.DUMMYFUNCTION("""COMPUTED_VALUE"""),0.0)</f>
        <v>0</v>
      </c>
      <c r="X225" s="447">
        <f>IFERROR(__xludf.DUMMYFUNCTION("""COMPUTED_VALUE"""),0.0)</f>
        <v>0</v>
      </c>
      <c r="Y225" s="447">
        <f>IFERROR(__xludf.DUMMYFUNCTION("""COMPUTED_VALUE"""),0.0)</f>
        <v>0</v>
      </c>
      <c r="Z225" s="447">
        <f>IFERROR(__xludf.DUMMYFUNCTION("""COMPUTED_VALUE"""),0.0)</f>
        <v>0</v>
      </c>
      <c r="AA225" s="447">
        <f>IFERROR(__xludf.DUMMYFUNCTION("""COMPUTED_VALUE"""),0.0)</f>
        <v>0</v>
      </c>
      <c r="AB225" s="447">
        <f>IFERROR(__xludf.DUMMYFUNCTION("""COMPUTED_VALUE"""),0.0)</f>
        <v>0</v>
      </c>
      <c r="AC225" s="447">
        <f>IFERROR(__xludf.DUMMYFUNCTION("""COMPUTED_VALUE"""),0.0)</f>
        <v>0</v>
      </c>
      <c r="AD225" s="447">
        <f>IFERROR(__xludf.DUMMYFUNCTION("""COMPUTED_VALUE"""),0.0)</f>
        <v>0</v>
      </c>
      <c r="AE225" s="447">
        <f>IFERROR(__xludf.DUMMYFUNCTION("""COMPUTED_VALUE"""),0.0)</f>
        <v>0</v>
      </c>
      <c r="AF225" s="447">
        <f>IFERROR(__xludf.DUMMYFUNCTION("""COMPUTED_VALUE"""),0.0)</f>
        <v>0</v>
      </c>
      <c r="AG225" s="443" t="s">
        <v>129</v>
      </c>
      <c r="AH225" s="443" t="s">
        <v>343</v>
      </c>
      <c r="AI225" s="443"/>
      <c r="AJ225" s="443"/>
      <c r="AK225" s="443"/>
      <c r="AL225" s="443"/>
      <c r="AM225" s="443"/>
      <c r="AN225" s="443"/>
      <c r="AO225" s="443"/>
      <c r="AP225" s="443"/>
      <c r="AQ225" s="443"/>
      <c r="AR225" s="443"/>
      <c r="AS225" s="443"/>
      <c r="AT225" s="443"/>
      <c r="AU225" s="443"/>
      <c r="AV225" s="443"/>
      <c r="AW225" s="443"/>
      <c r="AX225" s="443"/>
      <c r="AY225" s="443"/>
      <c r="AZ225" s="443"/>
      <c r="BA225" s="443"/>
      <c r="BB225" s="443"/>
      <c r="BC225" s="443"/>
      <c r="BD225" s="443"/>
      <c r="BE225" s="443"/>
    </row>
    <row r="226" hidden="1">
      <c r="A226" s="445">
        <f t="shared" si="5"/>
        <v>45516</v>
      </c>
      <c r="B226" s="449">
        <v>405.0</v>
      </c>
      <c r="C226" s="462">
        <v>0.5583333333333333</v>
      </c>
      <c r="D226" s="462">
        <v>0.9097222222222222</v>
      </c>
      <c r="E226" s="436">
        <f t="array" ref="E226">IF(B226=0,"",(J226+K226)/60)</f>
        <v>0.5</v>
      </c>
      <c r="F226" s="437">
        <f t="shared" si="1"/>
        <v>8.433333333</v>
      </c>
      <c r="G226" s="438">
        <f t="shared" si="2"/>
        <v>48.02371542</v>
      </c>
      <c r="H226" s="438">
        <f t="shared" si="3"/>
        <v>51.05042017</v>
      </c>
      <c r="I226" s="436">
        <f t="shared" si="6"/>
        <v>1.021781179</v>
      </c>
      <c r="J226" s="460">
        <v>30.0</v>
      </c>
      <c r="K226" s="464"/>
      <c r="L226" s="443"/>
      <c r="M226" s="447">
        <f>IFERROR(__xludf.DUMMYFUNCTION("""COMPUTED_VALUE"""),57.0)</f>
        <v>57</v>
      </c>
      <c r="N226" s="447">
        <f>IFERROR(__xludf.DUMMYFUNCTION("""COMPUTED_VALUE"""),52.0)</f>
        <v>52</v>
      </c>
      <c r="O226" s="447">
        <f>IFERROR(__xludf.DUMMYFUNCTION("""COMPUTED_VALUE"""),0.0)</f>
        <v>0</v>
      </c>
      <c r="P226" s="447">
        <f>IFERROR(__xludf.DUMMYFUNCTION("""COMPUTED_VALUE"""),1.0)</f>
        <v>1</v>
      </c>
      <c r="Q226" s="447">
        <f>IFERROR(__xludf.DUMMYFUNCTION("""COMPUTED_VALUE"""),0.0)</f>
        <v>0</v>
      </c>
      <c r="R226" s="447">
        <f>IFERROR(__xludf.DUMMYFUNCTION("""COMPUTED_VALUE"""),0.0)</f>
        <v>0</v>
      </c>
      <c r="S226" s="447">
        <f>IFERROR(__xludf.DUMMYFUNCTION("""COMPUTED_VALUE"""),2.0)</f>
        <v>2</v>
      </c>
      <c r="T226" s="447">
        <f>IFERROR(__xludf.DUMMYFUNCTION("""COMPUTED_VALUE"""),1.0)</f>
        <v>1</v>
      </c>
      <c r="U226" s="447">
        <f>IFERROR(__xludf.DUMMYFUNCTION("""COMPUTED_VALUE"""),4.0)</f>
        <v>4</v>
      </c>
      <c r="V226" s="447">
        <f>IFERROR(__xludf.DUMMYFUNCTION("""COMPUTED_VALUE"""),1.0)</f>
        <v>1</v>
      </c>
      <c r="W226" s="447">
        <f>IFERROR(__xludf.DUMMYFUNCTION("""COMPUTED_VALUE"""),0.0)</f>
        <v>0</v>
      </c>
      <c r="X226" s="447">
        <f>IFERROR(__xludf.DUMMYFUNCTION("""COMPUTED_VALUE"""),0.0)</f>
        <v>0</v>
      </c>
      <c r="Y226" s="447">
        <f>IFERROR(__xludf.DUMMYFUNCTION("""COMPUTED_VALUE"""),0.0)</f>
        <v>0</v>
      </c>
      <c r="Z226" s="447">
        <f>IFERROR(__xludf.DUMMYFUNCTION("""COMPUTED_VALUE"""),0.0)</f>
        <v>0</v>
      </c>
      <c r="AA226" s="447">
        <f>IFERROR(__xludf.DUMMYFUNCTION("""COMPUTED_VALUE"""),0.0)</f>
        <v>0</v>
      </c>
      <c r="AB226" s="447">
        <f>IFERROR(__xludf.DUMMYFUNCTION("""COMPUTED_VALUE"""),0.0)</f>
        <v>0</v>
      </c>
      <c r="AC226" s="447">
        <f>IFERROR(__xludf.DUMMYFUNCTION("""COMPUTED_VALUE"""),0.0)</f>
        <v>0</v>
      </c>
      <c r="AD226" s="447">
        <f>IFERROR(__xludf.DUMMYFUNCTION("""COMPUTED_VALUE"""),47.0)</f>
        <v>47</v>
      </c>
      <c r="AE226" s="447">
        <f>IFERROR(__xludf.DUMMYFUNCTION("""COMPUTED_VALUE"""),10.0)</f>
        <v>10</v>
      </c>
      <c r="AF226" s="447">
        <f>IFERROR(__xludf.DUMMYFUNCTION("""COMPUTED_VALUE"""),5.0)</f>
        <v>5</v>
      </c>
      <c r="AG226" s="443" t="s">
        <v>129</v>
      </c>
      <c r="AH226" s="443" t="s">
        <v>343</v>
      </c>
      <c r="AI226" s="443"/>
      <c r="AJ226" s="443"/>
      <c r="AK226" s="443"/>
      <c r="AL226" s="443"/>
      <c r="AM226" s="443"/>
      <c r="AN226" s="443"/>
      <c r="AO226" s="443"/>
      <c r="AP226" s="443"/>
      <c r="AQ226" s="443"/>
      <c r="AR226" s="443"/>
      <c r="AS226" s="443"/>
      <c r="AT226" s="443"/>
      <c r="AU226" s="443"/>
      <c r="AV226" s="443"/>
      <c r="AW226" s="443"/>
      <c r="AX226" s="443"/>
      <c r="AY226" s="443"/>
      <c r="AZ226" s="443"/>
      <c r="BA226" s="443"/>
      <c r="BB226" s="443"/>
      <c r="BC226" s="443"/>
      <c r="BD226" s="443"/>
      <c r="BE226" s="443"/>
    </row>
    <row r="227" hidden="1">
      <c r="A227" s="445">
        <f t="shared" si="5"/>
        <v>45517</v>
      </c>
      <c r="B227" s="449">
        <v>351.0</v>
      </c>
      <c r="C227" s="462">
        <v>0.6</v>
      </c>
      <c r="D227" s="462">
        <v>0.8784722222222222</v>
      </c>
      <c r="E227" s="436">
        <f t="array" ref="E227">IF(B227=0,"",(J227+K227)/60)</f>
        <v>0.25</v>
      </c>
      <c r="F227" s="437">
        <f t="shared" si="1"/>
        <v>6.683333333</v>
      </c>
      <c r="G227" s="438">
        <f t="shared" si="2"/>
        <v>52.51870324</v>
      </c>
      <c r="H227" s="438">
        <f t="shared" si="3"/>
        <v>54.55958549</v>
      </c>
      <c r="I227" s="436">
        <f t="shared" si="6"/>
        <v>1.07181027</v>
      </c>
      <c r="J227" s="460">
        <v>15.0</v>
      </c>
      <c r="K227" s="464"/>
      <c r="L227" s="443"/>
      <c r="M227" s="447">
        <f>IFERROR(__xludf.DUMMYFUNCTION("""COMPUTED_VALUE"""),57.0)</f>
        <v>57</v>
      </c>
      <c r="N227" s="447">
        <f>IFERROR(__xludf.DUMMYFUNCTION("""COMPUTED_VALUE"""),54.0)</f>
        <v>54</v>
      </c>
      <c r="O227" s="447">
        <f>IFERROR(__xludf.DUMMYFUNCTION("""COMPUTED_VALUE"""),0.0)</f>
        <v>0</v>
      </c>
      <c r="P227" s="447">
        <f>IFERROR(__xludf.DUMMYFUNCTION("""COMPUTED_VALUE"""),0.0)</f>
        <v>0</v>
      </c>
      <c r="Q227" s="447">
        <f>IFERROR(__xludf.DUMMYFUNCTION("""COMPUTED_VALUE"""),0.0)</f>
        <v>0</v>
      </c>
      <c r="R227" s="447">
        <f>IFERROR(__xludf.DUMMYFUNCTION("""COMPUTED_VALUE"""),0.0)</f>
        <v>0</v>
      </c>
      <c r="S227" s="447">
        <f>IFERROR(__xludf.DUMMYFUNCTION("""COMPUTED_VALUE"""),2.0)</f>
        <v>2</v>
      </c>
      <c r="T227" s="447">
        <f>IFERROR(__xludf.DUMMYFUNCTION("""COMPUTED_VALUE"""),0.0)</f>
        <v>0</v>
      </c>
      <c r="U227" s="447">
        <f>IFERROR(__xludf.DUMMYFUNCTION("""COMPUTED_VALUE"""),2.0)</f>
        <v>2</v>
      </c>
      <c r="V227" s="447">
        <f>IFERROR(__xludf.DUMMYFUNCTION("""COMPUTED_VALUE"""),1.0)</f>
        <v>1</v>
      </c>
      <c r="W227" s="447">
        <f>IFERROR(__xludf.DUMMYFUNCTION("""COMPUTED_VALUE"""),0.0)</f>
        <v>0</v>
      </c>
      <c r="X227" s="447">
        <f>IFERROR(__xludf.DUMMYFUNCTION("""COMPUTED_VALUE"""),0.0)</f>
        <v>0</v>
      </c>
      <c r="Y227" s="447">
        <f>IFERROR(__xludf.DUMMYFUNCTION("""COMPUTED_VALUE"""),0.0)</f>
        <v>0</v>
      </c>
      <c r="Z227" s="447">
        <f>IFERROR(__xludf.DUMMYFUNCTION("""COMPUTED_VALUE"""),0.0)</f>
        <v>0</v>
      </c>
      <c r="AA227" s="447">
        <f>IFERROR(__xludf.DUMMYFUNCTION("""COMPUTED_VALUE"""),0.0)</f>
        <v>0</v>
      </c>
      <c r="AB227" s="447">
        <f>IFERROR(__xludf.DUMMYFUNCTION("""COMPUTED_VALUE"""),2.0)</f>
        <v>2</v>
      </c>
      <c r="AC227" s="447">
        <f>IFERROR(__xludf.DUMMYFUNCTION("""COMPUTED_VALUE"""),0.0)</f>
        <v>0</v>
      </c>
      <c r="AD227" s="447">
        <f>IFERROR(__xludf.DUMMYFUNCTION("""COMPUTED_VALUE"""),49.0)</f>
        <v>49</v>
      </c>
      <c r="AE227" s="447">
        <f>IFERROR(__xludf.DUMMYFUNCTION("""COMPUTED_VALUE"""),6.0)</f>
        <v>6</v>
      </c>
      <c r="AF227" s="447">
        <f>IFERROR(__xludf.DUMMYFUNCTION("""COMPUTED_VALUE"""),3.0)</f>
        <v>3</v>
      </c>
      <c r="AG227" s="443" t="s">
        <v>129</v>
      </c>
      <c r="AH227" s="443" t="s">
        <v>343</v>
      </c>
      <c r="AI227" s="443"/>
      <c r="AJ227" s="443"/>
      <c r="AK227" s="443"/>
      <c r="AL227" s="443"/>
      <c r="AM227" s="443"/>
      <c r="AN227" s="443"/>
      <c r="AO227" s="443"/>
      <c r="AP227" s="443"/>
      <c r="AQ227" s="443"/>
      <c r="AR227" s="443"/>
      <c r="AS227" s="443"/>
      <c r="AT227" s="443"/>
      <c r="AU227" s="443"/>
      <c r="AV227" s="443"/>
      <c r="AW227" s="443"/>
      <c r="AX227" s="443"/>
      <c r="AY227" s="443"/>
      <c r="AZ227" s="443"/>
      <c r="BA227" s="443"/>
      <c r="BB227" s="443"/>
      <c r="BC227" s="443"/>
      <c r="BD227" s="443"/>
      <c r="BE227" s="443"/>
    </row>
    <row r="228" hidden="1">
      <c r="A228" s="445">
        <f t="shared" si="5"/>
        <v>45518</v>
      </c>
      <c r="B228" s="449">
        <v>497.0</v>
      </c>
      <c r="C228" s="462">
        <v>0.6</v>
      </c>
      <c r="D228" s="462">
        <v>0.9833333333333333</v>
      </c>
      <c r="E228" s="436">
        <f t="array" ref="E228">IF(B228=0,"",(J228+K228)/60)</f>
        <v>0.5</v>
      </c>
      <c r="F228" s="437">
        <f t="shared" si="1"/>
        <v>9.2</v>
      </c>
      <c r="G228" s="438">
        <f t="shared" si="2"/>
        <v>54.02173913</v>
      </c>
      <c r="H228" s="438">
        <f t="shared" si="3"/>
        <v>57.12643678</v>
      </c>
      <c r="I228" s="436">
        <f t="shared" si="6"/>
        <v>1.080434783</v>
      </c>
      <c r="J228" s="460">
        <v>30.0</v>
      </c>
      <c r="K228" s="464"/>
      <c r="L228" s="443"/>
      <c r="M228" s="447">
        <f>IFERROR(__xludf.DUMMYFUNCTION("""COMPUTED_VALUE"""),57.0)</f>
        <v>57</v>
      </c>
      <c r="N228" s="447">
        <f>IFERROR(__xludf.DUMMYFUNCTION("""COMPUTED_VALUE"""),54.0)</f>
        <v>54</v>
      </c>
      <c r="O228" s="447">
        <f>IFERROR(__xludf.DUMMYFUNCTION("""COMPUTED_VALUE"""),0.0)</f>
        <v>0</v>
      </c>
      <c r="P228" s="447">
        <f>IFERROR(__xludf.DUMMYFUNCTION("""COMPUTED_VALUE"""),0.0)</f>
        <v>0</v>
      </c>
      <c r="Q228" s="447">
        <f>IFERROR(__xludf.DUMMYFUNCTION("""COMPUTED_VALUE"""),0.0)</f>
        <v>0</v>
      </c>
      <c r="R228" s="447">
        <f>IFERROR(__xludf.DUMMYFUNCTION("""COMPUTED_VALUE"""),0.0)</f>
        <v>0</v>
      </c>
      <c r="S228" s="447">
        <f>IFERROR(__xludf.DUMMYFUNCTION("""COMPUTED_VALUE"""),3.0)</f>
        <v>3</v>
      </c>
      <c r="T228" s="447">
        <f>IFERROR(__xludf.DUMMYFUNCTION("""COMPUTED_VALUE"""),0.0)</f>
        <v>0</v>
      </c>
      <c r="U228" s="447">
        <f>IFERROR(__xludf.DUMMYFUNCTION("""COMPUTED_VALUE"""),2.0)</f>
        <v>2</v>
      </c>
      <c r="V228" s="447">
        <f>IFERROR(__xludf.DUMMYFUNCTION("""COMPUTED_VALUE"""),1.0)</f>
        <v>1</v>
      </c>
      <c r="W228" s="447">
        <f>IFERROR(__xludf.DUMMYFUNCTION("""COMPUTED_VALUE"""),0.0)</f>
        <v>0</v>
      </c>
      <c r="X228" s="447">
        <f>IFERROR(__xludf.DUMMYFUNCTION("""COMPUTED_VALUE"""),0.0)</f>
        <v>0</v>
      </c>
      <c r="Y228" s="447">
        <f>IFERROR(__xludf.DUMMYFUNCTION("""COMPUTED_VALUE"""),0.0)</f>
        <v>0</v>
      </c>
      <c r="Z228" s="447">
        <f>IFERROR(__xludf.DUMMYFUNCTION("""COMPUTED_VALUE"""),0.0)</f>
        <v>0</v>
      </c>
      <c r="AA228" s="447">
        <f>IFERROR(__xludf.DUMMYFUNCTION("""COMPUTED_VALUE"""),0.0)</f>
        <v>0</v>
      </c>
      <c r="AB228" s="447">
        <f>IFERROR(__xludf.DUMMYFUNCTION("""COMPUTED_VALUE"""),0.0)</f>
        <v>0</v>
      </c>
      <c r="AC228" s="447">
        <f>IFERROR(__xludf.DUMMYFUNCTION("""COMPUTED_VALUE"""),0.0)</f>
        <v>0</v>
      </c>
      <c r="AD228" s="447">
        <f>IFERROR(__xludf.DUMMYFUNCTION("""COMPUTED_VALUE"""),50.0)</f>
        <v>50</v>
      </c>
      <c r="AE228" s="447">
        <f>IFERROR(__xludf.DUMMYFUNCTION("""COMPUTED_VALUE"""),7.0)</f>
        <v>7</v>
      </c>
      <c r="AF228" s="447">
        <f>IFERROR(__xludf.DUMMYFUNCTION("""COMPUTED_VALUE"""),3.0)</f>
        <v>3</v>
      </c>
      <c r="AG228" s="443" t="s">
        <v>129</v>
      </c>
      <c r="AH228" s="443" t="s">
        <v>343</v>
      </c>
      <c r="AI228" s="443"/>
      <c r="AJ228" s="443"/>
      <c r="AK228" s="443"/>
      <c r="AL228" s="443"/>
      <c r="AM228" s="443"/>
      <c r="AN228" s="443"/>
      <c r="AO228" s="443"/>
      <c r="AP228" s="443"/>
      <c r="AQ228" s="443"/>
      <c r="AR228" s="443"/>
      <c r="AS228" s="443"/>
      <c r="AT228" s="443"/>
      <c r="AU228" s="443"/>
      <c r="AV228" s="443"/>
      <c r="AW228" s="443"/>
      <c r="AX228" s="443"/>
      <c r="AY228" s="443"/>
      <c r="AZ228" s="443"/>
      <c r="BA228" s="443"/>
      <c r="BB228" s="443"/>
      <c r="BC228" s="443"/>
      <c r="BD228" s="443"/>
      <c r="BE228" s="443"/>
    </row>
    <row r="229" hidden="1">
      <c r="A229" s="445">
        <f t="shared" si="5"/>
        <v>45519</v>
      </c>
      <c r="B229" s="449">
        <v>391.0</v>
      </c>
      <c r="C229" s="462">
        <v>0.6</v>
      </c>
      <c r="D229" s="462">
        <v>0.9416666666666667</v>
      </c>
      <c r="E229" s="436">
        <f t="array" ref="E229">IF(B229=0,"",(J229+K229)/60)</f>
        <v>1.85</v>
      </c>
      <c r="F229" s="437">
        <f t="shared" si="1"/>
        <v>8.2</v>
      </c>
      <c r="G229" s="438">
        <f t="shared" si="2"/>
        <v>47.68292683</v>
      </c>
      <c r="H229" s="438">
        <f t="shared" si="3"/>
        <v>61.57480315</v>
      </c>
      <c r="I229" s="436">
        <f t="shared" si="6"/>
        <v>0.9349593496</v>
      </c>
      <c r="J229" s="460">
        <v>0.0</v>
      </c>
      <c r="K229" s="464">
        <f>60+30+21</f>
        <v>111</v>
      </c>
      <c r="L229" s="443"/>
      <c r="M229" s="447">
        <f>IFERROR(__xludf.DUMMYFUNCTION("""COMPUTED_VALUE"""),57.0)</f>
        <v>57</v>
      </c>
      <c r="N229" s="447">
        <f>IFERROR(__xludf.DUMMYFUNCTION("""COMPUTED_VALUE"""),56.0)</f>
        <v>56</v>
      </c>
      <c r="O229" s="447">
        <f>IFERROR(__xludf.DUMMYFUNCTION("""COMPUTED_VALUE"""),0.0)</f>
        <v>0</v>
      </c>
      <c r="P229" s="447">
        <f>IFERROR(__xludf.DUMMYFUNCTION("""COMPUTED_VALUE"""),0.0)</f>
        <v>0</v>
      </c>
      <c r="Q229" s="447">
        <f>IFERROR(__xludf.DUMMYFUNCTION("""COMPUTED_VALUE"""),0.0)</f>
        <v>0</v>
      </c>
      <c r="R229" s="447">
        <f>IFERROR(__xludf.DUMMYFUNCTION("""COMPUTED_VALUE"""),0.0)</f>
        <v>0</v>
      </c>
      <c r="S229" s="447">
        <f>IFERROR(__xludf.DUMMYFUNCTION("""COMPUTED_VALUE"""),3.0)</f>
        <v>3</v>
      </c>
      <c r="T229" s="447">
        <f>IFERROR(__xludf.DUMMYFUNCTION("""COMPUTED_VALUE"""),0.0)</f>
        <v>0</v>
      </c>
      <c r="U229" s="447">
        <f>IFERROR(__xludf.DUMMYFUNCTION("""COMPUTED_VALUE"""),0.0)</f>
        <v>0</v>
      </c>
      <c r="V229" s="447">
        <f>IFERROR(__xludf.DUMMYFUNCTION("""COMPUTED_VALUE"""),0.0)</f>
        <v>0</v>
      </c>
      <c r="W229" s="447">
        <f>IFERROR(__xludf.DUMMYFUNCTION("""COMPUTED_VALUE"""),0.0)</f>
        <v>0</v>
      </c>
      <c r="X229" s="447">
        <f>IFERROR(__xludf.DUMMYFUNCTION("""COMPUTED_VALUE"""),0.0)</f>
        <v>0</v>
      </c>
      <c r="Y229" s="447">
        <f>IFERROR(__xludf.DUMMYFUNCTION("""COMPUTED_VALUE"""),0.0)</f>
        <v>0</v>
      </c>
      <c r="Z229" s="447">
        <f>IFERROR(__xludf.DUMMYFUNCTION("""COMPUTED_VALUE"""),0.0)</f>
        <v>0</v>
      </c>
      <c r="AA229" s="447">
        <f>IFERROR(__xludf.DUMMYFUNCTION("""COMPUTED_VALUE"""),0.0)</f>
        <v>0</v>
      </c>
      <c r="AB229" s="447">
        <f>IFERROR(__xludf.DUMMYFUNCTION("""COMPUTED_VALUE"""),2.0)</f>
        <v>2</v>
      </c>
      <c r="AC229" s="447">
        <f>IFERROR(__xludf.DUMMYFUNCTION("""COMPUTED_VALUE"""),0.0)</f>
        <v>0</v>
      </c>
      <c r="AD229" s="447">
        <f>IFERROR(__xludf.DUMMYFUNCTION("""COMPUTED_VALUE"""),51.0)</f>
        <v>51</v>
      </c>
      <c r="AE229" s="447">
        <f>IFERROR(__xludf.DUMMYFUNCTION("""COMPUTED_VALUE"""),4.0)</f>
        <v>4</v>
      </c>
      <c r="AF229" s="447">
        <f>IFERROR(__xludf.DUMMYFUNCTION("""COMPUTED_VALUE"""),1.0)</f>
        <v>1</v>
      </c>
      <c r="AG229" s="443" t="s">
        <v>129</v>
      </c>
      <c r="AH229" s="443" t="s">
        <v>343</v>
      </c>
      <c r="AI229" s="443"/>
      <c r="AJ229" s="443"/>
      <c r="AK229" s="443"/>
      <c r="AL229" s="443"/>
      <c r="AM229" s="443"/>
      <c r="AN229" s="443"/>
      <c r="AO229" s="443"/>
      <c r="AP229" s="443"/>
      <c r="AQ229" s="443"/>
      <c r="AR229" s="443"/>
      <c r="AS229" s="443"/>
      <c r="AT229" s="443"/>
      <c r="AU229" s="443"/>
      <c r="AV229" s="443"/>
      <c r="AW229" s="443"/>
      <c r="AX229" s="443"/>
      <c r="AY229" s="443"/>
      <c r="AZ229" s="443"/>
      <c r="BA229" s="443"/>
      <c r="BB229" s="443"/>
      <c r="BC229" s="443"/>
      <c r="BD229" s="443"/>
      <c r="BE229" s="443"/>
    </row>
    <row r="230" hidden="1">
      <c r="A230" s="445">
        <f t="shared" si="5"/>
        <v>45520</v>
      </c>
      <c r="B230" s="449">
        <v>373.0</v>
      </c>
      <c r="C230" s="462">
        <v>0.6</v>
      </c>
      <c r="D230" s="462">
        <v>0.8958333333333334</v>
      </c>
      <c r="E230" s="436">
        <f t="array" ref="E230">IF(B230=0,"",(J230+K230)/60)</f>
        <v>0.5</v>
      </c>
      <c r="F230" s="437">
        <f t="shared" si="1"/>
        <v>7.1</v>
      </c>
      <c r="G230" s="438">
        <f t="shared" si="2"/>
        <v>52.53521127</v>
      </c>
      <c r="H230" s="438">
        <f t="shared" si="3"/>
        <v>56.51515152</v>
      </c>
      <c r="I230" s="436">
        <f t="shared" si="6"/>
        <v>0.9912304013</v>
      </c>
      <c r="J230" s="460">
        <v>30.0</v>
      </c>
      <c r="K230" s="464"/>
      <c r="L230" s="443"/>
      <c r="M230" s="447">
        <f>IFERROR(__xludf.DUMMYFUNCTION("""COMPUTED_VALUE"""),57.0)</f>
        <v>57</v>
      </c>
      <c r="N230" s="447">
        <f>IFERROR(__xludf.DUMMYFUNCTION("""COMPUTED_VALUE"""),56.0)</f>
        <v>56</v>
      </c>
      <c r="O230" s="447">
        <f>IFERROR(__xludf.DUMMYFUNCTION("""COMPUTED_VALUE"""),0.0)</f>
        <v>0</v>
      </c>
      <c r="P230" s="447">
        <f>IFERROR(__xludf.DUMMYFUNCTION("""COMPUTED_VALUE"""),0.0)</f>
        <v>0</v>
      </c>
      <c r="Q230" s="447">
        <f>IFERROR(__xludf.DUMMYFUNCTION("""COMPUTED_VALUE"""),0.0)</f>
        <v>0</v>
      </c>
      <c r="R230" s="447">
        <f>IFERROR(__xludf.DUMMYFUNCTION("""COMPUTED_VALUE"""),0.0)</f>
        <v>0</v>
      </c>
      <c r="S230" s="447">
        <f>IFERROR(__xludf.DUMMYFUNCTION("""COMPUTED_VALUE"""),3.0)</f>
        <v>3</v>
      </c>
      <c r="T230" s="447">
        <f>IFERROR(__xludf.DUMMYFUNCTION("""COMPUTED_VALUE"""),0.0)</f>
        <v>0</v>
      </c>
      <c r="U230" s="447">
        <f>IFERROR(__xludf.DUMMYFUNCTION("""COMPUTED_VALUE"""),0.0)</f>
        <v>0</v>
      </c>
      <c r="V230" s="447">
        <f>IFERROR(__xludf.DUMMYFUNCTION("""COMPUTED_VALUE"""),0.0)</f>
        <v>0</v>
      </c>
      <c r="W230" s="447">
        <f>IFERROR(__xludf.DUMMYFUNCTION("""COMPUTED_VALUE"""),0.0)</f>
        <v>0</v>
      </c>
      <c r="X230" s="447">
        <f>IFERROR(__xludf.DUMMYFUNCTION("""COMPUTED_VALUE"""),0.0)</f>
        <v>0</v>
      </c>
      <c r="Y230" s="447">
        <f>IFERROR(__xludf.DUMMYFUNCTION("""COMPUTED_VALUE"""),0.0)</f>
        <v>0</v>
      </c>
      <c r="Z230" s="447">
        <f>IFERROR(__xludf.DUMMYFUNCTION("""COMPUTED_VALUE"""),0.0)</f>
        <v>0</v>
      </c>
      <c r="AA230" s="447">
        <f>IFERROR(__xludf.DUMMYFUNCTION("""COMPUTED_VALUE"""),0.0)</f>
        <v>0</v>
      </c>
      <c r="AB230" s="447">
        <f>IFERROR(__xludf.DUMMYFUNCTION("""COMPUTED_VALUE"""),0.0)</f>
        <v>0</v>
      </c>
      <c r="AC230" s="447">
        <f>IFERROR(__xludf.DUMMYFUNCTION("""COMPUTED_VALUE"""),0.0)</f>
        <v>0</v>
      </c>
      <c r="AD230" s="447">
        <f>IFERROR(__xludf.DUMMYFUNCTION("""COMPUTED_VALUE"""),53.0)</f>
        <v>53</v>
      </c>
      <c r="AE230" s="447">
        <f>IFERROR(__xludf.DUMMYFUNCTION("""COMPUTED_VALUE"""),4.0)</f>
        <v>4</v>
      </c>
      <c r="AF230" s="447">
        <f>IFERROR(__xludf.DUMMYFUNCTION("""COMPUTED_VALUE"""),1.0)</f>
        <v>1</v>
      </c>
      <c r="AG230" s="443" t="s">
        <v>129</v>
      </c>
      <c r="AH230" s="443" t="s">
        <v>343</v>
      </c>
      <c r="AI230" s="443"/>
      <c r="AJ230" s="443"/>
      <c r="AK230" s="443"/>
      <c r="AL230" s="443"/>
      <c r="AM230" s="443"/>
      <c r="AN230" s="443"/>
      <c r="AO230" s="443"/>
      <c r="AP230" s="443"/>
      <c r="AQ230" s="443"/>
      <c r="AR230" s="443"/>
      <c r="AS230" s="443"/>
      <c r="AT230" s="443"/>
      <c r="AU230" s="443"/>
      <c r="AV230" s="443"/>
      <c r="AW230" s="443"/>
      <c r="AX230" s="443"/>
      <c r="AY230" s="443"/>
      <c r="AZ230" s="443"/>
      <c r="BA230" s="443"/>
      <c r="BB230" s="443"/>
      <c r="BC230" s="443"/>
      <c r="BD230" s="443"/>
      <c r="BE230" s="443"/>
    </row>
    <row r="231" hidden="1">
      <c r="A231" s="445">
        <f t="shared" si="5"/>
        <v>45521</v>
      </c>
      <c r="B231" s="449">
        <v>343.0</v>
      </c>
      <c r="C231" s="462">
        <v>0.5583333333333333</v>
      </c>
      <c r="D231" s="462">
        <v>1.1430555555555555</v>
      </c>
      <c r="E231" s="436">
        <f t="array" ref="E231">IF(B231=0,"",(J231+K231)/60)</f>
        <v>8</v>
      </c>
      <c r="F231" s="437">
        <f t="shared" si="1"/>
        <v>14.03333333</v>
      </c>
      <c r="G231" s="438">
        <f t="shared" si="2"/>
        <v>24.44180523</v>
      </c>
      <c r="H231" s="438">
        <f t="shared" si="3"/>
        <v>56.85082873</v>
      </c>
      <c r="I231" s="436">
        <f t="shared" si="6"/>
        <v>0.4888361045</v>
      </c>
      <c r="J231" s="464"/>
      <c r="K231" s="464">
        <f>8*60</f>
        <v>480</v>
      </c>
      <c r="L231" s="443"/>
      <c r="M231" s="447">
        <f>IFERROR(__xludf.DUMMYFUNCTION("""COMPUTED_VALUE"""),57.0)</f>
        <v>57</v>
      </c>
      <c r="N231" s="447">
        <f>IFERROR(__xludf.DUMMYFUNCTION("""COMPUTED_VALUE"""),56.0)</f>
        <v>56</v>
      </c>
      <c r="O231" s="447">
        <f>IFERROR(__xludf.DUMMYFUNCTION("""COMPUTED_VALUE"""),0.0)</f>
        <v>0</v>
      </c>
      <c r="P231" s="447">
        <f>IFERROR(__xludf.DUMMYFUNCTION("""COMPUTED_VALUE"""),0.0)</f>
        <v>0</v>
      </c>
      <c r="Q231" s="447">
        <f>IFERROR(__xludf.DUMMYFUNCTION("""COMPUTED_VALUE"""),1.0)</f>
        <v>1</v>
      </c>
      <c r="R231" s="447">
        <f>IFERROR(__xludf.DUMMYFUNCTION("""COMPUTED_VALUE"""),0.0)</f>
        <v>0</v>
      </c>
      <c r="S231" s="447">
        <f>IFERROR(__xludf.DUMMYFUNCTION("""COMPUTED_VALUE"""),5.0)</f>
        <v>5</v>
      </c>
      <c r="T231" s="447">
        <f>IFERROR(__xludf.DUMMYFUNCTION("""COMPUTED_VALUE"""),0.0)</f>
        <v>0</v>
      </c>
      <c r="U231" s="447">
        <f>IFERROR(__xludf.DUMMYFUNCTION("""COMPUTED_VALUE"""),0.0)</f>
        <v>0</v>
      </c>
      <c r="V231" s="447">
        <f>IFERROR(__xludf.DUMMYFUNCTION("""COMPUTED_VALUE"""),0.0)</f>
        <v>0</v>
      </c>
      <c r="W231" s="447">
        <f>IFERROR(__xludf.DUMMYFUNCTION("""COMPUTED_VALUE"""),0.0)</f>
        <v>0</v>
      </c>
      <c r="X231" s="447">
        <f>IFERROR(__xludf.DUMMYFUNCTION("""COMPUTED_VALUE"""),0.0)</f>
        <v>0</v>
      </c>
      <c r="Y231" s="447">
        <f>IFERROR(__xludf.DUMMYFUNCTION("""COMPUTED_VALUE"""),0.0)</f>
        <v>0</v>
      </c>
      <c r="Z231" s="447">
        <f>IFERROR(__xludf.DUMMYFUNCTION("""COMPUTED_VALUE"""),0.0)</f>
        <v>0</v>
      </c>
      <c r="AA231" s="447">
        <f>IFERROR(__xludf.DUMMYFUNCTION("""COMPUTED_VALUE"""),0.0)</f>
        <v>0</v>
      </c>
      <c r="AB231" s="447">
        <f>IFERROR(__xludf.DUMMYFUNCTION("""COMPUTED_VALUE"""),0.0)</f>
        <v>0</v>
      </c>
      <c r="AC231" s="447">
        <f>IFERROR(__xludf.DUMMYFUNCTION("""COMPUTED_VALUE"""),0.0)</f>
        <v>0</v>
      </c>
      <c r="AD231" s="447">
        <f>IFERROR(__xludf.DUMMYFUNCTION("""COMPUTED_VALUE"""),50.0)</f>
        <v>50</v>
      </c>
      <c r="AE231" s="447">
        <f>IFERROR(__xludf.DUMMYFUNCTION("""COMPUTED_VALUE"""),7.0)</f>
        <v>7</v>
      </c>
      <c r="AF231" s="447">
        <f>IFERROR(__xludf.DUMMYFUNCTION("""COMPUTED_VALUE"""),1.0)</f>
        <v>1</v>
      </c>
      <c r="AG231" s="443" t="s">
        <v>129</v>
      </c>
      <c r="AH231" s="443" t="s">
        <v>343</v>
      </c>
      <c r="AI231" s="443"/>
      <c r="AJ231" s="443"/>
      <c r="AK231" s="443"/>
      <c r="AL231" s="443"/>
      <c r="AM231" s="443"/>
      <c r="AN231" s="443"/>
      <c r="AO231" s="443"/>
      <c r="AP231" s="443"/>
      <c r="AQ231" s="443"/>
      <c r="AR231" s="443"/>
      <c r="AS231" s="443"/>
      <c r="AT231" s="443"/>
      <c r="AU231" s="443"/>
      <c r="AV231" s="443"/>
      <c r="AW231" s="443"/>
      <c r="AX231" s="443"/>
      <c r="AY231" s="443"/>
      <c r="AZ231" s="443"/>
      <c r="BA231" s="443"/>
      <c r="BB231" s="443"/>
      <c r="BC231" s="443"/>
      <c r="BD231" s="443"/>
      <c r="BE231" s="443"/>
    </row>
    <row r="232" hidden="1">
      <c r="A232" s="445">
        <f t="shared" si="5"/>
        <v>45522</v>
      </c>
      <c r="B232" s="449">
        <v>0.0</v>
      </c>
      <c r="C232" s="462"/>
      <c r="D232" s="462"/>
      <c r="E232" s="436" t="str">
        <f t="array" ref="E232">IF(B232=0,"",(J232+K232)/60)</f>
        <v/>
      </c>
      <c r="F232" s="437" t="str">
        <f t="shared" si="1"/>
        <v/>
      </c>
      <c r="G232" s="438" t="str">
        <f t="shared" si="2"/>
        <v/>
      </c>
      <c r="H232" s="438" t="str">
        <f t="shared" si="3"/>
        <v/>
      </c>
      <c r="I232" s="436" t="str">
        <f t="shared" si="6"/>
        <v/>
      </c>
      <c r="J232" s="460"/>
      <c r="K232" s="464"/>
      <c r="L232" s="443"/>
      <c r="M232" s="447">
        <f>IFERROR(__xludf.DUMMYFUNCTION("""COMPUTED_VALUE"""),57.0)</f>
        <v>57</v>
      </c>
      <c r="N232" s="447">
        <f>IFERROR(__xludf.DUMMYFUNCTION("""COMPUTED_VALUE"""),57.0)</f>
        <v>57</v>
      </c>
      <c r="O232" s="447">
        <f>IFERROR(__xludf.DUMMYFUNCTION("""COMPUTED_VALUE"""),0.0)</f>
        <v>0</v>
      </c>
      <c r="P232" s="447">
        <f>IFERROR(__xludf.DUMMYFUNCTION("""COMPUTED_VALUE"""),0.0)</f>
        <v>0</v>
      </c>
      <c r="Q232" s="447">
        <f>IFERROR(__xludf.DUMMYFUNCTION("""COMPUTED_VALUE"""),0.0)</f>
        <v>0</v>
      </c>
      <c r="R232" s="447">
        <f>IFERROR(__xludf.DUMMYFUNCTION("""COMPUTED_VALUE"""),0.0)</f>
        <v>0</v>
      </c>
      <c r="S232" s="447">
        <f>IFERROR(__xludf.DUMMYFUNCTION("""COMPUTED_VALUE"""),0.0)</f>
        <v>0</v>
      </c>
      <c r="T232" s="447">
        <f>IFERROR(__xludf.DUMMYFUNCTION("""COMPUTED_VALUE"""),0.0)</f>
        <v>0</v>
      </c>
      <c r="U232" s="447">
        <f>IFERROR(__xludf.DUMMYFUNCTION("""COMPUTED_VALUE"""),0.0)</f>
        <v>0</v>
      </c>
      <c r="V232" s="447">
        <f>IFERROR(__xludf.DUMMYFUNCTION("""COMPUTED_VALUE"""),0.0)</f>
        <v>0</v>
      </c>
      <c r="W232" s="447">
        <f>IFERROR(__xludf.DUMMYFUNCTION("""COMPUTED_VALUE"""),0.0)</f>
        <v>0</v>
      </c>
      <c r="X232" s="447">
        <f>IFERROR(__xludf.DUMMYFUNCTION("""COMPUTED_VALUE"""),0.0)</f>
        <v>0</v>
      </c>
      <c r="Y232" s="447">
        <f>IFERROR(__xludf.DUMMYFUNCTION("""COMPUTED_VALUE"""),0.0)</f>
        <v>0</v>
      </c>
      <c r="Z232" s="447">
        <f>IFERROR(__xludf.DUMMYFUNCTION("""COMPUTED_VALUE"""),0.0)</f>
        <v>0</v>
      </c>
      <c r="AA232" s="447">
        <f>IFERROR(__xludf.DUMMYFUNCTION("""COMPUTED_VALUE"""),0.0)</f>
        <v>0</v>
      </c>
      <c r="AB232" s="447">
        <f>IFERROR(__xludf.DUMMYFUNCTION("""COMPUTED_VALUE"""),0.0)</f>
        <v>0</v>
      </c>
      <c r="AC232" s="447">
        <f>IFERROR(__xludf.DUMMYFUNCTION("""COMPUTED_VALUE"""),0.0)</f>
        <v>0</v>
      </c>
      <c r="AD232" s="447">
        <f>IFERROR(__xludf.DUMMYFUNCTION("""COMPUTED_VALUE"""),0.0)</f>
        <v>0</v>
      </c>
      <c r="AE232" s="447">
        <f>IFERROR(__xludf.DUMMYFUNCTION("""COMPUTED_VALUE"""),0.0)</f>
        <v>0</v>
      </c>
      <c r="AF232" s="447">
        <f>IFERROR(__xludf.DUMMYFUNCTION("""COMPUTED_VALUE"""),0.0)</f>
        <v>0</v>
      </c>
      <c r="AG232" s="443" t="s">
        <v>129</v>
      </c>
      <c r="AH232" s="443" t="s">
        <v>343</v>
      </c>
      <c r="AI232" s="443"/>
      <c r="AJ232" s="443"/>
      <c r="AK232" s="443"/>
      <c r="AL232" s="443"/>
      <c r="AM232" s="443"/>
      <c r="AN232" s="443"/>
      <c r="AO232" s="443"/>
      <c r="AP232" s="443"/>
      <c r="AQ232" s="443"/>
      <c r="AR232" s="443"/>
      <c r="AS232" s="443"/>
      <c r="AT232" s="443"/>
      <c r="AU232" s="443"/>
      <c r="AV232" s="443"/>
      <c r="AW232" s="443"/>
      <c r="AX232" s="443"/>
      <c r="AY232" s="443"/>
      <c r="AZ232" s="443"/>
      <c r="BA232" s="443"/>
      <c r="BB232" s="443"/>
      <c r="BC232" s="443"/>
      <c r="BD232" s="443"/>
      <c r="BE232" s="443"/>
    </row>
    <row r="233" hidden="1">
      <c r="A233" s="445">
        <f t="shared" si="5"/>
        <v>45523</v>
      </c>
      <c r="B233" s="449">
        <v>413.0</v>
      </c>
      <c r="C233" s="462">
        <v>0.6</v>
      </c>
      <c r="D233" s="462">
        <v>0.88125</v>
      </c>
      <c r="E233" s="436">
        <f t="array" ref="E233">IF(B233=0,"",(J233+K233)/60)</f>
        <v>0.5</v>
      </c>
      <c r="F233" s="437">
        <f t="shared" si="1"/>
        <v>6.75</v>
      </c>
      <c r="G233" s="438">
        <f t="shared" si="2"/>
        <v>61.18518519</v>
      </c>
      <c r="H233" s="438">
        <f t="shared" si="3"/>
        <v>66.08</v>
      </c>
      <c r="I233" s="436">
        <f t="shared" si="6"/>
        <v>1.112457912</v>
      </c>
      <c r="J233" s="460">
        <v>30.0</v>
      </c>
      <c r="K233" s="464"/>
      <c r="L233" s="443"/>
      <c r="M233" s="447">
        <f>IFERROR(__xludf.DUMMYFUNCTION("""COMPUTED_VALUE"""),57.0)</f>
        <v>57</v>
      </c>
      <c r="N233" s="447">
        <f>IFERROR(__xludf.DUMMYFUNCTION("""COMPUTED_VALUE"""),56.0)</f>
        <v>56</v>
      </c>
      <c r="O233" s="447">
        <f>IFERROR(__xludf.DUMMYFUNCTION("""COMPUTED_VALUE"""),0.0)</f>
        <v>0</v>
      </c>
      <c r="P233" s="447">
        <f>IFERROR(__xludf.DUMMYFUNCTION("""COMPUTED_VALUE"""),0.0)</f>
        <v>0</v>
      </c>
      <c r="Q233" s="447">
        <f>IFERROR(__xludf.DUMMYFUNCTION("""COMPUTED_VALUE"""),0.0)</f>
        <v>0</v>
      </c>
      <c r="R233" s="447">
        <f>IFERROR(__xludf.DUMMYFUNCTION("""COMPUTED_VALUE"""),0.0)</f>
        <v>0</v>
      </c>
      <c r="S233" s="447">
        <f>IFERROR(__xludf.DUMMYFUNCTION("""COMPUTED_VALUE"""),1.0)</f>
        <v>1</v>
      </c>
      <c r="T233" s="447">
        <f>IFERROR(__xludf.DUMMYFUNCTION("""COMPUTED_VALUE"""),0.0)</f>
        <v>0</v>
      </c>
      <c r="U233" s="447">
        <f>IFERROR(__xludf.DUMMYFUNCTION("""COMPUTED_VALUE"""),0.0)</f>
        <v>0</v>
      </c>
      <c r="V233" s="447">
        <f>IFERROR(__xludf.DUMMYFUNCTION("""COMPUTED_VALUE"""),0.0)</f>
        <v>0</v>
      </c>
      <c r="W233" s="447">
        <f>IFERROR(__xludf.DUMMYFUNCTION("""COMPUTED_VALUE"""),0.0)</f>
        <v>0</v>
      </c>
      <c r="X233" s="447">
        <f>IFERROR(__xludf.DUMMYFUNCTION("""COMPUTED_VALUE"""),0.0)</f>
        <v>0</v>
      </c>
      <c r="Y233" s="447">
        <f>IFERROR(__xludf.DUMMYFUNCTION("""COMPUTED_VALUE"""),0.0)</f>
        <v>0</v>
      </c>
      <c r="Z233" s="447">
        <f>IFERROR(__xludf.DUMMYFUNCTION("""COMPUTED_VALUE"""),0.0)</f>
        <v>0</v>
      </c>
      <c r="AA233" s="447">
        <f>IFERROR(__xludf.DUMMYFUNCTION("""COMPUTED_VALUE"""),0.0)</f>
        <v>0</v>
      </c>
      <c r="AB233" s="447">
        <f>IFERROR(__xludf.DUMMYFUNCTION("""COMPUTED_VALUE"""),0.0)</f>
        <v>0</v>
      </c>
      <c r="AC233" s="447">
        <f>IFERROR(__xludf.DUMMYFUNCTION("""COMPUTED_VALUE"""),0.0)</f>
        <v>0</v>
      </c>
      <c r="AD233" s="447">
        <f>IFERROR(__xludf.DUMMYFUNCTION("""COMPUTED_VALUE"""),55.0)</f>
        <v>55</v>
      </c>
      <c r="AE233" s="447">
        <f>IFERROR(__xludf.DUMMYFUNCTION("""COMPUTED_VALUE"""),2.0)</f>
        <v>2</v>
      </c>
      <c r="AF233" s="447">
        <f>IFERROR(__xludf.DUMMYFUNCTION("""COMPUTED_VALUE"""),1.0)</f>
        <v>1</v>
      </c>
      <c r="AG233" s="443" t="s">
        <v>129</v>
      </c>
      <c r="AH233" s="443" t="s">
        <v>343</v>
      </c>
      <c r="AI233" s="443"/>
      <c r="AJ233" s="443"/>
      <c r="AK233" s="443"/>
      <c r="AL233" s="443"/>
      <c r="AM233" s="443"/>
      <c r="AN233" s="443"/>
      <c r="AO233" s="443"/>
      <c r="AP233" s="443"/>
      <c r="AQ233" s="443"/>
      <c r="AR233" s="443"/>
      <c r="AS233" s="443"/>
      <c r="AT233" s="443"/>
      <c r="AU233" s="443"/>
      <c r="AV233" s="443"/>
      <c r="AW233" s="443"/>
      <c r="AX233" s="443"/>
      <c r="AY233" s="443"/>
      <c r="AZ233" s="443"/>
      <c r="BA233" s="443"/>
      <c r="BB233" s="443"/>
      <c r="BC233" s="443"/>
      <c r="BD233" s="443"/>
      <c r="BE233" s="443"/>
    </row>
    <row r="234" hidden="1">
      <c r="A234" s="445">
        <f t="shared" si="5"/>
        <v>45524</v>
      </c>
      <c r="B234" s="449">
        <v>465.0</v>
      </c>
      <c r="C234" s="462">
        <v>0.6</v>
      </c>
      <c r="D234" s="462">
        <v>0.9652777777777778</v>
      </c>
      <c r="E234" s="436">
        <f t="array" ref="E234">IF(B234=0,"",(J234+K234)/60)</f>
        <v>0.7</v>
      </c>
      <c r="F234" s="437">
        <f t="shared" si="1"/>
        <v>8.766666667</v>
      </c>
      <c r="G234" s="438">
        <f t="shared" si="2"/>
        <v>53.0418251</v>
      </c>
      <c r="H234" s="438">
        <f t="shared" si="3"/>
        <v>57.6446281</v>
      </c>
      <c r="I234" s="436">
        <f t="shared" si="6"/>
        <v>1.020035098</v>
      </c>
      <c r="J234" s="460">
        <v>30.0</v>
      </c>
      <c r="K234" s="460">
        <v>12.0</v>
      </c>
      <c r="L234" s="443"/>
      <c r="M234" s="447">
        <f>IFERROR(__xludf.DUMMYFUNCTION("""COMPUTED_VALUE"""),57.0)</f>
        <v>57</v>
      </c>
      <c r="N234" s="447">
        <f>IFERROR(__xludf.DUMMYFUNCTION("""COMPUTED_VALUE"""),56.0)</f>
        <v>56</v>
      </c>
      <c r="O234" s="447">
        <f>IFERROR(__xludf.DUMMYFUNCTION("""COMPUTED_VALUE"""),0.0)</f>
        <v>0</v>
      </c>
      <c r="P234" s="447">
        <f>IFERROR(__xludf.DUMMYFUNCTION("""COMPUTED_VALUE"""),0.0)</f>
        <v>0</v>
      </c>
      <c r="Q234" s="447">
        <f>IFERROR(__xludf.DUMMYFUNCTION("""COMPUTED_VALUE"""),0.0)</f>
        <v>0</v>
      </c>
      <c r="R234" s="447">
        <f>IFERROR(__xludf.DUMMYFUNCTION("""COMPUTED_VALUE"""),0.0)</f>
        <v>0</v>
      </c>
      <c r="S234" s="447">
        <f>IFERROR(__xludf.DUMMYFUNCTION("""COMPUTED_VALUE"""),4.0)</f>
        <v>4</v>
      </c>
      <c r="T234" s="447">
        <f>IFERROR(__xludf.DUMMYFUNCTION("""COMPUTED_VALUE"""),0.0)</f>
        <v>0</v>
      </c>
      <c r="U234" s="447">
        <f>IFERROR(__xludf.DUMMYFUNCTION("""COMPUTED_VALUE"""),0.0)</f>
        <v>0</v>
      </c>
      <c r="V234" s="447">
        <f>IFERROR(__xludf.DUMMYFUNCTION("""COMPUTED_VALUE"""),0.0)</f>
        <v>0</v>
      </c>
      <c r="W234" s="447">
        <f>IFERROR(__xludf.DUMMYFUNCTION("""COMPUTED_VALUE"""),0.0)</f>
        <v>0</v>
      </c>
      <c r="X234" s="447">
        <f>IFERROR(__xludf.DUMMYFUNCTION("""COMPUTED_VALUE"""),0.0)</f>
        <v>0</v>
      </c>
      <c r="Y234" s="447">
        <f>IFERROR(__xludf.DUMMYFUNCTION("""COMPUTED_VALUE"""),0.0)</f>
        <v>0</v>
      </c>
      <c r="Z234" s="447">
        <f>IFERROR(__xludf.DUMMYFUNCTION("""COMPUTED_VALUE"""),0.0)</f>
        <v>0</v>
      </c>
      <c r="AA234" s="447">
        <f>IFERROR(__xludf.DUMMYFUNCTION("""COMPUTED_VALUE"""),0.0)</f>
        <v>0</v>
      </c>
      <c r="AB234" s="447">
        <f>IFERROR(__xludf.DUMMYFUNCTION("""COMPUTED_VALUE"""),0.0)</f>
        <v>0</v>
      </c>
      <c r="AC234" s="447">
        <f>IFERROR(__xludf.DUMMYFUNCTION("""COMPUTED_VALUE"""),0.0)</f>
        <v>0</v>
      </c>
      <c r="AD234" s="447">
        <f>IFERROR(__xludf.DUMMYFUNCTION("""COMPUTED_VALUE"""),52.0)</f>
        <v>52</v>
      </c>
      <c r="AE234" s="447">
        <f>IFERROR(__xludf.DUMMYFUNCTION("""COMPUTED_VALUE"""),5.0)</f>
        <v>5</v>
      </c>
      <c r="AF234" s="447">
        <f>IFERROR(__xludf.DUMMYFUNCTION("""COMPUTED_VALUE"""),1.0)</f>
        <v>1</v>
      </c>
      <c r="AG234" s="443" t="s">
        <v>129</v>
      </c>
      <c r="AH234" s="443" t="s">
        <v>343</v>
      </c>
      <c r="AI234" s="443"/>
      <c r="AJ234" s="443"/>
      <c r="AK234" s="443"/>
      <c r="AL234" s="443"/>
      <c r="AM234" s="443"/>
      <c r="AN234" s="443"/>
      <c r="AO234" s="443"/>
      <c r="AP234" s="443"/>
      <c r="AQ234" s="443"/>
      <c r="AR234" s="443"/>
      <c r="AS234" s="443"/>
      <c r="AT234" s="443"/>
      <c r="AU234" s="443"/>
      <c r="AV234" s="443"/>
      <c r="AW234" s="443"/>
      <c r="AX234" s="443"/>
      <c r="AY234" s="443"/>
      <c r="AZ234" s="443"/>
      <c r="BA234" s="443"/>
      <c r="BB234" s="443"/>
      <c r="BC234" s="443"/>
      <c r="BD234" s="443"/>
      <c r="BE234" s="443"/>
    </row>
    <row r="235" hidden="1">
      <c r="A235" s="445">
        <f t="shared" si="5"/>
        <v>45525</v>
      </c>
      <c r="B235" s="449">
        <v>417.0</v>
      </c>
      <c r="C235" s="462">
        <v>0.6</v>
      </c>
      <c r="D235" s="462">
        <v>0.9104166666666667</v>
      </c>
      <c r="E235" s="436">
        <f t="array" ref="E235">IF(B235=0,"",(J235+K235)/60)</f>
        <v>0.5</v>
      </c>
      <c r="F235" s="437">
        <f t="shared" si="1"/>
        <v>7.45</v>
      </c>
      <c r="G235" s="438">
        <f t="shared" si="2"/>
        <v>55.97315436</v>
      </c>
      <c r="H235" s="438">
        <f t="shared" si="3"/>
        <v>60</v>
      </c>
      <c r="I235" s="436">
        <f t="shared" si="6"/>
        <v>1.119463087</v>
      </c>
      <c r="J235" s="460">
        <v>30.0</v>
      </c>
      <c r="K235" s="464"/>
      <c r="L235" s="443"/>
      <c r="M235" s="447">
        <f>IFERROR(__xludf.DUMMYFUNCTION("""COMPUTED_VALUE"""),57.0)</f>
        <v>57</v>
      </c>
      <c r="N235" s="447">
        <f>IFERROR(__xludf.DUMMYFUNCTION("""COMPUTED_VALUE"""),56.0)</f>
        <v>56</v>
      </c>
      <c r="O235" s="447">
        <f>IFERROR(__xludf.DUMMYFUNCTION("""COMPUTED_VALUE"""),0.0)</f>
        <v>0</v>
      </c>
      <c r="P235" s="447">
        <f>IFERROR(__xludf.DUMMYFUNCTION("""COMPUTED_VALUE"""),0.0)</f>
        <v>0</v>
      </c>
      <c r="Q235" s="447">
        <f>IFERROR(__xludf.DUMMYFUNCTION("""COMPUTED_VALUE"""),0.0)</f>
        <v>0</v>
      </c>
      <c r="R235" s="447">
        <f>IFERROR(__xludf.DUMMYFUNCTION("""COMPUTED_VALUE"""),0.0)</f>
        <v>0</v>
      </c>
      <c r="S235" s="447">
        <f>IFERROR(__xludf.DUMMYFUNCTION("""COMPUTED_VALUE"""),4.0)</f>
        <v>4</v>
      </c>
      <c r="T235" s="447">
        <f>IFERROR(__xludf.DUMMYFUNCTION("""COMPUTED_VALUE"""),1.0)</f>
        <v>1</v>
      </c>
      <c r="U235" s="447">
        <f>IFERROR(__xludf.DUMMYFUNCTION("""COMPUTED_VALUE"""),0.0)</f>
        <v>0</v>
      </c>
      <c r="V235" s="447">
        <f>IFERROR(__xludf.DUMMYFUNCTION("""COMPUTED_VALUE"""),0.0)</f>
        <v>0</v>
      </c>
      <c r="W235" s="447">
        <f>IFERROR(__xludf.DUMMYFUNCTION("""COMPUTED_VALUE"""),1.0)</f>
        <v>1</v>
      </c>
      <c r="X235" s="447">
        <f>IFERROR(__xludf.DUMMYFUNCTION("""COMPUTED_VALUE"""),0.0)</f>
        <v>0</v>
      </c>
      <c r="Y235" s="447">
        <f>IFERROR(__xludf.DUMMYFUNCTION("""COMPUTED_VALUE"""),0.0)</f>
        <v>0</v>
      </c>
      <c r="Z235" s="447">
        <f>IFERROR(__xludf.DUMMYFUNCTION("""COMPUTED_VALUE"""),0.0)</f>
        <v>0</v>
      </c>
      <c r="AA235" s="447">
        <f>IFERROR(__xludf.DUMMYFUNCTION("""COMPUTED_VALUE"""),0.0)</f>
        <v>0</v>
      </c>
      <c r="AB235" s="447">
        <f>IFERROR(__xludf.DUMMYFUNCTION("""COMPUTED_VALUE"""),0.0)</f>
        <v>0</v>
      </c>
      <c r="AC235" s="447">
        <f>IFERROR(__xludf.DUMMYFUNCTION("""COMPUTED_VALUE"""),0.0)</f>
        <v>0</v>
      </c>
      <c r="AD235" s="447">
        <f>IFERROR(__xludf.DUMMYFUNCTION("""COMPUTED_VALUE"""),50.0)</f>
        <v>50</v>
      </c>
      <c r="AE235" s="447">
        <f>IFERROR(__xludf.DUMMYFUNCTION("""COMPUTED_VALUE"""),7.0)</f>
        <v>7</v>
      </c>
      <c r="AF235" s="447">
        <f>IFERROR(__xludf.DUMMYFUNCTION("""COMPUTED_VALUE"""),1.0)</f>
        <v>1</v>
      </c>
      <c r="AG235" s="443" t="s">
        <v>129</v>
      </c>
      <c r="AH235" s="443" t="s">
        <v>343</v>
      </c>
      <c r="AI235" s="443"/>
      <c r="AJ235" s="443"/>
      <c r="AK235" s="443"/>
      <c r="AL235" s="443"/>
      <c r="AM235" s="443"/>
      <c r="AN235" s="443"/>
      <c r="AO235" s="443"/>
      <c r="AP235" s="443"/>
      <c r="AQ235" s="443"/>
      <c r="AR235" s="443"/>
      <c r="AS235" s="443"/>
      <c r="AT235" s="443"/>
      <c r="AU235" s="443"/>
      <c r="AV235" s="443"/>
      <c r="AW235" s="443"/>
      <c r="AX235" s="443"/>
      <c r="AY235" s="443"/>
      <c r="AZ235" s="443"/>
      <c r="BA235" s="443"/>
      <c r="BB235" s="443"/>
      <c r="BC235" s="443"/>
      <c r="BD235" s="443"/>
      <c r="BE235" s="443"/>
    </row>
    <row r="236" hidden="1">
      <c r="A236" s="445">
        <f t="shared" si="5"/>
        <v>45526</v>
      </c>
      <c r="B236" s="449">
        <v>481.0</v>
      </c>
      <c r="C236" s="462">
        <v>0.6</v>
      </c>
      <c r="D236" s="462">
        <v>0.9722222222222222</v>
      </c>
      <c r="E236" s="436">
        <f t="array" ref="E236">IF(B236=0,"",(J236+K236)/60)</f>
        <v>0.5</v>
      </c>
      <c r="F236" s="437">
        <f t="shared" si="1"/>
        <v>8.933333333</v>
      </c>
      <c r="G236" s="438">
        <f t="shared" si="2"/>
        <v>53.84328358</v>
      </c>
      <c r="H236" s="438">
        <f t="shared" si="3"/>
        <v>57.03557312</v>
      </c>
      <c r="I236" s="436">
        <f t="shared" si="6"/>
        <v>1.055750658</v>
      </c>
      <c r="J236" s="460">
        <v>30.0</v>
      </c>
      <c r="K236" s="464"/>
      <c r="L236" s="443"/>
      <c r="M236" s="447">
        <f>IFERROR(__xludf.DUMMYFUNCTION("""COMPUTED_VALUE"""),57.0)</f>
        <v>57</v>
      </c>
      <c r="N236" s="447">
        <f>IFERROR(__xludf.DUMMYFUNCTION("""COMPUTED_VALUE"""),56.0)</f>
        <v>56</v>
      </c>
      <c r="O236" s="447">
        <f>IFERROR(__xludf.DUMMYFUNCTION("""COMPUTED_VALUE"""),0.0)</f>
        <v>0</v>
      </c>
      <c r="P236" s="447">
        <f>IFERROR(__xludf.DUMMYFUNCTION("""COMPUTED_VALUE"""),0.0)</f>
        <v>0</v>
      </c>
      <c r="Q236" s="447">
        <f>IFERROR(__xludf.DUMMYFUNCTION("""COMPUTED_VALUE"""),0.0)</f>
        <v>0</v>
      </c>
      <c r="R236" s="447">
        <f>IFERROR(__xludf.DUMMYFUNCTION("""COMPUTED_VALUE"""),0.0)</f>
        <v>0</v>
      </c>
      <c r="S236" s="447">
        <f>IFERROR(__xludf.DUMMYFUNCTION("""COMPUTED_VALUE"""),3.0)</f>
        <v>3</v>
      </c>
      <c r="T236" s="447">
        <f>IFERROR(__xludf.DUMMYFUNCTION("""COMPUTED_VALUE"""),1.0)</f>
        <v>1</v>
      </c>
      <c r="U236" s="447">
        <f>IFERROR(__xludf.DUMMYFUNCTION("""COMPUTED_VALUE"""),0.0)</f>
        <v>0</v>
      </c>
      <c r="V236" s="447">
        <f>IFERROR(__xludf.DUMMYFUNCTION("""COMPUTED_VALUE"""),0.0)</f>
        <v>0</v>
      </c>
      <c r="W236" s="447">
        <f>IFERROR(__xludf.DUMMYFUNCTION("""COMPUTED_VALUE"""),1.0)</f>
        <v>1</v>
      </c>
      <c r="X236" s="447">
        <f>IFERROR(__xludf.DUMMYFUNCTION("""COMPUTED_VALUE"""),0.0)</f>
        <v>0</v>
      </c>
      <c r="Y236" s="447">
        <f>IFERROR(__xludf.DUMMYFUNCTION("""COMPUTED_VALUE"""),0.0)</f>
        <v>0</v>
      </c>
      <c r="Z236" s="447">
        <f>IFERROR(__xludf.DUMMYFUNCTION("""COMPUTED_VALUE"""),0.0)</f>
        <v>0</v>
      </c>
      <c r="AA236" s="447">
        <f>IFERROR(__xludf.DUMMYFUNCTION("""COMPUTED_VALUE"""),0.0)</f>
        <v>0</v>
      </c>
      <c r="AB236" s="447">
        <f>IFERROR(__xludf.DUMMYFUNCTION("""COMPUTED_VALUE"""),0.0)</f>
        <v>0</v>
      </c>
      <c r="AC236" s="447">
        <f>IFERROR(__xludf.DUMMYFUNCTION("""COMPUTED_VALUE"""),0.0)</f>
        <v>0</v>
      </c>
      <c r="AD236" s="447">
        <f>IFERROR(__xludf.DUMMYFUNCTION("""COMPUTED_VALUE"""),51.0)</f>
        <v>51</v>
      </c>
      <c r="AE236" s="447">
        <f>IFERROR(__xludf.DUMMYFUNCTION("""COMPUTED_VALUE"""),6.0)</f>
        <v>6</v>
      </c>
      <c r="AF236" s="447">
        <f>IFERROR(__xludf.DUMMYFUNCTION("""COMPUTED_VALUE"""),1.0)</f>
        <v>1</v>
      </c>
      <c r="AG236" s="443" t="s">
        <v>129</v>
      </c>
      <c r="AH236" s="443" t="s">
        <v>343</v>
      </c>
      <c r="AI236" s="443"/>
      <c r="AJ236" s="443"/>
      <c r="AK236" s="443"/>
      <c r="AL236" s="443"/>
      <c r="AM236" s="443"/>
      <c r="AN236" s="443"/>
      <c r="AO236" s="443"/>
      <c r="AP236" s="443"/>
      <c r="AQ236" s="443"/>
      <c r="AR236" s="443"/>
      <c r="AS236" s="443"/>
      <c r="AT236" s="443"/>
      <c r="AU236" s="443"/>
      <c r="AV236" s="443"/>
      <c r="AW236" s="443"/>
      <c r="AX236" s="443"/>
      <c r="AY236" s="443"/>
      <c r="AZ236" s="443"/>
      <c r="BA236" s="443"/>
      <c r="BB236" s="443"/>
      <c r="BC236" s="443"/>
      <c r="BD236" s="443"/>
      <c r="BE236" s="443"/>
    </row>
    <row r="237" hidden="1">
      <c r="A237" s="445">
        <f t="shared" si="5"/>
        <v>45527</v>
      </c>
      <c r="B237" s="449">
        <v>555.0</v>
      </c>
      <c r="C237" s="462">
        <v>0.6</v>
      </c>
      <c r="D237" s="462">
        <v>0.9666666666666667</v>
      </c>
      <c r="E237" s="436">
        <f t="array" ref="E237">IF(B237=0,"",(J237+K237)/60)</f>
        <v>0.5</v>
      </c>
      <c r="F237" s="437">
        <f t="shared" si="1"/>
        <v>8.8</v>
      </c>
      <c r="G237" s="438">
        <f t="shared" si="2"/>
        <v>63.06818182</v>
      </c>
      <c r="H237" s="438">
        <f t="shared" si="3"/>
        <v>66.86746988</v>
      </c>
      <c r="I237" s="436">
        <f t="shared" si="6"/>
        <v>1.261363636</v>
      </c>
      <c r="J237" s="460">
        <v>30.0</v>
      </c>
      <c r="K237" s="464"/>
      <c r="L237" s="443"/>
      <c r="M237" s="447">
        <f>IFERROR(__xludf.DUMMYFUNCTION("""COMPUTED_VALUE"""),57.0)</f>
        <v>57</v>
      </c>
      <c r="N237" s="447">
        <f>IFERROR(__xludf.DUMMYFUNCTION("""COMPUTED_VALUE"""),56.0)</f>
        <v>56</v>
      </c>
      <c r="O237" s="447">
        <f>IFERROR(__xludf.DUMMYFUNCTION("""COMPUTED_VALUE"""),0.0)</f>
        <v>0</v>
      </c>
      <c r="P237" s="447">
        <f>IFERROR(__xludf.DUMMYFUNCTION("""COMPUTED_VALUE"""),0.0)</f>
        <v>0</v>
      </c>
      <c r="Q237" s="447">
        <f>IFERROR(__xludf.DUMMYFUNCTION("""COMPUTED_VALUE"""),0.0)</f>
        <v>0</v>
      </c>
      <c r="R237" s="447">
        <f>IFERROR(__xludf.DUMMYFUNCTION("""COMPUTED_VALUE"""),0.0)</f>
        <v>0</v>
      </c>
      <c r="S237" s="447">
        <f>IFERROR(__xludf.DUMMYFUNCTION("""COMPUTED_VALUE"""),3.0)</f>
        <v>3</v>
      </c>
      <c r="T237" s="447">
        <f>IFERROR(__xludf.DUMMYFUNCTION("""COMPUTED_VALUE"""),1.0)</f>
        <v>1</v>
      </c>
      <c r="U237" s="447">
        <f>IFERROR(__xludf.DUMMYFUNCTION("""COMPUTED_VALUE"""),0.0)</f>
        <v>0</v>
      </c>
      <c r="V237" s="447">
        <f>IFERROR(__xludf.DUMMYFUNCTION("""COMPUTED_VALUE"""),0.0)</f>
        <v>0</v>
      </c>
      <c r="W237" s="447">
        <f>IFERROR(__xludf.DUMMYFUNCTION("""COMPUTED_VALUE"""),1.0)</f>
        <v>1</v>
      </c>
      <c r="X237" s="447">
        <f>IFERROR(__xludf.DUMMYFUNCTION("""COMPUTED_VALUE"""),0.0)</f>
        <v>0</v>
      </c>
      <c r="Y237" s="447">
        <f>IFERROR(__xludf.DUMMYFUNCTION("""COMPUTED_VALUE"""),0.0)</f>
        <v>0</v>
      </c>
      <c r="Z237" s="447">
        <f>IFERROR(__xludf.DUMMYFUNCTION("""COMPUTED_VALUE"""),0.0)</f>
        <v>0</v>
      </c>
      <c r="AA237" s="447">
        <f>IFERROR(__xludf.DUMMYFUNCTION("""COMPUTED_VALUE"""),0.0)</f>
        <v>0</v>
      </c>
      <c r="AB237" s="447">
        <f>IFERROR(__xludf.DUMMYFUNCTION("""COMPUTED_VALUE"""),0.0)</f>
        <v>0</v>
      </c>
      <c r="AC237" s="447">
        <f>IFERROR(__xludf.DUMMYFUNCTION("""COMPUTED_VALUE"""),1.0)</f>
        <v>1</v>
      </c>
      <c r="AD237" s="447">
        <f>IFERROR(__xludf.DUMMYFUNCTION("""COMPUTED_VALUE"""),50.0)</f>
        <v>50</v>
      </c>
      <c r="AE237" s="447">
        <f>IFERROR(__xludf.DUMMYFUNCTION("""COMPUTED_VALUE"""),7.0)</f>
        <v>7</v>
      </c>
      <c r="AF237" s="447">
        <f>IFERROR(__xludf.DUMMYFUNCTION("""COMPUTED_VALUE"""),1.0)</f>
        <v>1</v>
      </c>
      <c r="AG237" s="443" t="s">
        <v>129</v>
      </c>
      <c r="AH237" s="443" t="s">
        <v>343</v>
      </c>
      <c r="AI237" s="443"/>
      <c r="AJ237" s="443"/>
      <c r="AK237" s="443"/>
      <c r="AL237" s="443"/>
      <c r="AM237" s="443"/>
      <c r="AN237" s="443"/>
      <c r="AO237" s="443"/>
      <c r="AP237" s="443"/>
      <c r="AQ237" s="443"/>
      <c r="AR237" s="443"/>
      <c r="AS237" s="443"/>
      <c r="AT237" s="443"/>
      <c r="AU237" s="443"/>
      <c r="AV237" s="443"/>
      <c r="AW237" s="443"/>
      <c r="AX237" s="443"/>
      <c r="AY237" s="443"/>
      <c r="AZ237" s="443"/>
      <c r="BA237" s="443"/>
      <c r="BB237" s="443"/>
      <c r="BC237" s="443"/>
      <c r="BD237" s="443"/>
      <c r="BE237" s="443"/>
    </row>
    <row r="238" hidden="1">
      <c r="A238" s="445">
        <f t="shared" si="5"/>
        <v>45528</v>
      </c>
      <c r="B238" s="449">
        <v>324.0</v>
      </c>
      <c r="C238" s="462">
        <v>0.6416666666666667</v>
      </c>
      <c r="D238" s="462">
        <v>0.8840277777777777</v>
      </c>
      <c r="E238" s="436">
        <f t="array" ref="E238">IF(B238=0,"",(J238+K238)/60)</f>
        <v>0.5</v>
      </c>
      <c r="F238" s="437">
        <f t="shared" si="1"/>
        <v>5.816666667</v>
      </c>
      <c r="G238" s="438">
        <f t="shared" si="2"/>
        <v>55.70200573</v>
      </c>
      <c r="H238" s="438">
        <f t="shared" si="3"/>
        <v>60.94043887</v>
      </c>
      <c r="I238" s="436">
        <f t="shared" si="6"/>
        <v>1.185149058</v>
      </c>
      <c r="J238" s="460">
        <v>30.0</v>
      </c>
      <c r="K238" s="464"/>
      <c r="L238" s="443"/>
      <c r="M238" s="447">
        <f>IFERROR(__xludf.DUMMYFUNCTION("""COMPUTED_VALUE"""),57.0)</f>
        <v>57</v>
      </c>
      <c r="N238" s="447">
        <f>IFERROR(__xludf.DUMMYFUNCTION("""COMPUTED_VALUE"""),56.0)</f>
        <v>56</v>
      </c>
      <c r="O238" s="447">
        <f>IFERROR(__xludf.DUMMYFUNCTION("""COMPUTED_VALUE"""),0.0)</f>
        <v>0</v>
      </c>
      <c r="P238" s="447">
        <f>IFERROR(__xludf.DUMMYFUNCTION("""COMPUTED_VALUE"""),0.0)</f>
        <v>0</v>
      </c>
      <c r="Q238" s="447">
        <f>IFERROR(__xludf.DUMMYFUNCTION("""COMPUTED_VALUE"""),1.0)</f>
        <v>1</v>
      </c>
      <c r="R238" s="447">
        <f>IFERROR(__xludf.DUMMYFUNCTION("""COMPUTED_VALUE"""),0.0)</f>
        <v>0</v>
      </c>
      <c r="S238" s="447">
        <f>IFERROR(__xludf.DUMMYFUNCTION("""COMPUTED_VALUE"""),5.0)</f>
        <v>5</v>
      </c>
      <c r="T238" s="447">
        <f>IFERROR(__xludf.DUMMYFUNCTION("""COMPUTED_VALUE"""),1.0)</f>
        <v>1</v>
      </c>
      <c r="U238" s="447">
        <f>IFERROR(__xludf.DUMMYFUNCTION("""COMPUTED_VALUE"""),0.0)</f>
        <v>0</v>
      </c>
      <c r="V238" s="447">
        <f>IFERROR(__xludf.DUMMYFUNCTION("""COMPUTED_VALUE"""),0.0)</f>
        <v>0</v>
      </c>
      <c r="W238" s="447">
        <f>IFERROR(__xludf.DUMMYFUNCTION("""COMPUTED_VALUE"""),0.0)</f>
        <v>0</v>
      </c>
      <c r="X238" s="447">
        <f>IFERROR(__xludf.DUMMYFUNCTION("""COMPUTED_VALUE"""),0.0)</f>
        <v>0</v>
      </c>
      <c r="Y238" s="447">
        <f>IFERROR(__xludf.DUMMYFUNCTION("""COMPUTED_VALUE"""),0.0)</f>
        <v>0</v>
      </c>
      <c r="Z238" s="447">
        <f>IFERROR(__xludf.DUMMYFUNCTION("""COMPUTED_VALUE"""),0.0)</f>
        <v>0</v>
      </c>
      <c r="AA238" s="447">
        <f>IFERROR(__xludf.DUMMYFUNCTION("""COMPUTED_VALUE"""),0.0)</f>
        <v>0</v>
      </c>
      <c r="AB238" s="447">
        <f>IFERROR(__xludf.DUMMYFUNCTION("""COMPUTED_VALUE"""),0.0)</f>
        <v>0</v>
      </c>
      <c r="AC238" s="447">
        <f>IFERROR(__xludf.DUMMYFUNCTION("""COMPUTED_VALUE"""),2.0)</f>
        <v>2</v>
      </c>
      <c r="AD238" s="447">
        <f>IFERROR(__xludf.DUMMYFUNCTION("""COMPUTED_VALUE"""),47.0)</f>
        <v>47</v>
      </c>
      <c r="AE238" s="447">
        <f>IFERROR(__xludf.DUMMYFUNCTION("""COMPUTED_VALUE"""),10.0)</f>
        <v>10</v>
      </c>
      <c r="AF238" s="447">
        <f>IFERROR(__xludf.DUMMYFUNCTION("""COMPUTED_VALUE"""),1.0)</f>
        <v>1</v>
      </c>
      <c r="AG238" s="443" t="s">
        <v>129</v>
      </c>
      <c r="AH238" s="443" t="s">
        <v>343</v>
      </c>
      <c r="AI238" s="443"/>
      <c r="AJ238" s="443"/>
      <c r="AK238" s="443"/>
      <c r="AL238" s="443"/>
      <c r="AM238" s="443"/>
      <c r="AN238" s="443"/>
      <c r="AO238" s="443"/>
      <c r="AP238" s="443"/>
      <c r="AQ238" s="443"/>
      <c r="AR238" s="443"/>
      <c r="AS238" s="443"/>
      <c r="AT238" s="443"/>
      <c r="AU238" s="443"/>
      <c r="AV238" s="443"/>
      <c r="AW238" s="443"/>
      <c r="AX238" s="443"/>
      <c r="AY238" s="443"/>
      <c r="AZ238" s="443"/>
      <c r="BA238" s="443"/>
      <c r="BB238" s="443"/>
      <c r="BC238" s="443"/>
      <c r="BD238" s="443"/>
      <c r="BE238" s="443"/>
    </row>
    <row r="239" hidden="1">
      <c r="A239" s="445">
        <f t="shared" si="5"/>
        <v>45529</v>
      </c>
      <c r="B239" s="449">
        <v>0.0</v>
      </c>
      <c r="C239" s="443"/>
      <c r="D239" s="443"/>
      <c r="E239" s="436" t="str">
        <f t="array" ref="E239">IF(B239=0,"",(J239+K239)/60)</f>
        <v/>
      </c>
      <c r="F239" s="437" t="str">
        <f t="shared" si="1"/>
        <v/>
      </c>
      <c r="G239" s="438" t="str">
        <f t="shared" si="2"/>
        <v/>
      </c>
      <c r="H239" s="438" t="str">
        <f t="shared" si="3"/>
        <v/>
      </c>
      <c r="I239" s="436" t="str">
        <f t="shared" si="6"/>
        <v/>
      </c>
      <c r="J239" s="464"/>
      <c r="K239" s="464"/>
      <c r="L239" s="443"/>
      <c r="M239" s="447">
        <f>IFERROR(__xludf.DUMMYFUNCTION("""COMPUTED_VALUE"""),57.0)</f>
        <v>57</v>
      </c>
      <c r="N239" s="447">
        <f>IFERROR(__xludf.DUMMYFUNCTION("""COMPUTED_VALUE"""),57.0)</f>
        <v>57</v>
      </c>
      <c r="O239" s="447">
        <f>IFERROR(__xludf.DUMMYFUNCTION("""COMPUTED_VALUE"""),0.0)</f>
        <v>0</v>
      </c>
      <c r="P239" s="447">
        <f>IFERROR(__xludf.DUMMYFUNCTION("""COMPUTED_VALUE"""),0.0)</f>
        <v>0</v>
      </c>
      <c r="Q239" s="447">
        <f>IFERROR(__xludf.DUMMYFUNCTION("""COMPUTED_VALUE"""),0.0)</f>
        <v>0</v>
      </c>
      <c r="R239" s="447">
        <f>IFERROR(__xludf.DUMMYFUNCTION("""COMPUTED_VALUE"""),0.0)</f>
        <v>0</v>
      </c>
      <c r="S239" s="447">
        <f>IFERROR(__xludf.DUMMYFUNCTION("""COMPUTED_VALUE"""),1.0)</f>
        <v>1</v>
      </c>
      <c r="T239" s="447">
        <f>IFERROR(__xludf.DUMMYFUNCTION("""COMPUTED_VALUE"""),0.0)</f>
        <v>0</v>
      </c>
      <c r="U239" s="447">
        <f>IFERROR(__xludf.DUMMYFUNCTION("""COMPUTED_VALUE"""),0.0)</f>
        <v>0</v>
      </c>
      <c r="V239" s="447">
        <f>IFERROR(__xludf.DUMMYFUNCTION("""COMPUTED_VALUE"""),0.0)</f>
        <v>0</v>
      </c>
      <c r="W239" s="447">
        <f>IFERROR(__xludf.DUMMYFUNCTION("""COMPUTED_VALUE"""),0.0)</f>
        <v>0</v>
      </c>
      <c r="X239" s="447">
        <f>IFERROR(__xludf.DUMMYFUNCTION("""COMPUTED_VALUE"""),0.0)</f>
        <v>0</v>
      </c>
      <c r="Y239" s="447">
        <f>IFERROR(__xludf.DUMMYFUNCTION("""COMPUTED_VALUE"""),0.0)</f>
        <v>0</v>
      </c>
      <c r="Z239" s="447">
        <f>IFERROR(__xludf.DUMMYFUNCTION("""COMPUTED_VALUE"""),0.0)</f>
        <v>0</v>
      </c>
      <c r="AA239" s="447">
        <f>IFERROR(__xludf.DUMMYFUNCTION("""COMPUTED_VALUE"""),0.0)</f>
        <v>0</v>
      </c>
      <c r="AB239" s="447">
        <f>IFERROR(__xludf.DUMMYFUNCTION("""COMPUTED_VALUE"""),0.0)</f>
        <v>0</v>
      </c>
      <c r="AC239" s="447">
        <f>IFERROR(__xludf.DUMMYFUNCTION("""COMPUTED_VALUE"""),0.0)</f>
        <v>0</v>
      </c>
      <c r="AD239" s="447">
        <f>IFERROR(__xludf.DUMMYFUNCTION("""COMPUTED_VALUE"""),0.0)</f>
        <v>0</v>
      </c>
      <c r="AE239" s="447">
        <f>IFERROR(__xludf.DUMMYFUNCTION("""COMPUTED_VALUE"""),1.0)</f>
        <v>1</v>
      </c>
      <c r="AF239" s="447">
        <f>IFERROR(__xludf.DUMMYFUNCTION("""COMPUTED_VALUE"""),0.0)</f>
        <v>0</v>
      </c>
      <c r="AG239" s="443" t="s">
        <v>129</v>
      </c>
      <c r="AH239" s="443" t="s">
        <v>343</v>
      </c>
      <c r="AI239" s="443"/>
      <c r="AJ239" s="443"/>
      <c r="AK239" s="443"/>
      <c r="AL239" s="443"/>
      <c r="AM239" s="443"/>
      <c r="AN239" s="443"/>
      <c r="AO239" s="443"/>
      <c r="AP239" s="443"/>
      <c r="AQ239" s="443"/>
      <c r="AR239" s="443"/>
      <c r="AS239" s="443"/>
      <c r="AT239" s="443"/>
      <c r="AU239" s="443"/>
      <c r="AV239" s="443"/>
      <c r="AW239" s="443"/>
      <c r="AX239" s="443"/>
      <c r="AY239" s="443"/>
      <c r="AZ239" s="443"/>
      <c r="BA239" s="443"/>
      <c r="BB239" s="443"/>
      <c r="BC239" s="443"/>
      <c r="BD239" s="443"/>
      <c r="BE239" s="443"/>
    </row>
    <row r="240" hidden="1">
      <c r="A240" s="445">
        <f t="shared" si="5"/>
        <v>45530</v>
      </c>
      <c r="B240" s="449">
        <v>450.0</v>
      </c>
      <c r="C240" s="462">
        <v>0.5583333333333333</v>
      </c>
      <c r="D240" s="462">
        <v>0.9152777777777777</v>
      </c>
      <c r="E240" s="436">
        <f t="array" ref="E240">IF(B240=0,"",(J240+K240)/60)</f>
        <v>0.5</v>
      </c>
      <c r="F240" s="437">
        <f t="shared" si="1"/>
        <v>8.566666667</v>
      </c>
      <c r="G240" s="438">
        <f t="shared" si="2"/>
        <v>52.52918288</v>
      </c>
      <c r="H240" s="438">
        <f t="shared" si="3"/>
        <v>55.78512397</v>
      </c>
      <c r="I240" s="436">
        <f t="shared" si="6"/>
        <v>1.010176594</v>
      </c>
      <c r="J240" s="460">
        <v>30.0</v>
      </c>
      <c r="K240" s="464"/>
      <c r="L240" s="443"/>
      <c r="M240" s="447">
        <f>IFERROR(__xludf.DUMMYFUNCTION("""COMPUTED_VALUE"""),57.0)</f>
        <v>57</v>
      </c>
      <c r="N240" s="447">
        <f>IFERROR(__xludf.DUMMYFUNCTION("""COMPUTED_VALUE"""),56.0)</f>
        <v>56</v>
      </c>
      <c r="O240" s="447">
        <f>IFERROR(__xludf.DUMMYFUNCTION("""COMPUTED_VALUE"""),0.0)</f>
        <v>0</v>
      </c>
      <c r="P240" s="447">
        <f>IFERROR(__xludf.DUMMYFUNCTION("""COMPUTED_VALUE"""),0.0)</f>
        <v>0</v>
      </c>
      <c r="Q240" s="447">
        <f>IFERROR(__xludf.DUMMYFUNCTION("""COMPUTED_VALUE"""),1.0)</f>
        <v>1</v>
      </c>
      <c r="R240" s="447">
        <f>IFERROR(__xludf.DUMMYFUNCTION("""COMPUTED_VALUE"""),0.0)</f>
        <v>0</v>
      </c>
      <c r="S240" s="447">
        <f>IFERROR(__xludf.DUMMYFUNCTION("""COMPUTED_VALUE"""),2.0)</f>
        <v>2</v>
      </c>
      <c r="T240" s="447">
        <f>IFERROR(__xludf.DUMMYFUNCTION("""COMPUTED_VALUE"""),0.0)</f>
        <v>0</v>
      </c>
      <c r="U240" s="447">
        <f>IFERROR(__xludf.DUMMYFUNCTION("""COMPUTED_VALUE"""),0.0)</f>
        <v>0</v>
      </c>
      <c r="V240" s="447">
        <f>IFERROR(__xludf.DUMMYFUNCTION("""COMPUTED_VALUE"""),0.0)</f>
        <v>0</v>
      </c>
      <c r="W240" s="447">
        <f>IFERROR(__xludf.DUMMYFUNCTION("""COMPUTED_VALUE"""),0.0)</f>
        <v>0</v>
      </c>
      <c r="X240" s="447">
        <f>IFERROR(__xludf.DUMMYFUNCTION("""COMPUTED_VALUE"""),0.0)</f>
        <v>0</v>
      </c>
      <c r="Y240" s="447">
        <f>IFERROR(__xludf.DUMMYFUNCTION("""COMPUTED_VALUE"""),0.0)</f>
        <v>0</v>
      </c>
      <c r="Z240" s="447">
        <f>IFERROR(__xludf.DUMMYFUNCTION("""COMPUTED_VALUE"""),0.0)</f>
        <v>0</v>
      </c>
      <c r="AA240" s="447">
        <f>IFERROR(__xludf.DUMMYFUNCTION("""COMPUTED_VALUE"""),0.0)</f>
        <v>0</v>
      </c>
      <c r="AB240" s="447">
        <f>IFERROR(__xludf.DUMMYFUNCTION("""COMPUTED_VALUE"""),0.0)</f>
        <v>0</v>
      </c>
      <c r="AC240" s="447">
        <f>IFERROR(__xludf.DUMMYFUNCTION("""COMPUTED_VALUE"""),1.0)</f>
        <v>1</v>
      </c>
      <c r="AD240" s="447">
        <f>IFERROR(__xludf.DUMMYFUNCTION("""COMPUTED_VALUE"""),52.0)</f>
        <v>52</v>
      </c>
      <c r="AE240" s="447">
        <f>IFERROR(__xludf.DUMMYFUNCTION("""COMPUTED_VALUE"""),5.0)</f>
        <v>5</v>
      </c>
      <c r="AF240" s="447">
        <f>IFERROR(__xludf.DUMMYFUNCTION("""COMPUTED_VALUE"""),1.0)</f>
        <v>1</v>
      </c>
      <c r="AG240" s="443" t="s">
        <v>129</v>
      </c>
      <c r="AH240" s="443" t="s">
        <v>343</v>
      </c>
      <c r="AI240" s="443"/>
      <c r="AJ240" s="443"/>
      <c r="AK240" s="443"/>
      <c r="AL240" s="443"/>
      <c r="AM240" s="443"/>
      <c r="AN240" s="443"/>
      <c r="AO240" s="443"/>
      <c r="AP240" s="443"/>
      <c r="AQ240" s="443"/>
      <c r="AR240" s="443"/>
      <c r="AS240" s="443"/>
      <c r="AT240" s="443"/>
      <c r="AU240" s="443"/>
      <c r="AV240" s="443"/>
      <c r="AW240" s="443"/>
      <c r="AX240" s="443"/>
      <c r="AY240" s="443"/>
      <c r="AZ240" s="443"/>
      <c r="BA240" s="443"/>
      <c r="BB240" s="443"/>
      <c r="BC240" s="443"/>
      <c r="BD240" s="443"/>
      <c r="BE240" s="443"/>
    </row>
    <row r="241" hidden="1">
      <c r="A241" s="445">
        <f t="shared" si="5"/>
        <v>45531</v>
      </c>
      <c r="B241" s="449">
        <v>513.0</v>
      </c>
      <c r="C241" s="462">
        <v>0.6</v>
      </c>
      <c r="D241" s="462">
        <v>0.9916666666666667</v>
      </c>
      <c r="E241" s="436">
        <f t="array" ref="E241">IF(B241=0,"",(J241+K241)/60)</f>
        <v>0.5</v>
      </c>
      <c r="F241" s="437">
        <f t="shared" si="1"/>
        <v>9.4</v>
      </c>
      <c r="G241" s="438">
        <f t="shared" si="2"/>
        <v>54.57446809</v>
      </c>
      <c r="H241" s="438">
        <f t="shared" si="3"/>
        <v>57.64044944</v>
      </c>
      <c r="I241" s="436">
        <f t="shared" si="6"/>
        <v>1.07008761</v>
      </c>
      <c r="J241" s="460">
        <v>30.0</v>
      </c>
      <c r="K241" s="464"/>
      <c r="L241" s="443"/>
      <c r="M241" s="447">
        <f>IFERROR(__xludf.DUMMYFUNCTION("""COMPUTED_VALUE"""),57.0)</f>
        <v>57</v>
      </c>
      <c r="N241" s="447">
        <f>IFERROR(__xludf.DUMMYFUNCTION("""COMPUTED_VALUE"""),56.0)</f>
        <v>56</v>
      </c>
      <c r="O241" s="447">
        <f>IFERROR(__xludf.DUMMYFUNCTION("""COMPUTED_VALUE"""),0.0)</f>
        <v>0</v>
      </c>
      <c r="P241" s="447">
        <f>IFERROR(__xludf.DUMMYFUNCTION("""COMPUTED_VALUE"""),0.0)</f>
        <v>0</v>
      </c>
      <c r="Q241" s="447">
        <f>IFERROR(__xludf.DUMMYFUNCTION("""COMPUTED_VALUE"""),1.0)</f>
        <v>1</v>
      </c>
      <c r="R241" s="447">
        <f>IFERROR(__xludf.DUMMYFUNCTION("""COMPUTED_VALUE"""),0.0)</f>
        <v>0</v>
      </c>
      <c r="S241" s="447">
        <f>IFERROR(__xludf.DUMMYFUNCTION("""COMPUTED_VALUE"""),3.0)</f>
        <v>3</v>
      </c>
      <c r="T241" s="447">
        <f>IFERROR(__xludf.DUMMYFUNCTION("""COMPUTED_VALUE"""),0.0)</f>
        <v>0</v>
      </c>
      <c r="U241" s="447">
        <f>IFERROR(__xludf.DUMMYFUNCTION("""COMPUTED_VALUE"""),0.0)</f>
        <v>0</v>
      </c>
      <c r="V241" s="447">
        <f>IFERROR(__xludf.DUMMYFUNCTION("""COMPUTED_VALUE"""),1.0)</f>
        <v>1</v>
      </c>
      <c r="W241" s="447">
        <f>IFERROR(__xludf.DUMMYFUNCTION("""COMPUTED_VALUE"""),0.0)</f>
        <v>0</v>
      </c>
      <c r="X241" s="447">
        <f>IFERROR(__xludf.DUMMYFUNCTION("""COMPUTED_VALUE"""),0.0)</f>
        <v>0</v>
      </c>
      <c r="Y241" s="447">
        <f>IFERROR(__xludf.DUMMYFUNCTION("""COMPUTED_VALUE"""),0.0)</f>
        <v>0</v>
      </c>
      <c r="Z241" s="447">
        <f>IFERROR(__xludf.DUMMYFUNCTION("""COMPUTED_VALUE"""),0.0)</f>
        <v>0</v>
      </c>
      <c r="AA241" s="447">
        <f>IFERROR(__xludf.DUMMYFUNCTION("""COMPUTED_VALUE"""),0.0)</f>
        <v>0</v>
      </c>
      <c r="AB241" s="447">
        <f>IFERROR(__xludf.DUMMYFUNCTION("""COMPUTED_VALUE"""),0.0)</f>
        <v>0</v>
      </c>
      <c r="AC241" s="447">
        <f>IFERROR(__xludf.DUMMYFUNCTION("""COMPUTED_VALUE"""),0.0)</f>
        <v>0</v>
      </c>
      <c r="AD241" s="447">
        <f>IFERROR(__xludf.DUMMYFUNCTION("""COMPUTED_VALUE"""),51.0)</f>
        <v>51</v>
      </c>
      <c r="AE241" s="447">
        <f>IFERROR(__xludf.DUMMYFUNCTION("""COMPUTED_VALUE"""),6.0)</f>
        <v>6</v>
      </c>
      <c r="AF241" s="447">
        <f>IFERROR(__xludf.DUMMYFUNCTION("""COMPUTED_VALUE"""),1.0)</f>
        <v>1</v>
      </c>
      <c r="AG241" s="443" t="s">
        <v>129</v>
      </c>
      <c r="AH241" s="443" t="s">
        <v>343</v>
      </c>
      <c r="AI241" s="443"/>
      <c r="AJ241" s="443"/>
      <c r="AK241" s="443"/>
      <c r="AL241" s="443"/>
      <c r="AM241" s="443"/>
      <c r="AN241" s="443"/>
      <c r="AO241" s="443"/>
      <c r="AP241" s="443"/>
      <c r="AQ241" s="443"/>
      <c r="AR241" s="443"/>
      <c r="AS241" s="443"/>
      <c r="AT241" s="443"/>
      <c r="AU241" s="443"/>
      <c r="AV241" s="443"/>
      <c r="AW241" s="443"/>
      <c r="AX241" s="443"/>
      <c r="AY241" s="443"/>
      <c r="AZ241" s="443"/>
      <c r="BA241" s="443"/>
      <c r="BB241" s="443"/>
      <c r="BC241" s="443"/>
      <c r="BD241" s="443"/>
      <c r="BE241" s="443"/>
    </row>
    <row r="242" hidden="1">
      <c r="A242" s="445">
        <f t="shared" si="5"/>
        <v>45532</v>
      </c>
      <c r="B242" s="449">
        <v>390.0</v>
      </c>
      <c r="C242" s="462">
        <v>0.6416666666666667</v>
      </c>
      <c r="D242" s="462">
        <v>0.9708333333333333</v>
      </c>
      <c r="E242" s="436">
        <f t="array" ref="E242">IF(B242=0,"",(J242+K242)/60)</f>
        <v>1.266666667</v>
      </c>
      <c r="F242" s="437">
        <f t="shared" si="1"/>
        <v>7.9</v>
      </c>
      <c r="G242" s="438">
        <f t="shared" si="2"/>
        <v>49.36708861</v>
      </c>
      <c r="H242" s="438">
        <f t="shared" si="3"/>
        <v>58.79396985</v>
      </c>
      <c r="I242" s="436">
        <f t="shared" si="6"/>
        <v>0.9679821296</v>
      </c>
      <c r="J242" s="460">
        <v>30.0</v>
      </c>
      <c r="K242" s="460">
        <v>46.0</v>
      </c>
      <c r="L242" s="443"/>
      <c r="M242" s="447">
        <f>IFERROR(__xludf.DUMMYFUNCTION("""COMPUTED_VALUE"""),57.0)</f>
        <v>57</v>
      </c>
      <c r="N242" s="447">
        <f>IFERROR(__xludf.DUMMYFUNCTION("""COMPUTED_VALUE"""),56.0)</f>
        <v>56</v>
      </c>
      <c r="O242" s="447">
        <f>IFERROR(__xludf.DUMMYFUNCTION("""COMPUTED_VALUE"""),0.0)</f>
        <v>0</v>
      </c>
      <c r="P242" s="447">
        <f>IFERROR(__xludf.DUMMYFUNCTION("""COMPUTED_VALUE"""),0.0)</f>
        <v>0</v>
      </c>
      <c r="Q242" s="447">
        <f>IFERROR(__xludf.DUMMYFUNCTION("""COMPUTED_VALUE"""),1.0)</f>
        <v>1</v>
      </c>
      <c r="R242" s="447">
        <f>IFERROR(__xludf.DUMMYFUNCTION("""COMPUTED_VALUE"""),0.0)</f>
        <v>0</v>
      </c>
      <c r="S242" s="447">
        <f>IFERROR(__xludf.DUMMYFUNCTION("""COMPUTED_VALUE"""),2.0)</f>
        <v>2</v>
      </c>
      <c r="T242" s="447">
        <f>IFERROR(__xludf.DUMMYFUNCTION("""COMPUTED_VALUE"""),0.0)</f>
        <v>0</v>
      </c>
      <c r="U242" s="447">
        <f>IFERROR(__xludf.DUMMYFUNCTION("""COMPUTED_VALUE"""),0.0)</f>
        <v>0</v>
      </c>
      <c r="V242" s="447">
        <f>IFERROR(__xludf.DUMMYFUNCTION("""COMPUTED_VALUE"""),1.0)</f>
        <v>1</v>
      </c>
      <c r="W242" s="447">
        <f>IFERROR(__xludf.DUMMYFUNCTION("""COMPUTED_VALUE"""),0.0)</f>
        <v>0</v>
      </c>
      <c r="X242" s="447">
        <f>IFERROR(__xludf.DUMMYFUNCTION("""COMPUTED_VALUE"""),0.0)</f>
        <v>0</v>
      </c>
      <c r="Y242" s="447">
        <f>IFERROR(__xludf.DUMMYFUNCTION("""COMPUTED_VALUE"""),0.0)</f>
        <v>0</v>
      </c>
      <c r="Z242" s="447">
        <f>IFERROR(__xludf.DUMMYFUNCTION("""COMPUTED_VALUE"""),0.0)</f>
        <v>0</v>
      </c>
      <c r="AA242" s="447">
        <f>IFERROR(__xludf.DUMMYFUNCTION("""COMPUTED_VALUE"""),0.0)</f>
        <v>0</v>
      </c>
      <c r="AB242" s="447">
        <f>IFERROR(__xludf.DUMMYFUNCTION("""COMPUTED_VALUE"""),0.0)</f>
        <v>0</v>
      </c>
      <c r="AC242" s="447">
        <f>IFERROR(__xludf.DUMMYFUNCTION("""COMPUTED_VALUE"""),1.0)</f>
        <v>1</v>
      </c>
      <c r="AD242" s="447">
        <f>IFERROR(__xludf.DUMMYFUNCTION("""COMPUTED_VALUE"""),51.0)</f>
        <v>51</v>
      </c>
      <c r="AE242" s="447">
        <f>IFERROR(__xludf.DUMMYFUNCTION("""COMPUTED_VALUE"""),6.0)</f>
        <v>6</v>
      </c>
      <c r="AF242" s="447">
        <f>IFERROR(__xludf.DUMMYFUNCTION("""COMPUTED_VALUE"""),1.0)</f>
        <v>1</v>
      </c>
      <c r="AG242" s="443" t="s">
        <v>129</v>
      </c>
      <c r="AH242" s="443" t="s">
        <v>343</v>
      </c>
      <c r="AI242" s="443"/>
      <c r="AJ242" s="443"/>
      <c r="AK242" s="443"/>
      <c r="AL242" s="443"/>
      <c r="AM242" s="443"/>
      <c r="AN242" s="443"/>
      <c r="AO242" s="443"/>
      <c r="AP242" s="443"/>
      <c r="AQ242" s="443"/>
      <c r="AR242" s="443"/>
      <c r="AS242" s="443"/>
      <c r="AT242" s="443"/>
      <c r="AU242" s="443"/>
      <c r="AV242" s="443"/>
      <c r="AW242" s="443"/>
      <c r="AX242" s="443"/>
      <c r="AY242" s="443"/>
      <c r="AZ242" s="443"/>
      <c r="BA242" s="443"/>
      <c r="BB242" s="443"/>
      <c r="BC242" s="443"/>
      <c r="BD242" s="443"/>
      <c r="BE242" s="443"/>
    </row>
    <row r="243" hidden="1">
      <c r="A243" s="445">
        <f t="shared" si="5"/>
        <v>45533</v>
      </c>
      <c r="B243" s="449">
        <v>422.0</v>
      </c>
      <c r="C243" s="462">
        <v>0.6416666666666667</v>
      </c>
      <c r="D243" s="462">
        <v>0.9895833333333334</v>
      </c>
      <c r="E243" s="436">
        <f t="array" ref="E243">IF(B243=0,"",(J243+K243)/60)</f>
        <v>1.516666667</v>
      </c>
      <c r="F243" s="437">
        <f t="shared" si="1"/>
        <v>8.35</v>
      </c>
      <c r="G243" s="438">
        <f t="shared" si="2"/>
        <v>50.53892216</v>
      </c>
      <c r="H243" s="438">
        <f t="shared" si="3"/>
        <v>61.75609756</v>
      </c>
      <c r="I243" s="436">
        <f t="shared" si="6"/>
        <v>0.990959258</v>
      </c>
      <c r="J243" s="460">
        <v>30.0</v>
      </c>
      <c r="K243" s="460">
        <v>61.0</v>
      </c>
      <c r="L243" s="443"/>
      <c r="M243" s="447">
        <f>IFERROR(__xludf.DUMMYFUNCTION("""COMPUTED_VALUE"""),57.0)</f>
        <v>57</v>
      </c>
      <c r="N243" s="447">
        <f>IFERROR(__xludf.DUMMYFUNCTION("""COMPUTED_VALUE"""),56.0)</f>
        <v>56</v>
      </c>
      <c r="O243" s="447">
        <f>IFERROR(__xludf.DUMMYFUNCTION("""COMPUTED_VALUE"""),0.0)</f>
        <v>0</v>
      </c>
      <c r="P243" s="447">
        <f>IFERROR(__xludf.DUMMYFUNCTION("""COMPUTED_VALUE"""),0.0)</f>
        <v>0</v>
      </c>
      <c r="Q243" s="447">
        <f>IFERROR(__xludf.DUMMYFUNCTION("""COMPUTED_VALUE"""),0.0)</f>
        <v>0</v>
      </c>
      <c r="R243" s="447">
        <f>IFERROR(__xludf.DUMMYFUNCTION("""COMPUTED_VALUE"""),1.0)</f>
        <v>1</v>
      </c>
      <c r="S243" s="447">
        <f>IFERROR(__xludf.DUMMYFUNCTION("""COMPUTED_VALUE"""),2.0)</f>
        <v>2</v>
      </c>
      <c r="T243" s="447">
        <f>IFERROR(__xludf.DUMMYFUNCTION("""COMPUTED_VALUE"""),0.0)</f>
        <v>0</v>
      </c>
      <c r="U243" s="447">
        <f>IFERROR(__xludf.DUMMYFUNCTION("""COMPUTED_VALUE"""),0.0)</f>
        <v>0</v>
      </c>
      <c r="V243" s="447">
        <f>IFERROR(__xludf.DUMMYFUNCTION("""COMPUTED_VALUE"""),1.0)</f>
        <v>1</v>
      </c>
      <c r="W243" s="447">
        <f>IFERROR(__xludf.DUMMYFUNCTION("""COMPUTED_VALUE"""),0.0)</f>
        <v>0</v>
      </c>
      <c r="X243" s="447">
        <f>IFERROR(__xludf.DUMMYFUNCTION("""COMPUTED_VALUE"""),0.0)</f>
        <v>0</v>
      </c>
      <c r="Y243" s="447">
        <f>IFERROR(__xludf.DUMMYFUNCTION("""COMPUTED_VALUE"""),0.0)</f>
        <v>0</v>
      </c>
      <c r="Z243" s="447">
        <f>IFERROR(__xludf.DUMMYFUNCTION("""COMPUTED_VALUE"""),0.0)</f>
        <v>0</v>
      </c>
      <c r="AA243" s="447">
        <f>IFERROR(__xludf.DUMMYFUNCTION("""COMPUTED_VALUE"""),0.0)</f>
        <v>0</v>
      </c>
      <c r="AB243" s="447">
        <f>IFERROR(__xludf.DUMMYFUNCTION("""COMPUTED_VALUE"""),0.0)</f>
        <v>0</v>
      </c>
      <c r="AC243" s="447">
        <f>IFERROR(__xludf.DUMMYFUNCTION("""COMPUTED_VALUE"""),1.0)</f>
        <v>1</v>
      </c>
      <c r="AD243" s="447">
        <f>IFERROR(__xludf.DUMMYFUNCTION("""COMPUTED_VALUE"""),51.0)</f>
        <v>51</v>
      </c>
      <c r="AE243" s="447">
        <f>IFERROR(__xludf.DUMMYFUNCTION("""COMPUTED_VALUE"""),5.0)</f>
        <v>5</v>
      </c>
      <c r="AF243" s="447">
        <f>IFERROR(__xludf.DUMMYFUNCTION("""COMPUTED_VALUE"""),1.0)</f>
        <v>1</v>
      </c>
      <c r="AG243" s="443" t="s">
        <v>129</v>
      </c>
      <c r="AH243" s="443" t="s">
        <v>343</v>
      </c>
      <c r="AI243" s="443"/>
      <c r="AJ243" s="443"/>
      <c r="AK243" s="443"/>
      <c r="AL243" s="443"/>
      <c r="AM243" s="443"/>
      <c r="AN243" s="443"/>
      <c r="AO243" s="443"/>
      <c r="AP243" s="443"/>
      <c r="AQ243" s="443"/>
      <c r="AR243" s="443"/>
      <c r="AS243" s="443"/>
      <c r="AT243" s="443"/>
      <c r="AU243" s="443"/>
      <c r="AV243" s="443"/>
      <c r="AW243" s="443"/>
      <c r="AX243" s="443"/>
      <c r="AY243" s="443"/>
      <c r="AZ243" s="443"/>
      <c r="BA243" s="443"/>
      <c r="BB243" s="443"/>
      <c r="BC243" s="443"/>
      <c r="BD243" s="443"/>
      <c r="BE243" s="443"/>
    </row>
    <row r="244" hidden="1">
      <c r="A244" s="445">
        <f t="shared" si="5"/>
        <v>45534</v>
      </c>
      <c r="B244" s="449">
        <v>435.0</v>
      </c>
      <c r="C244" s="462">
        <v>0.6416666666666667</v>
      </c>
      <c r="D244" s="462">
        <v>0.9569444444444445</v>
      </c>
      <c r="E244" s="436">
        <f t="array" ref="E244">IF(B244=0,"",(J244+K244)/60)</f>
        <v>0.5</v>
      </c>
      <c r="F244" s="437">
        <f t="shared" si="1"/>
        <v>7.566666667</v>
      </c>
      <c r="G244" s="438">
        <f t="shared" si="2"/>
        <v>57.48898678</v>
      </c>
      <c r="H244" s="438">
        <f t="shared" si="3"/>
        <v>61.55660377</v>
      </c>
      <c r="I244" s="436">
        <f t="shared" si="6"/>
        <v>1.149779736</v>
      </c>
      <c r="J244" s="460">
        <v>30.0</v>
      </c>
      <c r="K244" s="464"/>
      <c r="L244" s="443"/>
      <c r="M244" s="447">
        <f>IFERROR(__xludf.DUMMYFUNCTION("""COMPUTED_VALUE"""),57.0)</f>
        <v>57</v>
      </c>
      <c r="N244" s="447">
        <f>IFERROR(__xludf.DUMMYFUNCTION("""COMPUTED_VALUE"""),55.0)</f>
        <v>55</v>
      </c>
      <c r="O244" s="447">
        <f>IFERROR(__xludf.DUMMYFUNCTION("""COMPUTED_VALUE"""),0.0)</f>
        <v>0</v>
      </c>
      <c r="P244" s="447">
        <f>IFERROR(__xludf.DUMMYFUNCTION("""COMPUTED_VALUE"""),0.0)</f>
        <v>0</v>
      </c>
      <c r="Q244" s="447">
        <f>IFERROR(__xludf.DUMMYFUNCTION("""COMPUTED_VALUE"""),0.0)</f>
        <v>0</v>
      </c>
      <c r="R244" s="447">
        <f>IFERROR(__xludf.DUMMYFUNCTION("""COMPUTED_VALUE"""),0.0)</f>
        <v>0</v>
      </c>
      <c r="S244" s="447">
        <f>IFERROR(__xludf.DUMMYFUNCTION("""COMPUTED_VALUE"""),3.0)</f>
        <v>3</v>
      </c>
      <c r="T244" s="447">
        <f>IFERROR(__xludf.DUMMYFUNCTION("""COMPUTED_VALUE"""),0.0)</f>
        <v>0</v>
      </c>
      <c r="U244" s="447">
        <f>IFERROR(__xludf.DUMMYFUNCTION("""COMPUTED_VALUE"""),1.0)</f>
        <v>1</v>
      </c>
      <c r="V244" s="447">
        <f>IFERROR(__xludf.DUMMYFUNCTION("""COMPUTED_VALUE"""),1.0)</f>
        <v>1</v>
      </c>
      <c r="W244" s="447">
        <f>IFERROR(__xludf.DUMMYFUNCTION("""COMPUTED_VALUE"""),0.0)</f>
        <v>0</v>
      </c>
      <c r="X244" s="447">
        <f>IFERROR(__xludf.DUMMYFUNCTION("""COMPUTED_VALUE"""),0.0)</f>
        <v>0</v>
      </c>
      <c r="Y244" s="447">
        <f>IFERROR(__xludf.DUMMYFUNCTION("""COMPUTED_VALUE"""),0.0)</f>
        <v>0</v>
      </c>
      <c r="Z244" s="447">
        <f>IFERROR(__xludf.DUMMYFUNCTION("""COMPUTED_VALUE"""),0.0)</f>
        <v>0</v>
      </c>
      <c r="AA244" s="447">
        <f>IFERROR(__xludf.DUMMYFUNCTION("""COMPUTED_VALUE"""),0.0)</f>
        <v>0</v>
      </c>
      <c r="AB244" s="447">
        <f>IFERROR(__xludf.DUMMYFUNCTION("""COMPUTED_VALUE"""),0.0)</f>
        <v>0</v>
      </c>
      <c r="AC244" s="447">
        <f>IFERROR(__xludf.DUMMYFUNCTION("""COMPUTED_VALUE"""),1.0)</f>
        <v>1</v>
      </c>
      <c r="AD244" s="447">
        <f>IFERROR(__xludf.DUMMYFUNCTION("""COMPUTED_VALUE"""),50.0)</f>
        <v>50</v>
      </c>
      <c r="AE244" s="447">
        <f>IFERROR(__xludf.DUMMYFUNCTION("""COMPUTED_VALUE"""),7.0)</f>
        <v>7</v>
      </c>
      <c r="AF244" s="447">
        <f>IFERROR(__xludf.DUMMYFUNCTION("""COMPUTED_VALUE"""),2.0)</f>
        <v>2</v>
      </c>
      <c r="AG244" s="443" t="s">
        <v>129</v>
      </c>
      <c r="AH244" s="443" t="s">
        <v>343</v>
      </c>
      <c r="AI244" s="443"/>
      <c r="AJ244" s="443"/>
      <c r="AK244" s="443"/>
      <c r="AL244" s="443"/>
      <c r="AM244" s="443"/>
      <c r="AN244" s="443"/>
      <c r="AO244" s="443"/>
      <c r="AP244" s="443"/>
      <c r="AQ244" s="443"/>
      <c r="AR244" s="443"/>
      <c r="AS244" s="443"/>
      <c r="AT244" s="443"/>
      <c r="AU244" s="443"/>
      <c r="AV244" s="443"/>
      <c r="AW244" s="443"/>
      <c r="AX244" s="443"/>
      <c r="AY244" s="443"/>
      <c r="AZ244" s="443"/>
      <c r="BA244" s="443"/>
      <c r="BB244" s="443"/>
      <c r="BC244" s="443"/>
      <c r="BD244" s="443"/>
      <c r="BE244" s="443"/>
    </row>
    <row r="245" hidden="1">
      <c r="A245" s="445">
        <f t="shared" si="5"/>
        <v>45535</v>
      </c>
      <c r="B245" s="449">
        <v>239.0</v>
      </c>
      <c r="C245" s="462">
        <v>0.5583333333333333</v>
      </c>
      <c r="D245" s="462">
        <v>0.7638888888888888</v>
      </c>
      <c r="E245" s="436">
        <f t="array" ref="E245">IF(B245=0,"",(J245+K245)/60)</f>
        <v>0</v>
      </c>
      <c r="F245" s="437">
        <f t="shared" si="1"/>
        <v>4.933333333</v>
      </c>
      <c r="G245" s="438">
        <f t="shared" si="2"/>
        <v>48.44594595</v>
      </c>
      <c r="H245" s="438">
        <f t="shared" si="3"/>
        <v>48.44594595</v>
      </c>
      <c r="I245" s="436">
        <f t="shared" si="6"/>
        <v>0.9499205087</v>
      </c>
      <c r="J245" s="460">
        <v>0.0</v>
      </c>
      <c r="K245" s="464"/>
      <c r="L245" s="443"/>
      <c r="M245" s="447">
        <f>IFERROR(__xludf.DUMMYFUNCTION("""COMPUTED_VALUE"""),57.0)</f>
        <v>57</v>
      </c>
      <c r="N245" s="447">
        <f>IFERROR(__xludf.DUMMYFUNCTION("""COMPUTED_VALUE"""),56.0)</f>
        <v>56</v>
      </c>
      <c r="O245" s="447">
        <f>IFERROR(__xludf.DUMMYFUNCTION("""COMPUTED_VALUE"""),0.0)</f>
        <v>0</v>
      </c>
      <c r="P245" s="447">
        <f>IFERROR(__xludf.DUMMYFUNCTION("""COMPUTED_VALUE"""),0.0)</f>
        <v>0</v>
      </c>
      <c r="Q245" s="447">
        <f>IFERROR(__xludf.DUMMYFUNCTION("""COMPUTED_VALUE"""),0.0)</f>
        <v>0</v>
      </c>
      <c r="R245" s="447">
        <f>IFERROR(__xludf.DUMMYFUNCTION("""COMPUTED_VALUE"""),0.0)</f>
        <v>0</v>
      </c>
      <c r="S245" s="447">
        <f>IFERROR(__xludf.DUMMYFUNCTION("""COMPUTED_VALUE"""),3.0)</f>
        <v>3</v>
      </c>
      <c r="T245" s="447">
        <f>IFERROR(__xludf.DUMMYFUNCTION("""COMPUTED_VALUE"""),0.0)</f>
        <v>0</v>
      </c>
      <c r="U245" s="447">
        <f>IFERROR(__xludf.DUMMYFUNCTION("""COMPUTED_VALUE"""),0.0)</f>
        <v>0</v>
      </c>
      <c r="V245" s="447">
        <f>IFERROR(__xludf.DUMMYFUNCTION("""COMPUTED_VALUE"""),1.0)</f>
        <v>1</v>
      </c>
      <c r="W245" s="447">
        <f>IFERROR(__xludf.DUMMYFUNCTION("""COMPUTED_VALUE"""),0.0)</f>
        <v>0</v>
      </c>
      <c r="X245" s="447">
        <f>IFERROR(__xludf.DUMMYFUNCTION("""COMPUTED_VALUE"""),0.0)</f>
        <v>0</v>
      </c>
      <c r="Y245" s="447">
        <f>IFERROR(__xludf.DUMMYFUNCTION("""COMPUTED_VALUE"""),0.0)</f>
        <v>0</v>
      </c>
      <c r="Z245" s="447">
        <f>IFERROR(__xludf.DUMMYFUNCTION("""COMPUTED_VALUE"""),0.0)</f>
        <v>0</v>
      </c>
      <c r="AA245" s="447">
        <f>IFERROR(__xludf.DUMMYFUNCTION("""COMPUTED_VALUE"""),0.0)</f>
        <v>0</v>
      </c>
      <c r="AB245" s="447">
        <f>IFERROR(__xludf.DUMMYFUNCTION("""COMPUTED_VALUE"""),0.0)</f>
        <v>0</v>
      </c>
      <c r="AC245" s="447">
        <f>IFERROR(__xludf.DUMMYFUNCTION("""COMPUTED_VALUE"""),1.0)</f>
        <v>1</v>
      </c>
      <c r="AD245" s="447">
        <f>IFERROR(__xludf.DUMMYFUNCTION("""COMPUTED_VALUE"""),51.0)</f>
        <v>51</v>
      </c>
      <c r="AE245" s="447">
        <f>IFERROR(__xludf.DUMMYFUNCTION("""COMPUTED_VALUE"""),6.0)</f>
        <v>6</v>
      </c>
      <c r="AF245" s="447">
        <f>IFERROR(__xludf.DUMMYFUNCTION("""COMPUTED_VALUE"""),1.0)</f>
        <v>1</v>
      </c>
      <c r="AG245" s="443" t="s">
        <v>129</v>
      </c>
      <c r="AH245" s="443" t="s">
        <v>343</v>
      </c>
      <c r="AI245" s="443"/>
      <c r="AJ245" s="443"/>
      <c r="AK245" s="443"/>
      <c r="AL245" s="443"/>
      <c r="AM245" s="443"/>
      <c r="AN245" s="443"/>
      <c r="AO245" s="443"/>
      <c r="AP245" s="443"/>
      <c r="AQ245" s="443"/>
      <c r="AR245" s="443"/>
      <c r="AS245" s="443"/>
      <c r="AT245" s="443"/>
      <c r="AU245" s="443"/>
      <c r="AV245" s="443"/>
      <c r="AW245" s="443"/>
      <c r="AX245" s="443"/>
      <c r="AY245" s="443"/>
      <c r="AZ245" s="443"/>
      <c r="BA245" s="443"/>
      <c r="BB245" s="443"/>
      <c r="BC245" s="443"/>
      <c r="BD245" s="443"/>
      <c r="BE245" s="443"/>
    </row>
    <row r="246" hidden="1">
      <c r="A246" s="445">
        <f t="shared" si="5"/>
        <v>45536</v>
      </c>
      <c r="B246" s="449">
        <v>0.0</v>
      </c>
      <c r="C246" s="443"/>
      <c r="D246" s="443"/>
      <c r="E246" s="436" t="str">
        <f t="array" ref="E246">IF(B246=0,"",(J246+K246)/60)</f>
        <v/>
      </c>
      <c r="F246" s="437" t="str">
        <f t="shared" si="1"/>
        <v/>
      </c>
      <c r="G246" s="438" t="str">
        <f t="shared" si="2"/>
        <v/>
      </c>
      <c r="H246" s="438" t="str">
        <f t="shared" si="3"/>
        <v/>
      </c>
      <c r="I246" s="436" t="str">
        <f t="shared" si="6"/>
        <v/>
      </c>
      <c r="J246" s="464"/>
      <c r="K246" s="464"/>
      <c r="L246" s="443"/>
      <c r="M246" s="469">
        <f>IFERROR(__xludf.DUMMYFUNCTION("TRANSPOSE(IMPORTRANGE(""https://docs.google.com/spreadsheets/d/1CNeKSHTeNNJnfn5EymHwGg5Mkuk6EcepW7_9QkJxalc/edit#gid=1218471306"",""SEPTIEMBRE 2024!F2:Ai21""))"),57.0)</f>
        <v>57</v>
      </c>
      <c r="N246" s="447">
        <f>IFERROR(__xludf.DUMMYFUNCTION("""COMPUTED_VALUE"""),57.0)</f>
        <v>57</v>
      </c>
      <c r="O246" s="447">
        <f>IFERROR(__xludf.DUMMYFUNCTION("""COMPUTED_VALUE"""),0.0)</f>
        <v>0</v>
      </c>
      <c r="P246" s="447">
        <f>IFERROR(__xludf.DUMMYFUNCTION("""COMPUTED_VALUE"""),0.0)</f>
        <v>0</v>
      </c>
      <c r="Q246" s="447">
        <f>IFERROR(__xludf.DUMMYFUNCTION("""COMPUTED_VALUE"""),0.0)</f>
        <v>0</v>
      </c>
      <c r="R246" s="447">
        <f>IFERROR(__xludf.DUMMYFUNCTION("""COMPUTED_VALUE"""),0.0)</f>
        <v>0</v>
      </c>
      <c r="S246" s="447">
        <f>IFERROR(__xludf.DUMMYFUNCTION("""COMPUTED_VALUE"""),0.0)</f>
        <v>0</v>
      </c>
      <c r="T246" s="447">
        <f>IFERROR(__xludf.DUMMYFUNCTION("""COMPUTED_VALUE"""),0.0)</f>
        <v>0</v>
      </c>
      <c r="U246" s="447">
        <f>IFERROR(__xludf.DUMMYFUNCTION("""COMPUTED_VALUE"""),0.0)</f>
        <v>0</v>
      </c>
      <c r="V246" s="447">
        <f>IFERROR(__xludf.DUMMYFUNCTION("""COMPUTED_VALUE"""),0.0)</f>
        <v>0</v>
      </c>
      <c r="W246" s="447">
        <f>IFERROR(__xludf.DUMMYFUNCTION("""COMPUTED_VALUE"""),0.0)</f>
        <v>0</v>
      </c>
      <c r="X246" s="447">
        <f>IFERROR(__xludf.DUMMYFUNCTION("""COMPUTED_VALUE"""),0.0)</f>
        <v>0</v>
      </c>
      <c r="Y246" s="447">
        <f>IFERROR(__xludf.DUMMYFUNCTION("""COMPUTED_VALUE"""),0.0)</f>
        <v>0</v>
      </c>
      <c r="Z246" s="447">
        <f>IFERROR(__xludf.DUMMYFUNCTION("""COMPUTED_VALUE"""),0.0)</f>
        <v>0</v>
      </c>
      <c r="AA246" s="447">
        <f>IFERROR(__xludf.DUMMYFUNCTION("""COMPUTED_VALUE"""),0.0)</f>
        <v>0</v>
      </c>
      <c r="AB246" s="447">
        <f>IFERROR(__xludf.DUMMYFUNCTION("""COMPUTED_VALUE"""),0.0)</f>
        <v>0</v>
      </c>
      <c r="AC246" s="447">
        <f>IFERROR(__xludf.DUMMYFUNCTION("""COMPUTED_VALUE"""),0.0)</f>
        <v>0</v>
      </c>
      <c r="AD246" s="447">
        <f>IFERROR(__xludf.DUMMYFUNCTION("""COMPUTED_VALUE"""),0.0)</f>
        <v>0</v>
      </c>
      <c r="AE246" s="447">
        <f>IFERROR(__xludf.DUMMYFUNCTION("""COMPUTED_VALUE"""),0.0)</f>
        <v>0</v>
      </c>
      <c r="AF246" s="447">
        <f>IFERROR(__xludf.DUMMYFUNCTION("""COMPUTED_VALUE"""),0.0)</f>
        <v>0</v>
      </c>
      <c r="AG246" s="443" t="s">
        <v>132</v>
      </c>
      <c r="AH246" s="443" t="s">
        <v>343</v>
      </c>
      <c r="AI246" s="443"/>
      <c r="AJ246" s="443"/>
      <c r="AK246" s="443"/>
      <c r="AL246" s="443"/>
      <c r="AM246" s="443"/>
      <c r="AN246" s="443"/>
      <c r="AO246" s="443"/>
      <c r="AP246" s="443"/>
      <c r="AQ246" s="443"/>
      <c r="AR246" s="443"/>
      <c r="AS246" s="443"/>
      <c r="AT246" s="443"/>
      <c r="AU246" s="443"/>
      <c r="AV246" s="443"/>
      <c r="AW246" s="443"/>
      <c r="AX246" s="443"/>
      <c r="AY246" s="443"/>
      <c r="AZ246" s="443"/>
      <c r="BA246" s="443"/>
      <c r="BB246" s="443"/>
      <c r="BC246" s="443"/>
      <c r="BD246" s="443"/>
      <c r="BE246" s="443"/>
    </row>
    <row r="247" hidden="1">
      <c r="A247" s="445">
        <f t="shared" si="5"/>
        <v>45537</v>
      </c>
      <c r="B247" s="449">
        <v>441.0</v>
      </c>
      <c r="C247" s="462">
        <v>0.6</v>
      </c>
      <c r="D247" s="462">
        <v>0.9347222222222222</v>
      </c>
      <c r="E247" s="436">
        <f t="array" ref="E247">IF(B247=0,"",(J247+K247)/60)</f>
        <v>0.5</v>
      </c>
      <c r="F247" s="437">
        <f t="shared" si="1"/>
        <v>8.033333333</v>
      </c>
      <c r="G247" s="438">
        <f t="shared" ref="G247:G308" si="7">IF(B247="","",B247/F247)</f>
        <v>54.89626556</v>
      </c>
      <c r="H247" s="438">
        <f t="shared" si="3"/>
        <v>58.53982301</v>
      </c>
      <c r="I247" s="436">
        <f t="shared" si="6"/>
        <v>1.16800565</v>
      </c>
      <c r="J247" s="460">
        <v>30.0</v>
      </c>
      <c r="K247" s="464"/>
      <c r="L247" s="443"/>
      <c r="M247" s="447">
        <f>IFERROR(__xludf.DUMMYFUNCTION("""COMPUTED_VALUE"""),57.0)</f>
        <v>57</v>
      </c>
      <c r="N247" s="447">
        <f>IFERROR(__xludf.DUMMYFUNCTION("""COMPUTED_VALUE"""),55.0)</f>
        <v>55</v>
      </c>
      <c r="O247" s="447">
        <f>IFERROR(__xludf.DUMMYFUNCTION("""COMPUTED_VALUE"""),0.0)</f>
        <v>0</v>
      </c>
      <c r="P247" s="447">
        <f>IFERROR(__xludf.DUMMYFUNCTION("""COMPUTED_VALUE"""),0.0)</f>
        <v>0</v>
      </c>
      <c r="Q247" s="447">
        <f>IFERROR(__xludf.DUMMYFUNCTION("""COMPUTED_VALUE"""),3.0)</f>
        <v>3</v>
      </c>
      <c r="R247" s="447">
        <f>IFERROR(__xludf.DUMMYFUNCTION("""COMPUTED_VALUE"""),1.0)</f>
        <v>1</v>
      </c>
      <c r="S247" s="447">
        <f>IFERROR(__xludf.DUMMYFUNCTION("""COMPUTED_VALUE"""),1.0)</f>
        <v>1</v>
      </c>
      <c r="T247" s="447">
        <f>IFERROR(__xludf.DUMMYFUNCTION("""COMPUTED_VALUE"""),0.0)</f>
        <v>0</v>
      </c>
      <c r="U247" s="447">
        <f>IFERROR(__xludf.DUMMYFUNCTION("""COMPUTED_VALUE"""),2.0)</f>
        <v>2</v>
      </c>
      <c r="V247" s="447">
        <f>IFERROR(__xludf.DUMMYFUNCTION("""COMPUTED_VALUE"""),1.0)</f>
        <v>1</v>
      </c>
      <c r="W247" s="447">
        <f>IFERROR(__xludf.DUMMYFUNCTION("""COMPUTED_VALUE"""),0.0)</f>
        <v>0</v>
      </c>
      <c r="X247" s="447">
        <f>IFERROR(__xludf.DUMMYFUNCTION("""COMPUTED_VALUE"""),0.0)</f>
        <v>0</v>
      </c>
      <c r="Y247" s="447">
        <f>IFERROR(__xludf.DUMMYFUNCTION("""COMPUTED_VALUE"""),0.0)</f>
        <v>0</v>
      </c>
      <c r="Z247" s="447">
        <f>IFERROR(__xludf.DUMMYFUNCTION("""COMPUTED_VALUE"""),0.0)</f>
        <v>0</v>
      </c>
      <c r="AA247" s="447">
        <f>IFERROR(__xludf.DUMMYFUNCTION("""COMPUTED_VALUE"""),1.0)</f>
        <v>1</v>
      </c>
      <c r="AB247" s="447">
        <f>IFERROR(__xludf.DUMMYFUNCTION("""COMPUTED_VALUE"""),0.0)</f>
        <v>0</v>
      </c>
      <c r="AC247" s="447">
        <f>IFERROR(__xludf.DUMMYFUNCTION("""COMPUTED_VALUE"""),1.0)</f>
        <v>1</v>
      </c>
      <c r="AD247" s="447">
        <f>IFERROR(__xludf.DUMMYFUNCTION("""COMPUTED_VALUE"""),47.0)</f>
        <v>47</v>
      </c>
      <c r="AE247" s="447">
        <f>IFERROR(__xludf.DUMMYFUNCTION("""COMPUTED_VALUE"""),9.0)</f>
        <v>9</v>
      </c>
      <c r="AF247" s="447">
        <f>IFERROR(__xludf.DUMMYFUNCTION("""COMPUTED_VALUE"""),2.0)</f>
        <v>2</v>
      </c>
      <c r="AG247" s="443" t="s">
        <v>132</v>
      </c>
      <c r="AH247" s="443" t="s">
        <v>343</v>
      </c>
      <c r="AI247" s="443"/>
      <c r="AJ247" s="443"/>
      <c r="AK247" s="443"/>
      <c r="AL247" s="443"/>
      <c r="AM247" s="443"/>
      <c r="AN247" s="443"/>
      <c r="AO247" s="443"/>
      <c r="AP247" s="443"/>
      <c r="AQ247" s="443"/>
      <c r="AR247" s="443"/>
      <c r="AS247" s="443"/>
      <c r="AT247" s="443"/>
      <c r="AU247" s="443"/>
      <c r="AV247" s="443"/>
      <c r="AW247" s="443"/>
      <c r="AX247" s="443"/>
      <c r="AY247" s="443"/>
      <c r="AZ247" s="443"/>
      <c r="BA247" s="443"/>
      <c r="BB247" s="443"/>
      <c r="BC247" s="443"/>
      <c r="BD247" s="443"/>
      <c r="BE247" s="443"/>
    </row>
    <row r="248" hidden="1">
      <c r="A248" s="445">
        <f t="shared" si="5"/>
        <v>45538</v>
      </c>
      <c r="B248" s="449">
        <v>257.0</v>
      </c>
      <c r="C248" s="462">
        <v>0.6</v>
      </c>
      <c r="D248" s="462">
        <v>0.8125</v>
      </c>
      <c r="E248" s="436">
        <f t="array" ref="E248">IF(B248=0,"",(J248+K248)/60)</f>
        <v>0</v>
      </c>
      <c r="F248" s="437">
        <f t="shared" si="1"/>
        <v>5.1</v>
      </c>
      <c r="G248" s="438">
        <f t="shared" si="7"/>
        <v>50.39215686</v>
      </c>
      <c r="H248" s="438">
        <f t="shared" si="3"/>
        <v>50.39215686</v>
      </c>
      <c r="I248" s="436">
        <f t="shared" si="6"/>
        <v>1.07217355</v>
      </c>
      <c r="J248" s="460">
        <v>0.0</v>
      </c>
      <c r="K248" s="464"/>
      <c r="L248" s="443"/>
      <c r="M248" s="447">
        <f>IFERROR(__xludf.DUMMYFUNCTION("""COMPUTED_VALUE"""),57.0)</f>
        <v>57</v>
      </c>
      <c r="N248" s="447">
        <f>IFERROR(__xludf.DUMMYFUNCTION("""COMPUTED_VALUE"""),54.0)</f>
        <v>54</v>
      </c>
      <c r="O248" s="447">
        <f>IFERROR(__xludf.DUMMYFUNCTION("""COMPUTED_VALUE"""),0.0)</f>
        <v>0</v>
      </c>
      <c r="P248" s="447">
        <f>IFERROR(__xludf.DUMMYFUNCTION("""COMPUTED_VALUE"""),0.0)</f>
        <v>0</v>
      </c>
      <c r="Q248" s="447">
        <f>IFERROR(__xludf.DUMMYFUNCTION("""COMPUTED_VALUE"""),4.0)</f>
        <v>4</v>
      </c>
      <c r="R248" s="447">
        <f>IFERROR(__xludf.DUMMYFUNCTION("""COMPUTED_VALUE"""),0.0)</f>
        <v>0</v>
      </c>
      <c r="S248" s="447">
        <f>IFERROR(__xludf.DUMMYFUNCTION("""COMPUTED_VALUE"""),1.0)</f>
        <v>1</v>
      </c>
      <c r="T248" s="447">
        <f>IFERROR(__xludf.DUMMYFUNCTION("""COMPUTED_VALUE"""),0.0)</f>
        <v>0</v>
      </c>
      <c r="U248" s="447">
        <f>IFERROR(__xludf.DUMMYFUNCTION("""COMPUTED_VALUE"""),3.0)</f>
        <v>3</v>
      </c>
      <c r="V248" s="447">
        <f>IFERROR(__xludf.DUMMYFUNCTION("""COMPUTED_VALUE"""),1.0)</f>
        <v>1</v>
      </c>
      <c r="W248" s="447">
        <f>IFERROR(__xludf.DUMMYFUNCTION("""COMPUTED_VALUE"""),0.0)</f>
        <v>0</v>
      </c>
      <c r="X248" s="447">
        <f>IFERROR(__xludf.DUMMYFUNCTION("""COMPUTED_VALUE"""),0.0)</f>
        <v>0</v>
      </c>
      <c r="Y248" s="447">
        <f>IFERROR(__xludf.DUMMYFUNCTION("""COMPUTED_VALUE"""),0.0)</f>
        <v>0</v>
      </c>
      <c r="Z248" s="447">
        <f>IFERROR(__xludf.DUMMYFUNCTION("""COMPUTED_VALUE"""),0.0)</f>
        <v>0</v>
      </c>
      <c r="AA248" s="447">
        <f>IFERROR(__xludf.DUMMYFUNCTION("""COMPUTED_VALUE"""),0.0)</f>
        <v>0</v>
      </c>
      <c r="AB248" s="447">
        <f>IFERROR(__xludf.DUMMYFUNCTION("""COMPUTED_VALUE"""),0.0)</f>
        <v>0</v>
      </c>
      <c r="AC248" s="447">
        <f>IFERROR(__xludf.DUMMYFUNCTION("""COMPUTED_VALUE"""),1.0)</f>
        <v>1</v>
      </c>
      <c r="AD248" s="447">
        <f>IFERROR(__xludf.DUMMYFUNCTION("""COMPUTED_VALUE"""),47.0)</f>
        <v>47</v>
      </c>
      <c r="AE248" s="447">
        <f>IFERROR(__xludf.DUMMYFUNCTION("""COMPUTED_VALUE"""),10.0)</f>
        <v>10</v>
      </c>
      <c r="AF248" s="447">
        <f>IFERROR(__xludf.DUMMYFUNCTION("""COMPUTED_VALUE"""),3.0)</f>
        <v>3</v>
      </c>
      <c r="AG248" s="443" t="s">
        <v>132</v>
      </c>
      <c r="AH248" s="443" t="s">
        <v>343</v>
      </c>
      <c r="AI248" s="443"/>
      <c r="AJ248" s="443"/>
      <c r="AK248" s="443"/>
      <c r="AL248" s="443"/>
      <c r="AM248" s="443"/>
      <c r="AN248" s="443"/>
      <c r="AO248" s="443"/>
      <c r="AP248" s="443"/>
      <c r="AQ248" s="443"/>
      <c r="AR248" s="443"/>
      <c r="AS248" s="443"/>
      <c r="AT248" s="443"/>
      <c r="AU248" s="443"/>
      <c r="AV248" s="443"/>
      <c r="AW248" s="443"/>
      <c r="AX248" s="443"/>
      <c r="AY248" s="443"/>
      <c r="AZ248" s="443"/>
      <c r="BA248" s="443"/>
      <c r="BB248" s="443"/>
      <c r="BC248" s="443"/>
      <c r="BD248" s="443"/>
      <c r="BE248" s="443"/>
    </row>
    <row r="249" hidden="1">
      <c r="A249" s="445">
        <f t="shared" si="5"/>
        <v>45539</v>
      </c>
      <c r="B249" s="449">
        <v>117.0</v>
      </c>
      <c r="C249" s="462">
        <v>0.6416666666666667</v>
      </c>
      <c r="D249" s="462">
        <v>0.7326388888888888</v>
      </c>
      <c r="E249" s="436">
        <f t="array" ref="E249">IF(B249=0,"",(J249+K249)/60)</f>
        <v>0</v>
      </c>
      <c r="F249" s="437">
        <f t="shared" si="1"/>
        <v>2.183333333</v>
      </c>
      <c r="G249" s="438">
        <f t="shared" si="7"/>
        <v>53.58778626</v>
      </c>
      <c r="H249" s="438">
        <f t="shared" si="3"/>
        <v>53.58778626</v>
      </c>
      <c r="I249" s="436">
        <f t="shared" si="6"/>
        <v>1.093628291</v>
      </c>
      <c r="J249" s="460">
        <v>0.0</v>
      </c>
      <c r="K249" s="464"/>
      <c r="L249" s="443"/>
      <c r="M249" s="447">
        <f>IFERROR(__xludf.DUMMYFUNCTION("""COMPUTED_VALUE"""),57.0)</f>
        <v>57</v>
      </c>
      <c r="N249" s="447">
        <f>IFERROR(__xludf.DUMMYFUNCTION("""COMPUTED_VALUE"""),54.0)</f>
        <v>54</v>
      </c>
      <c r="O249" s="447">
        <f>IFERROR(__xludf.DUMMYFUNCTION("""COMPUTED_VALUE"""),0.0)</f>
        <v>0</v>
      </c>
      <c r="P249" s="447">
        <f>IFERROR(__xludf.DUMMYFUNCTION("""COMPUTED_VALUE"""),0.0)</f>
        <v>0</v>
      </c>
      <c r="Q249" s="447">
        <f>IFERROR(__xludf.DUMMYFUNCTION("""COMPUTED_VALUE"""),2.0)</f>
        <v>2</v>
      </c>
      <c r="R249" s="447">
        <f>IFERROR(__xludf.DUMMYFUNCTION("""COMPUTED_VALUE"""),0.0)</f>
        <v>0</v>
      </c>
      <c r="S249" s="447">
        <f>IFERROR(__xludf.DUMMYFUNCTION("""COMPUTED_VALUE"""),1.0)</f>
        <v>1</v>
      </c>
      <c r="T249" s="447">
        <f>IFERROR(__xludf.DUMMYFUNCTION("""COMPUTED_VALUE"""),0.0)</f>
        <v>0</v>
      </c>
      <c r="U249" s="447">
        <f>IFERROR(__xludf.DUMMYFUNCTION("""COMPUTED_VALUE"""),3.0)</f>
        <v>3</v>
      </c>
      <c r="V249" s="447">
        <f>IFERROR(__xludf.DUMMYFUNCTION("""COMPUTED_VALUE"""),1.0)</f>
        <v>1</v>
      </c>
      <c r="W249" s="447">
        <f>IFERROR(__xludf.DUMMYFUNCTION("""COMPUTED_VALUE"""),0.0)</f>
        <v>0</v>
      </c>
      <c r="X249" s="447">
        <f>IFERROR(__xludf.DUMMYFUNCTION("""COMPUTED_VALUE"""),0.0)</f>
        <v>0</v>
      </c>
      <c r="Y249" s="447">
        <f>IFERROR(__xludf.DUMMYFUNCTION("""COMPUTED_VALUE"""),0.0)</f>
        <v>0</v>
      </c>
      <c r="Z249" s="447">
        <f>IFERROR(__xludf.DUMMYFUNCTION("""COMPUTED_VALUE"""),0.0)</f>
        <v>0</v>
      </c>
      <c r="AA249" s="447">
        <f>IFERROR(__xludf.DUMMYFUNCTION("""COMPUTED_VALUE"""),0.0)</f>
        <v>0</v>
      </c>
      <c r="AB249" s="447">
        <f>IFERROR(__xludf.DUMMYFUNCTION("""COMPUTED_VALUE"""),0.0)</f>
        <v>0</v>
      </c>
      <c r="AC249" s="447">
        <f>IFERROR(__xludf.DUMMYFUNCTION("""COMPUTED_VALUE"""),1.0)</f>
        <v>1</v>
      </c>
      <c r="AD249" s="447">
        <f>IFERROR(__xludf.DUMMYFUNCTION("""COMPUTED_VALUE"""),49.0)</f>
        <v>49</v>
      </c>
      <c r="AE249" s="447">
        <f>IFERROR(__xludf.DUMMYFUNCTION("""COMPUTED_VALUE"""),8.0)</f>
        <v>8</v>
      </c>
      <c r="AF249" s="447">
        <f>IFERROR(__xludf.DUMMYFUNCTION("""COMPUTED_VALUE"""),3.0)</f>
        <v>3</v>
      </c>
      <c r="AG249" s="443" t="s">
        <v>132</v>
      </c>
      <c r="AH249" s="443" t="s">
        <v>343</v>
      </c>
      <c r="AI249" s="443"/>
      <c r="AJ249" s="443"/>
      <c r="AK249" s="443"/>
      <c r="AL249" s="443"/>
      <c r="AM249" s="443"/>
      <c r="AN249" s="443"/>
      <c r="AO249" s="443"/>
      <c r="AP249" s="443"/>
      <c r="AQ249" s="443"/>
      <c r="AR249" s="443"/>
      <c r="AS249" s="443"/>
      <c r="AT249" s="443"/>
      <c r="AU249" s="443"/>
      <c r="AV249" s="443"/>
      <c r="AW249" s="443"/>
      <c r="AX249" s="443"/>
      <c r="AY249" s="443"/>
      <c r="AZ249" s="443"/>
      <c r="BA249" s="443"/>
      <c r="BB249" s="443"/>
      <c r="BC249" s="443"/>
      <c r="BD249" s="443"/>
      <c r="BE249" s="443"/>
    </row>
    <row r="250" hidden="1">
      <c r="A250" s="445">
        <f t="shared" si="5"/>
        <v>45540</v>
      </c>
      <c r="B250" s="449">
        <v>0.0</v>
      </c>
      <c r="C250" s="443"/>
      <c r="D250" s="443"/>
      <c r="E250" s="436" t="str">
        <f t="array" ref="E250">IF(B250=0,"",(J250+K250)/60)</f>
        <v/>
      </c>
      <c r="F250" s="437" t="str">
        <f t="shared" si="1"/>
        <v/>
      </c>
      <c r="G250" s="438" t="str">
        <f t="shared" si="7"/>
        <v>#DIV/0!</v>
      </c>
      <c r="H250" s="438" t="str">
        <f t="shared" si="3"/>
        <v/>
      </c>
      <c r="I250" s="436" t="str">
        <f t="shared" si="6"/>
        <v/>
      </c>
      <c r="J250" s="464"/>
      <c r="K250" s="464"/>
      <c r="L250" s="443"/>
      <c r="M250" s="447">
        <f>IFERROR(__xludf.DUMMYFUNCTION("""COMPUTED_VALUE"""),57.0)</f>
        <v>57</v>
      </c>
      <c r="N250" s="447">
        <f>IFERROR(__xludf.DUMMYFUNCTION("""COMPUTED_VALUE"""),54.0)</f>
        <v>54</v>
      </c>
      <c r="O250" s="447">
        <f>IFERROR(__xludf.DUMMYFUNCTION("""COMPUTED_VALUE"""),0.0)</f>
        <v>0</v>
      </c>
      <c r="P250" s="447">
        <f>IFERROR(__xludf.DUMMYFUNCTION("""COMPUTED_VALUE"""),0.0)</f>
        <v>0</v>
      </c>
      <c r="Q250" s="447">
        <f>IFERROR(__xludf.DUMMYFUNCTION("""COMPUTED_VALUE"""),1.0)</f>
        <v>1</v>
      </c>
      <c r="R250" s="447">
        <f>IFERROR(__xludf.DUMMYFUNCTION("""COMPUTED_VALUE"""),0.0)</f>
        <v>0</v>
      </c>
      <c r="S250" s="447">
        <f>IFERROR(__xludf.DUMMYFUNCTION("""COMPUTED_VALUE"""),1.0)</f>
        <v>1</v>
      </c>
      <c r="T250" s="447">
        <f>IFERROR(__xludf.DUMMYFUNCTION("""COMPUTED_VALUE"""),0.0)</f>
        <v>0</v>
      </c>
      <c r="U250" s="447">
        <f>IFERROR(__xludf.DUMMYFUNCTION("""COMPUTED_VALUE"""),3.0)</f>
        <v>3</v>
      </c>
      <c r="V250" s="447">
        <f>IFERROR(__xludf.DUMMYFUNCTION("""COMPUTED_VALUE"""),1.0)</f>
        <v>1</v>
      </c>
      <c r="W250" s="447">
        <f>IFERROR(__xludf.DUMMYFUNCTION("""COMPUTED_VALUE"""),0.0)</f>
        <v>0</v>
      </c>
      <c r="X250" s="447">
        <f>IFERROR(__xludf.DUMMYFUNCTION("""COMPUTED_VALUE"""),0.0)</f>
        <v>0</v>
      </c>
      <c r="Y250" s="447">
        <f>IFERROR(__xludf.DUMMYFUNCTION("""COMPUTED_VALUE"""),0.0)</f>
        <v>0</v>
      </c>
      <c r="Z250" s="447">
        <f>IFERROR(__xludf.DUMMYFUNCTION("""COMPUTED_VALUE"""),0.0)</f>
        <v>0</v>
      </c>
      <c r="AA250" s="447">
        <f>IFERROR(__xludf.DUMMYFUNCTION("""COMPUTED_VALUE"""),0.0)</f>
        <v>0</v>
      </c>
      <c r="AB250" s="447">
        <f>IFERROR(__xludf.DUMMYFUNCTION("""COMPUTED_VALUE"""),0.0)</f>
        <v>0</v>
      </c>
      <c r="AC250" s="447">
        <f>IFERROR(__xludf.DUMMYFUNCTION("""COMPUTED_VALUE"""),0.0)</f>
        <v>0</v>
      </c>
      <c r="AD250" s="447">
        <f>IFERROR(__xludf.DUMMYFUNCTION("""COMPUTED_VALUE"""),51.0)</f>
        <v>51</v>
      </c>
      <c r="AE250" s="447">
        <f>IFERROR(__xludf.DUMMYFUNCTION("""COMPUTED_VALUE"""),6.0)</f>
        <v>6</v>
      </c>
      <c r="AF250" s="447">
        <f>IFERROR(__xludf.DUMMYFUNCTION("""COMPUTED_VALUE"""),3.0)</f>
        <v>3</v>
      </c>
      <c r="AG250" s="443" t="s">
        <v>132</v>
      </c>
      <c r="AH250" s="443" t="s">
        <v>343</v>
      </c>
      <c r="AI250" s="443"/>
      <c r="AJ250" s="443"/>
      <c r="AK250" s="443"/>
      <c r="AL250" s="443"/>
      <c r="AM250" s="443"/>
      <c r="AN250" s="443"/>
      <c r="AO250" s="443"/>
      <c r="AP250" s="443"/>
      <c r="AQ250" s="443"/>
      <c r="AR250" s="443"/>
      <c r="AS250" s="443"/>
      <c r="AT250" s="443"/>
      <c r="AU250" s="443"/>
      <c r="AV250" s="443"/>
      <c r="AW250" s="443"/>
      <c r="AX250" s="443"/>
      <c r="AY250" s="443"/>
      <c r="AZ250" s="443"/>
      <c r="BA250" s="443"/>
      <c r="BB250" s="443"/>
      <c r="BC250" s="443"/>
      <c r="BD250" s="443"/>
      <c r="BE250" s="443"/>
    </row>
    <row r="251" hidden="1">
      <c r="A251" s="445">
        <f t="shared" si="5"/>
        <v>45541</v>
      </c>
      <c r="B251" s="449">
        <v>546.0</v>
      </c>
      <c r="C251" s="462">
        <v>0.6416666666666667</v>
      </c>
      <c r="D251" s="462">
        <v>1.0694444444444444</v>
      </c>
      <c r="E251" s="436">
        <f t="array" ref="E251">IF(B251=0,"",(J251+K251)/60)</f>
        <v>1</v>
      </c>
      <c r="F251" s="437">
        <f t="shared" si="1"/>
        <v>10.26666667</v>
      </c>
      <c r="G251" s="438">
        <f t="shared" si="7"/>
        <v>53.18181818</v>
      </c>
      <c r="H251" s="438">
        <f t="shared" si="3"/>
        <v>58.92086331</v>
      </c>
      <c r="I251" s="436">
        <f t="shared" si="6"/>
        <v>1.042780749</v>
      </c>
      <c r="J251" s="460">
        <v>60.0</v>
      </c>
      <c r="K251" s="464"/>
      <c r="L251" s="443"/>
      <c r="M251" s="447">
        <f>IFERROR(__xludf.DUMMYFUNCTION("""COMPUTED_VALUE"""),57.0)</f>
        <v>57</v>
      </c>
      <c r="N251" s="447">
        <f>IFERROR(__xludf.DUMMYFUNCTION("""COMPUTED_VALUE"""),54.0)</f>
        <v>54</v>
      </c>
      <c r="O251" s="447">
        <f>IFERROR(__xludf.DUMMYFUNCTION("""COMPUTED_VALUE"""),0.0)</f>
        <v>0</v>
      </c>
      <c r="P251" s="447">
        <f>IFERROR(__xludf.DUMMYFUNCTION("""COMPUTED_VALUE"""),0.0)</f>
        <v>0</v>
      </c>
      <c r="Q251" s="447">
        <f>IFERROR(__xludf.DUMMYFUNCTION("""COMPUTED_VALUE"""),0.0)</f>
        <v>0</v>
      </c>
      <c r="R251" s="447">
        <f>IFERROR(__xludf.DUMMYFUNCTION("""COMPUTED_VALUE"""),1.0)</f>
        <v>1</v>
      </c>
      <c r="S251" s="447">
        <f>IFERROR(__xludf.DUMMYFUNCTION("""COMPUTED_VALUE"""),1.0)</f>
        <v>1</v>
      </c>
      <c r="T251" s="447">
        <f>IFERROR(__xludf.DUMMYFUNCTION("""COMPUTED_VALUE"""),0.0)</f>
        <v>0</v>
      </c>
      <c r="U251" s="447">
        <f>IFERROR(__xludf.DUMMYFUNCTION("""COMPUTED_VALUE"""),3.0)</f>
        <v>3</v>
      </c>
      <c r="V251" s="447">
        <f>IFERROR(__xludf.DUMMYFUNCTION("""COMPUTED_VALUE"""),1.0)</f>
        <v>1</v>
      </c>
      <c r="W251" s="447">
        <f>IFERROR(__xludf.DUMMYFUNCTION("""COMPUTED_VALUE"""),0.0)</f>
        <v>0</v>
      </c>
      <c r="X251" s="447">
        <f>IFERROR(__xludf.DUMMYFUNCTION("""COMPUTED_VALUE"""),0.0)</f>
        <v>0</v>
      </c>
      <c r="Y251" s="447">
        <f>IFERROR(__xludf.DUMMYFUNCTION("""COMPUTED_VALUE"""),0.0)</f>
        <v>0</v>
      </c>
      <c r="Z251" s="447">
        <f>IFERROR(__xludf.DUMMYFUNCTION("""COMPUTED_VALUE"""),0.0)</f>
        <v>0</v>
      </c>
      <c r="AA251" s="447">
        <f>IFERROR(__xludf.DUMMYFUNCTION("""COMPUTED_VALUE"""),0.0)</f>
        <v>0</v>
      </c>
      <c r="AB251" s="447">
        <f>IFERROR(__xludf.DUMMYFUNCTION("""COMPUTED_VALUE"""),0.0)</f>
        <v>0</v>
      </c>
      <c r="AC251" s="447">
        <f>IFERROR(__xludf.DUMMYFUNCTION("""COMPUTED_VALUE"""),0.0)</f>
        <v>0</v>
      </c>
      <c r="AD251" s="447">
        <f>IFERROR(__xludf.DUMMYFUNCTION("""COMPUTED_VALUE"""),51.0)</f>
        <v>51</v>
      </c>
      <c r="AE251" s="447">
        <f>IFERROR(__xludf.DUMMYFUNCTION("""COMPUTED_VALUE"""),5.0)</f>
        <v>5</v>
      </c>
      <c r="AF251" s="447">
        <f>IFERROR(__xludf.DUMMYFUNCTION("""COMPUTED_VALUE"""),3.0)</f>
        <v>3</v>
      </c>
      <c r="AG251" s="443" t="s">
        <v>132</v>
      </c>
      <c r="AH251" s="443" t="s">
        <v>343</v>
      </c>
      <c r="AI251" s="443"/>
      <c r="AJ251" s="443"/>
      <c r="AK251" s="443"/>
      <c r="AL251" s="443"/>
      <c r="AM251" s="443"/>
      <c r="AN251" s="443"/>
      <c r="AO251" s="443"/>
      <c r="AP251" s="443"/>
      <c r="AQ251" s="443"/>
      <c r="AR251" s="443"/>
      <c r="AS251" s="443"/>
      <c r="AT251" s="443"/>
      <c r="AU251" s="443"/>
      <c r="AV251" s="443"/>
      <c r="AW251" s="443"/>
      <c r="AX251" s="443"/>
      <c r="AY251" s="443"/>
      <c r="AZ251" s="443"/>
      <c r="BA251" s="443"/>
      <c r="BB251" s="443"/>
      <c r="BC251" s="443"/>
      <c r="BD251" s="443"/>
      <c r="BE251" s="443"/>
    </row>
    <row r="252" hidden="1">
      <c r="A252" s="445">
        <f t="shared" si="5"/>
        <v>45542</v>
      </c>
      <c r="B252" s="449">
        <v>924.0</v>
      </c>
      <c r="C252" s="462">
        <v>0.5166666666666667</v>
      </c>
      <c r="D252" s="462">
        <v>1.1666666666666667</v>
      </c>
      <c r="E252" s="436">
        <f t="array" ref="E252">IF(B252=0,"",(J252+K252)/60)</f>
        <v>3.1</v>
      </c>
      <c r="F252" s="437">
        <f t="shared" si="1"/>
        <v>15.6</v>
      </c>
      <c r="G252" s="438">
        <f t="shared" si="7"/>
        <v>59.23076923</v>
      </c>
      <c r="H252" s="438">
        <f t="shared" si="3"/>
        <v>73.92</v>
      </c>
      <c r="I252" s="436">
        <f t="shared" si="6"/>
        <v>1.184615385</v>
      </c>
      <c r="J252" s="460">
        <v>45.0</v>
      </c>
      <c r="K252" s="460">
        <v>141.0</v>
      </c>
      <c r="L252" s="443"/>
      <c r="M252" s="447">
        <f>IFERROR(__xludf.DUMMYFUNCTION("""COMPUTED_VALUE"""),57.0)</f>
        <v>57</v>
      </c>
      <c r="N252" s="447">
        <f>IFERROR(__xludf.DUMMYFUNCTION("""COMPUTED_VALUE"""),53.0)</f>
        <v>53</v>
      </c>
      <c r="O252" s="447">
        <f>IFERROR(__xludf.DUMMYFUNCTION("""COMPUTED_VALUE"""),0.0)</f>
        <v>0</v>
      </c>
      <c r="P252" s="447">
        <f>IFERROR(__xludf.DUMMYFUNCTION("""COMPUTED_VALUE"""),0.0)</f>
        <v>0</v>
      </c>
      <c r="Q252" s="447">
        <f>IFERROR(__xludf.DUMMYFUNCTION("""COMPUTED_VALUE"""),0.0)</f>
        <v>0</v>
      </c>
      <c r="R252" s="447">
        <f>IFERROR(__xludf.DUMMYFUNCTION("""COMPUTED_VALUE"""),0.0)</f>
        <v>0</v>
      </c>
      <c r="S252" s="447">
        <f>IFERROR(__xludf.DUMMYFUNCTION("""COMPUTED_VALUE"""),1.0)</f>
        <v>1</v>
      </c>
      <c r="T252" s="447">
        <f>IFERROR(__xludf.DUMMYFUNCTION("""COMPUTED_VALUE"""),0.0)</f>
        <v>0</v>
      </c>
      <c r="U252" s="447">
        <f>IFERROR(__xludf.DUMMYFUNCTION("""COMPUTED_VALUE"""),4.0)</f>
        <v>4</v>
      </c>
      <c r="V252" s="447">
        <f>IFERROR(__xludf.DUMMYFUNCTION("""COMPUTED_VALUE"""),1.0)</f>
        <v>1</v>
      </c>
      <c r="W252" s="447">
        <f>IFERROR(__xludf.DUMMYFUNCTION("""COMPUTED_VALUE"""),0.0)</f>
        <v>0</v>
      </c>
      <c r="X252" s="447">
        <f>IFERROR(__xludf.DUMMYFUNCTION("""COMPUTED_VALUE"""),0.0)</f>
        <v>0</v>
      </c>
      <c r="Y252" s="447">
        <f>IFERROR(__xludf.DUMMYFUNCTION("""COMPUTED_VALUE"""),0.0)</f>
        <v>0</v>
      </c>
      <c r="Z252" s="447">
        <f>IFERROR(__xludf.DUMMYFUNCTION("""COMPUTED_VALUE"""),0.0)</f>
        <v>0</v>
      </c>
      <c r="AA252" s="447">
        <f>IFERROR(__xludf.DUMMYFUNCTION("""COMPUTED_VALUE"""),0.0)</f>
        <v>0</v>
      </c>
      <c r="AB252" s="447">
        <f>IFERROR(__xludf.DUMMYFUNCTION("""COMPUTED_VALUE"""),0.0)</f>
        <v>0</v>
      </c>
      <c r="AC252" s="447">
        <f>IFERROR(__xludf.DUMMYFUNCTION("""COMPUTED_VALUE"""),1.0)</f>
        <v>1</v>
      </c>
      <c r="AD252" s="447">
        <f>IFERROR(__xludf.DUMMYFUNCTION("""COMPUTED_VALUE"""),50.0)</f>
        <v>50</v>
      </c>
      <c r="AE252" s="447">
        <f>IFERROR(__xludf.DUMMYFUNCTION("""COMPUTED_VALUE"""),7.0)</f>
        <v>7</v>
      </c>
      <c r="AF252" s="447">
        <f>IFERROR(__xludf.DUMMYFUNCTION("""COMPUTED_VALUE"""),4.0)</f>
        <v>4</v>
      </c>
      <c r="AG252" s="443" t="s">
        <v>132</v>
      </c>
      <c r="AH252" s="443" t="s">
        <v>343</v>
      </c>
      <c r="AI252" s="443"/>
      <c r="AJ252" s="443"/>
      <c r="AK252" s="443"/>
      <c r="AL252" s="443"/>
      <c r="AM252" s="443"/>
      <c r="AN252" s="443"/>
      <c r="AO252" s="443"/>
      <c r="AP252" s="443"/>
      <c r="AQ252" s="443"/>
      <c r="AR252" s="443"/>
      <c r="AS252" s="443"/>
      <c r="AT252" s="443"/>
      <c r="AU252" s="443"/>
      <c r="AV252" s="443"/>
      <c r="AW252" s="443"/>
      <c r="AX252" s="443"/>
      <c r="AY252" s="443"/>
      <c r="AZ252" s="443"/>
      <c r="BA252" s="443"/>
      <c r="BB252" s="443"/>
      <c r="BC252" s="443"/>
      <c r="BD252" s="443"/>
      <c r="BE252" s="443"/>
    </row>
    <row r="253" hidden="1">
      <c r="A253" s="445">
        <f t="shared" si="5"/>
        <v>45543</v>
      </c>
      <c r="B253" s="449">
        <v>0.0</v>
      </c>
      <c r="C253" s="443"/>
      <c r="D253" s="443"/>
      <c r="E253" s="436" t="str">
        <f t="array" ref="E253">IF(B253=0,"",(J253+K253)/60)</f>
        <v/>
      </c>
      <c r="F253" s="437" t="str">
        <f t="shared" si="1"/>
        <v/>
      </c>
      <c r="G253" s="438" t="str">
        <f t="shared" si="7"/>
        <v>#DIV/0!</v>
      </c>
      <c r="H253" s="438" t="str">
        <f t="shared" si="3"/>
        <v/>
      </c>
      <c r="I253" s="436" t="str">
        <f t="shared" si="6"/>
        <v/>
      </c>
      <c r="J253" s="464"/>
      <c r="K253" s="464"/>
      <c r="L253" s="443"/>
      <c r="M253" s="447">
        <f>IFERROR(__xludf.DUMMYFUNCTION("""COMPUTED_VALUE"""),57.0)</f>
        <v>57</v>
      </c>
      <c r="N253" s="447">
        <f>IFERROR(__xludf.DUMMYFUNCTION("""COMPUTED_VALUE"""),57.0)</f>
        <v>57</v>
      </c>
      <c r="O253" s="447">
        <f>IFERROR(__xludf.DUMMYFUNCTION("""COMPUTED_VALUE"""),0.0)</f>
        <v>0</v>
      </c>
      <c r="P253" s="447">
        <f>IFERROR(__xludf.DUMMYFUNCTION("""COMPUTED_VALUE"""),0.0)</f>
        <v>0</v>
      </c>
      <c r="Q253" s="447">
        <f>IFERROR(__xludf.DUMMYFUNCTION("""COMPUTED_VALUE"""),0.0)</f>
        <v>0</v>
      </c>
      <c r="R253" s="447">
        <f>IFERROR(__xludf.DUMMYFUNCTION("""COMPUTED_VALUE"""),0.0)</f>
        <v>0</v>
      </c>
      <c r="S253" s="447">
        <f>IFERROR(__xludf.DUMMYFUNCTION("""COMPUTED_VALUE"""),0.0)</f>
        <v>0</v>
      </c>
      <c r="T253" s="447">
        <f>IFERROR(__xludf.DUMMYFUNCTION("""COMPUTED_VALUE"""),0.0)</f>
        <v>0</v>
      </c>
      <c r="U253" s="447">
        <f>IFERROR(__xludf.DUMMYFUNCTION("""COMPUTED_VALUE"""),0.0)</f>
        <v>0</v>
      </c>
      <c r="V253" s="447">
        <f>IFERROR(__xludf.DUMMYFUNCTION("""COMPUTED_VALUE"""),0.0)</f>
        <v>0</v>
      </c>
      <c r="W253" s="447">
        <f>IFERROR(__xludf.DUMMYFUNCTION("""COMPUTED_VALUE"""),0.0)</f>
        <v>0</v>
      </c>
      <c r="X253" s="447">
        <f>IFERROR(__xludf.DUMMYFUNCTION("""COMPUTED_VALUE"""),0.0)</f>
        <v>0</v>
      </c>
      <c r="Y253" s="447">
        <f>IFERROR(__xludf.DUMMYFUNCTION("""COMPUTED_VALUE"""),0.0)</f>
        <v>0</v>
      </c>
      <c r="Z253" s="447">
        <f>IFERROR(__xludf.DUMMYFUNCTION("""COMPUTED_VALUE"""),0.0)</f>
        <v>0</v>
      </c>
      <c r="AA253" s="447">
        <f>IFERROR(__xludf.DUMMYFUNCTION("""COMPUTED_VALUE"""),0.0)</f>
        <v>0</v>
      </c>
      <c r="AB253" s="447">
        <f>IFERROR(__xludf.DUMMYFUNCTION("""COMPUTED_VALUE"""),0.0)</f>
        <v>0</v>
      </c>
      <c r="AC253" s="447">
        <f>IFERROR(__xludf.DUMMYFUNCTION("""COMPUTED_VALUE"""),0.0)</f>
        <v>0</v>
      </c>
      <c r="AD253" s="447">
        <f>IFERROR(__xludf.DUMMYFUNCTION("""COMPUTED_VALUE"""),0.0)</f>
        <v>0</v>
      </c>
      <c r="AE253" s="447">
        <f>IFERROR(__xludf.DUMMYFUNCTION("""COMPUTED_VALUE"""),0.0)</f>
        <v>0</v>
      </c>
      <c r="AF253" s="447">
        <f>IFERROR(__xludf.DUMMYFUNCTION("""COMPUTED_VALUE"""),0.0)</f>
        <v>0</v>
      </c>
      <c r="AG253" s="443" t="s">
        <v>132</v>
      </c>
      <c r="AH253" s="443" t="s">
        <v>343</v>
      </c>
      <c r="AI253" s="443"/>
      <c r="AJ253" s="443"/>
      <c r="AK253" s="443"/>
      <c r="AL253" s="443"/>
      <c r="AM253" s="443"/>
      <c r="AN253" s="443"/>
      <c r="AO253" s="443"/>
      <c r="AP253" s="443"/>
      <c r="AQ253" s="443"/>
      <c r="AR253" s="443"/>
      <c r="AS253" s="443"/>
      <c r="AT253" s="443"/>
      <c r="AU253" s="443"/>
      <c r="AV253" s="443"/>
      <c r="AW253" s="443"/>
      <c r="AX253" s="443"/>
      <c r="AY253" s="443"/>
      <c r="AZ253" s="443"/>
      <c r="BA253" s="443"/>
      <c r="BB253" s="443"/>
      <c r="BC253" s="443"/>
      <c r="BD253" s="443"/>
      <c r="BE253" s="443"/>
    </row>
    <row r="254" hidden="1">
      <c r="A254" s="445">
        <f t="shared" si="5"/>
        <v>45544</v>
      </c>
      <c r="B254" s="449">
        <v>632.0</v>
      </c>
      <c r="C254" s="462">
        <v>0.5652777777777778</v>
      </c>
      <c r="D254" s="462">
        <v>1.0194444444444444</v>
      </c>
      <c r="E254" s="436">
        <f t="array" ref="E254">IF(B254=0,"",(J254+K254)/60)</f>
        <v>0.75</v>
      </c>
      <c r="F254" s="437">
        <f t="shared" si="1"/>
        <v>10.9</v>
      </c>
      <c r="G254" s="438">
        <f t="shared" si="7"/>
        <v>57.98165138</v>
      </c>
      <c r="H254" s="438">
        <f t="shared" si="3"/>
        <v>62.26600985</v>
      </c>
      <c r="I254" s="436">
        <f t="shared" si="6"/>
        <v>1.159633028</v>
      </c>
      <c r="J254" s="460">
        <v>30.0</v>
      </c>
      <c r="K254" s="460">
        <v>15.0</v>
      </c>
      <c r="L254" s="443"/>
      <c r="M254" s="447">
        <f>IFERROR(__xludf.DUMMYFUNCTION("""COMPUTED_VALUE"""),57.0)</f>
        <v>57</v>
      </c>
      <c r="N254" s="447">
        <f>IFERROR(__xludf.DUMMYFUNCTION("""COMPUTED_VALUE"""),53.0)</f>
        <v>53</v>
      </c>
      <c r="O254" s="447">
        <f>IFERROR(__xludf.DUMMYFUNCTION("""COMPUTED_VALUE"""),0.0)</f>
        <v>0</v>
      </c>
      <c r="P254" s="447">
        <f>IFERROR(__xludf.DUMMYFUNCTION("""COMPUTED_VALUE"""),0.0)</f>
        <v>0</v>
      </c>
      <c r="Q254" s="447">
        <f>IFERROR(__xludf.DUMMYFUNCTION("""COMPUTED_VALUE"""),0.0)</f>
        <v>0</v>
      </c>
      <c r="R254" s="447">
        <f>IFERROR(__xludf.DUMMYFUNCTION("""COMPUTED_VALUE"""),0.0)</f>
        <v>0</v>
      </c>
      <c r="S254" s="447">
        <f>IFERROR(__xludf.DUMMYFUNCTION("""COMPUTED_VALUE"""),1.0)</f>
        <v>1</v>
      </c>
      <c r="T254" s="447">
        <f>IFERROR(__xludf.DUMMYFUNCTION("""COMPUTED_VALUE"""),0.0)</f>
        <v>0</v>
      </c>
      <c r="U254" s="447">
        <f>IFERROR(__xludf.DUMMYFUNCTION("""COMPUTED_VALUE"""),4.0)</f>
        <v>4</v>
      </c>
      <c r="V254" s="447">
        <f>IFERROR(__xludf.DUMMYFUNCTION("""COMPUTED_VALUE"""),1.0)</f>
        <v>1</v>
      </c>
      <c r="W254" s="447">
        <f>IFERROR(__xludf.DUMMYFUNCTION("""COMPUTED_VALUE"""),0.0)</f>
        <v>0</v>
      </c>
      <c r="X254" s="447">
        <f>IFERROR(__xludf.DUMMYFUNCTION("""COMPUTED_VALUE"""),0.0)</f>
        <v>0</v>
      </c>
      <c r="Y254" s="447">
        <f>IFERROR(__xludf.DUMMYFUNCTION("""COMPUTED_VALUE"""),0.0)</f>
        <v>0</v>
      </c>
      <c r="Z254" s="447">
        <f>IFERROR(__xludf.DUMMYFUNCTION("""COMPUTED_VALUE"""),0.0)</f>
        <v>0</v>
      </c>
      <c r="AA254" s="447">
        <f>IFERROR(__xludf.DUMMYFUNCTION("""COMPUTED_VALUE"""),0.0)</f>
        <v>0</v>
      </c>
      <c r="AB254" s="447">
        <f>IFERROR(__xludf.DUMMYFUNCTION("""COMPUTED_VALUE"""),0.0)</f>
        <v>0</v>
      </c>
      <c r="AC254" s="447">
        <f>IFERROR(__xludf.DUMMYFUNCTION("""COMPUTED_VALUE"""),1.0)</f>
        <v>1</v>
      </c>
      <c r="AD254" s="447">
        <f>IFERROR(__xludf.DUMMYFUNCTION("""COMPUTED_VALUE"""),50.0)</f>
        <v>50</v>
      </c>
      <c r="AE254" s="447">
        <f>IFERROR(__xludf.DUMMYFUNCTION("""COMPUTED_VALUE"""),7.0)</f>
        <v>7</v>
      </c>
      <c r="AF254" s="447">
        <f>IFERROR(__xludf.DUMMYFUNCTION("""COMPUTED_VALUE"""),4.0)</f>
        <v>4</v>
      </c>
      <c r="AG254" s="443" t="s">
        <v>132</v>
      </c>
      <c r="AH254" s="443" t="s">
        <v>343</v>
      </c>
      <c r="AI254" s="443"/>
      <c r="AJ254" s="443"/>
      <c r="AK254" s="443"/>
      <c r="AL254" s="443"/>
      <c r="AM254" s="443"/>
      <c r="AN254" s="443"/>
      <c r="AO254" s="443"/>
      <c r="AP254" s="443"/>
      <c r="AQ254" s="443"/>
      <c r="AR254" s="443"/>
      <c r="AS254" s="443"/>
      <c r="AT254" s="443"/>
      <c r="AU254" s="443"/>
      <c r="AV254" s="443"/>
      <c r="AW254" s="443"/>
      <c r="AX254" s="443"/>
      <c r="AY254" s="443"/>
      <c r="AZ254" s="443"/>
      <c r="BA254" s="443"/>
      <c r="BB254" s="443"/>
      <c r="BC254" s="443"/>
      <c r="BD254" s="443"/>
      <c r="BE254" s="443"/>
    </row>
    <row r="255" hidden="1">
      <c r="A255" s="445">
        <f t="shared" si="5"/>
        <v>45545</v>
      </c>
      <c r="B255" s="449">
        <v>308.0</v>
      </c>
      <c r="C255" s="462">
        <v>0.6</v>
      </c>
      <c r="D255" s="462">
        <v>0.8784722222222222</v>
      </c>
      <c r="E255" s="436">
        <f t="array" ref="E255">IF(B255=0,"",(J255+K255)/60)</f>
        <v>1</v>
      </c>
      <c r="F255" s="437">
        <f t="shared" si="1"/>
        <v>6.683333333</v>
      </c>
      <c r="G255" s="438">
        <f t="shared" si="7"/>
        <v>46.08478803</v>
      </c>
      <c r="H255" s="438">
        <f t="shared" si="3"/>
        <v>54.19354839</v>
      </c>
      <c r="I255" s="436">
        <f t="shared" si="6"/>
        <v>0.9405058782</v>
      </c>
      <c r="J255" s="460">
        <v>30.0</v>
      </c>
      <c r="K255" s="460">
        <v>30.0</v>
      </c>
      <c r="L255" s="443"/>
      <c r="M255" s="447">
        <f>IFERROR(__xludf.DUMMYFUNCTION("""COMPUTED_VALUE"""),57.0)</f>
        <v>57</v>
      </c>
      <c r="N255" s="447">
        <f>IFERROR(__xludf.DUMMYFUNCTION("""COMPUTED_VALUE"""),52.0)</f>
        <v>52</v>
      </c>
      <c r="O255" s="447">
        <f>IFERROR(__xludf.DUMMYFUNCTION("""COMPUTED_VALUE"""),0.0)</f>
        <v>0</v>
      </c>
      <c r="P255" s="447">
        <f>IFERROR(__xludf.DUMMYFUNCTION("""COMPUTED_VALUE"""),0.0)</f>
        <v>0</v>
      </c>
      <c r="Q255" s="447">
        <f>IFERROR(__xludf.DUMMYFUNCTION("""COMPUTED_VALUE"""),0.0)</f>
        <v>0</v>
      </c>
      <c r="R255" s="447">
        <f>IFERROR(__xludf.DUMMYFUNCTION("""COMPUTED_VALUE"""),0.0)</f>
        <v>0</v>
      </c>
      <c r="S255" s="447">
        <f>IFERROR(__xludf.DUMMYFUNCTION("""COMPUTED_VALUE"""),1.0)</f>
        <v>1</v>
      </c>
      <c r="T255" s="447">
        <f>IFERROR(__xludf.DUMMYFUNCTION("""COMPUTED_VALUE"""),0.0)</f>
        <v>0</v>
      </c>
      <c r="U255" s="447">
        <f>IFERROR(__xludf.DUMMYFUNCTION("""COMPUTED_VALUE"""),5.0)</f>
        <v>5</v>
      </c>
      <c r="V255" s="447">
        <f>IFERROR(__xludf.DUMMYFUNCTION("""COMPUTED_VALUE"""),1.0)</f>
        <v>1</v>
      </c>
      <c r="W255" s="447">
        <f>IFERROR(__xludf.DUMMYFUNCTION("""COMPUTED_VALUE"""),0.0)</f>
        <v>0</v>
      </c>
      <c r="X255" s="447">
        <f>IFERROR(__xludf.DUMMYFUNCTION("""COMPUTED_VALUE"""),0.0)</f>
        <v>0</v>
      </c>
      <c r="Y255" s="447">
        <f>IFERROR(__xludf.DUMMYFUNCTION("""COMPUTED_VALUE"""),0.0)</f>
        <v>0</v>
      </c>
      <c r="Z255" s="447">
        <f>IFERROR(__xludf.DUMMYFUNCTION("""COMPUTED_VALUE"""),0.0)</f>
        <v>0</v>
      </c>
      <c r="AA255" s="447">
        <f>IFERROR(__xludf.DUMMYFUNCTION("""COMPUTED_VALUE"""),0.0)</f>
        <v>0</v>
      </c>
      <c r="AB255" s="447">
        <f>IFERROR(__xludf.DUMMYFUNCTION("""COMPUTED_VALUE"""),0.0)</f>
        <v>0</v>
      </c>
      <c r="AC255" s="447">
        <f>IFERROR(__xludf.DUMMYFUNCTION("""COMPUTED_VALUE"""),1.0)</f>
        <v>1</v>
      </c>
      <c r="AD255" s="447">
        <f>IFERROR(__xludf.DUMMYFUNCTION("""COMPUTED_VALUE"""),49.0)</f>
        <v>49</v>
      </c>
      <c r="AE255" s="447">
        <f>IFERROR(__xludf.DUMMYFUNCTION("""COMPUTED_VALUE"""),8.0)</f>
        <v>8</v>
      </c>
      <c r="AF255" s="447">
        <f>IFERROR(__xludf.DUMMYFUNCTION("""COMPUTED_VALUE"""),5.0)</f>
        <v>5</v>
      </c>
      <c r="AG255" s="443" t="s">
        <v>132</v>
      </c>
      <c r="AH255" s="443" t="s">
        <v>343</v>
      </c>
      <c r="AI255" s="443"/>
      <c r="AJ255" s="443"/>
      <c r="AK255" s="443"/>
      <c r="AL255" s="443"/>
      <c r="AM255" s="443"/>
      <c r="AN255" s="443"/>
      <c r="AO255" s="443"/>
      <c r="AP255" s="443"/>
      <c r="AQ255" s="443"/>
      <c r="AR255" s="443"/>
      <c r="AS255" s="443"/>
      <c r="AT255" s="443"/>
      <c r="AU255" s="443"/>
      <c r="AV255" s="443"/>
      <c r="AW255" s="443"/>
      <c r="AX255" s="443"/>
      <c r="AY255" s="443"/>
      <c r="AZ255" s="443"/>
      <c r="BA255" s="443"/>
      <c r="BB255" s="443"/>
      <c r="BC255" s="443"/>
      <c r="BD255" s="443"/>
      <c r="BE255" s="443"/>
    </row>
    <row r="256" hidden="1">
      <c r="A256" s="445">
        <f t="shared" si="5"/>
        <v>45546</v>
      </c>
      <c r="B256" s="449">
        <v>426.0</v>
      </c>
      <c r="C256" s="462">
        <v>0.6</v>
      </c>
      <c r="D256" s="462">
        <v>0.9375</v>
      </c>
      <c r="E256" s="436">
        <f t="array" ref="E256">IF(B256=0,"",(J256+K256)/60)</f>
        <v>0.5</v>
      </c>
      <c r="F256" s="437">
        <f t="shared" si="1"/>
        <v>8.1</v>
      </c>
      <c r="G256" s="438">
        <f t="shared" si="7"/>
        <v>52.59259259</v>
      </c>
      <c r="H256" s="438">
        <f t="shared" si="3"/>
        <v>56.05263158</v>
      </c>
      <c r="I256" s="436">
        <f t="shared" si="6"/>
        <v>1.095679012</v>
      </c>
      <c r="J256" s="460">
        <v>30.0</v>
      </c>
      <c r="K256" s="464"/>
      <c r="L256" s="443"/>
      <c r="M256" s="447">
        <f>IFERROR(__xludf.DUMMYFUNCTION("""COMPUTED_VALUE"""),57.0)</f>
        <v>57</v>
      </c>
      <c r="N256" s="447">
        <f>IFERROR(__xludf.DUMMYFUNCTION("""COMPUTED_VALUE"""),52.0)</f>
        <v>52</v>
      </c>
      <c r="O256" s="447">
        <f>IFERROR(__xludf.DUMMYFUNCTION("""COMPUTED_VALUE"""),0.0)</f>
        <v>0</v>
      </c>
      <c r="P256" s="447">
        <f>IFERROR(__xludf.DUMMYFUNCTION("""COMPUTED_VALUE"""),0.0)</f>
        <v>0</v>
      </c>
      <c r="Q256" s="447">
        <f>IFERROR(__xludf.DUMMYFUNCTION("""COMPUTED_VALUE"""),0.0)</f>
        <v>0</v>
      </c>
      <c r="R256" s="447">
        <f>IFERROR(__xludf.DUMMYFUNCTION("""COMPUTED_VALUE"""),0.0)</f>
        <v>0</v>
      </c>
      <c r="S256" s="447">
        <f>IFERROR(__xludf.DUMMYFUNCTION("""COMPUTED_VALUE"""),1.0)</f>
        <v>1</v>
      </c>
      <c r="T256" s="447">
        <f>IFERROR(__xludf.DUMMYFUNCTION("""COMPUTED_VALUE"""),0.0)</f>
        <v>0</v>
      </c>
      <c r="U256" s="447">
        <f>IFERROR(__xludf.DUMMYFUNCTION("""COMPUTED_VALUE"""),5.0)</f>
        <v>5</v>
      </c>
      <c r="V256" s="447">
        <f>IFERROR(__xludf.DUMMYFUNCTION("""COMPUTED_VALUE"""),1.0)</f>
        <v>1</v>
      </c>
      <c r="W256" s="447">
        <f>IFERROR(__xludf.DUMMYFUNCTION("""COMPUTED_VALUE"""),0.0)</f>
        <v>0</v>
      </c>
      <c r="X256" s="447">
        <f>IFERROR(__xludf.DUMMYFUNCTION("""COMPUTED_VALUE"""),0.0)</f>
        <v>0</v>
      </c>
      <c r="Y256" s="447">
        <f>IFERROR(__xludf.DUMMYFUNCTION("""COMPUTED_VALUE"""),0.0)</f>
        <v>0</v>
      </c>
      <c r="Z256" s="447">
        <f>IFERROR(__xludf.DUMMYFUNCTION("""COMPUTED_VALUE"""),0.0)</f>
        <v>0</v>
      </c>
      <c r="AA256" s="447">
        <f>IFERROR(__xludf.DUMMYFUNCTION("""COMPUTED_VALUE"""),0.0)</f>
        <v>0</v>
      </c>
      <c r="AB256" s="447">
        <f>IFERROR(__xludf.DUMMYFUNCTION("""COMPUTED_VALUE"""),0.0)</f>
        <v>0</v>
      </c>
      <c r="AC256" s="447">
        <f>IFERROR(__xludf.DUMMYFUNCTION("""COMPUTED_VALUE"""),2.0)</f>
        <v>2</v>
      </c>
      <c r="AD256" s="447">
        <f>IFERROR(__xludf.DUMMYFUNCTION("""COMPUTED_VALUE"""),48.0)</f>
        <v>48</v>
      </c>
      <c r="AE256" s="447">
        <f>IFERROR(__xludf.DUMMYFUNCTION("""COMPUTED_VALUE"""),9.0)</f>
        <v>9</v>
      </c>
      <c r="AF256" s="447">
        <f>IFERROR(__xludf.DUMMYFUNCTION("""COMPUTED_VALUE"""),5.0)</f>
        <v>5</v>
      </c>
      <c r="AG256" s="443" t="s">
        <v>132</v>
      </c>
      <c r="AH256" s="443" t="s">
        <v>343</v>
      </c>
      <c r="AI256" s="443"/>
      <c r="AJ256" s="443"/>
      <c r="AK256" s="443"/>
      <c r="AL256" s="443"/>
      <c r="AM256" s="443"/>
      <c r="AN256" s="443"/>
      <c r="AO256" s="443"/>
      <c r="AP256" s="443"/>
      <c r="AQ256" s="443"/>
      <c r="AR256" s="443"/>
      <c r="AS256" s="443"/>
      <c r="AT256" s="443"/>
      <c r="AU256" s="443"/>
      <c r="AV256" s="443"/>
      <c r="AW256" s="443"/>
      <c r="AX256" s="443"/>
      <c r="AY256" s="443"/>
      <c r="AZ256" s="443"/>
      <c r="BA256" s="443"/>
      <c r="BB256" s="443"/>
      <c r="BC256" s="443"/>
      <c r="BD256" s="443"/>
      <c r="BE256" s="443"/>
    </row>
    <row r="257" hidden="1">
      <c r="A257" s="445">
        <f t="shared" si="5"/>
        <v>45547</v>
      </c>
      <c r="B257" s="449">
        <v>504.0</v>
      </c>
      <c r="C257" s="462">
        <v>0.6416666666666667</v>
      </c>
      <c r="D257" s="462">
        <v>1.0263888888888888</v>
      </c>
      <c r="E257" s="436">
        <f t="array" ref="E257">IF(B257=0,"",(J257+K257)/60)</f>
        <v>0.7666666667</v>
      </c>
      <c r="F257" s="437">
        <f t="shared" si="1"/>
        <v>9.233333333</v>
      </c>
      <c r="G257" s="438">
        <f t="shared" si="7"/>
        <v>54.58483755</v>
      </c>
      <c r="H257" s="438">
        <f t="shared" si="3"/>
        <v>59.52755906</v>
      </c>
      <c r="I257" s="436">
        <f t="shared" si="6"/>
        <v>1.186626903</v>
      </c>
      <c r="J257" s="460">
        <v>30.0</v>
      </c>
      <c r="K257" s="460">
        <v>16.0</v>
      </c>
      <c r="L257" s="443"/>
      <c r="M257" s="447">
        <f>IFERROR(__xludf.DUMMYFUNCTION("""COMPUTED_VALUE"""),57.0)</f>
        <v>57</v>
      </c>
      <c r="N257" s="447">
        <f>IFERROR(__xludf.DUMMYFUNCTION("""COMPUTED_VALUE"""),52.0)</f>
        <v>52</v>
      </c>
      <c r="O257" s="447">
        <f>IFERROR(__xludf.DUMMYFUNCTION("""COMPUTED_VALUE"""),0.0)</f>
        <v>0</v>
      </c>
      <c r="P257" s="447">
        <f>IFERROR(__xludf.DUMMYFUNCTION("""COMPUTED_VALUE"""),0.0)</f>
        <v>0</v>
      </c>
      <c r="Q257" s="447">
        <f>IFERROR(__xludf.DUMMYFUNCTION("""COMPUTED_VALUE"""),0.0)</f>
        <v>0</v>
      </c>
      <c r="R257" s="447">
        <f>IFERROR(__xludf.DUMMYFUNCTION("""COMPUTED_VALUE"""),0.0)</f>
        <v>0</v>
      </c>
      <c r="S257" s="447">
        <f>IFERROR(__xludf.DUMMYFUNCTION("""COMPUTED_VALUE"""),0.0)</f>
        <v>0</v>
      </c>
      <c r="T257" s="447">
        <f>IFERROR(__xludf.DUMMYFUNCTION("""COMPUTED_VALUE"""),2.0)</f>
        <v>2</v>
      </c>
      <c r="U257" s="447">
        <f>IFERROR(__xludf.DUMMYFUNCTION("""COMPUTED_VALUE"""),5.0)</f>
        <v>5</v>
      </c>
      <c r="V257" s="447">
        <f>IFERROR(__xludf.DUMMYFUNCTION("""COMPUTED_VALUE"""),2.0)</f>
        <v>2</v>
      </c>
      <c r="W257" s="447">
        <f>IFERROR(__xludf.DUMMYFUNCTION("""COMPUTED_VALUE"""),0.0)</f>
        <v>0</v>
      </c>
      <c r="X257" s="447">
        <f>IFERROR(__xludf.DUMMYFUNCTION("""COMPUTED_VALUE"""),0.0)</f>
        <v>0</v>
      </c>
      <c r="Y257" s="447">
        <f>IFERROR(__xludf.DUMMYFUNCTION("""COMPUTED_VALUE"""),0.0)</f>
        <v>0</v>
      </c>
      <c r="Z257" s="447">
        <f>IFERROR(__xludf.DUMMYFUNCTION("""COMPUTED_VALUE"""),0.0)</f>
        <v>0</v>
      </c>
      <c r="AA257" s="447">
        <f>IFERROR(__xludf.DUMMYFUNCTION("""COMPUTED_VALUE"""),0.0)</f>
        <v>0</v>
      </c>
      <c r="AB257" s="447">
        <f>IFERROR(__xludf.DUMMYFUNCTION("""COMPUTED_VALUE"""),0.0)</f>
        <v>0</v>
      </c>
      <c r="AC257" s="447">
        <f>IFERROR(__xludf.DUMMYFUNCTION("""COMPUTED_VALUE"""),1.0)</f>
        <v>1</v>
      </c>
      <c r="AD257" s="447">
        <f>IFERROR(__xludf.DUMMYFUNCTION("""COMPUTED_VALUE"""),46.0)</f>
        <v>46</v>
      </c>
      <c r="AE257" s="447">
        <f>IFERROR(__xludf.DUMMYFUNCTION("""COMPUTED_VALUE"""),10.0)</f>
        <v>10</v>
      </c>
      <c r="AF257" s="447">
        <f>IFERROR(__xludf.DUMMYFUNCTION("""COMPUTED_VALUE"""),5.0)</f>
        <v>5</v>
      </c>
      <c r="AG257" s="443" t="s">
        <v>132</v>
      </c>
      <c r="AH257" s="443" t="s">
        <v>343</v>
      </c>
      <c r="AI257" s="443"/>
      <c r="AJ257" s="443"/>
      <c r="AK257" s="443"/>
      <c r="AL257" s="443"/>
      <c r="AM257" s="443"/>
      <c r="AN257" s="443"/>
      <c r="AO257" s="443"/>
      <c r="AP257" s="443"/>
      <c r="AQ257" s="443"/>
      <c r="AR257" s="443"/>
      <c r="AS257" s="443"/>
      <c r="AT257" s="443"/>
      <c r="AU257" s="443"/>
      <c r="AV257" s="443"/>
      <c r="AW257" s="443"/>
      <c r="AX257" s="443"/>
      <c r="AY257" s="443"/>
      <c r="AZ257" s="443"/>
      <c r="BA257" s="443"/>
      <c r="BB257" s="443"/>
      <c r="BC257" s="443"/>
      <c r="BD257" s="443"/>
      <c r="BE257" s="443"/>
    </row>
    <row r="258" hidden="1">
      <c r="A258" s="445">
        <f t="shared" si="5"/>
        <v>45548</v>
      </c>
      <c r="B258" s="449">
        <v>460.0</v>
      </c>
      <c r="C258" s="462">
        <v>0.6416666666666667</v>
      </c>
      <c r="D258" s="462">
        <v>0.9895833333333334</v>
      </c>
      <c r="E258" s="436">
        <f t="array" ref="E258">IF(B258=0,"",(J258+K258)/60)</f>
        <v>0.5</v>
      </c>
      <c r="F258" s="437">
        <f t="shared" si="1"/>
        <v>8.35</v>
      </c>
      <c r="G258" s="438">
        <f t="shared" si="7"/>
        <v>55.08982036</v>
      </c>
      <c r="H258" s="438">
        <f t="shared" si="3"/>
        <v>58.59872611</v>
      </c>
      <c r="I258" s="436">
        <f t="shared" si="6"/>
        <v>1.19760479</v>
      </c>
      <c r="J258" s="460">
        <v>30.0</v>
      </c>
      <c r="K258" s="464"/>
      <c r="L258" s="443"/>
      <c r="M258" s="447">
        <f>IFERROR(__xludf.DUMMYFUNCTION("""COMPUTED_VALUE"""),57.0)</f>
        <v>57</v>
      </c>
      <c r="N258" s="447">
        <f>IFERROR(__xludf.DUMMYFUNCTION("""COMPUTED_VALUE"""),52.0)</f>
        <v>52</v>
      </c>
      <c r="O258" s="447">
        <f>IFERROR(__xludf.DUMMYFUNCTION("""COMPUTED_VALUE"""),0.0)</f>
        <v>0</v>
      </c>
      <c r="P258" s="447">
        <f>IFERROR(__xludf.DUMMYFUNCTION("""COMPUTED_VALUE"""),0.0)</f>
        <v>0</v>
      </c>
      <c r="Q258" s="447">
        <f>IFERROR(__xludf.DUMMYFUNCTION("""COMPUTED_VALUE"""),0.0)</f>
        <v>0</v>
      </c>
      <c r="R258" s="447">
        <f>IFERROR(__xludf.DUMMYFUNCTION("""COMPUTED_VALUE"""),0.0)</f>
        <v>0</v>
      </c>
      <c r="S258" s="447">
        <f>IFERROR(__xludf.DUMMYFUNCTION("""COMPUTED_VALUE"""),2.0)</f>
        <v>2</v>
      </c>
      <c r="T258" s="447">
        <f>IFERROR(__xludf.DUMMYFUNCTION("""COMPUTED_VALUE"""),1.0)</f>
        <v>1</v>
      </c>
      <c r="U258" s="447">
        <f>IFERROR(__xludf.DUMMYFUNCTION("""COMPUTED_VALUE"""),5.0)</f>
        <v>5</v>
      </c>
      <c r="V258" s="447">
        <f>IFERROR(__xludf.DUMMYFUNCTION("""COMPUTED_VALUE"""),1.0)</f>
        <v>1</v>
      </c>
      <c r="W258" s="447">
        <f>IFERROR(__xludf.DUMMYFUNCTION("""COMPUTED_VALUE"""),0.0)</f>
        <v>0</v>
      </c>
      <c r="X258" s="447">
        <f>IFERROR(__xludf.DUMMYFUNCTION("""COMPUTED_VALUE"""),0.0)</f>
        <v>0</v>
      </c>
      <c r="Y258" s="447">
        <f>IFERROR(__xludf.DUMMYFUNCTION("""COMPUTED_VALUE"""),0.0)</f>
        <v>0</v>
      </c>
      <c r="Z258" s="447">
        <f>IFERROR(__xludf.DUMMYFUNCTION("""COMPUTED_VALUE"""),0.0)</f>
        <v>0</v>
      </c>
      <c r="AA258" s="447">
        <f>IFERROR(__xludf.DUMMYFUNCTION("""COMPUTED_VALUE"""),0.0)</f>
        <v>0</v>
      </c>
      <c r="AB258" s="447">
        <f>IFERROR(__xludf.DUMMYFUNCTION("""COMPUTED_VALUE"""),0.0)</f>
        <v>0</v>
      </c>
      <c r="AC258" s="447">
        <f>IFERROR(__xludf.DUMMYFUNCTION("""COMPUTED_VALUE"""),1.0)</f>
        <v>1</v>
      </c>
      <c r="AD258" s="447">
        <f>IFERROR(__xludf.DUMMYFUNCTION("""COMPUTED_VALUE"""),46.0)</f>
        <v>46</v>
      </c>
      <c r="AE258" s="447">
        <f>IFERROR(__xludf.DUMMYFUNCTION("""COMPUTED_VALUE"""),10.0)</f>
        <v>10</v>
      </c>
      <c r="AF258" s="447">
        <f>IFERROR(__xludf.DUMMYFUNCTION("""COMPUTED_VALUE"""),5.0)</f>
        <v>5</v>
      </c>
      <c r="AG258" s="443" t="s">
        <v>132</v>
      </c>
      <c r="AH258" s="443" t="s">
        <v>343</v>
      </c>
      <c r="AI258" s="443"/>
      <c r="AJ258" s="443"/>
      <c r="AK258" s="443"/>
      <c r="AL258" s="443"/>
      <c r="AM258" s="443"/>
      <c r="AN258" s="443"/>
      <c r="AO258" s="443"/>
      <c r="AP258" s="443"/>
      <c r="AQ258" s="443"/>
      <c r="AR258" s="443"/>
      <c r="AS258" s="443"/>
      <c r="AT258" s="443"/>
      <c r="AU258" s="443"/>
      <c r="AV258" s="443"/>
      <c r="AW258" s="443"/>
      <c r="AX258" s="443"/>
      <c r="AY258" s="443"/>
      <c r="AZ258" s="443"/>
      <c r="BA258" s="443"/>
      <c r="BB258" s="443"/>
      <c r="BC258" s="443"/>
      <c r="BD258" s="443"/>
      <c r="BE258" s="443"/>
    </row>
    <row r="259" hidden="1">
      <c r="A259" s="445">
        <f t="shared" si="5"/>
        <v>45549</v>
      </c>
      <c r="B259" s="449">
        <v>289.0</v>
      </c>
      <c r="C259" s="462">
        <v>0.6</v>
      </c>
      <c r="D259" s="462">
        <v>0.825</v>
      </c>
      <c r="E259" s="436">
        <f t="array" ref="E259">IF(B259=0,"",(J259+K259)/60)</f>
        <v>0</v>
      </c>
      <c r="F259" s="437">
        <f t="shared" si="1"/>
        <v>5.4</v>
      </c>
      <c r="G259" s="438">
        <f t="shared" si="7"/>
        <v>53.51851852</v>
      </c>
      <c r="H259" s="438">
        <f t="shared" si="3"/>
        <v>53.51851852</v>
      </c>
      <c r="I259" s="436">
        <f t="shared" si="6"/>
        <v>1.189300412</v>
      </c>
      <c r="J259" s="464"/>
      <c r="K259" s="464"/>
      <c r="L259" s="443"/>
      <c r="M259" s="447">
        <f>IFERROR(__xludf.DUMMYFUNCTION("""COMPUTED_VALUE"""),57.0)</f>
        <v>57</v>
      </c>
      <c r="N259" s="447">
        <f>IFERROR(__xludf.DUMMYFUNCTION("""COMPUTED_VALUE"""),52.0)</f>
        <v>52</v>
      </c>
      <c r="O259" s="447">
        <f>IFERROR(__xludf.DUMMYFUNCTION("""COMPUTED_VALUE"""),0.0)</f>
        <v>0</v>
      </c>
      <c r="P259" s="447">
        <f>IFERROR(__xludf.DUMMYFUNCTION("""COMPUTED_VALUE"""),0.0)</f>
        <v>0</v>
      </c>
      <c r="Q259" s="447">
        <f>IFERROR(__xludf.DUMMYFUNCTION("""COMPUTED_VALUE"""),0.0)</f>
        <v>0</v>
      </c>
      <c r="R259" s="447">
        <f>IFERROR(__xludf.DUMMYFUNCTION("""COMPUTED_VALUE"""),0.0)</f>
        <v>0</v>
      </c>
      <c r="S259" s="447">
        <f>IFERROR(__xludf.DUMMYFUNCTION("""COMPUTED_VALUE"""),3.0)</f>
        <v>3</v>
      </c>
      <c r="T259" s="447">
        <f>IFERROR(__xludf.DUMMYFUNCTION("""COMPUTED_VALUE"""),0.0)</f>
        <v>0</v>
      </c>
      <c r="U259" s="447">
        <f>IFERROR(__xludf.DUMMYFUNCTION("""COMPUTED_VALUE"""),5.0)</f>
        <v>5</v>
      </c>
      <c r="V259" s="447">
        <f>IFERROR(__xludf.DUMMYFUNCTION("""COMPUTED_VALUE"""),2.0)</f>
        <v>2</v>
      </c>
      <c r="W259" s="447">
        <f>IFERROR(__xludf.DUMMYFUNCTION("""COMPUTED_VALUE"""),0.0)</f>
        <v>0</v>
      </c>
      <c r="X259" s="447">
        <f>IFERROR(__xludf.DUMMYFUNCTION("""COMPUTED_VALUE"""),0.0)</f>
        <v>0</v>
      </c>
      <c r="Y259" s="447">
        <f>IFERROR(__xludf.DUMMYFUNCTION("""COMPUTED_VALUE"""),0.0)</f>
        <v>0</v>
      </c>
      <c r="Z259" s="447">
        <f>IFERROR(__xludf.DUMMYFUNCTION("""COMPUTED_VALUE"""),0.0)</f>
        <v>0</v>
      </c>
      <c r="AA259" s="447">
        <f>IFERROR(__xludf.DUMMYFUNCTION("""COMPUTED_VALUE"""),0.0)</f>
        <v>0</v>
      </c>
      <c r="AB259" s="447">
        <f>IFERROR(__xludf.DUMMYFUNCTION("""COMPUTED_VALUE"""),0.0)</f>
        <v>0</v>
      </c>
      <c r="AC259" s="447">
        <f>IFERROR(__xludf.DUMMYFUNCTION("""COMPUTED_VALUE"""),1.0)</f>
        <v>1</v>
      </c>
      <c r="AD259" s="447">
        <f>IFERROR(__xludf.DUMMYFUNCTION("""COMPUTED_VALUE"""),45.0)</f>
        <v>45</v>
      </c>
      <c r="AE259" s="447">
        <f>IFERROR(__xludf.DUMMYFUNCTION("""COMPUTED_VALUE"""),11.0)</f>
        <v>11</v>
      </c>
      <c r="AF259" s="447">
        <f>IFERROR(__xludf.DUMMYFUNCTION("""COMPUTED_VALUE"""),5.0)</f>
        <v>5</v>
      </c>
      <c r="AG259" s="443" t="s">
        <v>132</v>
      </c>
      <c r="AH259" s="443" t="s">
        <v>343</v>
      </c>
      <c r="AI259" s="443"/>
      <c r="AJ259" s="443"/>
      <c r="AK259" s="443"/>
      <c r="AL259" s="443"/>
      <c r="AM259" s="443"/>
      <c r="AN259" s="443"/>
      <c r="AO259" s="443"/>
      <c r="AP259" s="443"/>
      <c r="AQ259" s="443"/>
      <c r="AR259" s="443"/>
      <c r="AS259" s="443"/>
      <c r="AT259" s="443"/>
      <c r="AU259" s="443"/>
      <c r="AV259" s="443"/>
      <c r="AW259" s="443"/>
      <c r="AX259" s="443"/>
      <c r="AY259" s="443"/>
      <c r="AZ259" s="443"/>
      <c r="BA259" s="443"/>
      <c r="BB259" s="443"/>
      <c r="BC259" s="443"/>
      <c r="BD259" s="443"/>
      <c r="BE259" s="443"/>
    </row>
    <row r="260" hidden="1">
      <c r="A260" s="445">
        <f t="shared" si="5"/>
        <v>45550</v>
      </c>
      <c r="B260" s="449">
        <v>0.0</v>
      </c>
      <c r="C260" s="443"/>
      <c r="D260" s="443"/>
      <c r="E260" s="436" t="str">
        <f t="array" ref="E260">IF(B260=0,"",(J260+K260)/60)</f>
        <v/>
      </c>
      <c r="F260" s="437" t="str">
        <f t="shared" si="1"/>
        <v/>
      </c>
      <c r="G260" s="438" t="str">
        <f t="shared" si="7"/>
        <v>#DIV/0!</v>
      </c>
      <c r="H260" s="438" t="str">
        <f t="shared" si="3"/>
        <v/>
      </c>
      <c r="I260" s="436" t="str">
        <f t="shared" si="6"/>
        <v/>
      </c>
      <c r="J260" s="464"/>
      <c r="K260" s="464"/>
      <c r="L260" s="443"/>
      <c r="M260" s="447">
        <f>IFERROR(__xludf.DUMMYFUNCTION("""COMPUTED_VALUE"""),57.0)</f>
        <v>57</v>
      </c>
      <c r="N260" s="447">
        <f>IFERROR(__xludf.DUMMYFUNCTION("""COMPUTED_VALUE"""),57.0)</f>
        <v>57</v>
      </c>
      <c r="O260" s="447">
        <f>IFERROR(__xludf.DUMMYFUNCTION("""COMPUTED_VALUE"""),0.0)</f>
        <v>0</v>
      </c>
      <c r="P260" s="447">
        <f>IFERROR(__xludf.DUMMYFUNCTION("""COMPUTED_VALUE"""),0.0)</f>
        <v>0</v>
      </c>
      <c r="Q260" s="447">
        <f>IFERROR(__xludf.DUMMYFUNCTION("""COMPUTED_VALUE"""),0.0)</f>
        <v>0</v>
      </c>
      <c r="R260" s="447">
        <f>IFERROR(__xludf.DUMMYFUNCTION("""COMPUTED_VALUE"""),0.0)</f>
        <v>0</v>
      </c>
      <c r="S260" s="447">
        <f>IFERROR(__xludf.DUMMYFUNCTION("""COMPUTED_VALUE"""),0.0)</f>
        <v>0</v>
      </c>
      <c r="T260" s="447">
        <f>IFERROR(__xludf.DUMMYFUNCTION("""COMPUTED_VALUE"""),0.0)</f>
        <v>0</v>
      </c>
      <c r="U260" s="447">
        <f>IFERROR(__xludf.DUMMYFUNCTION("""COMPUTED_VALUE"""),0.0)</f>
        <v>0</v>
      </c>
      <c r="V260" s="447">
        <f>IFERROR(__xludf.DUMMYFUNCTION("""COMPUTED_VALUE"""),0.0)</f>
        <v>0</v>
      </c>
      <c r="W260" s="447">
        <f>IFERROR(__xludf.DUMMYFUNCTION("""COMPUTED_VALUE"""),0.0)</f>
        <v>0</v>
      </c>
      <c r="X260" s="447">
        <f>IFERROR(__xludf.DUMMYFUNCTION("""COMPUTED_VALUE"""),0.0)</f>
        <v>0</v>
      </c>
      <c r="Y260" s="447">
        <f>IFERROR(__xludf.DUMMYFUNCTION("""COMPUTED_VALUE"""),0.0)</f>
        <v>0</v>
      </c>
      <c r="Z260" s="447">
        <f>IFERROR(__xludf.DUMMYFUNCTION("""COMPUTED_VALUE"""),0.0)</f>
        <v>0</v>
      </c>
      <c r="AA260" s="447">
        <f>IFERROR(__xludf.DUMMYFUNCTION("""COMPUTED_VALUE"""),0.0)</f>
        <v>0</v>
      </c>
      <c r="AB260" s="447">
        <f>IFERROR(__xludf.DUMMYFUNCTION("""COMPUTED_VALUE"""),0.0)</f>
        <v>0</v>
      </c>
      <c r="AC260" s="447">
        <f>IFERROR(__xludf.DUMMYFUNCTION("""COMPUTED_VALUE"""),0.0)</f>
        <v>0</v>
      </c>
      <c r="AD260" s="447">
        <f>IFERROR(__xludf.DUMMYFUNCTION("""COMPUTED_VALUE"""),0.0)</f>
        <v>0</v>
      </c>
      <c r="AE260" s="447">
        <f>IFERROR(__xludf.DUMMYFUNCTION("""COMPUTED_VALUE"""),0.0)</f>
        <v>0</v>
      </c>
      <c r="AF260" s="447">
        <f>IFERROR(__xludf.DUMMYFUNCTION("""COMPUTED_VALUE"""),0.0)</f>
        <v>0</v>
      </c>
      <c r="AG260" s="443" t="s">
        <v>132</v>
      </c>
      <c r="AH260" s="443" t="s">
        <v>343</v>
      </c>
      <c r="AI260" s="443"/>
      <c r="AJ260" s="443"/>
      <c r="AK260" s="443"/>
      <c r="AL260" s="443"/>
      <c r="AM260" s="443"/>
      <c r="AN260" s="443"/>
      <c r="AO260" s="443"/>
      <c r="AP260" s="443"/>
      <c r="AQ260" s="443"/>
      <c r="AR260" s="443"/>
      <c r="AS260" s="443"/>
      <c r="AT260" s="443"/>
      <c r="AU260" s="443"/>
      <c r="AV260" s="443"/>
      <c r="AW260" s="443"/>
      <c r="AX260" s="443"/>
      <c r="AY260" s="443"/>
      <c r="AZ260" s="443"/>
      <c r="BA260" s="443"/>
      <c r="BB260" s="443"/>
      <c r="BC260" s="443"/>
      <c r="BD260" s="443"/>
      <c r="BE260" s="443"/>
    </row>
    <row r="261" hidden="1">
      <c r="A261" s="445">
        <f t="shared" si="5"/>
        <v>45551</v>
      </c>
      <c r="B261" s="449">
        <v>559.0</v>
      </c>
      <c r="C261" s="462">
        <v>0.5583333333333333</v>
      </c>
      <c r="D261" s="462">
        <v>1.0027777777777778</v>
      </c>
      <c r="E261" s="436">
        <f t="array" ref="E261">IF(B261=0,"",(J261+K261)/60)</f>
        <v>1.25</v>
      </c>
      <c r="F261" s="437">
        <f t="shared" si="1"/>
        <v>10.66666667</v>
      </c>
      <c r="G261" s="438">
        <f t="shared" si="7"/>
        <v>52.40625</v>
      </c>
      <c r="H261" s="438">
        <f t="shared" si="3"/>
        <v>59.36283186</v>
      </c>
      <c r="I261" s="436">
        <f t="shared" si="6"/>
        <v>1.164583333</v>
      </c>
      <c r="J261" s="460">
        <v>60.0</v>
      </c>
      <c r="K261" s="460">
        <v>15.0</v>
      </c>
      <c r="L261" s="443"/>
      <c r="M261" s="447">
        <f>IFERROR(__xludf.DUMMYFUNCTION("""COMPUTED_VALUE"""),57.0)</f>
        <v>57</v>
      </c>
      <c r="N261" s="447">
        <f>IFERROR(__xludf.DUMMYFUNCTION("""COMPUTED_VALUE"""),52.0)</f>
        <v>52</v>
      </c>
      <c r="O261" s="447">
        <f>IFERROR(__xludf.DUMMYFUNCTION("""COMPUTED_VALUE"""),0.0)</f>
        <v>0</v>
      </c>
      <c r="P261" s="447">
        <f>IFERROR(__xludf.DUMMYFUNCTION("""COMPUTED_VALUE"""),0.0)</f>
        <v>0</v>
      </c>
      <c r="Q261" s="447">
        <f>IFERROR(__xludf.DUMMYFUNCTION("""COMPUTED_VALUE"""),1.0)</f>
        <v>1</v>
      </c>
      <c r="R261" s="447">
        <f>IFERROR(__xludf.DUMMYFUNCTION("""COMPUTED_VALUE"""),0.0)</f>
        <v>0</v>
      </c>
      <c r="S261" s="447">
        <f>IFERROR(__xludf.DUMMYFUNCTION("""COMPUTED_VALUE"""),2.0)</f>
        <v>2</v>
      </c>
      <c r="T261" s="447">
        <f>IFERROR(__xludf.DUMMYFUNCTION("""COMPUTED_VALUE"""),0.0)</f>
        <v>0</v>
      </c>
      <c r="U261" s="447">
        <f>IFERROR(__xludf.DUMMYFUNCTION("""COMPUTED_VALUE"""),5.0)</f>
        <v>5</v>
      </c>
      <c r="V261" s="447">
        <f>IFERROR(__xludf.DUMMYFUNCTION("""COMPUTED_VALUE"""),2.0)</f>
        <v>2</v>
      </c>
      <c r="W261" s="447">
        <f>IFERROR(__xludf.DUMMYFUNCTION("""COMPUTED_VALUE"""),0.0)</f>
        <v>0</v>
      </c>
      <c r="X261" s="447">
        <f>IFERROR(__xludf.DUMMYFUNCTION("""COMPUTED_VALUE"""),0.0)</f>
        <v>0</v>
      </c>
      <c r="Y261" s="447">
        <f>IFERROR(__xludf.DUMMYFUNCTION("""COMPUTED_VALUE"""),0.0)</f>
        <v>0</v>
      </c>
      <c r="Z261" s="447">
        <f>IFERROR(__xludf.DUMMYFUNCTION("""COMPUTED_VALUE"""),0.0)</f>
        <v>0</v>
      </c>
      <c r="AA261" s="447">
        <f>IFERROR(__xludf.DUMMYFUNCTION("""COMPUTED_VALUE"""),0.0)</f>
        <v>0</v>
      </c>
      <c r="AB261" s="447">
        <f>IFERROR(__xludf.DUMMYFUNCTION("""COMPUTED_VALUE"""),0.0)</f>
        <v>0</v>
      </c>
      <c r="AC261" s="447">
        <f>IFERROR(__xludf.DUMMYFUNCTION("""COMPUTED_VALUE"""),0.0)</f>
        <v>0</v>
      </c>
      <c r="AD261" s="447">
        <f>IFERROR(__xludf.DUMMYFUNCTION("""COMPUTED_VALUE"""),45.0)</f>
        <v>45</v>
      </c>
      <c r="AE261" s="447">
        <f>IFERROR(__xludf.DUMMYFUNCTION("""COMPUTED_VALUE"""),11.0)</f>
        <v>11</v>
      </c>
      <c r="AF261" s="447">
        <f>IFERROR(__xludf.DUMMYFUNCTION("""COMPUTED_VALUE"""),5.0)</f>
        <v>5</v>
      </c>
      <c r="AG261" s="443" t="s">
        <v>132</v>
      </c>
      <c r="AH261" s="443" t="s">
        <v>343</v>
      </c>
      <c r="AI261" s="443"/>
      <c r="AJ261" s="443"/>
      <c r="AK261" s="443"/>
      <c r="AL261" s="443"/>
      <c r="AM261" s="443"/>
      <c r="AN261" s="443"/>
      <c r="AO261" s="443"/>
      <c r="AP261" s="443"/>
      <c r="AQ261" s="443"/>
      <c r="AR261" s="443"/>
      <c r="AS261" s="443"/>
      <c r="AT261" s="443"/>
      <c r="AU261" s="443"/>
      <c r="AV261" s="443"/>
      <c r="AW261" s="443"/>
      <c r="AX261" s="443"/>
      <c r="AY261" s="443"/>
      <c r="AZ261" s="443"/>
      <c r="BA261" s="443"/>
      <c r="BB261" s="443"/>
      <c r="BC261" s="443"/>
      <c r="BD261" s="443"/>
      <c r="BE261" s="443"/>
    </row>
    <row r="262" hidden="1">
      <c r="A262" s="445">
        <f t="shared" si="5"/>
        <v>45552</v>
      </c>
      <c r="B262" s="449">
        <v>360.0</v>
      </c>
      <c r="C262" s="462">
        <v>0.6</v>
      </c>
      <c r="D262" s="462">
        <v>0.9076388888888889</v>
      </c>
      <c r="E262" s="436">
        <f t="array" ref="E262">IF(B262=0,"",(J262+K262)/60)</f>
        <v>0.25</v>
      </c>
      <c r="F262" s="437">
        <f t="shared" si="1"/>
        <v>7.383333333</v>
      </c>
      <c r="G262" s="438">
        <f t="shared" si="7"/>
        <v>48.75846501</v>
      </c>
      <c r="H262" s="438">
        <f t="shared" si="3"/>
        <v>50.46728972</v>
      </c>
      <c r="I262" s="436">
        <f t="shared" si="6"/>
        <v>1.037414149</v>
      </c>
      <c r="J262" s="460">
        <v>15.0</v>
      </c>
      <c r="K262" s="464"/>
      <c r="L262" s="443"/>
      <c r="M262" s="447">
        <f>IFERROR(__xludf.DUMMYFUNCTION("""COMPUTED_VALUE"""),57.0)</f>
        <v>57</v>
      </c>
      <c r="N262" s="447">
        <f>IFERROR(__xludf.DUMMYFUNCTION("""COMPUTED_VALUE"""),52.0)</f>
        <v>52</v>
      </c>
      <c r="O262" s="447">
        <f>IFERROR(__xludf.DUMMYFUNCTION("""COMPUTED_VALUE"""),0.0)</f>
        <v>0</v>
      </c>
      <c r="P262" s="447">
        <f>IFERROR(__xludf.DUMMYFUNCTION("""COMPUTED_VALUE"""),0.0)</f>
        <v>0</v>
      </c>
      <c r="Q262" s="447">
        <f>IFERROR(__xludf.DUMMYFUNCTION("""COMPUTED_VALUE"""),0.0)</f>
        <v>0</v>
      </c>
      <c r="R262" s="447">
        <f>IFERROR(__xludf.DUMMYFUNCTION("""COMPUTED_VALUE"""),0.0)</f>
        <v>0</v>
      </c>
      <c r="S262" s="447">
        <f>IFERROR(__xludf.DUMMYFUNCTION("""COMPUTED_VALUE"""),0.0)</f>
        <v>0</v>
      </c>
      <c r="T262" s="447">
        <f>IFERROR(__xludf.DUMMYFUNCTION("""COMPUTED_VALUE"""),0.0)</f>
        <v>0</v>
      </c>
      <c r="U262" s="447">
        <f>IFERROR(__xludf.DUMMYFUNCTION("""COMPUTED_VALUE"""),5.0)</f>
        <v>5</v>
      </c>
      <c r="V262" s="447">
        <f>IFERROR(__xludf.DUMMYFUNCTION("""COMPUTED_VALUE"""),2.0)</f>
        <v>2</v>
      </c>
      <c r="W262" s="447">
        <f>IFERROR(__xludf.DUMMYFUNCTION("""COMPUTED_VALUE"""),0.0)</f>
        <v>0</v>
      </c>
      <c r="X262" s="447">
        <f>IFERROR(__xludf.DUMMYFUNCTION("""COMPUTED_VALUE"""),0.0)</f>
        <v>0</v>
      </c>
      <c r="Y262" s="447">
        <f>IFERROR(__xludf.DUMMYFUNCTION("""COMPUTED_VALUE"""),0.0)</f>
        <v>0</v>
      </c>
      <c r="Z262" s="447">
        <f>IFERROR(__xludf.DUMMYFUNCTION("""COMPUTED_VALUE"""),0.0)</f>
        <v>0</v>
      </c>
      <c r="AA262" s="447">
        <f>IFERROR(__xludf.DUMMYFUNCTION("""COMPUTED_VALUE"""),0.0)</f>
        <v>0</v>
      </c>
      <c r="AB262" s="447">
        <f>IFERROR(__xludf.DUMMYFUNCTION("""COMPUTED_VALUE"""),0.0)</f>
        <v>0</v>
      </c>
      <c r="AC262" s="447">
        <f>IFERROR(__xludf.DUMMYFUNCTION("""COMPUTED_VALUE"""),1.0)</f>
        <v>1</v>
      </c>
      <c r="AD262" s="447">
        <f>IFERROR(__xludf.DUMMYFUNCTION("""COMPUTED_VALUE"""),47.0)</f>
        <v>47</v>
      </c>
      <c r="AE262" s="447">
        <f>IFERROR(__xludf.DUMMYFUNCTION("""COMPUTED_VALUE"""),8.0)</f>
        <v>8</v>
      </c>
      <c r="AF262" s="447">
        <f>IFERROR(__xludf.DUMMYFUNCTION("""COMPUTED_VALUE"""),5.0)</f>
        <v>5</v>
      </c>
      <c r="AG262" s="443" t="s">
        <v>132</v>
      </c>
      <c r="AH262" s="443" t="s">
        <v>343</v>
      </c>
      <c r="AI262" s="443"/>
      <c r="AJ262" s="443"/>
      <c r="AK262" s="443"/>
      <c r="AL262" s="443"/>
      <c r="AM262" s="443"/>
      <c r="AN262" s="443"/>
      <c r="AO262" s="443"/>
      <c r="AP262" s="443"/>
      <c r="AQ262" s="443"/>
      <c r="AR262" s="443"/>
      <c r="AS262" s="443"/>
      <c r="AT262" s="443"/>
      <c r="AU262" s="443"/>
      <c r="AV262" s="443"/>
      <c r="AW262" s="443"/>
      <c r="AX262" s="443"/>
      <c r="AY262" s="443"/>
      <c r="AZ262" s="443"/>
      <c r="BA262" s="443"/>
      <c r="BB262" s="443"/>
      <c r="BC262" s="443"/>
      <c r="BD262" s="443"/>
      <c r="BE262" s="443"/>
    </row>
    <row r="263" hidden="1">
      <c r="A263" s="445">
        <f t="shared" si="5"/>
        <v>45553</v>
      </c>
      <c r="B263" s="449">
        <v>311.0</v>
      </c>
      <c r="C263" s="462">
        <v>0.6</v>
      </c>
      <c r="D263" s="462">
        <v>0.8381944444444445</v>
      </c>
      <c r="E263" s="436">
        <f t="array" ref="E263">IF(B263=0,"",(J263+K263)/60)</f>
        <v>0</v>
      </c>
      <c r="F263" s="437">
        <f t="shared" si="1"/>
        <v>5.716666667</v>
      </c>
      <c r="G263" s="438">
        <f t="shared" si="7"/>
        <v>54.40233236</v>
      </c>
      <c r="H263" s="438">
        <f t="shared" si="3"/>
        <v>54.40233236</v>
      </c>
      <c r="I263" s="436">
        <f t="shared" si="6"/>
        <v>1.157496433</v>
      </c>
      <c r="J263" s="464"/>
      <c r="K263" s="464"/>
      <c r="L263" s="443"/>
      <c r="M263" s="447">
        <f>IFERROR(__xludf.DUMMYFUNCTION("""COMPUTED_VALUE"""),57.0)</f>
        <v>57</v>
      </c>
      <c r="N263" s="447">
        <f>IFERROR(__xludf.DUMMYFUNCTION("""COMPUTED_VALUE"""),52.0)</f>
        <v>52</v>
      </c>
      <c r="O263" s="447">
        <f>IFERROR(__xludf.DUMMYFUNCTION("""COMPUTED_VALUE"""),0.0)</f>
        <v>0</v>
      </c>
      <c r="P263" s="447">
        <f>IFERROR(__xludf.DUMMYFUNCTION("""COMPUTED_VALUE"""),0.0)</f>
        <v>0</v>
      </c>
      <c r="Q263" s="447">
        <f>IFERROR(__xludf.DUMMYFUNCTION("""COMPUTED_VALUE"""),0.0)</f>
        <v>0</v>
      </c>
      <c r="R263" s="447">
        <f>IFERROR(__xludf.DUMMYFUNCTION("""COMPUTED_VALUE"""),0.0)</f>
        <v>0</v>
      </c>
      <c r="S263" s="447">
        <f>IFERROR(__xludf.DUMMYFUNCTION("""COMPUTED_VALUE"""),0.0)</f>
        <v>0</v>
      </c>
      <c r="T263" s="447">
        <f>IFERROR(__xludf.DUMMYFUNCTION("""COMPUTED_VALUE"""),0.0)</f>
        <v>0</v>
      </c>
      <c r="U263" s="447">
        <f>IFERROR(__xludf.DUMMYFUNCTION("""COMPUTED_VALUE"""),5.0)</f>
        <v>5</v>
      </c>
      <c r="V263" s="447">
        <f>IFERROR(__xludf.DUMMYFUNCTION("""COMPUTED_VALUE"""),2.0)</f>
        <v>2</v>
      </c>
      <c r="W263" s="447">
        <f>IFERROR(__xludf.DUMMYFUNCTION("""COMPUTED_VALUE"""),0.0)</f>
        <v>0</v>
      </c>
      <c r="X263" s="447">
        <f>IFERROR(__xludf.DUMMYFUNCTION("""COMPUTED_VALUE"""),0.0)</f>
        <v>0</v>
      </c>
      <c r="Y263" s="447">
        <f>IFERROR(__xludf.DUMMYFUNCTION("""COMPUTED_VALUE"""),0.0)</f>
        <v>0</v>
      </c>
      <c r="Z263" s="447">
        <f>IFERROR(__xludf.DUMMYFUNCTION("""COMPUTED_VALUE"""),0.0)</f>
        <v>0</v>
      </c>
      <c r="AA263" s="447">
        <f>IFERROR(__xludf.DUMMYFUNCTION("""COMPUTED_VALUE"""),0.0)</f>
        <v>0</v>
      </c>
      <c r="AB263" s="447">
        <f>IFERROR(__xludf.DUMMYFUNCTION("""COMPUTED_VALUE"""),0.0)</f>
        <v>0</v>
      </c>
      <c r="AC263" s="447">
        <f>IFERROR(__xludf.DUMMYFUNCTION("""COMPUTED_VALUE"""),1.0)</f>
        <v>1</v>
      </c>
      <c r="AD263" s="447">
        <f>IFERROR(__xludf.DUMMYFUNCTION("""COMPUTED_VALUE"""),47.0)</f>
        <v>47</v>
      </c>
      <c r="AE263" s="447">
        <f>IFERROR(__xludf.DUMMYFUNCTION("""COMPUTED_VALUE"""),8.0)</f>
        <v>8</v>
      </c>
      <c r="AF263" s="447">
        <f>IFERROR(__xludf.DUMMYFUNCTION("""COMPUTED_VALUE"""),5.0)</f>
        <v>5</v>
      </c>
      <c r="AG263" s="443" t="s">
        <v>132</v>
      </c>
      <c r="AH263" s="443" t="s">
        <v>343</v>
      </c>
      <c r="AI263" s="443"/>
      <c r="AJ263" s="443"/>
      <c r="AK263" s="443"/>
      <c r="AL263" s="443"/>
      <c r="AM263" s="443"/>
      <c r="AN263" s="443"/>
      <c r="AO263" s="443"/>
      <c r="AP263" s="443"/>
      <c r="AQ263" s="443"/>
      <c r="AR263" s="443"/>
      <c r="AS263" s="443"/>
      <c r="AT263" s="443"/>
      <c r="AU263" s="443"/>
      <c r="AV263" s="443"/>
      <c r="AW263" s="443"/>
      <c r="AX263" s="443"/>
      <c r="AY263" s="443"/>
      <c r="AZ263" s="443"/>
      <c r="BA263" s="443"/>
      <c r="BB263" s="443"/>
      <c r="BC263" s="443"/>
      <c r="BD263" s="443"/>
      <c r="BE263" s="443"/>
    </row>
    <row r="264" hidden="1">
      <c r="A264" s="445">
        <f t="shared" si="5"/>
        <v>45554</v>
      </c>
      <c r="B264" s="449">
        <v>555.0</v>
      </c>
      <c r="C264" s="462">
        <v>0.6</v>
      </c>
      <c r="D264" s="462">
        <v>1.0138888888888888</v>
      </c>
      <c r="E264" s="436">
        <f t="array" ref="E264">IF(B264=0,"",(J264+K264)/60)</f>
        <v>1</v>
      </c>
      <c r="F264" s="437">
        <f t="shared" si="1"/>
        <v>9.933333333</v>
      </c>
      <c r="G264" s="438">
        <f t="shared" si="7"/>
        <v>55.87248322</v>
      </c>
      <c r="H264" s="438">
        <f t="shared" si="3"/>
        <v>62.12686567</v>
      </c>
      <c r="I264" s="436">
        <f t="shared" si="6"/>
        <v>1.188776239</v>
      </c>
      <c r="J264" s="460">
        <v>60.0</v>
      </c>
      <c r="K264" s="464"/>
      <c r="L264" s="443"/>
      <c r="M264" s="447">
        <f>IFERROR(__xludf.DUMMYFUNCTION("""COMPUTED_VALUE"""),57.0)</f>
        <v>57</v>
      </c>
      <c r="N264" s="447">
        <f>IFERROR(__xludf.DUMMYFUNCTION("""COMPUTED_VALUE"""),52.0)</f>
        <v>52</v>
      </c>
      <c r="O264" s="447">
        <f>IFERROR(__xludf.DUMMYFUNCTION("""COMPUTED_VALUE"""),0.0)</f>
        <v>0</v>
      </c>
      <c r="P264" s="447">
        <f>IFERROR(__xludf.DUMMYFUNCTION("""COMPUTED_VALUE"""),0.0)</f>
        <v>0</v>
      </c>
      <c r="Q264" s="447">
        <f>IFERROR(__xludf.DUMMYFUNCTION("""COMPUTED_VALUE"""),0.0)</f>
        <v>0</v>
      </c>
      <c r="R264" s="447">
        <f>IFERROR(__xludf.DUMMYFUNCTION("""COMPUTED_VALUE"""),0.0)</f>
        <v>0</v>
      </c>
      <c r="S264" s="447">
        <f>IFERROR(__xludf.DUMMYFUNCTION("""COMPUTED_VALUE"""),0.0)</f>
        <v>0</v>
      </c>
      <c r="T264" s="447">
        <f>IFERROR(__xludf.DUMMYFUNCTION("""COMPUTED_VALUE"""),1.0)</f>
        <v>1</v>
      </c>
      <c r="U264" s="447">
        <f>IFERROR(__xludf.DUMMYFUNCTION("""COMPUTED_VALUE"""),5.0)</f>
        <v>5</v>
      </c>
      <c r="V264" s="447">
        <f>IFERROR(__xludf.DUMMYFUNCTION("""COMPUTED_VALUE"""),2.0)</f>
        <v>2</v>
      </c>
      <c r="W264" s="447">
        <f>IFERROR(__xludf.DUMMYFUNCTION("""COMPUTED_VALUE"""),0.0)</f>
        <v>0</v>
      </c>
      <c r="X264" s="447">
        <f>IFERROR(__xludf.DUMMYFUNCTION("""COMPUTED_VALUE"""),0.0)</f>
        <v>0</v>
      </c>
      <c r="Y264" s="447">
        <f>IFERROR(__xludf.DUMMYFUNCTION("""COMPUTED_VALUE"""),0.0)</f>
        <v>0</v>
      </c>
      <c r="Z264" s="447">
        <f>IFERROR(__xludf.DUMMYFUNCTION("""COMPUTED_VALUE"""),0.0)</f>
        <v>0</v>
      </c>
      <c r="AA264" s="447">
        <f>IFERROR(__xludf.DUMMYFUNCTION("""COMPUTED_VALUE"""),0.0)</f>
        <v>0</v>
      </c>
      <c r="AB264" s="447">
        <f>IFERROR(__xludf.DUMMYFUNCTION("""COMPUTED_VALUE"""),0.0)</f>
        <v>0</v>
      </c>
      <c r="AC264" s="447">
        <f>IFERROR(__xludf.DUMMYFUNCTION("""COMPUTED_VALUE"""),0.0)</f>
        <v>0</v>
      </c>
      <c r="AD264" s="447">
        <f>IFERROR(__xludf.DUMMYFUNCTION("""COMPUTED_VALUE"""),47.0)</f>
        <v>47</v>
      </c>
      <c r="AE264" s="447">
        <f>IFERROR(__xludf.DUMMYFUNCTION("""COMPUTED_VALUE"""),8.0)</f>
        <v>8</v>
      </c>
      <c r="AF264" s="447">
        <f>IFERROR(__xludf.DUMMYFUNCTION("""COMPUTED_VALUE"""),5.0)</f>
        <v>5</v>
      </c>
      <c r="AG264" s="443" t="s">
        <v>132</v>
      </c>
      <c r="AH264" s="443" t="s">
        <v>343</v>
      </c>
      <c r="AI264" s="443"/>
      <c r="AJ264" s="443"/>
      <c r="AK264" s="443"/>
      <c r="AL264" s="443"/>
      <c r="AM264" s="443"/>
      <c r="AN264" s="443"/>
      <c r="AO264" s="443"/>
      <c r="AP264" s="443"/>
      <c r="AQ264" s="443"/>
      <c r="AR264" s="443"/>
      <c r="AS264" s="443"/>
      <c r="AT264" s="443"/>
      <c r="AU264" s="443"/>
      <c r="AV264" s="443"/>
      <c r="AW264" s="443"/>
      <c r="AX264" s="443"/>
      <c r="AY264" s="443"/>
      <c r="AZ264" s="443"/>
      <c r="BA264" s="443"/>
      <c r="BB264" s="443"/>
      <c r="BC264" s="443"/>
      <c r="BD264" s="443"/>
      <c r="BE264" s="443"/>
    </row>
    <row r="265" hidden="1">
      <c r="A265" s="445">
        <f t="shared" si="5"/>
        <v>45555</v>
      </c>
      <c r="B265" s="449">
        <v>394.0</v>
      </c>
      <c r="C265" s="462">
        <v>0.6</v>
      </c>
      <c r="D265" s="462">
        <v>0.9291666666666667</v>
      </c>
      <c r="E265" s="436">
        <f t="array" ref="E265">IF(B265=0,"",(J265+K265)/60)</f>
        <v>0.5</v>
      </c>
      <c r="F265" s="437">
        <f t="shared" si="1"/>
        <v>7.9</v>
      </c>
      <c r="G265" s="438">
        <f t="shared" si="7"/>
        <v>49.87341772</v>
      </c>
      <c r="H265" s="438">
        <f t="shared" si="3"/>
        <v>53.24324324</v>
      </c>
      <c r="I265" s="436">
        <f t="shared" si="6"/>
        <v>1.133486766</v>
      </c>
      <c r="J265" s="460">
        <v>30.0</v>
      </c>
      <c r="K265" s="464"/>
      <c r="L265" s="443"/>
      <c r="M265" s="447">
        <f>IFERROR(__xludf.DUMMYFUNCTION("""COMPUTED_VALUE"""),57.0)</f>
        <v>57</v>
      </c>
      <c r="N265" s="447">
        <f>IFERROR(__xludf.DUMMYFUNCTION("""COMPUTED_VALUE"""),52.0)</f>
        <v>52</v>
      </c>
      <c r="O265" s="447">
        <f>IFERROR(__xludf.DUMMYFUNCTION("""COMPUTED_VALUE"""),0.0)</f>
        <v>0</v>
      </c>
      <c r="P265" s="447">
        <f>IFERROR(__xludf.DUMMYFUNCTION("""COMPUTED_VALUE"""),0.0)</f>
        <v>0</v>
      </c>
      <c r="Q265" s="447">
        <f>IFERROR(__xludf.DUMMYFUNCTION("""COMPUTED_VALUE"""),0.0)</f>
        <v>0</v>
      </c>
      <c r="R265" s="447">
        <f>IFERROR(__xludf.DUMMYFUNCTION("""COMPUTED_VALUE"""),0.0)</f>
        <v>0</v>
      </c>
      <c r="S265" s="447">
        <f>IFERROR(__xludf.DUMMYFUNCTION("""COMPUTED_VALUE"""),2.0)</f>
        <v>2</v>
      </c>
      <c r="T265" s="447">
        <f>IFERROR(__xludf.DUMMYFUNCTION("""COMPUTED_VALUE"""),1.0)</f>
        <v>1</v>
      </c>
      <c r="U265" s="447">
        <f>IFERROR(__xludf.DUMMYFUNCTION("""COMPUTED_VALUE"""),5.0)</f>
        <v>5</v>
      </c>
      <c r="V265" s="447">
        <f>IFERROR(__xludf.DUMMYFUNCTION("""COMPUTED_VALUE"""),2.0)</f>
        <v>2</v>
      </c>
      <c r="W265" s="447">
        <f>IFERROR(__xludf.DUMMYFUNCTION("""COMPUTED_VALUE"""),0.0)</f>
        <v>0</v>
      </c>
      <c r="X265" s="447">
        <f>IFERROR(__xludf.DUMMYFUNCTION("""COMPUTED_VALUE"""),0.0)</f>
        <v>0</v>
      </c>
      <c r="Y265" s="447">
        <f>IFERROR(__xludf.DUMMYFUNCTION("""COMPUTED_VALUE"""),0.0)</f>
        <v>0</v>
      </c>
      <c r="Z265" s="447">
        <f>IFERROR(__xludf.DUMMYFUNCTION("""COMPUTED_VALUE"""),0.0)</f>
        <v>0</v>
      </c>
      <c r="AA265" s="447">
        <f>IFERROR(__xludf.DUMMYFUNCTION("""COMPUTED_VALUE"""),0.0)</f>
        <v>0</v>
      </c>
      <c r="AB265" s="447">
        <f>IFERROR(__xludf.DUMMYFUNCTION("""COMPUTED_VALUE"""),0.0)</f>
        <v>0</v>
      </c>
      <c r="AC265" s="447">
        <f>IFERROR(__xludf.DUMMYFUNCTION("""COMPUTED_VALUE"""),1.0)</f>
        <v>1</v>
      </c>
      <c r="AD265" s="447">
        <f>IFERROR(__xludf.DUMMYFUNCTION("""COMPUTED_VALUE"""),44.0)</f>
        <v>44</v>
      </c>
      <c r="AE265" s="447">
        <f>IFERROR(__xludf.DUMMYFUNCTION("""COMPUTED_VALUE"""),11.0)</f>
        <v>11</v>
      </c>
      <c r="AF265" s="447">
        <f>IFERROR(__xludf.DUMMYFUNCTION("""COMPUTED_VALUE"""),5.0)</f>
        <v>5</v>
      </c>
      <c r="AG265" s="443" t="s">
        <v>132</v>
      </c>
      <c r="AH265" s="443" t="s">
        <v>343</v>
      </c>
      <c r="AI265" s="443"/>
      <c r="AJ265" s="443"/>
      <c r="AK265" s="443"/>
      <c r="AL265" s="443"/>
      <c r="AM265" s="443"/>
      <c r="AN265" s="443"/>
      <c r="AO265" s="443"/>
      <c r="AP265" s="443"/>
      <c r="AQ265" s="443"/>
      <c r="AR265" s="443"/>
      <c r="AS265" s="443"/>
      <c r="AT265" s="443"/>
      <c r="AU265" s="443"/>
      <c r="AV265" s="443"/>
      <c r="AW265" s="443"/>
      <c r="AX265" s="443"/>
      <c r="AY265" s="443"/>
      <c r="AZ265" s="443"/>
      <c r="BA265" s="443"/>
      <c r="BB265" s="443"/>
      <c r="BC265" s="443"/>
      <c r="BD265" s="443"/>
      <c r="BE265" s="443"/>
    </row>
    <row r="266" hidden="1">
      <c r="A266" s="445">
        <f t="shared" si="5"/>
        <v>45556</v>
      </c>
      <c r="B266" s="449">
        <v>286.0</v>
      </c>
      <c r="C266" s="462">
        <v>0.5583333333333333</v>
      </c>
      <c r="D266" s="462">
        <v>0.775</v>
      </c>
      <c r="E266" s="436">
        <f t="array" ref="E266">IF(B266=0,"",(J266+K266)/60)</f>
        <v>0</v>
      </c>
      <c r="F266" s="437">
        <f t="shared" si="1"/>
        <v>5.2</v>
      </c>
      <c r="G266" s="438">
        <f t="shared" si="7"/>
        <v>55</v>
      </c>
      <c r="H266" s="438">
        <f t="shared" si="3"/>
        <v>55</v>
      </c>
      <c r="I266" s="436">
        <f t="shared" si="6"/>
        <v>1.195652174</v>
      </c>
      <c r="J266" s="464"/>
      <c r="K266" s="464"/>
      <c r="L266" s="443"/>
      <c r="M266" s="447">
        <f>IFERROR(__xludf.DUMMYFUNCTION("""COMPUTED_VALUE"""),57.0)</f>
        <v>57</v>
      </c>
      <c r="N266" s="447">
        <f>IFERROR(__xludf.DUMMYFUNCTION("""COMPUTED_VALUE"""),52.0)</f>
        <v>52</v>
      </c>
      <c r="O266" s="447">
        <f>IFERROR(__xludf.DUMMYFUNCTION("""COMPUTED_VALUE"""),0.0)</f>
        <v>0</v>
      </c>
      <c r="P266" s="447">
        <f>IFERROR(__xludf.DUMMYFUNCTION("""COMPUTED_VALUE"""),0.0)</f>
        <v>0</v>
      </c>
      <c r="Q266" s="447">
        <f>IFERROR(__xludf.DUMMYFUNCTION("""COMPUTED_VALUE"""),0.0)</f>
        <v>0</v>
      </c>
      <c r="R266" s="447">
        <f>IFERROR(__xludf.DUMMYFUNCTION("""COMPUTED_VALUE"""),0.0)</f>
        <v>0</v>
      </c>
      <c r="S266" s="447">
        <f>IFERROR(__xludf.DUMMYFUNCTION("""COMPUTED_VALUE"""),1.0)</f>
        <v>1</v>
      </c>
      <c r="T266" s="447">
        <f>IFERROR(__xludf.DUMMYFUNCTION("""COMPUTED_VALUE"""),1.0)</f>
        <v>1</v>
      </c>
      <c r="U266" s="447">
        <f>IFERROR(__xludf.DUMMYFUNCTION("""COMPUTED_VALUE"""),5.0)</f>
        <v>5</v>
      </c>
      <c r="V266" s="447">
        <f>IFERROR(__xludf.DUMMYFUNCTION("""COMPUTED_VALUE"""),2.0)</f>
        <v>2</v>
      </c>
      <c r="W266" s="447">
        <f>IFERROR(__xludf.DUMMYFUNCTION("""COMPUTED_VALUE"""),0.0)</f>
        <v>0</v>
      </c>
      <c r="X266" s="447">
        <f>IFERROR(__xludf.DUMMYFUNCTION("""COMPUTED_VALUE"""),0.0)</f>
        <v>0</v>
      </c>
      <c r="Y266" s="447">
        <f>IFERROR(__xludf.DUMMYFUNCTION("""COMPUTED_VALUE"""),0.0)</f>
        <v>0</v>
      </c>
      <c r="Z266" s="447">
        <f>IFERROR(__xludf.DUMMYFUNCTION("""COMPUTED_VALUE"""),0.0)</f>
        <v>0</v>
      </c>
      <c r="AA266" s="447">
        <f>IFERROR(__xludf.DUMMYFUNCTION("""COMPUTED_VALUE"""),0.0)</f>
        <v>0</v>
      </c>
      <c r="AB266" s="447">
        <f>IFERROR(__xludf.DUMMYFUNCTION("""COMPUTED_VALUE"""),0.0)</f>
        <v>0</v>
      </c>
      <c r="AC266" s="447">
        <f>IFERROR(__xludf.DUMMYFUNCTION("""COMPUTED_VALUE"""),0.0)</f>
        <v>0</v>
      </c>
      <c r="AD266" s="447">
        <f>IFERROR(__xludf.DUMMYFUNCTION("""COMPUTED_VALUE"""),46.0)</f>
        <v>46</v>
      </c>
      <c r="AE266" s="447">
        <f>IFERROR(__xludf.DUMMYFUNCTION("""COMPUTED_VALUE"""),9.0)</f>
        <v>9</v>
      </c>
      <c r="AF266" s="447">
        <f>IFERROR(__xludf.DUMMYFUNCTION("""COMPUTED_VALUE"""),5.0)</f>
        <v>5</v>
      </c>
      <c r="AG266" s="443" t="s">
        <v>132</v>
      </c>
      <c r="AH266" s="443" t="s">
        <v>343</v>
      </c>
      <c r="AI266" s="443"/>
      <c r="AJ266" s="443"/>
      <c r="AK266" s="443"/>
      <c r="AL266" s="443"/>
      <c r="AM266" s="443"/>
      <c r="AN266" s="443"/>
      <c r="AO266" s="443"/>
      <c r="AP266" s="443"/>
      <c r="AQ266" s="443"/>
      <c r="AR266" s="443"/>
      <c r="AS266" s="443"/>
      <c r="AT266" s="443"/>
      <c r="AU266" s="443"/>
      <c r="AV266" s="443"/>
      <c r="AW266" s="443"/>
      <c r="AX266" s="443"/>
      <c r="AY266" s="443"/>
      <c r="AZ266" s="443"/>
      <c r="BA266" s="443"/>
      <c r="BB266" s="443"/>
      <c r="BC266" s="443"/>
      <c r="BD266" s="443"/>
      <c r="BE266" s="443"/>
    </row>
    <row r="267" hidden="1">
      <c r="A267" s="445">
        <f t="shared" si="5"/>
        <v>45557</v>
      </c>
      <c r="B267" s="449">
        <v>0.0</v>
      </c>
      <c r="C267" s="443"/>
      <c r="D267" s="443"/>
      <c r="E267" s="436" t="str">
        <f t="array" ref="E267">IF(B267=0,"",(J267+K267)/60)</f>
        <v/>
      </c>
      <c r="F267" s="437" t="str">
        <f t="shared" si="1"/>
        <v/>
      </c>
      <c r="G267" s="438" t="str">
        <f t="shared" si="7"/>
        <v>#DIV/0!</v>
      </c>
      <c r="H267" s="438" t="str">
        <f t="shared" si="3"/>
        <v/>
      </c>
      <c r="I267" s="436" t="str">
        <f t="shared" si="6"/>
        <v/>
      </c>
      <c r="J267" s="464"/>
      <c r="K267" s="464"/>
      <c r="L267" s="443"/>
      <c r="M267" s="447">
        <f>IFERROR(__xludf.DUMMYFUNCTION("""COMPUTED_VALUE"""),57.0)</f>
        <v>57</v>
      </c>
      <c r="N267" s="447">
        <f>IFERROR(__xludf.DUMMYFUNCTION("""COMPUTED_VALUE"""),57.0)</f>
        <v>57</v>
      </c>
      <c r="O267" s="447">
        <f>IFERROR(__xludf.DUMMYFUNCTION("""COMPUTED_VALUE"""),0.0)</f>
        <v>0</v>
      </c>
      <c r="P267" s="447">
        <f>IFERROR(__xludf.DUMMYFUNCTION("""COMPUTED_VALUE"""),0.0)</f>
        <v>0</v>
      </c>
      <c r="Q267" s="447">
        <f>IFERROR(__xludf.DUMMYFUNCTION("""COMPUTED_VALUE"""),0.0)</f>
        <v>0</v>
      </c>
      <c r="R267" s="447">
        <f>IFERROR(__xludf.DUMMYFUNCTION("""COMPUTED_VALUE"""),0.0)</f>
        <v>0</v>
      </c>
      <c r="S267" s="447">
        <f>IFERROR(__xludf.DUMMYFUNCTION("""COMPUTED_VALUE"""),0.0)</f>
        <v>0</v>
      </c>
      <c r="T267" s="447">
        <f>IFERROR(__xludf.DUMMYFUNCTION("""COMPUTED_VALUE"""),0.0)</f>
        <v>0</v>
      </c>
      <c r="U267" s="447">
        <f>IFERROR(__xludf.DUMMYFUNCTION("""COMPUTED_VALUE"""),0.0)</f>
        <v>0</v>
      </c>
      <c r="V267" s="447">
        <f>IFERROR(__xludf.DUMMYFUNCTION("""COMPUTED_VALUE"""),0.0)</f>
        <v>0</v>
      </c>
      <c r="W267" s="447">
        <f>IFERROR(__xludf.DUMMYFUNCTION("""COMPUTED_VALUE"""),0.0)</f>
        <v>0</v>
      </c>
      <c r="X267" s="447">
        <f>IFERROR(__xludf.DUMMYFUNCTION("""COMPUTED_VALUE"""),0.0)</f>
        <v>0</v>
      </c>
      <c r="Y267" s="447">
        <f>IFERROR(__xludf.DUMMYFUNCTION("""COMPUTED_VALUE"""),0.0)</f>
        <v>0</v>
      </c>
      <c r="Z267" s="447">
        <f>IFERROR(__xludf.DUMMYFUNCTION("""COMPUTED_VALUE"""),0.0)</f>
        <v>0</v>
      </c>
      <c r="AA267" s="447">
        <f>IFERROR(__xludf.DUMMYFUNCTION("""COMPUTED_VALUE"""),0.0)</f>
        <v>0</v>
      </c>
      <c r="AB267" s="447">
        <f>IFERROR(__xludf.DUMMYFUNCTION("""COMPUTED_VALUE"""),0.0)</f>
        <v>0</v>
      </c>
      <c r="AC267" s="447">
        <f>IFERROR(__xludf.DUMMYFUNCTION("""COMPUTED_VALUE"""),0.0)</f>
        <v>0</v>
      </c>
      <c r="AD267" s="447">
        <f>IFERROR(__xludf.DUMMYFUNCTION("""COMPUTED_VALUE"""),0.0)</f>
        <v>0</v>
      </c>
      <c r="AE267" s="447">
        <f>IFERROR(__xludf.DUMMYFUNCTION("""COMPUTED_VALUE"""),0.0)</f>
        <v>0</v>
      </c>
      <c r="AF267" s="447">
        <f>IFERROR(__xludf.DUMMYFUNCTION("""COMPUTED_VALUE"""),0.0)</f>
        <v>0</v>
      </c>
      <c r="AG267" s="443" t="s">
        <v>132</v>
      </c>
      <c r="AH267" s="443" t="s">
        <v>343</v>
      </c>
      <c r="AI267" s="443"/>
      <c r="AJ267" s="443"/>
      <c r="AK267" s="443"/>
      <c r="AL267" s="443"/>
      <c r="AM267" s="443"/>
      <c r="AN267" s="443"/>
      <c r="AO267" s="443"/>
      <c r="AP267" s="443"/>
      <c r="AQ267" s="443"/>
      <c r="AR267" s="443"/>
      <c r="AS267" s="443"/>
      <c r="AT267" s="443"/>
      <c r="AU267" s="443"/>
      <c r="AV267" s="443"/>
      <c r="AW267" s="443"/>
      <c r="AX267" s="443"/>
      <c r="AY267" s="443"/>
      <c r="AZ267" s="443"/>
      <c r="BA267" s="443"/>
      <c r="BB267" s="443"/>
      <c r="BC267" s="443"/>
      <c r="BD267" s="443"/>
      <c r="BE267" s="443"/>
    </row>
    <row r="268" hidden="1">
      <c r="A268" s="445">
        <f t="shared" si="5"/>
        <v>45558</v>
      </c>
      <c r="B268" s="449">
        <v>409.0</v>
      </c>
      <c r="C268" s="462">
        <v>0.5583333333333333</v>
      </c>
      <c r="D268" s="462">
        <v>0.8722222222222222</v>
      </c>
      <c r="E268" s="436">
        <f t="array" ref="E268">IF(B268=0,"",(J268+K268)/60)</f>
        <v>0.5</v>
      </c>
      <c r="F268" s="437">
        <f t="shared" si="1"/>
        <v>7.533333333</v>
      </c>
      <c r="G268" s="438">
        <f t="shared" si="7"/>
        <v>54.2920354</v>
      </c>
      <c r="H268" s="438">
        <f t="shared" si="3"/>
        <v>58.15165877</v>
      </c>
      <c r="I268" s="436">
        <f t="shared" si="6"/>
        <v>1.324195985</v>
      </c>
      <c r="J268" s="460">
        <v>30.0</v>
      </c>
      <c r="K268" s="464"/>
      <c r="L268" s="443"/>
      <c r="M268" s="447">
        <f>IFERROR(__xludf.DUMMYFUNCTION("""COMPUTED_VALUE"""),57.0)</f>
        <v>57</v>
      </c>
      <c r="N268" s="447">
        <f>IFERROR(__xludf.DUMMYFUNCTION("""COMPUTED_VALUE"""),52.0)</f>
        <v>52</v>
      </c>
      <c r="O268" s="447">
        <f>IFERROR(__xludf.DUMMYFUNCTION("""COMPUTED_VALUE"""),0.0)</f>
        <v>0</v>
      </c>
      <c r="P268" s="447">
        <f>IFERROR(__xludf.DUMMYFUNCTION("""COMPUTED_VALUE"""),0.0)</f>
        <v>0</v>
      </c>
      <c r="Q268" s="447">
        <f>IFERROR(__xludf.DUMMYFUNCTION("""COMPUTED_VALUE"""),0.0)</f>
        <v>0</v>
      </c>
      <c r="R268" s="447">
        <f>IFERROR(__xludf.DUMMYFUNCTION("""COMPUTED_VALUE"""),0.0)</f>
        <v>0</v>
      </c>
      <c r="S268" s="447">
        <f>IFERROR(__xludf.DUMMYFUNCTION("""COMPUTED_VALUE"""),4.0)</f>
        <v>4</v>
      </c>
      <c r="T268" s="447">
        <f>IFERROR(__xludf.DUMMYFUNCTION("""COMPUTED_VALUE"""),0.0)</f>
        <v>0</v>
      </c>
      <c r="U268" s="447">
        <f>IFERROR(__xludf.DUMMYFUNCTION("""COMPUTED_VALUE"""),4.0)</f>
        <v>4</v>
      </c>
      <c r="V268" s="447">
        <f>IFERROR(__xludf.DUMMYFUNCTION("""COMPUTED_VALUE"""),2.0)</f>
        <v>2</v>
      </c>
      <c r="W268" s="447">
        <f>IFERROR(__xludf.DUMMYFUNCTION("""COMPUTED_VALUE"""),0.0)</f>
        <v>0</v>
      </c>
      <c r="X268" s="447">
        <f>IFERROR(__xludf.DUMMYFUNCTION("""COMPUTED_VALUE"""),0.0)</f>
        <v>0</v>
      </c>
      <c r="Y268" s="447">
        <f>IFERROR(__xludf.DUMMYFUNCTION("""COMPUTED_VALUE"""),0.0)</f>
        <v>0</v>
      </c>
      <c r="Z268" s="447">
        <f>IFERROR(__xludf.DUMMYFUNCTION("""COMPUTED_VALUE"""),0.0)</f>
        <v>0</v>
      </c>
      <c r="AA268" s="447">
        <f>IFERROR(__xludf.DUMMYFUNCTION("""COMPUTED_VALUE"""),0.0)</f>
        <v>0</v>
      </c>
      <c r="AB268" s="447">
        <f>IFERROR(__xludf.DUMMYFUNCTION("""COMPUTED_VALUE"""),1.0)</f>
        <v>1</v>
      </c>
      <c r="AC268" s="447">
        <f>IFERROR(__xludf.DUMMYFUNCTION("""COMPUTED_VALUE"""),2.0)</f>
        <v>2</v>
      </c>
      <c r="AD268" s="447">
        <f>IFERROR(__xludf.DUMMYFUNCTION("""COMPUTED_VALUE"""),41.0)</f>
        <v>41</v>
      </c>
      <c r="AE268" s="447">
        <f>IFERROR(__xludf.DUMMYFUNCTION("""COMPUTED_VALUE"""),13.0)</f>
        <v>13</v>
      </c>
      <c r="AF268" s="447">
        <f>IFERROR(__xludf.DUMMYFUNCTION("""COMPUTED_VALUE"""),5.0)</f>
        <v>5</v>
      </c>
      <c r="AG268" s="443" t="s">
        <v>132</v>
      </c>
      <c r="AH268" s="443" t="s">
        <v>343</v>
      </c>
      <c r="AI268" s="443"/>
      <c r="AJ268" s="443"/>
      <c r="AK268" s="443"/>
      <c r="AL268" s="443"/>
      <c r="AM268" s="443"/>
      <c r="AN268" s="443"/>
      <c r="AO268" s="443"/>
      <c r="AP268" s="443"/>
      <c r="AQ268" s="443"/>
      <c r="AR268" s="443"/>
      <c r="AS268" s="443"/>
      <c r="AT268" s="443"/>
      <c r="AU268" s="443"/>
      <c r="AV268" s="443"/>
      <c r="AW268" s="443"/>
      <c r="AX268" s="443"/>
      <c r="AY268" s="443"/>
      <c r="AZ268" s="443"/>
      <c r="BA268" s="443"/>
      <c r="BB268" s="443"/>
      <c r="BC268" s="443"/>
      <c r="BD268" s="443"/>
      <c r="BE268" s="443"/>
    </row>
    <row r="269" hidden="1">
      <c r="A269" s="445">
        <f t="shared" si="5"/>
        <v>45559</v>
      </c>
      <c r="B269" s="449">
        <v>416.0</v>
      </c>
      <c r="C269" s="462">
        <v>0.6</v>
      </c>
      <c r="D269" s="462">
        <v>0.9284722222222223</v>
      </c>
      <c r="E269" s="436">
        <f t="array" ref="E269">IF(B269=0,"",(J269+K269)/60)</f>
        <v>0.5666666667</v>
      </c>
      <c r="F269" s="437">
        <f t="shared" si="1"/>
        <v>7.883333333</v>
      </c>
      <c r="G269" s="438">
        <f t="shared" si="7"/>
        <v>52.76955603</v>
      </c>
      <c r="H269" s="438">
        <f t="shared" si="3"/>
        <v>56.85649203</v>
      </c>
      <c r="I269" s="436">
        <f t="shared" si="6"/>
        <v>1.256418001</v>
      </c>
      <c r="J269" s="460">
        <v>30.0</v>
      </c>
      <c r="K269" s="460">
        <v>4.0</v>
      </c>
      <c r="L269" s="443"/>
      <c r="M269" s="447">
        <f>IFERROR(__xludf.DUMMYFUNCTION("""COMPUTED_VALUE"""),57.0)</f>
        <v>57</v>
      </c>
      <c r="N269" s="447">
        <f>IFERROR(__xludf.DUMMYFUNCTION("""COMPUTED_VALUE"""),51.0)</f>
        <v>51</v>
      </c>
      <c r="O269" s="447">
        <f>IFERROR(__xludf.DUMMYFUNCTION("""COMPUTED_VALUE"""),1.0)</f>
        <v>1</v>
      </c>
      <c r="P269" s="447">
        <f>IFERROR(__xludf.DUMMYFUNCTION("""COMPUTED_VALUE"""),0.0)</f>
        <v>0</v>
      </c>
      <c r="Q269" s="447">
        <f>IFERROR(__xludf.DUMMYFUNCTION("""COMPUTED_VALUE"""),0.0)</f>
        <v>0</v>
      </c>
      <c r="R269" s="447">
        <f>IFERROR(__xludf.DUMMYFUNCTION("""COMPUTED_VALUE"""),0.0)</f>
        <v>0</v>
      </c>
      <c r="S269" s="447">
        <f>IFERROR(__xludf.DUMMYFUNCTION("""COMPUTED_VALUE"""),4.0)</f>
        <v>4</v>
      </c>
      <c r="T269" s="447">
        <f>IFERROR(__xludf.DUMMYFUNCTION("""COMPUTED_VALUE"""),0.0)</f>
        <v>0</v>
      </c>
      <c r="U269" s="447">
        <f>IFERROR(__xludf.DUMMYFUNCTION("""COMPUTED_VALUE"""),5.0)</f>
        <v>5</v>
      </c>
      <c r="V269" s="447">
        <f>IFERROR(__xludf.DUMMYFUNCTION("""COMPUTED_VALUE"""),2.0)</f>
        <v>2</v>
      </c>
      <c r="W269" s="447">
        <f>IFERROR(__xludf.DUMMYFUNCTION("""COMPUTED_VALUE"""),0.0)</f>
        <v>0</v>
      </c>
      <c r="X269" s="447">
        <f>IFERROR(__xludf.DUMMYFUNCTION("""COMPUTED_VALUE"""),0.0)</f>
        <v>0</v>
      </c>
      <c r="Y269" s="447">
        <f>IFERROR(__xludf.DUMMYFUNCTION("""COMPUTED_VALUE"""),0.0)</f>
        <v>0</v>
      </c>
      <c r="Z269" s="447">
        <f>IFERROR(__xludf.DUMMYFUNCTION("""COMPUTED_VALUE"""),0.0)</f>
        <v>0</v>
      </c>
      <c r="AA269" s="447">
        <f>IFERROR(__xludf.DUMMYFUNCTION("""COMPUTED_VALUE"""),0.0)</f>
        <v>0</v>
      </c>
      <c r="AB269" s="447">
        <f>IFERROR(__xludf.DUMMYFUNCTION("""COMPUTED_VALUE"""),0.0)</f>
        <v>0</v>
      </c>
      <c r="AC269" s="447">
        <f>IFERROR(__xludf.DUMMYFUNCTION("""COMPUTED_VALUE"""),0.0)</f>
        <v>0</v>
      </c>
      <c r="AD269" s="447">
        <f>IFERROR(__xludf.DUMMYFUNCTION("""COMPUTED_VALUE"""),42.0)</f>
        <v>42</v>
      </c>
      <c r="AE269" s="447">
        <f>IFERROR(__xludf.DUMMYFUNCTION("""COMPUTED_VALUE"""),13.0)</f>
        <v>13</v>
      </c>
      <c r="AF269" s="447">
        <f>IFERROR(__xludf.DUMMYFUNCTION("""COMPUTED_VALUE"""),6.0)</f>
        <v>6</v>
      </c>
      <c r="AG269" s="443" t="s">
        <v>132</v>
      </c>
      <c r="AH269" s="443" t="s">
        <v>343</v>
      </c>
      <c r="AI269" s="443"/>
      <c r="AJ269" s="443"/>
      <c r="AK269" s="443"/>
      <c r="AL269" s="443"/>
      <c r="AM269" s="443"/>
      <c r="AN269" s="443"/>
      <c r="AO269" s="443"/>
      <c r="AP269" s="443"/>
      <c r="AQ269" s="443"/>
      <c r="AR269" s="443"/>
      <c r="AS269" s="443"/>
      <c r="AT269" s="443"/>
      <c r="AU269" s="443"/>
      <c r="AV269" s="443"/>
      <c r="AW269" s="443"/>
      <c r="AX269" s="443"/>
      <c r="AY269" s="443"/>
      <c r="AZ269" s="443"/>
      <c r="BA269" s="443"/>
      <c r="BB269" s="443"/>
      <c r="BC269" s="443"/>
      <c r="BD269" s="443"/>
      <c r="BE269" s="443"/>
    </row>
    <row r="270" hidden="1">
      <c r="A270" s="445">
        <f t="shared" si="5"/>
        <v>45560</v>
      </c>
      <c r="B270" s="449">
        <v>483.0</v>
      </c>
      <c r="C270" s="462">
        <v>0.6</v>
      </c>
      <c r="D270" s="462">
        <v>0.9791666666666666</v>
      </c>
      <c r="E270" s="436">
        <f t="array" ref="E270">IF(B270=0,"",(J270+K270)/60)</f>
        <v>1.55</v>
      </c>
      <c r="F270" s="437">
        <f t="shared" si="1"/>
        <v>9.1</v>
      </c>
      <c r="G270" s="438">
        <f t="shared" si="7"/>
        <v>53.07692308</v>
      </c>
      <c r="H270" s="438">
        <f t="shared" si="3"/>
        <v>63.97350993</v>
      </c>
      <c r="I270" s="436">
        <f t="shared" si="6"/>
        <v>1.206293706</v>
      </c>
      <c r="J270" s="460">
        <v>30.0</v>
      </c>
      <c r="K270" s="460">
        <v>63.0</v>
      </c>
      <c r="L270" s="443"/>
      <c r="M270" s="447">
        <f>IFERROR(__xludf.DUMMYFUNCTION("""COMPUTED_VALUE"""),57.0)</f>
        <v>57</v>
      </c>
      <c r="N270" s="447">
        <f>IFERROR(__xludf.DUMMYFUNCTION("""COMPUTED_VALUE"""),52.0)</f>
        <v>52</v>
      </c>
      <c r="O270" s="447">
        <f>IFERROR(__xludf.DUMMYFUNCTION("""COMPUTED_VALUE"""),0.0)</f>
        <v>0</v>
      </c>
      <c r="P270" s="447">
        <f>IFERROR(__xludf.DUMMYFUNCTION("""COMPUTED_VALUE"""),0.0)</f>
        <v>0</v>
      </c>
      <c r="Q270" s="447">
        <f>IFERROR(__xludf.DUMMYFUNCTION("""COMPUTED_VALUE"""),0.0)</f>
        <v>0</v>
      </c>
      <c r="R270" s="447">
        <f>IFERROR(__xludf.DUMMYFUNCTION("""COMPUTED_VALUE"""),0.0)</f>
        <v>0</v>
      </c>
      <c r="S270" s="447">
        <f>IFERROR(__xludf.DUMMYFUNCTION("""COMPUTED_VALUE"""),3.0)</f>
        <v>3</v>
      </c>
      <c r="T270" s="447">
        <f>IFERROR(__xludf.DUMMYFUNCTION("""COMPUTED_VALUE"""),0.0)</f>
        <v>0</v>
      </c>
      <c r="U270" s="447">
        <f>IFERROR(__xludf.DUMMYFUNCTION("""COMPUTED_VALUE"""),4.0)</f>
        <v>4</v>
      </c>
      <c r="V270" s="447">
        <f>IFERROR(__xludf.DUMMYFUNCTION("""COMPUTED_VALUE"""),2.0)</f>
        <v>2</v>
      </c>
      <c r="W270" s="447">
        <f>IFERROR(__xludf.DUMMYFUNCTION("""COMPUTED_VALUE"""),0.0)</f>
        <v>0</v>
      </c>
      <c r="X270" s="447">
        <f>IFERROR(__xludf.DUMMYFUNCTION("""COMPUTED_VALUE"""),0.0)</f>
        <v>0</v>
      </c>
      <c r="Y270" s="447">
        <f>IFERROR(__xludf.DUMMYFUNCTION("""COMPUTED_VALUE"""),0.0)</f>
        <v>0</v>
      </c>
      <c r="Z270" s="447">
        <f>IFERROR(__xludf.DUMMYFUNCTION("""COMPUTED_VALUE"""),0.0)</f>
        <v>0</v>
      </c>
      <c r="AA270" s="447">
        <f>IFERROR(__xludf.DUMMYFUNCTION("""COMPUTED_VALUE"""),0.0)</f>
        <v>0</v>
      </c>
      <c r="AB270" s="447">
        <f>IFERROR(__xludf.DUMMYFUNCTION("""COMPUTED_VALUE"""),1.0)</f>
        <v>1</v>
      </c>
      <c r="AC270" s="447">
        <f>IFERROR(__xludf.DUMMYFUNCTION("""COMPUTED_VALUE"""),0.0)</f>
        <v>0</v>
      </c>
      <c r="AD270" s="447">
        <f>IFERROR(__xludf.DUMMYFUNCTION("""COMPUTED_VALUE"""),44.0)</f>
        <v>44</v>
      </c>
      <c r="AE270" s="447">
        <f>IFERROR(__xludf.DUMMYFUNCTION("""COMPUTED_VALUE"""),10.0)</f>
        <v>10</v>
      </c>
      <c r="AF270" s="447">
        <f>IFERROR(__xludf.DUMMYFUNCTION("""COMPUTED_VALUE"""),5.0)</f>
        <v>5</v>
      </c>
      <c r="AG270" s="443" t="s">
        <v>132</v>
      </c>
      <c r="AH270" s="443" t="s">
        <v>343</v>
      </c>
      <c r="AI270" s="443"/>
      <c r="AJ270" s="443"/>
      <c r="AK270" s="443"/>
      <c r="AL270" s="443"/>
      <c r="AM270" s="443"/>
      <c r="AN270" s="443"/>
      <c r="AO270" s="443"/>
      <c r="AP270" s="443"/>
      <c r="AQ270" s="443"/>
      <c r="AR270" s="443"/>
      <c r="AS270" s="443"/>
      <c r="AT270" s="443"/>
      <c r="AU270" s="443"/>
      <c r="AV270" s="443"/>
      <c r="AW270" s="443"/>
      <c r="AX270" s="443"/>
      <c r="AY270" s="443"/>
      <c r="AZ270" s="443"/>
      <c r="BA270" s="443"/>
      <c r="BB270" s="443"/>
      <c r="BC270" s="443"/>
      <c r="BD270" s="443"/>
      <c r="BE270" s="443"/>
    </row>
    <row r="271" hidden="1">
      <c r="A271" s="445">
        <f t="shared" si="5"/>
        <v>45561</v>
      </c>
      <c r="B271" s="449">
        <v>526.0</v>
      </c>
      <c r="C271" s="462">
        <v>0.6416666666666667</v>
      </c>
      <c r="D271" s="462">
        <v>1.0138888888888888</v>
      </c>
      <c r="E271" s="436">
        <f t="array" ref="E271">IF(B271=0,"",(J271+K271)/60)</f>
        <v>0.5</v>
      </c>
      <c r="F271" s="437">
        <f t="shared" si="1"/>
        <v>8.933333333</v>
      </c>
      <c r="G271" s="438">
        <f t="shared" si="7"/>
        <v>58.88059701</v>
      </c>
      <c r="H271" s="438">
        <f t="shared" si="3"/>
        <v>62.3715415</v>
      </c>
      <c r="I271" s="436">
        <f t="shared" si="6"/>
        <v>1.280012979</v>
      </c>
      <c r="J271" s="460">
        <v>30.0</v>
      </c>
      <c r="K271" s="464"/>
      <c r="L271" s="443"/>
      <c r="M271" s="447">
        <f>IFERROR(__xludf.DUMMYFUNCTION("""COMPUTED_VALUE"""),57.0)</f>
        <v>57</v>
      </c>
      <c r="N271" s="447">
        <f>IFERROR(__xludf.DUMMYFUNCTION("""COMPUTED_VALUE"""),52.0)</f>
        <v>52</v>
      </c>
      <c r="O271" s="447">
        <f>IFERROR(__xludf.DUMMYFUNCTION("""COMPUTED_VALUE"""),0.0)</f>
        <v>0</v>
      </c>
      <c r="P271" s="447">
        <f>IFERROR(__xludf.DUMMYFUNCTION("""COMPUTED_VALUE"""),0.0)</f>
        <v>0</v>
      </c>
      <c r="Q271" s="447">
        <f>IFERROR(__xludf.DUMMYFUNCTION("""COMPUTED_VALUE"""),0.0)</f>
        <v>0</v>
      </c>
      <c r="R271" s="447">
        <f>IFERROR(__xludf.DUMMYFUNCTION("""COMPUTED_VALUE"""),0.0)</f>
        <v>0</v>
      </c>
      <c r="S271" s="447">
        <f>IFERROR(__xludf.DUMMYFUNCTION("""COMPUTED_VALUE"""),1.0)</f>
        <v>1</v>
      </c>
      <c r="T271" s="447">
        <f>IFERROR(__xludf.DUMMYFUNCTION("""COMPUTED_VALUE"""),0.0)</f>
        <v>0</v>
      </c>
      <c r="U271" s="447">
        <f>IFERROR(__xludf.DUMMYFUNCTION("""COMPUTED_VALUE"""),4.0)</f>
        <v>4</v>
      </c>
      <c r="V271" s="447">
        <f>IFERROR(__xludf.DUMMYFUNCTION("""COMPUTED_VALUE"""),2.0)</f>
        <v>2</v>
      </c>
      <c r="W271" s="447">
        <f>IFERROR(__xludf.DUMMYFUNCTION("""COMPUTED_VALUE"""),0.0)</f>
        <v>0</v>
      </c>
      <c r="X271" s="447">
        <f>IFERROR(__xludf.DUMMYFUNCTION("""COMPUTED_VALUE"""),0.0)</f>
        <v>0</v>
      </c>
      <c r="Y271" s="447">
        <f>IFERROR(__xludf.DUMMYFUNCTION("""COMPUTED_VALUE"""),0.0)</f>
        <v>0</v>
      </c>
      <c r="Z271" s="447">
        <f>IFERROR(__xludf.DUMMYFUNCTION("""COMPUTED_VALUE"""),0.0)</f>
        <v>0</v>
      </c>
      <c r="AA271" s="447">
        <f>IFERROR(__xludf.DUMMYFUNCTION("""COMPUTED_VALUE"""),0.0)</f>
        <v>0</v>
      </c>
      <c r="AB271" s="447">
        <f>IFERROR(__xludf.DUMMYFUNCTION("""COMPUTED_VALUE"""),0.0)</f>
        <v>0</v>
      </c>
      <c r="AC271" s="447">
        <f>IFERROR(__xludf.DUMMYFUNCTION("""COMPUTED_VALUE"""),1.0)</f>
        <v>1</v>
      </c>
      <c r="AD271" s="447">
        <f>IFERROR(__xludf.DUMMYFUNCTION("""COMPUTED_VALUE"""),46.0)</f>
        <v>46</v>
      </c>
      <c r="AE271" s="447">
        <f>IFERROR(__xludf.DUMMYFUNCTION("""COMPUTED_VALUE"""),9.0)</f>
        <v>9</v>
      </c>
      <c r="AF271" s="447">
        <f>IFERROR(__xludf.DUMMYFUNCTION("""COMPUTED_VALUE"""),5.0)</f>
        <v>5</v>
      </c>
      <c r="AG271" s="443" t="s">
        <v>132</v>
      </c>
      <c r="AH271" s="443" t="s">
        <v>343</v>
      </c>
      <c r="AI271" s="443"/>
      <c r="AJ271" s="443"/>
      <c r="AK271" s="443"/>
      <c r="AL271" s="443"/>
      <c r="AM271" s="443"/>
      <c r="AN271" s="443"/>
      <c r="AO271" s="443"/>
      <c r="AP271" s="443"/>
      <c r="AQ271" s="443"/>
      <c r="AR271" s="443"/>
      <c r="AS271" s="443"/>
      <c r="AT271" s="443"/>
      <c r="AU271" s="443"/>
      <c r="AV271" s="443"/>
      <c r="AW271" s="443"/>
      <c r="AX271" s="443"/>
      <c r="AY271" s="443"/>
      <c r="AZ271" s="443"/>
      <c r="BA271" s="443"/>
      <c r="BB271" s="443"/>
      <c r="BC271" s="443"/>
      <c r="BD271" s="443"/>
      <c r="BE271" s="443"/>
    </row>
    <row r="272" hidden="1">
      <c r="A272" s="445">
        <f t="shared" si="5"/>
        <v>45562</v>
      </c>
      <c r="B272" s="449">
        <v>364.0</v>
      </c>
      <c r="C272" s="462">
        <v>0.6416666666666667</v>
      </c>
      <c r="D272" s="462">
        <v>0.9569444444444445</v>
      </c>
      <c r="E272" s="436">
        <f t="array" ref="E272">IF(B272=0,"",(J272+K272)/60)</f>
        <v>0.5</v>
      </c>
      <c r="F272" s="437">
        <f t="shared" si="1"/>
        <v>7.566666667</v>
      </c>
      <c r="G272" s="438">
        <f t="shared" si="7"/>
        <v>48.10572687</v>
      </c>
      <c r="H272" s="438">
        <f t="shared" si="3"/>
        <v>51.50943396</v>
      </c>
      <c r="I272" s="436">
        <f t="shared" si="6"/>
        <v>1.023526104</v>
      </c>
      <c r="J272" s="460">
        <v>30.0</v>
      </c>
      <c r="K272" s="464"/>
      <c r="L272" s="443"/>
      <c r="M272" s="447">
        <f>IFERROR(__xludf.DUMMYFUNCTION("""COMPUTED_VALUE"""),57.0)</f>
        <v>57</v>
      </c>
      <c r="N272" s="447">
        <f>IFERROR(__xludf.DUMMYFUNCTION("""COMPUTED_VALUE"""),52.0)</f>
        <v>52</v>
      </c>
      <c r="O272" s="447">
        <f>IFERROR(__xludf.DUMMYFUNCTION("""COMPUTED_VALUE"""),0.0)</f>
        <v>0</v>
      </c>
      <c r="P272" s="447">
        <f>IFERROR(__xludf.DUMMYFUNCTION("""COMPUTED_VALUE"""),0.0)</f>
        <v>0</v>
      </c>
      <c r="Q272" s="447">
        <f>IFERROR(__xludf.DUMMYFUNCTION("""COMPUTED_VALUE"""),0.0)</f>
        <v>0</v>
      </c>
      <c r="R272" s="447">
        <f>IFERROR(__xludf.DUMMYFUNCTION("""COMPUTED_VALUE"""),0.0)</f>
        <v>0</v>
      </c>
      <c r="S272" s="447">
        <f>IFERROR(__xludf.DUMMYFUNCTION("""COMPUTED_VALUE"""),1.0)</f>
        <v>1</v>
      </c>
      <c r="T272" s="447">
        <f>IFERROR(__xludf.DUMMYFUNCTION("""COMPUTED_VALUE"""),0.0)</f>
        <v>0</v>
      </c>
      <c r="U272" s="447">
        <f>IFERROR(__xludf.DUMMYFUNCTION("""COMPUTED_VALUE"""),4.0)</f>
        <v>4</v>
      </c>
      <c r="V272" s="447">
        <f>IFERROR(__xludf.DUMMYFUNCTION("""COMPUTED_VALUE"""),2.0)</f>
        <v>2</v>
      </c>
      <c r="W272" s="447">
        <f>IFERROR(__xludf.DUMMYFUNCTION("""COMPUTED_VALUE"""),0.0)</f>
        <v>0</v>
      </c>
      <c r="X272" s="447">
        <f>IFERROR(__xludf.DUMMYFUNCTION("""COMPUTED_VALUE"""),0.0)</f>
        <v>0</v>
      </c>
      <c r="Y272" s="447">
        <f>IFERROR(__xludf.DUMMYFUNCTION("""COMPUTED_VALUE"""),0.0)</f>
        <v>0</v>
      </c>
      <c r="Z272" s="447">
        <f>IFERROR(__xludf.DUMMYFUNCTION("""COMPUTED_VALUE"""),0.0)</f>
        <v>0</v>
      </c>
      <c r="AA272" s="447">
        <f>IFERROR(__xludf.DUMMYFUNCTION("""COMPUTED_VALUE"""),0.0)</f>
        <v>0</v>
      </c>
      <c r="AB272" s="447">
        <f>IFERROR(__xludf.DUMMYFUNCTION("""COMPUTED_VALUE"""),0.0)</f>
        <v>0</v>
      </c>
      <c r="AC272" s="447">
        <f>IFERROR(__xludf.DUMMYFUNCTION("""COMPUTED_VALUE"""),0.0)</f>
        <v>0</v>
      </c>
      <c r="AD272" s="447">
        <f>IFERROR(__xludf.DUMMYFUNCTION("""COMPUTED_VALUE"""),47.0)</f>
        <v>47</v>
      </c>
      <c r="AE272" s="447">
        <f>IFERROR(__xludf.DUMMYFUNCTION("""COMPUTED_VALUE"""),8.0)</f>
        <v>8</v>
      </c>
      <c r="AF272" s="447">
        <f>IFERROR(__xludf.DUMMYFUNCTION("""COMPUTED_VALUE"""),5.0)</f>
        <v>5</v>
      </c>
      <c r="AG272" s="443" t="s">
        <v>132</v>
      </c>
      <c r="AH272" s="443" t="s">
        <v>343</v>
      </c>
      <c r="AI272" s="443"/>
      <c r="AJ272" s="443"/>
      <c r="AK272" s="443"/>
      <c r="AL272" s="443"/>
      <c r="AM272" s="443"/>
      <c r="AN272" s="443"/>
      <c r="AO272" s="443"/>
      <c r="AP272" s="443"/>
      <c r="AQ272" s="443"/>
      <c r="AR272" s="443"/>
      <c r="AS272" s="443"/>
      <c r="AT272" s="443"/>
      <c r="AU272" s="443"/>
      <c r="AV272" s="443"/>
      <c r="AW272" s="443"/>
      <c r="AX272" s="443"/>
      <c r="AY272" s="443"/>
      <c r="AZ272" s="443"/>
      <c r="BA272" s="443"/>
      <c r="BB272" s="443"/>
      <c r="BC272" s="443"/>
      <c r="BD272" s="443"/>
      <c r="BE272" s="443"/>
    </row>
    <row r="273" hidden="1">
      <c r="A273" s="445">
        <f t="shared" si="5"/>
        <v>45563</v>
      </c>
      <c r="B273" s="449">
        <v>388.0</v>
      </c>
      <c r="C273" s="462">
        <v>0.5583333333333333</v>
      </c>
      <c r="D273" s="462">
        <v>0.8638888888888889</v>
      </c>
      <c r="E273" s="436">
        <f t="array" ref="E273">IF(B273=0,"",(J273+K273)/60)</f>
        <v>0</v>
      </c>
      <c r="F273" s="437">
        <f t="shared" si="1"/>
        <v>7.333333333</v>
      </c>
      <c r="G273" s="438">
        <f t="shared" si="7"/>
        <v>52.90909091</v>
      </c>
      <c r="H273" s="438">
        <f t="shared" si="3"/>
        <v>52.90909091</v>
      </c>
      <c r="I273" s="436">
        <f t="shared" si="6"/>
        <v>1.175757576</v>
      </c>
      <c r="J273" s="464"/>
      <c r="K273" s="464"/>
      <c r="L273" s="443"/>
      <c r="M273" s="447">
        <f>IFERROR(__xludf.DUMMYFUNCTION("""COMPUTED_VALUE"""),57.0)</f>
        <v>57</v>
      </c>
      <c r="N273" s="447">
        <f>IFERROR(__xludf.DUMMYFUNCTION("""COMPUTED_VALUE"""),52.0)</f>
        <v>52</v>
      </c>
      <c r="O273" s="447">
        <f>IFERROR(__xludf.DUMMYFUNCTION("""COMPUTED_VALUE"""),0.0)</f>
        <v>0</v>
      </c>
      <c r="P273" s="447">
        <f>IFERROR(__xludf.DUMMYFUNCTION("""COMPUTED_VALUE"""),0.0)</f>
        <v>0</v>
      </c>
      <c r="Q273" s="447">
        <f>IFERROR(__xludf.DUMMYFUNCTION("""COMPUTED_VALUE"""),0.0)</f>
        <v>0</v>
      </c>
      <c r="R273" s="447">
        <f>IFERROR(__xludf.DUMMYFUNCTION("""COMPUTED_VALUE"""),0.0)</f>
        <v>0</v>
      </c>
      <c r="S273" s="447">
        <f>IFERROR(__xludf.DUMMYFUNCTION("""COMPUTED_VALUE"""),1.0)</f>
        <v>1</v>
      </c>
      <c r="T273" s="447">
        <f>IFERROR(__xludf.DUMMYFUNCTION("""COMPUTED_VALUE"""),0.0)</f>
        <v>0</v>
      </c>
      <c r="U273" s="447">
        <f>IFERROR(__xludf.DUMMYFUNCTION("""COMPUTED_VALUE"""),4.0)</f>
        <v>4</v>
      </c>
      <c r="V273" s="447">
        <f>IFERROR(__xludf.DUMMYFUNCTION("""COMPUTED_VALUE"""),1.0)</f>
        <v>1</v>
      </c>
      <c r="W273" s="447">
        <f>IFERROR(__xludf.DUMMYFUNCTION("""COMPUTED_VALUE"""),0.0)</f>
        <v>0</v>
      </c>
      <c r="X273" s="447">
        <f>IFERROR(__xludf.DUMMYFUNCTION("""COMPUTED_VALUE"""),0.0)</f>
        <v>0</v>
      </c>
      <c r="Y273" s="447">
        <f>IFERROR(__xludf.DUMMYFUNCTION("""COMPUTED_VALUE"""),0.0)</f>
        <v>0</v>
      </c>
      <c r="Z273" s="447">
        <f>IFERROR(__xludf.DUMMYFUNCTION("""COMPUTED_VALUE"""),0.0)</f>
        <v>0</v>
      </c>
      <c r="AA273" s="447">
        <f>IFERROR(__xludf.DUMMYFUNCTION("""COMPUTED_VALUE"""),0.0)</f>
        <v>0</v>
      </c>
      <c r="AB273" s="447">
        <f>IFERROR(__xludf.DUMMYFUNCTION("""COMPUTED_VALUE"""),0.0)</f>
        <v>0</v>
      </c>
      <c r="AC273" s="447">
        <f>IFERROR(__xludf.DUMMYFUNCTION("""COMPUTED_VALUE"""),3.0)</f>
        <v>3</v>
      </c>
      <c r="AD273" s="447">
        <f>IFERROR(__xludf.DUMMYFUNCTION("""COMPUTED_VALUE"""),45.0)</f>
        <v>45</v>
      </c>
      <c r="AE273" s="447">
        <f>IFERROR(__xludf.DUMMYFUNCTION("""COMPUTED_VALUE"""),10.0)</f>
        <v>10</v>
      </c>
      <c r="AF273" s="447">
        <f>IFERROR(__xludf.DUMMYFUNCTION("""COMPUTED_VALUE"""),5.0)</f>
        <v>5</v>
      </c>
      <c r="AG273" s="443" t="s">
        <v>132</v>
      </c>
      <c r="AH273" s="443" t="s">
        <v>343</v>
      </c>
      <c r="AI273" s="443"/>
      <c r="AJ273" s="443"/>
      <c r="AK273" s="443"/>
      <c r="AL273" s="443"/>
      <c r="AM273" s="443"/>
      <c r="AN273" s="443"/>
      <c r="AO273" s="443"/>
      <c r="AP273" s="443"/>
      <c r="AQ273" s="443"/>
      <c r="AR273" s="443"/>
      <c r="AS273" s="443"/>
      <c r="AT273" s="443"/>
      <c r="AU273" s="443"/>
      <c r="AV273" s="443"/>
      <c r="AW273" s="443"/>
      <c r="AX273" s="443"/>
      <c r="AY273" s="443"/>
      <c r="AZ273" s="443"/>
      <c r="BA273" s="443"/>
      <c r="BB273" s="443"/>
      <c r="BC273" s="443"/>
      <c r="BD273" s="443"/>
      <c r="BE273" s="443"/>
    </row>
    <row r="274" hidden="1">
      <c r="A274" s="445">
        <f t="shared" si="5"/>
        <v>45564</v>
      </c>
      <c r="B274" s="449">
        <v>0.0</v>
      </c>
      <c r="C274" s="443"/>
      <c r="D274" s="443"/>
      <c r="E274" s="436" t="str">
        <f t="array" ref="E274">IF(B274=0,"",(J274+K274)/60)</f>
        <v/>
      </c>
      <c r="F274" s="437" t="str">
        <f t="shared" si="1"/>
        <v/>
      </c>
      <c r="G274" s="438" t="str">
        <f t="shared" si="7"/>
        <v>#DIV/0!</v>
      </c>
      <c r="H274" s="438" t="str">
        <f t="shared" si="3"/>
        <v/>
      </c>
      <c r="I274" s="436" t="str">
        <f t="shared" si="6"/>
        <v/>
      </c>
      <c r="J274" s="464"/>
      <c r="K274" s="464"/>
      <c r="L274" s="443"/>
      <c r="M274" s="447">
        <f>IFERROR(__xludf.DUMMYFUNCTION("""COMPUTED_VALUE"""),57.0)</f>
        <v>57</v>
      </c>
      <c r="N274" s="447">
        <f>IFERROR(__xludf.DUMMYFUNCTION("""COMPUTED_VALUE"""),57.0)</f>
        <v>57</v>
      </c>
      <c r="O274" s="447">
        <f>IFERROR(__xludf.DUMMYFUNCTION("""COMPUTED_VALUE"""),0.0)</f>
        <v>0</v>
      </c>
      <c r="P274" s="447">
        <f>IFERROR(__xludf.DUMMYFUNCTION("""COMPUTED_VALUE"""),0.0)</f>
        <v>0</v>
      </c>
      <c r="Q274" s="447">
        <f>IFERROR(__xludf.DUMMYFUNCTION("""COMPUTED_VALUE"""),0.0)</f>
        <v>0</v>
      </c>
      <c r="R274" s="447">
        <f>IFERROR(__xludf.DUMMYFUNCTION("""COMPUTED_VALUE"""),0.0)</f>
        <v>0</v>
      </c>
      <c r="S274" s="447">
        <f>IFERROR(__xludf.DUMMYFUNCTION("""COMPUTED_VALUE"""),0.0)</f>
        <v>0</v>
      </c>
      <c r="T274" s="447">
        <f>IFERROR(__xludf.DUMMYFUNCTION("""COMPUTED_VALUE"""),0.0)</f>
        <v>0</v>
      </c>
      <c r="U274" s="447">
        <f>IFERROR(__xludf.DUMMYFUNCTION("""COMPUTED_VALUE"""),0.0)</f>
        <v>0</v>
      </c>
      <c r="V274" s="447">
        <f>IFERROR(__xludf.DUMMYFUNCTION("""COMPUTED_VALUE"""),0.0)</f>
        <v>0</v>
      </c>
      <c r="W274" s="447">
        <f>IFERROR(__xludf.DUMMYFUNCTION("""COMPUTED_VALUE"""),0.0)</f>
        <v>0</v>
      </c>
      <c r="X274" s="447">
        <f>IFERROR(__xludf.DUMMYFUNCTION("""COMPUTED_VALUE"""),0.0)</f>
        <v>0</v>
      </c>
      <c r="Y274" s="447">
        <f>IFERROR(__xludf.DUMMYFUNCTION("""COMPUTED_VALUE"""),0.0)</f>
        <v>0</v>
      </c>
      <c r="Z274" s="447">
        <f>IFERROR(__xludf.DUMMYFUNCTION("""COMPUTED_VALUE"""),0.0)</f>
        <v>0</v>
      </c>
      <c r="AA274" s="447">
        <f>IFERROR(__xludf.DUMMYFUNCTION("""COMPUTED_VALUE"""),0.0)</f>
        <v>0</v>
      </c>
      <c r="AB274" s="447">
        <f>IFERROR(__xludf.DUMMYFUNCTION("""COMPUTED_VALUE"""),0.0)</f>
        <v>0</v>
      </c>
      <c r="AC274" s="447">
        <f>IFERROR(__xludf.DUMMYFUNCTION("""COMPUTED_VALUE"""),0.0)</f>
        <v>0</v>
      </c>
      <c r="AD274" s="447">
        <f>IFERROR(__xludf.DUMMYFUNCTION("""COMPUTED_VALUE"""),0.0)</f>
        <v>0</v>
      </c>
      <c r="AE274" s="447">
        <f>IFERROR(__xludf.DUMMYFUNCTION("""COMPUTED_VALUE"""),0.0)</f>
        <v>0</v>
      </c>
      <c r="AF274" s="447">
        <f>IFERROR(__xludf.DUMMYFUNCTION("""COMPUTED_VALUE"""),0.0)</f>
        <v>0</v>
      </c>
      <c r="AG274" s="443" t="s">
        <v>132</v>
      </c>
      <c r="AH274" s="443" t="s">
        <v>343</v>
      </c>
      <c r="AI274" s="443"/>
      <c r="AJ274" s="443"/>
      <c r="AK274" s="443"/>
      <c r="AL274" s="443"/>
      <c r="AM274" s="443"/>
      <c r="AN274" s="443"/>
      <c r="AO274" s="443"/>
      <c r="AP274" s="443"/>
      <c r="AQ274" s="443"/>
      <c r="AR274" s="443"/>
      <c r="AS274" s="443"/>
      <c r="AT274" s="443"/>
      <c r="AU274" s="443"/>
      <c r="AV274" s="443"/>
      <c r="AW274" s="443"/>
      <c r="AX274" s="443"/>
      <c r="AY274" s="443"/>
      <c r="AZ274" s="443"/>
      <c r="BA274" s="443"/>
      <c r="BB274" s="443"/>
      <c r="BC274" s="443"/>
      <c r="BD274" s="443"/>
      <c r="BE274" s="443"/>
    </row>
    <row r="275" hidden="1">
      <c r="A275" s="445">
        <f t="shared" si="5"/>
        <v>45565</v>
      </c>
      <c r="B275" s="449">
        <v>580.0</v>
      </c>
      <c r="C275" s="462">
        <v>0.5583333333333333</v>
      </c>
      <c r="D275" s="462">
        <v>1.0347222222222223</v>
      </c>
      <c r="E275" s="436">
        <f t="array" ref="E275">IF(B275=0,"",(J275+K275)/60)</f>
        <v>1</v>
      </c>
      <c r="F275" s="437">
        <f t="shared" si="1"/>
        <v>11.43333333</v>
      </c>
      <c r="G275" s="438">
        <f t="shared" si="7"/>
        <v>50.72886297</v>
      </c>
      <c r="H275" s="438">
        <f t="shared" si="3"/>
        <v>55.59105431</v>
      </c>
      <c r="I275" s="436">
        <f t="shared" si="6"/>
        <v>1.07933751</v>
      </c>
      <c r="J275" s="460">
        <v>60.0</v>
      </c>
      <c r="K275" s="464"/>
      <c r="L275" s="443"/>
      <c r="M275" s="447">
        <f>IFERROR(__xludf.DUMMYFUNCTION("""COMPUTED_VALUE"""),57.0)</f>
        <v>57</v>
      </c>
      <c r="N275" s="447">
        <f>IFERROR(__xludf.DUMMYFUNCTION("""COMPUTED_VALUE"""),52.0)</f>
        <v>52</v>
      </c>
      <c r="O275" s="447">
        <f>IFERROR(__xludf.DUMMYFUNCTION("""COMPUTED_VALUE"""),0.0)</f>
        <v>0</v>
      </c>
      <c r="P275" s="447">
        <f>IFERROR(__xludf.DUMMYFUNCTION("""COMPUTED_VALUE"""),0.0)</f>
        <v>0</v>
      </c>
      <c r="Q275" s="447">
        <f>IFERROR(__xludf.DUMMYFUNCTION("""COMPUTED_VALUE"""),0.0)</f>
        <v>0</v>
      </c>
      <c r="R275" s="447">
        <f>IFERROR(__xludf.DUMMYFUNCTION("""COMPUTED_VALUE"""),0.0)</f>
        <v>0</v>
      </c>
      <c r="S275" s="447">
        <f>IFERROR(__xludf.DUMMYFUNCTION("""COMPUTED_VALUE"""),1.0)</f>
        <v>1</v>
      </c>
      <c r="T275" s="447">
        <f>IFERROR(__xludf.DUMMYFUNCTION("""COMPUTED_VALUE"""),0.0)</f>
        <v>0</v>
      </c>
      <c r="U275" s="447">
        <f>IFERROR(__xludf.DUMMYFUNCTION("""COMPUTED_VALUE"""),4.0)</f>
        <v>4</v>
      </c>
      <c r="V275" s="447">
        <f>IFERROR(__xludf.DUMMYFUNCTION("""COMPUTED_VALUE"""),1.0)</f>
        <v>1</v>
      </c>
      <c r="W275" s="447">
        <f>IFERROR(__xludf.DUMMYFUNCTION("""COMPUTED_VALUE"""),0.0)</f>
        <v>0</v>
      </c>
      <c r="X275" s="447">
        <f>IFERROR(__xludf.DUMMYFUNCTION("""COMPUTED_VALUE"""),0.0)</f>
        <v>0</v>
      </c>
      <c r="Y275" s="447">
        <f>IFERROR(__xludf.DUMMYFUNCTION("""COMPUTED_VALUE"""),0.0)</f>
        <v>0</v>
      </c>
      <c r="Z275" s="447">
        <f>IFERROR(__xludf.DUMMYFUNCTION("""COMPUTED_VALUE"""),0.0)</f>
        <v>0</v>
      </c>
      <c r="AA275" s="447">
        <f>IFERROR(__xludf.DUMMYFUNCTION("""COMPUTED_VALUE"""),0.0)</f>
        <v>0</v>
      </c>
      <c r="AB275" s="447">
        <f>IFERROR(__xludf.DUMMYFUNCTION("""COMPUTED_VALUE"""),0.0)</f>
        <v>0</v>
      </c>
      <c r="AC275" s="447">
        <f>IFERROR(__xludf.DUMMYFUNCTION("""COMPUTED_VALUE"""),1.0)</f>
        <v>1</v>
      </c>
      <c r="AD275" s="447">
        <f>IFERROR(__xludf.DUMMYFUNCTION("""COMPUTED_VALUE"""),47.0)</f>
        <v>47</v>
      </c>
      <c r="AE275" s="447">
        <f>IFERROR(__xludf.DUMMYFUNCTION("""COMPUTED_VALUE"""),8.0)</f>
        <v>8</v>
      </c>
      <c r="AF275" s="447">
        <f>IFERROR(__xludf.DUMMYFUNCTION("""COMPUTED_VALUE"""),5.0)</f>
        <v>5</v>
      </c>
      <c r="AG275" s="443" t="s">
        <v>132</v>
      </c>
      <c r="AH275" s="443" t="s">
        <v>343</v>
      </c>
      <c r="AI275" s="443"/>
      <c r="AJ275" s="443"/>
      <c r="AK275" s="443"/>
      <c r="AL275" s="443"/>
      <c r="AM275" s="443"/>
      <c r="AN275" s="443"/>
      <c r="AO275" s="443"/>
      <c r="AP275" s="443"/>
      <c r="AQ275" s="443"/>
      <c r="AR275" s="443"/>
      <c r="AS275" s="443"/>
      <c r="AT275" s="443"/>
      <c r="AU275" s="443"/>
      <c r="AV275" s="443"/>
      <c r="AW275" s="443"/>
      <c r="AX275" s="443"/>
      <c r="AY275" s="443"/>
      <c r="AZ275" s="443"/>
      <c r="BA275" s="443"/>
      <c r="BB275" s="443"/>
      <c r="BC275" s="443"/>
      <c r="BD275" s="443"/>
      <c r="BE275" s="443"/>
    </row>
    <row r="276" hidden="1">
      <c r="A276" s="445">
        <f t="shared" si="5"/>
        <v>45566</v>
      </c>
      <c r="B276" s="449">
        <v>456.0</v>
      </c>
      <c r="C276" s="462">
        <v>0.6</v>
      </c>
      <c r="D276" s="462">
        <v>1.0472222222222223</v>
      </c>
      <c r="E276" s="436">
        <f t="array" ref="E276">IF(B276=0,"",(J276+K276)/60)</f>
        <v>1.35</v>
      </c>
      <c r="F276" s="437">
        <f t="shared" si="1"/>
        <v>10.73333333</v>
      </c>
      <c r="G276" s="438">
        <f t="shared" si="7"/>
        <v>42.48447205</v>
      </c>
      <c r="H276" s="438">
        <f t="shared" si="3"/>
        <v>48.59680284</v>
      </c>
      <c r="I276" s="436">
        <f t="shared" si="6"/>
        <v>0.9039249372</v>
      </c>
      <c r="J276" s="460">
        <v>30.0</v>
      </c>
      <c r="K276" s="464">
        <f>25+26</f>
        <v>51</v>
      </c>
      <c r="L276" s="443"/>
      <c r="M276" s="469">
        <f>IFERROR(__xludf.DUMMYFUNCTION("TRANSPOSE(IMPORTRANGE(""https://docs.google.com/spreadsheets/d/1CNeKSHTeNNJnfn5EymHwGg5Mkuk6EcepW7_9QkJxalc/edit#gid=1218471306"",""OCTUBRE 2024!F2:AJ21""))"),57.0)</f>
        <v>57</v>
      </c>
      <c r="N276" s="447">
        <f>IFERROR(__xludf.DUMMYFUNCTION("""COMPUTED_VALUE"""),57.0)</f>
        <v>57</v>
      </c>
      <c r="O276" s="447">
        <f>IFERROR(__xludf.DUMMYFUNCTION("""COMPUTED_VALUE"""),1.0)</f>
        <v>1</v>
      </c>
      <c r="P276" s="447">
        <f>IFERROR(__xludf.DUMMYFUNCTION("""COMPUTED_VALUE"""),0.0)</f>
        <v>0</v>
      </c>
      <c r="Q276" s="447">
        <f>IFERROR(__xludf.DUMMYFUNCTION("""COMPUTED_VALUE"""),0.0)</f>
        <v>0</v>
      </c>
      <c r="R276" s="447">
        <f>IFERROR(__xludf.DUMMYFUNCTION("""COMPUTED_VALUE"""),0.0)</f>
        <v>0</v>
      </c>
      <c r="S276" s="447">
        <f>IFERROR(__xludf.DUMMYFUNCTION("""COMPUTED_VALUE"""),1.0)</f>
        <v>1</v>
      </c>
      <c r="T276" s="447">
        <f>IFERROR(__xludf.DUMMYFUNCTION("""COMPUTED_VALUE"""),0.0)</f>
        <v>0</v>
      </c>
      <c r="U276" s="447">
        <f>IFERROR(__xludf.DUMMYFUNCTION("""COMPUTED_VALUE"""),0.0)</f>
        <v>0</v>
      </c>
      <c r="V276" s="447">
        <f>IFERROR(__xludf.DUMMYFUNCTION("""COMPUTED_VALUE"""),1.0)</f>
        <v>1</v>
      </c>
      <c r="W276" s="447">
        <f>IFERROR(__xludf.DUMMYFUNCTION("""COMPUTED_VALUE"""),0.0)</f>
        <v>0</v>
      </c>
      <c r="X276" s="447">
        <f>IFERROR(__xludf.DUMMYFUNCTION("""COMPUTED_VALUE"""),0.0)</f>
        <v>0</v>
      </c>
      <c r="Y276" s="447">
        <f>IFERROR(__xludf.DUMMYFUNCTION("""COMPUTED_VALUE"""),0.0)</f>
        <v>0</v>
      </c>
      <c r="Z276" s="447">
        <f>IFERROR(__xludf.DUMMYFUNCTION("""COMPUTED_VALUE"""),0.0)</f>
        <v>0</v>
      </c>
      <c r="AA276" s="447">
        <f>IFERROR(__xludf.DUMMYFUNCTION("""COMPUTED_VALUE"""),0.0)</f>
        <v>0</v>
      </c>
      <c r="AB276" s="447">
        <f>IFERROR(__xludf.DUMMYFUNCTION("""COMPUTED_VALUE"""),1.0)</f>
        <v>1</v>
      </c>
      <c r="AC276" s="447">
        <f>IFERROR(__xludf.DUMMYFUNCTION("""COMPUTED_VALUE"""),0.0)</f>
        <v>0</v>
      </c>
      <c r="AD276" s="447">
        <f>IFERROR(__xludf.DUMMYFUNCTION("""COMPUTED_VALUE"""),47.0)</f>
        <v>47</v>
      </c>
      <c r="AE276" s="447">
        <f>IFERROR(__xludf.DUMMYFUNCTION("""COMPUTED_VALUE"""),3.0)</f>
        <v>3</v>
      </c>
      <c r="AF276" s="447">
        <f>IFERROR(__xludf.DUMMYFUNCTION("""COMPUTED_VALUE"""),0.0)</f>
        <v>0</v>
      </c>
      <c r="AG276" s="443" t="s">
        <v>137</v>
      </c>
      <c r="AH276" s="443" t="s">
        <v>343</v>
      </c>
      <c r="AI276" s="443"/>
      <c r="AJ276" s="443"/>
      <c r="AK276" s="443"/>
      <c r="AL276" s="443"/>
      <c r="AM276" s="443"/>
      <c r="AN276" s="443"/>
      <c r="AO276" s="443"/>
      <c r="AP276" s="443"/>
      <c r="AQ276" s="443"/>
      <c r="AR276" s="443"/>
      <c r="AS276" s="443"/>
      <c r="AT276" s="443"/>
      <c r="AU276" s="443"/>
      <c r="AV276" s="443"/>
      <c r="AW276" s="443"/>
      <c r="AX276" s="443"/>
      <c r="AY276" s="443"/>
      <c r="AZ276" s="443"/>
      <c r="BA276" s="443"/>
      <c r="BB276" s="443"/>
      <c r="BC276" s="443"/>
      <c r="BD276" s="443"/>
      <c r="BE276" s="443"/>
    </row>
    <row r="277" hidden="1">
      <c r="A277" s="445">
        <f t="shared" si="5"/>
        <v>45567</v>
      </c>
      <c r="B277" s="449">
        <v>453.0</v>
      </c>
      <c r="C277" s="462">
        <v>0.6416666666666667</v>
      </c>
      <c r="D277" s="462">
        <v>1.0208333333333333</v>
      </c>
      <c r="E277" s="436">
        <f t="array" ref="E277">IF(B277=0,"",(J277+K277)/60)</f>
        <v>0.5</v>
      </c>
      <c r="F277" s="437">
        <f t="shared" si="1"/>
        <v>9.1</v>
      </c>
      <c r="G277" s="438">
        <f t="shared" si="7"/>
        <v>49.78021978</v>
      </c>
      <c r="H277" s="438">
        <f t="shared" si="3"/>
        <v>52.6744186</v>
      </c>
      <c r="I277" s="436">
        <f t="shared" si="6"/>
        <v>1.037087912</v>
      </c>
      <c r="J277" s="460">
        <v>30.0</v>
      </c>
      <c r="K277" s="464"/>
      <c r="L277" s="443"/>
      <c r="M277" s="447">
        <f>IFERROR(__xludf.DUMMYFUNCTION("""COMPUTED_VALUE"""),57.0)</f>
        <v>57</v>
      </c>
      <c r="N277" s="447">
        <f>IFERROR(__xludf.DUMMYFUNCTION("""COMPUTED_VALUE"""),57.0)</f>
        <v>57</v>
      </c>
      <c r="O277" s="447">
        <f>IFERROR(__xludf.DUMMYFUNCTION("""COMPUTED_VALUE"""),0.0)</f>
        <v>0</v>
      </c>
      <c r="P277" s="447">
        <f>IFERROR(__xludf.DUMMYFUNCTION("""COMPUTED_VALUE"""),0.0)</f>
        <v>0</v>
      </c>
      <c r="Q277" s="447">
        <f>IFERROR(__xludf.DUMMYFUNCTION("""COMPUTED_VALUE"""),0.0)</f>
        <v>0</v>
      </c>
      <c r="R277" s="447">
        <f>IFERROR(__xludf.DUMMYFUNCTION("""COMPUTED_VALUE"""),0.0)</f>
        <v>0</v>
      </c>
      <c r="S277" s="447">
        <f>IFERROR(__xludf.DUMMYFUNCTION("""COMPUTED_VALUE"""),1.0)</f>
        <v>1</v>
      </c>
      <c r="T277" s="447">
        <f>IFERROR(__xludf.DUMMYFUNCTION("""COMPUTED_VALUE"""),0.0)</f>
        <v>0</v>
      </c>
      <c r="U277" s="447">
        <f>IFERROR(__xludf.DUMMYFUNCTION("""COMPUTED_VALUE"""),0.0)</f>
        <v>0</v>
      </c>
      <c r="V277" s="447">
        <f>IFERROR(__xludf.DUMMYFUNCTION("""COMPUTED_VALUE"""),1.0)</f>
        <v>1</v>
      </c>
      <c r="W277" s="447">
        <f>IFERROR(__xludf.DUMMYFUNCTION("""COMPUTED_VALUE"""),0.0)</f>
        <v>0</v>
      </c>
      <c r="X277" s="447">
        <f>IFERROR(__xludf.DUMMYFUNCTION("""COMPUTED_VALUE"""),0.0)</f>
        <v>0</v>
      </c>
      <c r="Y277" s="447">
        <f>IFERROR(__xludf.DUMMYFUNCTION("""COMPUTED_VALUE"""),0.0)</f>
        <v>0</v>
      </c>
      <c r="Z277" s="447">
        <f>IFERROR(__xludf.DUMMYFUNCTION("""COMPUTED_VALUE"""),0.0)</f>
        <v>0</v>
      </c>
      <c r="AA277" s="447">
        <f>IFERROR(__xludf.DUMMYFUNCTION("""COMPUTED_VALUE"""),1.0)</f>
        <v>1</v>
      </c>
      <c r="AB277" s="447">
        <f>IFERROR(__xludf.DUMMYFUNCTION("""COMPUTED_VALUE"""),0.0)</f>
        <v>0</v>
      </c>
      <c r="AC277" s="447">
        <f>IFERROR(__xludf.DUMMYFUNCTION("""COMPUTED_VALUE"""),0.0)</f>
        <v>0</v>
      </c>
      <c r="AD277" s="447">
        <f>IFERROR(__xludf.DUMMYFUNCTION("""COMPUTED_VALUE"""),48.0)</f>
        <v>48</v>
      </c>
      <c r="AE277" s="447">
        <f>IFERROR(__xludf.DUMMYFUNCTION("""COMPUTED_VALUE"""),3.0)</f>
        <v>3</v>
      </c>
      <c r="AF277" s="447">
        <f>IFERROR(__xludf.DUMMYFUNCTION("""COMPUTED_VALUE"""),0.0)</f>
        <v>0</v>
      </c>
      <c r="AG277" s="443" t="s">
        <v>137</v>
      </c>
      <c r="AH277" s="443" t="s">
        <v>343</v>
      </c>
      <c r="AI277" s="443"/>
      <c r="AJ277" s="443"/>
      <c r="AK277" s="443"/>
      <c r="AL277" s="443"/>
      <c r="AM277" s="443"/>
      <c r="AN277" s="443"/>
      <c r="AO277" s="443"/>
      <c r="AP277" s="443"/>
      <c r="AQ277" s="443"/>
      <c r="AR277" s="443"/>
      <c r="AS277" s="443"/>
      <c r="AT277" s="443"/>
      <c r="AU277" s="443"/>
      <c r="AV277" s="443"/>
      <c r="AW277" s="443"/>
      <c r="AX277" s="443"/>
      <c r="AY277" s="443"/>
      <c r="AZ277" s="443"/>
      <c r="BA277" s="443"/>
      <c r="BB277" s="443"/>
      <c r="BC277" s="443"/>
      <c r="BD277" s="443"/>
      <c r="BE277" s="443"/>
    </row>
    <row r="278" hidden="1">
      <c r="A278" s="445">
        <f t="shared" si="5"/>
        <v>45568</v>
      </c>
      <c r="B278" s="449">
        <v>451.0</v>
      </c>
      <c r="C278" s="462">
        <v>0.6416666666666667</v>
      </c>
      <c r="D278" s="462">
        <v>0.9708333333333333</v>
      </c>
      <c r="E278" s="436">
        <f t="array" ref="E278">IF(B278=0,"",(J278+K278)/60)</f>
        <v>0.5</v>
      </c>
      <c r="F278" s="437">
        <f t="shared" si="1"/>
        <v>7.9</v>
      </c>
      <c r="G278" s="438">
        <f t="shared" si="7"/>
        <v>57.08860759</v>
      </c>
      <c r="H278" s="438">
        <f t="shared" si="3"/>
        <v>60.94594595</v>
      </c>
      <c r="I278" s="436">
        <f t="shared" si="6"/>
        <v>1.297468354</v>
      </c>
      <c r="J278" s="460">
        <v>30.0</v>
      </c>
      <c r="K278" s="464"/>
      <c r="L278" s="443"/>
      <c r="M278" s="447">
        <f>IFERROR(__xludf.DUMMYFUNCTION("""COMPUTED_VALUE"""),57.0)</f>
        <v>57</v>
      </c>
      <c r="N278" s="447">
        <f>IFERROR(__xludf.DUMMYFUNCTION("""COMPUTED_VALUE"""),57.0)</f>
        <v>57</v>
      </c>
      <c r="O278" s="447">
        <f>IFERROR(__xludf.DUMMYFUNCTION("""COMPUTED_VALUE"""),0.0)</f>
        <v>0</v>
      </c>
      <c r="P278" s="447">
        <f>IFERROR(__xludf.DUMMYFUNCTION("""COMPUTED_VALUE"""),0.0)</f>
        <v>0</v>
      </c>
      <c r="Q278" s="447">
        <f>IFERROR(__xludf.DUMMYFUNCTION("""COMPUTED_VALUE"""),0.0)</f>
        <v>0</v>
      </c>
      <c r="R278" s="447">
        <f>IFERROR(__xludf.DUMMYFUNCTION("""COMPUTED_VALUE"""),0.0)</f>
        <v>0</v>
      </c>
      <c r="S278" s="447">
        <f>IFERROR(__xludf.DUMMYFUNCTION("""COMPUTED_VALUE"""),2.0)</f>
        <v>2</v>
      </c>
      <c r="T278" s="447">
        <f>IFERROR(__xludf.DUMMYFUNCTION("""COMPUTED_VALUE"""),1.0)</f>
        <v>1</v>
      </c>
      <c r="U278" s="447">
        <f>IFERROR(__xludf.DUMMYFUNCTION("""COMPUTED_VALUE"""),0.0)</f>
        <v>0</v>
      </c>
      <c r="V278" s="447">
        <f>IFERROR(__xludf.DUMMYFUNCTION("""COMPUTED_VALUE"""),4.0)</f>
        <v>4</v>
      </c>
      <c r="W278" s="447">
        <f>IFERROR(__xludf.DUMMYFUNCTION("""COMPUTED_VALUE"""),0.0)</f>
        <v>0</v>
      </c>
      <c r="X278" s="447">
        <f>IFERROR(__xludf.DUMMYFUNCTION("""COMPUTED_VALUE"""),0.0)</f>
        <v>0</v>
      </c>
      <c r="Y278" s="447">
        <f>IFERROR(__xludf.DUMMYFUNCTION("""COMPUTED_VALUE"""),0.0)</f>
        <v>0</v>
      </c>
      <c r="Z278" s="447">
        <f>IFERROR(__xludf.DUMMYFUNCTION("""COMPUTED_VALUE"""),0.0)</f>
        <v>0</v>
      </c>
      <c r="AA278" s="447">
        <f>IFERROR(__xludf.DUMMYFUNCTION("""COMPUTED_VALUE"""),0.0)</f>
        <v>0</v>
      </c>
      <c r="AB278" s="447">
        <f>IFERROR(__xludf.DUMMYFUNCTION("""COMPUTED_VALUE"""),0.0)</f>
        <v>0</v>
      </c>
      <c r="AC278" s="447">
        <f>IFERROR(__xludf.DUMMYFUNCTION("""COMPUTED_VALUE"""),1.0)</f>
        <v>1</v>
      </c>
      <c r="AD278" s="447">
        <f>IFERROR(__xludf.DUMMYFUNCTION("""COMPUTED_VALUE"""),44.0)</f>
        <v>44</v>
      </c>
      <c r="AE278" s="447">
        <f>IFERROR(__xludf.DUMMYFUNCTION("""COMPUTED_VALUE"""),8.0)</f>
        <v>8</v>
      </c>
      <c r="AF278" s="447">
        <f>IFERROR(__xludf.DUMMYFUNCTION("""COMPUTED_VALUE"""),0.0)</f>
        <v>0</v>
      </c>
      <c r="AG278" s="443" t="s">
        <v>137</v>
      </c>
      <c r="AH278" s="443" t="s">
        <v>343</v>
      </c>
      <c r="AI278" s="443"/>
      <c r="AJ278" s="443"/>
      <c r="AK278" s="443"/>
      <c r="AL278" s="443"/>
      <c r="AM278" s="443"/>
      <c r="AN278" s="443"/>
      <c r="AO278" s="443"/>
      <c r="AP278" s="443"/>
      <c r="AQ278" s="443"/>
      <c r="AR278" s="443"/>
      <c r="AS278" s="443"/>
      <c r="AT278" s="443"/>
      <c r="AU278" s="443"/>
      <c r="AV278" s="443"/>
      <c r="AW278" s="443"/>
      <c r="AX278" s="443"/>
      <c r="AY278" s="443"/>
      <c r="AZ278" s="443"/>
      <c r="BA278" s="443"/>
      <c r="BB278" s="443"/>
      <c r="BC278" s="443"/>
      <c r="BD278" s="443"/>
      <c r="BE278" s="443"/>
    </row>
    <row r="279" hidden="1">
      <c r="A279" s="445">
        <f t="shared" si="5"/>
        <v>45569</v>
      </c>
      <c r="B279" s="449">
        <v>504.0</v>
      </c>
      <c r="C279" s="462">
        <v>0.6</v>
      </c>
      <c r="D279" s="462">
        <v>1.0652777777777778</v>
      </c>
      <c r="E279" s="436">
        <f t="array" ref="E279">IF(B279=0,"",(J279+K279)/60)</f>
        <v>3.45</v>
      </c>
      <c r="F279" s="437">
        <f t="shared" si="1"/>
        <v>11.16666667</v>
      </c>
      <c r="G279" s="438">
        <f t="shared" si="7"/>
        <v>45.13432836</v>
      </c>
      <c r="H279" s="438">
        <f t="shared" si="3"/>
        <v>65.31317495</v>
      </c>
      <c r="I279" s="436">
        <f t="shared" si="6"/>
        <v>0.9811810513</v>
      </c>
      <c r="J279" s="460">
        <v>30.0</v>
      </c>
      <c r="K279" s="460">
        <v>177.0</v>
      </c>
      <c r="L279" s="443"/>
      <c r="M279" s="447">
        <f>IFERROR(__xludf.DUMMYFUNCTION("""COMPUTED_VALUE"""),57.0)</f>
        <v>57</v>
      </c>
      <c r="N279" s="447">
        <f>IFERROR(__xludf.DUMMYFUNCTION("""COMPUTED_VALUE"""),57.0)</f>
        <v>57</v>
      </c>
      <c r="O279" s="447">
        <f>IFERROR(__xludf.DUMMYFUNCTION("""COMPUTED_VALUE"""),0.0)</f>
        <v>0</v>
      </c>
      <c r="P279" s="447">
        <f>IFERROR(__xludf.DUMMYFUNCTION("""COMPUTED_VALUE"""),0.0)</f>
        <v>0</v>
      </c>
      <c r="Q279" s="447">
        <f>IFERROR(__xludf.DUMMYFUNCTION("""COMPUTED_VALUE"""),0.0)</f>
        <v>0</v>
      </c>
      <c r="R279" s="447">
        <f>IFERROR(__xludf.DUMMYFUNCTION("""COMPUTED_VALUE"""),0.0)</f>
        <v>0</v>
      </c>
      <c r="S279" s="447">
        <f>IFERROR(__xludf.DUMMYFUNCTION("""COMPUTED_VALUE"""),2.0)</f>
        <v>2</v>
      </c>
      <c r="T279" s="447">
        <f>IFERROR(__xludf.DUMMYFUNCTION("""COMPUTED_VALUE"""),0.0)</f>
        <v>0</v>
      </c>
      <c r="U279" s="447">
        <f>IFERROR(__xludf.DUMMYFUNCTION("""COMPUTED_VALUE"""),0.0)</f>
        <v>0</v>
      </c>
      <c r="V279" s="447">
        <f>IFERROR(__xludf.DUMMYFUNCTION("""COMPUTED_VALUE"""),4.0)</f>
        <v>4</v>
      </c>
      <c r="W279" s="447">
        <f>IFERROR(__xludf.DUMMYFUNCTION("""COMPUTED_VALUE"""),0.0)</f>
        <v>0</v>
      </c>
      <c r="X279" s="447">
        <f>IFERROR(__xludf.DUMMYFUNCTION("""COMPUTED_VALUE"""),0.0)</f>
        <v>0</v>
      </c>
      <c r="Y279" s="447">
        <f>IFERROR(__xludf.DUMMYFUNCTION("""COMPUTED_VALUE"""),0.0)</f>
        <v>0</v>
      </c>
      <c r="Z279" s="447">
        <f>IFERROR(__xludf.DUMMYFUNCTION("""COMPUTED_VALUE"""),0.0)</f>
        <v>0</v>
      </c>
      <c r="AA279" s="447">
        <f>IFERROR(__xludf.DUMMYFUNCTION("""COMPUTED_VALUE"""),0.0)</f>
        <v>0</v>
      </c>
      <c r="AB279" s="447">
        <f>IFERROR(__xludf.DUMMYFUNCTION("""COMPUTED_VALUE"""),0.0)</f>
        <v>0</v>
      </c>
      <c r="AC279" s="447">
        <f>IFERROR(__xludf.DUMMYFUNCTION("""COMPUTED_VALUE"""),0.0)</f>
        <v>0</v>
      </c>
      <c r="AD279" s="447">
        <f>IFERROR(__xludf.DUMMYFUNCTION("""COMPUTED_VALUE"""),46.0)</f>
        <v>46</v>
      </c>
      <c r="AE279" s="447">
        <f>IFERROR(__xludf.DUMMYFUNCTION("""COMPUTED_VALUE"""),6.0)</f>
        <v>6</v>
      </c>
      <c r="AF279" s="447">
        <f>IFERROR(__xludf.DUMMYFUNCTION("""COMPUTED_VALUE"""),0.0)</f>
        <v>0</v>
      </c>
      <c r="AG279" s="443" t="s">
        <v>137</v>
      </c>
      <c r="AH279" s="443" t="s">
        <v>343</v>
      </c>
      <c r="AI279" s="443"/>
      <c r="AJ279" s="443"/>
      <c r="AK279" s="443"/>
      <c r="AL279" s="443"/>
      <c r="AM279" s="443"/>
      <c r="AN279" s="443"/>
      <c r="AO279" s="443"/>
      <c r="AP279" s="443"/>
      <c r="AQ279" s="443"/>
      <c r="AR279" s="443"/>
      <c r="AS279" s="443"/>
      <c r="AT279" s="443"/>
      <c r="AU279" s="443"/>
      <c r="AV279" s="443"/>
      <c r="AW279" s="443"/>
      <c r="AX279" s="443"/>
      <c r="AY279" s="443"/>
      <c r="AZ279" s="443"/>
      <c r="BA279" s="443"/>
      <c r="BB279" s="443"/>
      <c r="BC279" s="443"/>
      <c r="BD279" s="443"/>
      <c r="BE279" s="443"/>
    </row>
    <row r="280" hidden="1">
      <c r="A280" s="445">
        <f t="shared" si="5"/>
        <v>45570</v>
      </c>
      <c r="B280" s="449">
        <v>263.0</v>
      </c>
      <c r="C280" s="462">
        <v>0.6</v>
      </c>
      <c r="D280" s="462">
        <v>0.7916666666666666</v>
      </c>
      <c r="E280" s="436">
        <f t="array" ref="E280">IF(B280=0,"",(J280+K280)/60)</f>
        <v>0</v>
      </c>
      <c r="F280" s="437">
        <f t="shared" si="1"/>
        <v>4.6</v>
      </c>
      <c r="G280" s="438">
        <f t="shared" si="7"/>
        <v>57.17391304</v>
      </c>
      <c r="H280" s="438">
        <f t="shared" si="3"/>
        <v>57.17391304</v>
      </c>
      <c r="I280" s="436">
        <f t="shared" si="6"/>
        <v>1.242911153</v>
      </c>
      <c r="J280" s="460">
        <v>0.0</v>
      </c>
      <c r="K280" s="464"/>
      <c r="L280" s="443"/>
      <c r="M280" s="447">
        <f>IFERROR(__xludf.DUMMYFUNCTION("""COMPUTED_VALUE"""),57.0)</f>
        <v>57</v>
      </c>
      <c r="N280" s="447">
        <f>IFERROR(__xludf.DUMMYFUNCTION("""COMPUTED_VALUE"""),57.0)</f>
        <v>57</v>
      </c>
      <c r="O280" s="447">
        <f>IFERROR(__xludf.DUMMYFUNCTION("""COMPUTED_VALUE"""),0.0)</f>
        <v>0</v>
      </c>
      <c r="P280" s="447">
        <f>IFERROR(__xludf.DUMMYFUNCTION("""COMPUTED_VALUE"""),0.0)</f>
        <v>0</v>
      </c>
      <c r="Q280" s="447">
        <f>IFERROR(__xludf.DUMMYFUNCTION("""COMPUTED_VALUE"""),0.0)</f>
        <v>0</v>
      </c>
      <c r="R280" s="447">
        <f>IFERROR(__xludf.DUMMYFUNCTION("""COMPUTED_VALUE"""),0.0)</f>
        <v>0</v>
      </c>
      <c r="S280" s="447">
        <f>IFERROR(__xludf.DUMMYFUNCTION("""COMPUTED_VALUE"""),1.0)</f>
        <v>1</v>
      </c>
      <c r="T280" s="447">
        <f>IFERROR(__xludf.DUMMYFUNCTION("""COMPUTED_VALUE"""),0.0)</f>
        <v>0</v>
      </c>
      <c r="U280" s="447">
        <f>IFERROR(__xludf.DUMMYFUNCTION("""COMPUTED_VALUE"""),0.0)</f>
        <v>0</v>
      </c>
      <c r="V280" s="447">
        <f>IFERROR(__xludf.DUMMYFUNCTION("""COMPUTED_VALUE"""),4.0)</f>
        <v>4</v>
      </c>
      <c r="W280" s="447">
        <f>IFERROR(__xludf.DUMMYFUNCTION("""COMPUTED_VALUE"""),0.0)</f>
        <v>0</v>
      </c>
      <c r="X280" s="447">
        <f>IFERROR(__xludf.DUMMYFUNCTION("""COMPUTED_VALUE"""),0.0)</f>
        <v>0</v>
      </c>
      <c r="Y280" s="447">
        <f>IFERROR(__xludf.DUMMYFUNCTION("""COMPUTED_VALUE"""),0.0)</f>
        <v>0</v>
      </c>
      <c r="Z280" s="447">
        <f>IFERROR(__xludf.DUMMYFUNCTION("""COMPUTED_VALUE"""),0.0)</f>
        <v>0</v>
      </c>
      <c r="AA280" s="447">
        <f>IFERROR(__xludf.DUMMYFUNCTION("""COMPUTED_VALUE"""),0.0)</f>
        <v>0</v>
      </c>
      <c r="AB280" s="447">
        <f>IFERROR(__xludf.DUMMYFUNCTION("""COMPUTED_VALUE"""),0.0)</f>
        <v>0</v>
      </c>
      <c r="AC280" s="447">
        <f>IFERROR(__xludf.DUMMYFUNCTION("""COMPUTED_VALUE"""),1.0)</f>
        <v>1</v>
      </c>
      <c r="AD280" s="447">
        <f>IFERROR(__xludf.DUMMYFUNCTION("""COMPUTED_VALUE"""),46.0)</f>
        <v>46</v>
      </c>
      <c r="AE280" s="447">
        <f>IFERROR(__xludf.DUMMYFUNCTION("""COMPUTED_VALUE"""),6.0)</f>
        <v>6</v>
      </c>
      <c r="AF280" s="447">
        <f>IFERROR(__xludf.DUMMYFUNCTION("""COMPUTED_VALUE"""),0.0)</f>
        <v>0</v>
      </c>
      <c r="AG280" s="443" t="s">
        <v>137</v>
      </c>
      <c r="AH280" s="443" t="s">
        <v>343</v>
      </c>
      <c r="AI280" s="443"/>
      <c r="AJ280" s="443"/>
      <c r="AK280" s="443"/>
      <c r="AL280" s="443"/>
      <c r="AM280" s="443"/>
      <c r="AN280" s="443"/>
      <c r="AO280" s="443"/>
      <c r="AP280" s="443"/>
      <c r="AQ280" s="443"/>
      <c r="AR280" s="443"/>
      <c r="AS280" s="443"/>
      <c r="AT280" s="443"/>
      <c r="AU280" s="443"/>
      <c r="AV280" s="443"/>
      <c r="AW280" s="443"/>
      <c r="AX280" s="443"/>
      <c r="AY280" s="443"/>
      <c r="AZ280" s="443"/>
      <c r="BA280" s="443"/>
      <c r="BB280" s="443"/>
      <c r="BC280" s="443"/>
      <c r="BD280" s="443"/>
      <c r="BE280" s="443"/>
    </row>
    <row r="281" hidden="1">
      <c r="A281" s="445">
        <f t="shared" si="5"/>
        <v>45571</v>
      </c>
      <c r="B281" s="449">
        <v>0.0</v>
      </c>
      <c r="C281" s="443"/>
      <c r="D281" s="443"/>
      <c r="E281" s="436" t="str">
        <f t="array" ref="E281">IF(B281=0,"",(J281+K281)/60)</f>
        <v/>
      </c>
      <c r="F281" s="437" t="str">
        <f t="shared" si="1"/>
        <v/>
      </c>
      <c r="G281" s="438" t="str">
        <f t="shared" si="7"/>
        <v>#DIV/0!</v>
      </c>
      <c r="H281" s="438" t="str">
        <f t="shared" si="3"/>
        <v/>
      </c>
      <c r="I281" s="436" t="str">
        <f t="shared" si="6"/>
        <v/>
      </c>
      <c r="J281" s="464"/>
      <c r="K281" s="464"/>
      <c r="L281" s="443"/>
      <c r="M281" s="447">
        <f>IFERROR(__xludf.DUMMYFUNCTION("""COMPUTED_VALUE"""),57.0)</f>
        <v>57</v>
      </c>
      <c r="N281" s="447">
        <f>IFERROR(__xludf.DUMMYFUNCTION("""COMPUTED_VALUE"""),57.0)</f>
        <v>57</v>
      </c>
      <c r="O281" s="447">
        <f>IFERROR(__xludf.DUMMYFUNCTION("""COMPUTED_VALUE"""),0.0)</f>
        <v>0</v>
      </c>
      <c r="P281" s="447">
        <f>IFERROR(__xludf.DUMMYFUNCTION("""COMPUTED_VALUE"""),0.0)</f>
        <v>0</v>
      </c>
      <c r="Q281" s="447">
        <f>IFERROR(__xludf.DUMMYFUNCTION("""COMPUTED_VALUE"""),0.0)</f>
        <v>0</v>
      </c>
      <c r="R281" s="447">
        <f>IFERROR(__xludf.DUMMYFUNCTION("""COMPUTED_VALUE"""),0.0)</f>
        <v>0</v>
      </c>
      <c r="S281" s="447">
        <f>IFERROR(__xludf.DUMMYFUNCTION("""COMPUTED_VALUE"""),0.0)</f>
        <v>0</v>
      </c>
      <c r="T281" s="447">
        <f>IFERROR(__xludf.DUMMYFUNCTION("""COMPUTED_VALUE"""),0.0)</f>
        <v>0</v>
      </c>
      <c r="U281" s="447">
        <f>IFERROR(__xludf.DUMMYFUNCTION("""COMPUTED_VALUE"""),0.0)</f>
        <v>0</v>
      </c>
      <c r="V281" s="447">
        <f>IFERROR(__xludf.DUMMYFUNCTION("""COMPUTED_VALUE"""),0.0)</f>
        <v>0</v>
      </c>
      <c r="W281" s="447">
        <f>IFERROR(__xludf.DUMMYFUNCTION("""COMPUTED_VALUE"""),0.0)</f>
        <v>0</v>
      </c>
      <c r="X281" s="447">
        <f>IFERROR(__xludf.DUMMYFUNCTION("""COMPUTED_VALUE"""),0.0)</f>
        <v>0</v>
      </c>
      <c r="Y281" s="447">
        <f>IFERROR(__xludf.DUMMYFUNCTION("""COMPUTED_VALUE"""),0.0)</f>
        <v>0</v>
      </c>
      <c r="Z281" s="447">
        <f>IFERROR(__xludf.DUMMYFUNCTION("""COMPUTED_VALUE"""),0.0)</f>
        <v>0</v>
      </c>
      <c r="AA281" s="447">
        <f>IFERROR(__xludf.DUMMYFUNCTION("""COMPUTED_VALUE"""),0.0)</f>
        <v>0</v>
      </c>
      <c r="AB281" s="447">
        <f>IFERROR(__xludf.DUMMYFUNCTION("""COMPUTED_VALUE"""),0.0)</f>
        <v>0</v>
      </c>
      <c r="AC281" s="447">
        <f>IFERROR(__xludf.DUMMYFUNCTION("""COMPUTED_VALUE"""),0.0)</f>
        <v>0</v>
      </c>
      <c r="AD281" s="447">
        <f>IFERROR(__xludf.DUMMYFUNCTION("""COMPUTED_VALUE"""),0.0)</f>
        <v>0</v>
      </c>
      <c r="AE281" s="447">
        <f>IFERROR(__xludf.DUMMYFUNCTION("""COMPUTED_VALUE"""),0.0)</f>
        <v>0</v>
      </c>
      <c r="AF281" s="447">
        <f>IFERROR(__xludf.DUMMYFUNCTION("""COMPUTED_VALUE"""),0.0)</f>
        <v>0</v>
      </c>
      <c r="AG281" s="443" t="s">
        <v>137</v>
      </c>
      <c r="AH281" s="443" t="s">
        <v>343</v>
      </c>
      <c r="AI281" s="443"/>
      <c r="AJ281" s="443"/>
      <c r="AK281" s="443"/>
      <c r="AL281" s="443"/>
      <c r="AM281" s="443"/>
      <c r="AN281" s="443"/>
      <c r="AO281" s="443"/>
      <c r="AP281" s="443"/>
      <c r="AQ281" s="443"/>
      <c r="AR281" s="443"/>
      <c r="AS281" s="443"/>
      <c r="AT281" s="443"/>
      <c r="AU281" s="443"/>
      <c r="AV281" s="443"/>
      <c r="AW281" s="443"/>
      <c r="AX281" s="443"/>
      <c r="AY281" s="443"/>
      <c r="AZ281" s="443"/>
      <c r="BA281" s="443"/>
      <c r="BB281" s="443"/>
      <c r="BC281" s="443"/>
      <c r="BD281" s="443"/>
      <c r="BE281" s="443"/>
    </row>
    <row r="282" hidden="1">
      <c r="A282" s="445">
        <f t="shared" si="5"/>
        <v>45572</v>
      </c>
      <c r="B282" s="449">
        <v>510.0</v>
      </c>
      <c r="C282" s="462">
        <v>0.5583333333333333</v>
      </c>
      <c r="D282" s="462">
        <v>0.9583333333333334</v>
      </c>
      <c r="E282" s="436">
        <f t="array" ref="E282">IF(B282=0,"",(J282+K282)/60)</f>
        <v>0.5</v>
      </c>
      <c r="F282" s="437">
        <f t="shared" si="1"/>
        <v>9.6</v>
      </c>
      <c r="G282" s="438">
        <f t="shared" si="7"/>
        <v>53.125</v>
      </c>
      <c r="H282" s="438">
        <f t="shared" si="3"/>
        <v>56.04395604</v>
      </c>
      <c r="I282" s="436">
        <f t="shared" si="6"/>
        <v>1.207386364</v>
      </c>
      <c r="J282" s="460">
        <v>30.0</v>
      </c>
      <c r="K282" s="464"/>
      <c r="L282" s="443"/>
      <c r="M282" s="447">
        <f>IFERROR(__xludf.DUMMYFUNCTION("""COMPUTED_VALUE"""),57.0)</f>
        <v>57</v>
      </c>
      <c r="N282" s="447">
        <f>IFERROR(__xludf.DUMMYFUNCTION("""COMPUTED_VALUE"""),57.0)</f>
        <v>57</v>
      </c>
      <c r="O282" s="447">
        <f>IFERROR(__xludf.DUMMYFUNCTION("""COMPUTED_VALUE"""),0.0)</f>
        <v>0</v>
      </c>
      <c r="P282" s="447">
        <f>IFERROR(__xludf.DUMMYFUNCTION("""COMPUTED_VALUE"""),0.0)</f>
        <v>0</v>
      </c>
      <c r="Q282" s="447">
        <f>IFERROR(__xludf.DUMMYFUNCTION("""COMPUTED_VALUE"""),0.0)</f>
        <v>0</v>
      </c>
      <c r="R282" s="447">
        <f>IFERROR(__xludf.DUMMYFUNCTION("""COMPUTED_VALUE"""),0.0)</f>
        <v>0</v>
      </c>
      <c r="S282" s="447">
        <f>IFERROR(__xludf.DUMMYFUNCTION("""COMPUTED_VALUE"""),3.0)</f>
        <v>3</v>
      </c>
      <c r="T282" s="447">
        <f>IFERROR(__xludf.DUMMYFUNCTION("""COMPUTED_VALUE"""),0.0)</f>
        <v>0</v>
      </c>
      <c r="U282" s="447">
        <f>IFERROR(__xludf.DUMMYFUNCTION("""COMPUTED_VALUE"""),0.0)</f>
        <v>0</v>
      </c>
      <c r="V282" s="447">
        <f>IFERROR(__xludf.DUMMYFUNCTION("""COMPUTED_VALUE"""),4.0)</f>
        <v>4</v>
      </c>
      <c r="W282" s="447">
        <f>IFERROR(__xludf.DUMMYFUNCTION("""COMPUTED_VALUE"""),0.0)</f>
        <v>0</v>
      </c>
      <c r="X282" s="447">
        <f>IFERROR(__xludf.DUMMYFUNCTION("""COMPUTED_VALUE"""),0.0)</f>
        <v>0</v>
      </c>
      <c r="Y282" s="447">
        <f>IFERROR(__xludf.DUMMYFUNCTION("""COMPUTED_VALUE"""),0.0)</f>
        <v>0</v>
      </c>
      <c r="Z282" s="447">
        <f>IFERROR(__xludf.DUMMYFUNCTION("""COMPUTED_VALUE"""),0.0)</f>
        <v>0</v>
      </c>
      <c r="AA282" s="447">
        <f>IFERROR(__xludf.DUMMYFUNCTION("""COMPUTED_VALUE"""),0.0)</f>
        <v>0</v>
      </c>
      <c r="AB282" s="447">
        <f>IFERROR(__xludf.DUMMYFUNCTION("""COMPUTED_VALUE"""),0.0)</f>
        <v>0</v>
      </c>
      <c r="AC282" s="447">
        <f>IFERROR(__xludf.DUMMYFUNCTION("""COMPUTED_VALUE"""),1.0)</f>
        <v>1</v>
      </c>
      <c r="AD282" s="447">
        <f>IFERROR(__xludf.DUMMYFUNCTION("""COMPUTED_VALUE"""),44.0)</f>
        <v>44</v>
      </c>
      <c r="AE282" s="447">
        <f>IFERROR(__xludf.DUMMYFUNCTION("""COMPUTED_VALUE"""),8.0)</f>
        <v>8</v>
      </c>
      <c r="AF282" s="447">
        <f>IFERROR(__xludf.DUMMYFUNCTION("""COMPUTED_VALUE"""),0.0)</f>
        <v>0</v>
      </c>
      <c r="AG282" s="443" t="s">
        <v>137</v>
      </c>
      <c r="AH282" s="443" t="s">
        <v>343</v>
      </c>
      <c r="AI282" s="443"/>
      <c r="AJ282" s="443"/>
      <c r="AK282" s="443"/>
      <c r="AL282" s="443"/>
      <c r="AM282" s="443"/>
      <c r="AN282" s="443"/>
      <c r="AO282" s="443"/>
      <c r="AP282" s="443"/>
      <c r="AQ282" s="443"/>
      <c r="AR282" s="443"/>
      <c r="AS282" s="443"/>
      <c r="AT282" s="443"/>
      <c r="AU282" s="443"/>
      <c r="AV282" s="443"/>
      <c r="AW282" s="443"/>
      <c r="AX282" s="443"/>
      <c r="AY282" s="443"/>
      <c r="AZ282" s="443"/>
      <c r="BA282" s="443"/>
      <c r="BB282" s="443"/>
      <c r="BC282" s="443"/>
      <c r="BD282" s="443"/>
      <c r="BE282" s="443"/>
    </row>
    <row r="283" hidden="1">
      <c r="A283" s="445">
        <f t="shared" si="5"/>
        <v>45573</v>
      </c>
      <c r="B283" s="449">
        <v>509.0</v>
      </c>
      <c r="C283" s="462">
        <v>0.6</v>
      </c>
      <c r="D283" s="462">
        <v>1.03125</v>
      </c>
      <c r="E283" s="436">
        <f t="array" ref="E283">IF(B283=0,"",(J283+K283)/60)</f>
        <v>1.383333333</v>
      </c>
      <c r="F283" s="437">
        <f t="shared" si="1"/>
        <v>10.35</v>
      </c>
      <c r="G283" s="438">
        <f t="shared" si="7"/>
        <v>49.17874396</v>
      </c>
      <c r="H283" s="438">
        <f t="shared" si="3"/>
        <v>56.76579926</v>
      </c>
      <c r="I283" s="436">
        <f t="shared" si="6"/>
        <v>1.117698726</v>
      </c>
      <c r="J283" s="460">
        <v>30.0</v>
      </c>
      <c r="K283" s="464">
        <f>14+30+9</f>
        <v>53</v>
      </c>
      <c r="L283" s="443"/>
      <c r="M283" s="447">
        <f>IFERROR(__xludf.DUMMYFUNCTION("""COMPUTED_VALUE"""),57.0)</f>
        <v>57</v>
      </c>
      <c r="N283" s="447">
        <f>IFERROR(__xludf.DUMMYFUNCTION("""COMPUTED_VALUE"""),57.0)</f>
        <v>57</v>
      </c>
      <c r="O283" s="447">
        <f>IFERROR(__xludf.DUMMYFUNCTION("""COMPUTED_VALUE"""),0.0)</f>
        <v>0</v>
      </c>
      <c r="P283" s="447">
        <f>IFERROR(__xludf.DUMMYFUNCTION("""COMPUTED_VALUE"""),0.0)</f>
        <v>0</v>
      </c>
      <c r="Q283" s="447">
        <f>IFERROR(__xludf.DUMMYFUNCTION("""COMPUTED_VALUE"""),0.0)</f>
        <v>0</v>
      </c>
      <c r="R283" s="447">
        <f>IFERROR(__xludf.DUMMYFUNCTION("""COMPUTED_VALUE"""),0.0)</f>
        <v>0</v>
      </c>
      <c r="S283" s="447">
        <f>IFERROR(__xludf.DUMMYFUNCTION("""COMPUTED_VALUE"""),3.0)</f>
        <v>3</v>
      </c>
      <c r="T283" s="447">
        <f>IFERROR(__xludf.DUMMYFUNCTION("""COMPUTED_VALUE"""),0.0)</f>
        <v>0</v>
      </c>
      <c r="U283" s="447">
        <f>IFERROR(__xludf.DUMMYFUNCTION("""COMPUTED_VALUE"""),0.0)</f>
        <v>0</v>
      </c>
      <c r="V283" s="447">
        <f>IFERROR(__xludf.DUMMYFUNCTION("""COMPUTED_VALUE"""),4.0)</f>
        <v>4</v>
      </c>
      <c r="W283" s="447">
        <f>IFERROR(__xludf.DUMMYFUNCTION("""COMPUTED_VALUE"""),0.0)</f>
        <v>0</v>
      </c>
      <c r="X283" s="447">
        <f>IFERROR(__xludf.DUMMYFUNCTION("""COMPUTED_VALUE"""),0.0)</f>
        <v>0</v>
      </c>
      <c r="Y283" s="447">
        <f>IFERROR(__xludf.DUMMYFUNCTION("""COMPUTED_VALUE"""),0.0)</f>
        <v>0</v>
      </c>
      <c r="Z283" s="447">
        <f>IFERROR(__xludf.DUMMYFUNCTION("""COMPUTED_VALUE"""),0.0)</f>
        <v>0</v>
      </c>
      <c r="AA283" s="447">
        <f>IFERROR(__xludf.DUMMYFUNCTION("""COMPUTED_VALUE"""),0.0)</f>
        <v>0</v>
      </c>
      <c r="AB283" s="447">
        <f>IFERROR(__xludf.DUMMYFUNCTION("""COMPUTED_VALUE"""),0.0)</f>
        <v>0</v>
      </c>
      <c r="AC283" s="447">
        <f>IFERROR(__xludf.DUMMYFUNCTION("""COMPUTED_VALUE"""),1.0)</f>
        <v>1</v>
      </c>
      <c r="AD283" s="447">
        <f>IFERROR(__xludf.DUMMYFUNCTION("""COMPUTED_VALUE"""),44.0)</f>
        <v>44</v>
      </c>
      <c r="AE283" s="447">
        <f>IFERROR(__xludf.DUMMYFUNCTION("""COMPUTED_VALUE"""),8.0)</f>
        <v>8</v>
      </c>
      <c r="AF283" s="447">
        <f>IFERROR(__xludf.DUMMYFUNCTION("""COMPUTED_VALUE"""),0.0)</f>
        <v>0</v>
      </c>
      <c r="AG283" s="443" t="s">
        <v>137</v>
      </c>
      <c r="AH283" s="443" t="s">
        <v>343</v>
      </c>
      <c r="AI283" s="443"/>
      <c r="AJ283" s="443"/>
      <c r="AK283" s="443"/>
      <c r="AL283" s="443"/>
      <c r="AM283" s="443"/>
      <c r="AN283" s="443"/>
      <c r="AO283" s="443"/>
      <c r="AP283" s="443"/>
      <c r="AQ283" s="443"/>
      <c r="AR283" s="443"/>
      <c r="AS283" s="443"/>
      <c r="AT283" s="443"/>
      <c r="AU283" s="443"/>
      <c r="AV283" s="443"/>
      <c r="AW283" s="443"/>
      <c r="AX283" s="443"/>
      <c r="AY283" s="443"/>
      <c r="AZ283" s="443"/>
      <c r="BA283" s="443"/>
      <c r="BB283" s="443"/>
      <c r="BC283" s="443"/>
      <c r="BD283" s="443"/>
      <c r="BE283" s="443"/>
    </row>
    <row r="284" hidden="1">
      <c r="A284" s="445">
        <f t="shared" si="5"/>
        <v>45574</v>
      </c>
      <c r="B284" s="449">
        <v>498.0</v>
      </c>
      <c r="C284" s="462">
        <v>0.6416666666666667</v>
      </c>
      <c r="D284" s="462">
        <v>1.0416666666666667</v>
      </c>
      <c r="E284" s="436">
        <f t="array" ref="E284">IF(B284=0,"",(J284+K284)/60)</f>
        <v>0.5</v>
      </c>
      <c r="F284" s="437">
        <f t="shared" si="1"/>
        <v>9.6</v>
      </c>
      <c r="G284" s="438">
        <f t="shared" si="7"/>
        <v>51.875</v>
      </c>
      <c r="H284" s="438">
        <f t="shared" si="3"/>
        <v>54.72527473</v>
      </c>
      <c r="I284" s="436">
        <f t="shared" si="6"/>
        <v>1.178977273</v>
      </c>
      <c r="J284" s="460">
        <v>30.0</v>
      </c>
      <c r="K284" s="464"/>
      <c r="L284" s="443"/>
      <c r="M284" s="447">
        <f>IFERROR(__xludf.DUMMYFUNCTION("""COMPUTED_VALUE"""),57.0)</f>
        <v>57</v>
      </c>
      <c r="N284" s="447">
        <f>IFERROR(__xludf.DUMMYFUNCTION("""COMPUTED_VALUE"""),57.0)</f>
        <v>57</v>
      </c>
      <c r="O284" s="447">
        <f>IFERROR(__xludf.DUMMYFUNCTION("""COMPUTED_VALUE"""),0.0)</f>
        <v>0</v>
      </c>
      <c r="P284" s="447">
        <f>IFERROR(__xludf.DUMMYFUNCTION("""COMPUTED_VALUE"""),0.0)</f>
        <v>0</v>
      </c>
      <c r="Q284" s="447">
        <f>IFERROR(__xludf.DUMMYFUNCTION("""COMPUTED_VALUE"""),0.0)</f>
        <v>0</v>
      </c>
      <c r="R284" s="447">
        <f>IFERROR(__xludf.DUMMYFUNCTION("""COMPUTED_VALUE"""),0.0)</f>
        <v>0</v>
      </c>
      <c r="S284" s="447">
        <f>IFERROR(__xludf.DUMMYFUNCTION("""COMPUTED_VALUE"""),3.0)</f>
        <v>3</v>
      </c>
      <c r="T284" s="447">
        <f>IFERROR(__xludf.DUMMYFUNCTION("""COMPUTED_VALUE"""),0.0)</f>
        <v>0</v>
      </c>
      <c r="U284" s="447">
        <f>IFERROR(__xludf.DUMMYFUNCTION("""COMPUTED_VALUE"""),0.0)</f>
        <v>0</v>
      </c>
      <c r="V284" s="447">
        <f>IFERROR(__xludf.DUMMYFUNCTION("""COMPUTED_VALUE"""),4.0)</f>
        <v>4</v>
      </c>
      <c r="W284" s="447">
        <f>IFERROR(__xludf.DUMMYFUNCTION("""COMPUTED_VALUE"""),1.0)</f>
        <v>1</v>
      </c>
      <c r="X284" s="447">
        <f>IFERROR(__xludf.DUMMYFUNCTION("""COMPUTED_VALUE"""),0.0)</f>
        <v>0</v>
      </c>
      <c r="Y284" s="447">
        <f>IFERROR(__xludf.DUMMYFUNCTION("""COMPUTED_VALUE"""),0.0)</f>
        <v>0</v>
      </c>
      <c r="Z284" s="447">
        <f>IFERROR(__xludf.DUMMYFUNCTION("""COMPUTED_VALUE"""),0.0)</f>
        <v>0</v>
      </c>
      <c r="AA284" s="447">
        <f>IFERROR(__xludf.DUMMYFUNCTION("""COMPUTED_VALUE"""),0.0)</f>
        <v>0</v>
      </c>
      <c r="AB284" s="447">
        <f>IFERROR(__xludf.DUMMYFUNCTION("""COMPUTED_VALUE"""),0.0)</f>
        <v>0</v>
      </c>
      <c r="AC284" s="447">
        <f>IFERROR(__xludf.DUMMYFUNCTION("""COMPUTED_VALUE"""),0.0)</f>
        <v>0</v>
      </c>
      <c r="AD284" s="447">
        <f>IFERROR(__xludf.DUMMYFUNCTION("""COMPUTED_VALUE"""),44.0)</f>
        <v>44</v>
      </c>
      <c r="AE284" s="447">
        <f>IFERROR(__xludf.DUMMYFUNCTION("""COMPUTED_VALUE"""),8.0)</f>
        <v>8</v>
      </c>
      <c r="AF284" s="447">
        <f>IFERROR(__xludf.DUMMYFUNCTION("""COMPUTED_VALUE"""),0.0)</f>
        <v>0</v>
      </c>
      <c r="AG284" s="443" t="s">
        <v>137</v>
      </c>
      <c r="AH284" s="443" t="s">
        <v>343</v>
      </c>
      <c r="AI284" s="443"/>
      <c r="AJ284" s="443"/>
      <c r="AK284" s="443"/>
      <c r="AL284" s="443"/>
      <c r="AM284" s="443"/>
      <c r="AN284" s="443"/>
      <c r="AO284" s="443"/>
      <c r="AP284" s="443"/>
      <c r="AQ284" s="443"/>
      <c r="AR284" s="443"/>
      <c r="AS284" s="443"/>
      <c r="AT284" s="443"/>
      <c r="AU284" s="443"/>
      <c r="AV284" s="443"/>
      <c r="AW284" s="443"/>
      <c r="AX284" s="443"/>
      <c r="AY284" s="443"/>
      <c r="AZ284" s="443"/>
      <c r="BA284" s="443"/>
      <c r="BB284" s="443"/>
      <c r="BC284" s="443"/>
      <c r="BD284" s="443"/>
      <c r="BE284" s="443"/>
    </row>
    <row r="285" hidden="1">
      <c r="A285" s="445">
        <f t="shared" si="5"/>
        <v>45575</v>
      </c>
      <c r="B285" s="449">
        <v>467.0</v>
      </c>
      <c r="C285" s="462">
        <v>0.6416666666666667</v>
      </c>
      <c r="D285" s="462">
        <v>1.020138888888889</v>
      </c>
      <c r="E285" s="436">
        <f t="array" ref="E285">IF(B285=0,"",(J285+K285)/60)</f>
        <v>1.35</v>
      </c>
      <c r="F285" s="437">
        <f t="shared" si="1"/>
        <v>9.083333333</v>
      </c>
      <c r="G285" s="438">
        <f t="shared" si="7"/>
        <v>51.41284404</v>
      </c>
      <c r="H285" s="438">
        <f t="shared" si="3"/>
        <v>60.38793103</v>
      </c>
      <c r="I285" s="436">
        <f t="shared" si="6"/>
        <v>1.093890299</v>
      </c>
      <c r="J285" s="460">
        <v>30.0</v>
      </c>
      <c r="K285" s="460">
        <v>51.0</v>
      </c>
      <c r="L285" s="443"/>
      <c r="M285" s="447">
        <f>IFERROR(__xludf.DUMMYFUNCTION("""COMPUTED_VALUE"""),57.0)</f>
        <v>57</v>
      </c>
      <c r="N285" s="447">
        <f>IFERROR(__xludf.DUMMYFUNCTION("""COMPUTED_VALUE"""),57.0)</f>
        <v>57</v>
      </c>
      <c r="O285" s="447">
        <f>IFERROR(__xludf.DUMMYFUNCTION("""COMPUTED_VALUE"""),0.0)</f>
        <v>0</v>
      </c>
      <c r="P285" s="447">
        <f>IFERROR(__xludf.DUMMYFUNCTION("""COMPUTED_VALUE"""),0.0)</f>
        <v>0</v>
      </c>
      <c r="Q285" s="447">
        <f>IFERROR(__xludf.DUMMYFUNCTION("""COMPUTED_VALUE"""),0.0)</f>
        <v>0</v>
      </c>
      <c r="R285" s="447">
        <f>IFERROR(__xludf.DUMMYFUNCTION("""COMPUTED_VALUE"""),0.0)</f>
        <v>0</v>
      </c>
      <c r="S285" s="447">
        <f>IFERROR(__xludf.DUMMYFUNCTION("""COMPUTED_VALUE"""),0.0)</f>
        <v>0</v>
      </c>
      <c r="T285" s="447">
        <f>IFERROR(__xludf.DUMMYFUNCTION("""COMPUTED_VALUE"""),0.0)</f>
        <v>0</v>
      </c>
      <c r="U285" s="447">
        <f>IFERROR(__xludf.DUMMYFUNCTION("""COMPUTED_VALUE"""),0.0)</f>
        <v>0</v>
      </c>
      <c r="V285" s="447">
        <f>IFERROR(__xludf.DUMMYFUNCTION("""COMPUTED_VALUE"""),4.0)</f>
        <v>4</v>
      </c>
      <c r="W285" s="447">
        <f>IFERROR(__xludf.DUMMYFUNCTION("""COMPUTED_VALUE"""),1.0)</f>
        <v>1</v>
      </c>
      <c r="X285" s="447">
        <f>IFERROR(__xludf.DUMMYFUNCTION("""COMPUTED_VALUE"""),0.0)</f>
        <v>0</v>
      </c>
      <c r="Y285" s="447">
        <f>IFERROR(__xludf.DUMMYFUNCTION("""COMPUTED_VALUE"""),0.0)</f>
        <v>0</v>
      </c>
      <c r="Z285" s="447">
        <f>IFERROR(__xludf.DUMMYFUNCTION("""COMPUTED_VALUE"""),0.0)</f>
        <v>0</v>
      </c>
      <c r="AA285" s="447">
        <f>IFERROR(__xludf.DUMMYFUNCTION("""COMPUTED_VALUE"""),0.0)</f>
        <v>0</v>
      </c>
      <c r="AB285" s="447">
        <f>IFERROR(__xludf.DUMMYFUNCTION("""COMPUTED_VALUE"""),2.0)</f>
        <v>2</v>
      </c>
      <c r="AC285" s="447">
        <f>IFERROR(__xludf.DUMMYFUNCTION("""COMPUTED_VALUE"""),0.0)</f>
        <v>0</v>
      </c>
      <c r="AD285" s="447">
        <f>IFERROR(__xludf.DUMMYFUNCTION("""COMPUTED_VALUE"""),47.0)</f>
        <v>47</v>
      </c>
      <c r="AE285" s="447">
        <f>IFERROR(__xludf.DUMMYFUNCTION("""COMPUTED_VALUE"""),5.0)</f>
        <v>5</v>
      </c>
      <c r="AF285" s="447">
        <f>IFERROR(__xludf.DUMMYFUNCTION("""COMPUTED_VALUE"""),0.0)</f>
        <v>0</v>
      </c>
      <c r="AG285" s="443" t="s">
        <v>137</v>
      </c>
      <c r="AH285" s="443" t="s">
        <v>343</v>
      </c>
      <c r="AI285" s="443"/>
      <c r="AJ285" s="443"/>
      <c r="AK285" s="443"/>
      <c r="AL285" s="443"/>
      <c r="AM285" s="443"/>
      <c r="AN285" s="443"/>
      <c r="AO285" s="443"/>
      <c r="AP285" s="443"/>
      <c r="AQ285" s="443"/>
      <c r="AR285" s="443"/>
      <c r="AS285" s="443"/>
      <c r="AT285" s="443"/>
      <c r="AU285" s="443"/>
      <c r="AV285" s="443"/>
      <c r="AW285" s="443"/>
      <c r="AX285" s="443"/>
      <c r="AY285" s="443"/>
      <c r="AZ285" s="443"/>
      <c r="BA285" s="443"/>
      <c r="BB285" s="443"/>
      <c r="BC285" s="443"/>
      <c r="BD285" s="443"/>
      <c r="BE285" s="443"/>
    </row>
    <row r="286" hidden="1">
      <c r="A286" s="445">
        <f t="shared" si="5"/>
        <v>45576</v>
      </c>
      <c r="B286" s="449">
        <v>450.0</v>
      </c>
      <c r="C286" s="462">
        <v>0.6416666666666667</v>
      </c>
      <c r="D286" s="628">
        <v>1.0215277777777778</v>
      </c>
      <c r="E286" s="436">
        <f t="array" ref="E286">IF(B286=0,"",(J286+K286)/60)</f>
        <v>1.333333333</v>
      </c>
      <c r="F286" s="437">
        <f t="shared" si="1"/>
        <v>9.116666667</v>
      </c>
      <c r="G286" s="438">
        <f t="shared" si="7"/>
        <v>49.36014625</v>
      </c>
      <c r="H286" s="438">
        <f t="shared" si="3"/>
        <v>57.81584582</v>
      </c>
      <c r="I286" s="436">
        <f t="shared" si="6"/>
        <v>1.02833638</v>
      </c>
      <c r="J286" s="460">
        <v>30.0</v>
      </c>
      <c r="K286" s="460">
        <v>50.0</v>
      </c>
      <c r="L286" s="443"/>
      <c r="M286" s="447">
        <f>IFERROR(__xludf.DUMMYFUNCTION("""COMPUTED_VALUE"""),57.0)</f>
        <v>57</v>
      </c>
      <c r="N286" s="447">
        <f>IFERROR(__xludf.DUMMYFUNCTION("""COMPUTED_VALUE"""),57.0)</f>
        <v>57</v>
      </c>
      <c r="O286" s="447">
        <f>IFERROR(__xludf.DUMMYFUNCTION("""COMPUTED_VALUE"""),0.0)</f>
        <v>0</v>
      </c>
      <c r="P286" s="447">
        <f>IFERROR(__xludf.DUMMYFUNCTION("""COMPUTED_VALUE"""),0.0)</f>
        <v>0</v>
      </c>
      <c r="Q286" s="447">
        <f>IFERROR(__xludf.DUMMYFUNCTION("""COMPUTED_VALUE"""),0.0)</f>
        <v>0</v>
      </c>
      <c r="R286" s="447">
        <f>IFERROR(__xludf.DUMMYFUNCTION("""COMPUTED_VALUE"""),0.0)</f>
        <v>0</v>
      </c>
      <c r="S286" s="447">
        <f>IFERROR(__xludf.DUMMYFUNCTION("""COMPUTED_VALUE"""),1.0)</f>
        <v>1</v>
      </c>
      <c r="T286" s="447">
        <f>IFERROR(__xludf.DUMMYFUNCTION("""COMPUTED_VALUE"""),0.0)</f>
        <v>0</v>
      </c>
      <c r="U286" s="447">
        <f>IFERROR(__xludf.DUMMYFUNCTION("""COMPUTED_VALUE"""),0.0)</f>
        <v>0</v>
      </c>
      <c r="V286" s="447">
        <f>IFERROR(__xludf.DUMMYFUNCTION("""COMPUTED_VALUE"""),4.0)</f>
        <v>4</v>
      </c>
      <c r="W286" s="447">
        <f>IFERROR(__xludf.DUMMYFUNCTION("""COMPUTED_VALUE"""),1.0)</f>
        <v>1</v>
      </c>
      <c r="X286" s="447">
        <f>IFERROR(__xludf.DUMMYFUNCTION("""COMPUTED_VALUE"""),0.0)</f>
        <v>0</v>
      </c>
      <c r="Y286" s="447">
        <f>IFERROR(__xludf.DUMMYFUNCTION("""COMPUTED_VALUE"""),0.0)</f>
        <v>0</v>
      </c>
      <c r="Z286" s="447">
        <f>IFERROR(__xludf.DUMMYFUNCTION("""COMPUTED_VALUE"""),0.0)</f>
        <v>0</v>
      </c>
      <c r="AA286" s="447">
        <f>IFERROR(__xludf.DUMMYFUNCTION("""COMPUTED_VALUE"""),0.0)</f>
        <v>0</v>
      </c>
      <c r="AB286" s="447">
        <f>IFERROR(__xludf.DUMMYFUNCTION("""COMPUTED_VALUE"""),0.0)</f>
        <v>0</v>
      </c>
      <c r="AC286" s="447">
        <f>IFERROR(__xludf.DUMMYFUNCTION("""COMPUTED_VALUE"""),0.0)</f>
        <v>0</v>
      </c>
      <c r="AD286" s="447">
        <f>IFERROR(__xludf.DUMMYFUNCTION("""COMPUTED_VALUE"""),48.0)</f>
        <v>48</v>
      </c>
      <c r="AE286" s="447">
        <f>IFERROR(__xludf.DUMMYFUNCTION("""COMPUTED_VALUE"""),6.0)</f>
        <v>6</v>
      </c>
      <c r="AF286" s="447">
        <f>IFERROR(__xludf.DUMMYFUNCTION("""COMPUTED_VALUE"""),0.0)</f>
        <v>0</v>
      </c>
      <c r="AG286" s="443" t="s">
        <v>137</v>
      </c>
      <c r="AH286" s="443" t="s">
        <v>343</v>
      </c>
      <c r="AI286" s="443"/>
      <c r="AJ286" s="443"/>
      <c r="AK286" s="443"/>
      <c r="AL286" s="443"/>
      <c r="AM286" s="443"/>
      <c r="AN286" s="443"/>
      <c r="AO286" s="443"/>
      <c r="AP286" s="443"/>
      <c r="AQ286" s="443"/>
      <c r="AR286" s="443"/>
      <c r="AS286" s="443"/>
      <c r="AT286" s="443"/>
      <c r="AU286" s="443"/>
      <c r="AV286" s="443"/>
      <c r="AW286" s="443"/>
      <c r="AX286" s="443"/>
      <c r="AY286" s="443"/>
      <c r="AZ286" s="443"/>
      <c r="BA286" s="443"/>
      <c r="BB286" s="443"/>
      <c r="BC286" s="443"/>
      <c r="BD286" s="443"/>
      <c r="BE286" s="443"/>
    </row>
    <row r="287" hidden="1">
      <c r="A287" s="445">
        <f t="shared" si="5"/>
        <v>45577</v>
      </c>
      <c r="B287" s="449">
        <v>258.0</v>
      </c>
      <c r="C287" s="462">
        <v>0.6</v>
      </c>
      <c r="D287" s="462">
        <v>0.8388888888888889</v>
      </c>
      <c r="E287" s="436">
        <f t="array" ref="E287">IF(B287=0,"",(J287+K287)/60)</f>
        <v>0</v>
      </c>
      <c r="F287" s="437">
        <f t="shared" si="1"/>
        <v>5.733333333</v>
      </c>
      <c r="G287" s="438">
        <f t="shared" si="7"/>
        <v>45</v>
      </c>
      <c r="H287" s="438">
        <f t="shared" si="3"/>
        <v>45</v>
      </c>
      <c r="I287" s="436">
        <f t="shared" si="6"/>
        <v>0.9183673469</v>
      </c>
      <c r="J287" s="460">
        <v>0.0</v>
      </c>
      <c r="K287" s="464"/>
      <c r="L287" s="443"/>
      <c r="M287" s="447">
        <f>IFERROR(__xludf.DUMMYFUNCTION("""COMPUTED_VALUE"""),57.0)</f>
        <v>57</v>
      </c>
      <c r="N287" s="447">
        <f>IFERROR(__xludf.DUMMYFUNCTION("""COMPUTED_VALUE"""),57.0)</f>
        <v>57</v>
      </c>
      <c r="O287" s="447">
        <f>IFERROR(__xludf.DUMMYFUNCTION("""COMPUTED_VALUE"""),0.0)</f>
        <v>0</v>
      </c>
      <c r="P287" s="447">
        <f>IFERROR(__xludf.DUMMYFUNCTION("""COMPUTED_VALUE"""),0.0)</f>
        <v>0</v>
      </c>
      <c r="Q287" s="447">
        <f>IFERROR(__xludf.DUMMYFUNCTION("""COMPUTED_VALUE"""),0.0)</f>
        <v>0</v>
      </c>
      <c r="R287" s="447">
        <f>IFERROR(__xludf.DUMMYFUNCTION("""COMPUTED_VALUE"""),0.0)</f>
        <v>0</v>
      </c>
      <c r="S287" s="447">
        <f>IFERROR(__xludf.DUMMYFUNCTION("""COMPUTED_VALUE"""),1.0)</f>
        <v>1</v>
      </c>
      <c r="T287" s="447">
        <f>IFERROR(__xludf.DUMMYFUNCTION("""COMPUTED_VALUE"""),0.0)</f>
        <v>0</v>
      </c>
      <c r="U287" s="447">
        <f>IFERROR(__xludf.DUMMYFUNCTION("""COMPUTED_VALUE"""),0.0)</f>
        <v>0</v>
      </c>
      <c r="V287" s="447">
        <f>IFERROR(__xludf.DUMMYFUNCTION("""COMPUTED_VALUE"""),4.0)</f>
        <v>4</v>
      </c>
      <c r="W287" s="447">
        <f>IFERROR(__xludf.DUMMYFUNCTION("""COMPUTED_VALUE"""),0.0)</f>
        <v>0</v>
      </c>
      <c r="X287" s="447">
        <f>IFERROR(__xludf.DUMMYFUNCTION("""COMPUTED_VALUE"""),0.0)</f>
        <v>0</v>
      </c>
      <c r="Y287" s="447">
        <f>IFERROR(__xludf.DUMMYFUNCTION("""COMPUTED_VALUE"""),0.0)</f>
        <v>0</v>
      </c>
      <c r="Z287" s="447">
        <f>IFERROR(__xludf.DUMMYFUNCTION("""COMPUTED_VALUE"""),0.0)</f>
        <v>0</v>
      </c>
      <c r="AA287" s="447">
        <f>IFERROR(__xludf.DUMMYFUNCTION("""COMPUTED_VALUE"""),0.0)</f>
        <v>0</v>
      </c>
      <c r="AB287" s="447">
        <f>IFERROR(__xludf.DUMMYFUNCTION("""COMPUTED_VALUE"""),0.0)</f>
        <v>0</v>
      </c>
      <c r="AC287" s="447">
        <f>IFERROR(__xludf.DUMMYFUNCTION("""COMPUTED_VALUE"""),0.0)</f>
        <v>0</v>
      </c>
      <c r="AD287" s="447">
        <f>IFERROR(__xludf.DUMMYFUNCTION("""COMPUTED_VALUE"""),49.0)</f>
        <v>49</v>
      </c>
      <c r="AE287" s="447">
        <f>IFERROR(__xludf.DUMMYFUNCTION("""COMPUTED_VALUE"""),5.0)</f>
        <v>5</v>
      </c>
      <c r="AF287" s="447">
        <f>IFERROR(__xludf.DUMMYFUNCTION("""COMPUTED_VALUE"""),0.0)</f>
        <v>0</v>
      </c>
      <c r="AG287" s="443" t="s">
        <v>137</v>
      </c>
      <c r="AH287" s="443" t="s">
        <v>343</v>
      </c>
      <c r="AI287" s="443"/>
      <c r="AJ287" s="443"/>
      <c r="AK287" s="443"/>
      <c r="AL287" s="443"/>
      <c r="AM287" s="443"/>
      <c r="AN287" s="443"/>
      <c r="AO287" s="443"/>
      <c r="AP287" s="443"/>
      <c r="AQ287" s="443"/>
      <c r="AR287" s="443"/>
      <c r="AS287" s="443"/>
      <c r="AT287" s="443"/>
      <c r="AU287" s="443"/>
      <c r="AV287" s="443"/>
      <c r="AW287" s="443"/>
      <c r="AX287" s="443"/>
      <c r="AY287" s="443"/>
      <c r="AZ287" s="443"/>
      <c r="BA287" s="443"/>
      <c r="BB287" s="443"/>
      <c r="BC287" s="443"/>
      <c r="BD287" s="443"/>
      <c r="BE287" s="443"/>
    </row>
    <row r="288" hidden="1">
      <c r="A288" s="445">
        <f t="shared" si="5"/>
        <v>45578</v>
      </c>
      <c r="B288" s="449">
        <v>0.0</v>
      </c>
      <c r="C288" s="443"/>
      <c r="D288" s="443"/>
      <c r="E288" s="436" t="str">
        <f t="array" ref="E288">IF(B288=0,"",(J288+K288)/60)</f>
        <v/>
      </c>
      <c r="F288" s="437" t="str">
        <f t="shared" si="1"/>
        <v/>
      </c>
      <c r="G288" s="438" t="str">
        <f t="shared" si="7"/>
        <v>#DIV/0!</v>
      </c>
      <c r="H288" s="438" t="str">
        <f t="shared" si="3"/>
        <v/>
      </c>
      <c r="I288" s="436" t="str">
        <f t="shared" si="6"/>
        <v/>
      </c>
      <c r="J288" s="464"/>
      <c r="K288" s="464"/>
      <c r="L288" s="443"/>
      <c r="M288" s="447">
        <f>IFERROR(__xludf.DUMMYFUNCTION("""COMPUTED_VALUE"""),57.0)</f>
        <v>57</v>
      </c>
      <c r="N288" s="447">
        <f>IFERROR(__xludf.DUMMYFUNCTION("""COMPUTED_VALUE"""),57.0)</f>
        <v>57</v>
      </c>
      <c r="O288" s="447">
        <f>IFERROR(__xludf.DUMMYFUNCTION("""COMPUTED_VALUE"""),0.0)</f>
        <v>0</v>
      </c>
      <c r="P288" s="447">
        <f>IFERROR(__xludf.DUMMYFUNCTION("""COMPUTED_VALUE"""),0.0)</f>
        <v>0</v>
      </c>
      <c r="Q288" s="447">
        <f>IFERROR(__xludf.DUMMYFUNCTION("""COMPUTED_VALUE"""),0.0)</f>
        <v>0</v>
      </c>
      <c r="R288" s="447">
        <f>IFERROR(__xludf.DUMMYFUNCTION("""COMPUTED_VALUE"""),0.0)</f>
        <v>0</v>
      </c>
      <c r="S288" s="447">
        <f>IFERROR(__xludf.DUMMYFUNCTION("""COMPUTED_VALUE"""),0.0)</f>
        <v>0</v>
      </c>
      <c r="T288" s="447">
        <f>IFERROR(__xludf.DUMMYFUNCTION("""COMPUTED_VALUE"""),0.0)</f>
        <v>0</v>
      </c>
      <c r="U288" s="447">
        <f>IFERROR(__xludf.DUMMYFUNCTION("""COMPUTED_VALUE"""),0.0)</f>
        <v>0</v>
      </c>
      <c r="V288" s="447">
        <f>IFERROR(__xludf.DUMMYFUNCTION("""COMPUTED_VALUE"""),0.0)</f>
        <v>0</v>
      </c>
      <c r="W288" s="447">
        <f>IFERROR(__xludf.DUMMYFUNCTION("""COMPUTED_VALUE"""),0.0)</f>
        <v>0</v>
      </c>
      <c r="X288" s="447">
        <f>IFERROR(__xludf.DUMMYFUNCTION("""COMPUTED_VALUE"""),0.0)</f>
        <v>0</v>
      </c>
      <c r="Y288" s="447">
        <f>IFERROR(__xludf.DUMMYFUNCTION("""COMPUTED_VALUE"""),0.0)</f>
        <v>0</v>
      </c>
      <c r="Z288" s="447">
        <f>IFERROR(__xludf.DUMMYFUNCTION("""COMPUTED_VALUE"""),0.0)</f>
        <v>0</v>
      </c>
      <c r="AA288" s="447">
        <f>IFERROR(__xludf.DUMMYFUNCTION("""COMPUTED_VALUE"""),0.0)</f>
        <v>0</v>
      </c>
      <c r="AB288" s="447">
        <f>IFERROR(__xludf.DUMMYFUNCTION("""COMPUTED_VALUE"""),0.0)</f>
        <v>0</v>
      </c>
      <c r="AC288" s="447">
        <f>IFERROR(__xludf.DUMMYFUNCTION("""COMPUTED_VALUE"""),0.0)</f>
        <v>0</v>
      </c>
      <c r="AD288" s="447">
        <f>IFERROR(__xludf.DUMMYFUNCTION("""COMPUTED_VALUE"""),0.0)</f>
        <v>0</v>
      </c>
      <c r="AE288" s="447">
        <f>IFERROR(__xludf.DUMMYFUNCTION("""COMPUTED_VALUE"""),0.0)</f>
        <v>0</v>
      </c>
      <c r="AF288" s="447">
        <f>IFERROR(__xludf.DUMMYFUNCTION("""COMPUTED_VALUE"""),0.0)</f>
        <v>0</v>
      </c>
      <c r="AG288" s="443" t="s">
        <v>137</v>
      </c>
      <c r="AH288" s="443" t="s">
        <v>343</v>
      </c>
      <c r="AI288" s="443"/>
      <c r="AJ288" s="443"/>
      <c r="AK288" s="443"/>
      <c r="AL288" s="443"/>
      <c r="AM288" s="443"/>
      <c r="AN288" s="443"/>
      <c r="AO288" s="443"/>
      <c r="AP288" s="443"/>
      <c r="AQ288" s="443"/>
      <c r="AR288" s="443"/>
      <c r="AS288" s="443"/>
      <c r="AT288" s="443"/>
      <c r="AU288" s="443"/>
      <c r="AV288" s="443"/>
      <c r="AW288" s="443"/>
      <c r="AX288" s="443"/>
      <c r="AY288" s="443"/>
      <c r="AZ288" s="443"/>
      <c r="BA288" s="443"/>
      <c r="BB288" s="443"/>
      <c r="BC288" s="443"/>
      <c r="BD288" s="443"/>
      <c r="BE288" s="443"/>
    </row>
    <row r="289" hidden="1">
      <c r="A289" s="445">
        <f t="shared" si="5"/>
        <v>45579</v>
      </c>
      <c r="B289" s="449">
        <v>474.0</v>
      </c>
      <c r="C289" s="462">
        <v>0.5756944444444444</v>
      </c>
      <c r="D289" s="462">
        <v>0.9326388888888889</v>
      </c>
      <c r="E289" s="436">
        <f t="array" ref="E289">IF(B289=0,"",(J289+K289)/60)</f>
        <v>1.533333333</v>
      </c>
      <c r="F289" s="437">
        <f t="shared" si="1"/>
        <v>8.566666667</v>
      </c>
      <c r="G289" s="438">
        <f t="shared" si="7"/>
        <v>55.3307393</v>
      </c>
      <c r="H289" s="438">
        <f t="shared" si="3"/>
        <v>67.39336493</v>
      </c>
      <c r="I289" s="436">
        <f t="shared" si="6"/>
        <v>1.152723735</v>
      </c>
      <c r="J289" s="460">
        <v>30.0</v>
      </c>
      <c r="K289" s="460">
        <v>62.0</v>
      </c>
      <c r="L289" s="443"/>
      <c r="M289" s="447">
        <f>IFERROR(__xludf.DUMMYFUNCTION("""COMPUTED_VALUE"""),57.0)</f>
        <v>57</v>
      </c>
      <c r="N289" s="447">
        <f>IFERROR(__xludf.DUMMYFUNCTION("""COMPUTED_VALUE"""),56.0)</f>
        <v>56</v>
      </c>
      <c r="O289" s="447">
        <f>IFERROR(__xludf.DUMMYFUNCTION("""COMPUTED_VALUE"""),0.0)</f>
        <v>0</v>
      </c>
      <c r="P289" s="447">
        <f>IFERROR(__xludf.DUMMYFUNCTION("""COMPUTED_VALUE"""),0.0)</f>
        <v>0</v>
      </c>
      <c r="Q289" s="447">
        <f>IFERROR(__xludf.DUMMYFUNCTION("""COMPUTED_VALUE"""),0.0)</f>
        <v>0</v>
      </c>
      <c r="R289" s="447">
        <f>IFERROR(__xludf.DUMMYFUNCTION("""COMPUTED_VALUE"""),0.0)</f>
        <v>0</v>
      </c>
      <c r="S289" s="447">
        <f>IFERROR(__xludf.DUMMYFUNCTION("""COMPUTED_VALUE"""),0.0)</f>
        <v>0</v>
      </c>
      <c r="T289" s="447">
        <f>IFERROR(__xludf.DUMMYFUNCTION("""COMPUTED_VALUE"""),0.0)</f>
        <v>0</v>
      </c>
      <c r="U289" s="447">
        <f>IFERROR(__xludf.DUMMYFUNCTION("""COMPUTED_VALUE"""),1.0)</f>
        <v>1</v>
      </c>
      <c r="V289" s="447">
        <f>IFERROR(__xludf.DUMMYFUNCTION("""COMPUTED_VALUE"""),4.0)</f>
        <v>4</v>
      </c>
      <c r="W289" s="447">
        <f>IFERROR(__xludf.DUMMYFUNCTION("""COMPUTED_VALUE"""),0.0)</f>
        <v>0</v>
      </c>
      <c r="X289" s="447">
        <f>IFERROR(__xludf.DUMMYFUNCTION("""COMPUTED_VALUE"""),0.0)</f>
        <v>0</v>
      </c>
      <c r="Y289" s="447">
        <f>IFERROR(__xludf.DUMMYFUNCTION("""COMPUTED_VALUE"""),0.0)</f>
        <v>0</v>
      </c>
      <c r="Z289" s="447">
        <f>IFERROR(__xludf.DUMMYFUNCTION("""COMPUTED_VALUE"""),0.0)</f>
        <v>0</v>
      </c>
      <c r="AA289" s="447">
        <f>IFERROR(__xludf.DUMMYFUNCTION("""COMPUTED_VALUE"""),0.0)</f>
        <v>0</v>
      </c>
      <c r="AB289" s="447">
        <f>IFERROR(__xludf.DUMMYFUNCTION("""COMPUTED_VALUE"""),0.0)</f>
        <v>0</v>
      </c>
      <c r="AC289" s="447">
        <f>IFERROR(__xludf.DUMMYFUNCTION("""COMPUTED_VALUE"""),1.0)</f>
        <v>1</v>
      </c>
      <c r="AD289" s="447">
        <f>IFERROR(__xludf.DUMMYFUNCTION("""COMPUTED_VALUE"""),48.0)</f>
        <v>48</v>
      </c>
      <c r="AE289" s="447">
        <f>IFERROR(__xludf.DUMMYFUNCTION("""COMPUTED_VALUE"""),6.0)</f>
        <v>6</v>
      </c>
      <c r="AF289" s="447">
        <f>IFERROR(__xludf.DUMMYFUNCTION("""COMPUTED_VALUE"""),1.0)</f>
        <v>1</v>
      </c>
      <c r="AG289" s="443" t="s">
        <v>137</v>
      </c>
      <c r="AH289" s="443" t="s">
        <v>343</v>
      </c>
      <c r="AI289" s="443"/>
      <c r="AJ289" s="443"/>
      <c r="AK289" s="443"/>
      <c r="AL289" s="443"/>
      <c r="AM289" s="443"/>
      <c r="AN289" s="443"/>
      <c r="AO289" s="443"/>
      <c r="AP289" s="443"/>
      <c r="AQ289" s="443"/>
      <c r="AR289" s="443"/>
      <c r="AS289" s="443"/>
      <c r="AT289" s="443"/>
      <c r="AU289" s="443"/>
      <c r="AV289" s="443"/>
      <c r="AW289" s="443"/>
      <c r="AX289" s="443"/>
      <c r="AY289" s="443"/>
      <c r="AZ289" s="443"/>
      <c r="BA289" s="443"/>
      <c r="BB289" s="443"/>
      <c r="BC289" s="443"/>
      <c r="BD289" s="443"/>
      <c r="BE289" s="443"/>
    </row>
    <row r="290" hidden="1">
      <c r="A290" s="445">
        <f t="shared" si="5"/>
        <v>45580</v>
      </c>
      <c r="B290" s="449">
        <v>487.0</v>
      </c>
      <c r="C290" s="462">
        <v>0.6</v>
      </c>
      <c r="D290" s="462">
        <v>0.9715277777777778</v>
      </c>
      <c r="E290" s="436">
        <f t="array" ref="E290">IF(B290=0,"",(J290+K290)/60)</f>
        <v>0.5</v>
      </c>
      <c r="F290" s="437">
        <f t="shared" si="1"/>
        <v>8.916666667</v>
      </c>
      <c r="G290" s="438">
        <f t="shared" si="7"/>
        <v>54.61682243</v>
      </c>
      <c r="H290" s="438">
        <f t="shared" si="3"/>
        <v>57.86138614</v>
      </c>
      <c r="I290" s="436">
        <f t="shared" si="6"/>
        <v>1.162060052</v>
      </c>
      <c r="J290" s="460">
        <v>30.0</v>
      </c>
      <c r="K290" s="464"/>
      <c r="L290" s="443"/>
      <c r="M290" s="447">
        <f>IFERROR(__xludf.DUMMYFUNCTION("""COMPUTED_VALUE"""),57.0)</f>
        <v>57</v>
      </c>
      <c r="N290" s="447">
        <f>IFERROR(__xludf.DUMMYFUNCTION("""COMPUTED_VALUE"""),56.0)</f>
        <v>56</v>
      </c>
      <c r="O290" s="447">
        <f>IFERROR(__xludf.DUMMYFUNCTION("""COMPUTED_VALUE"""),0.0)</f>
        <v>0</v>
      </c>
      <c r="P290" s="447">
        <f>IFERROR(__xludf.DUMMYFUNCTION("""COMPUTED_VALUE"""),0.0)</f>
        <v>0</v>
      </c>
      <c r="Q290" s="447">
        <f>IFERROR(__xludf.DUMMYFUNCTION("""COMPUTED_VALUE"""),0.0)</f>
        <v>0</v>
      </c>
      <c r="R290" s="447">
        <f>IFERROR(__xludf.DUMMYFUNCTION("""COMPUTED_VALUE"""),0.0)</f>
        <v>0</v>
      </c>
      <c r="S290" s="447">
        <f>IFERROR(__xludf.DUMMYFUNCTION("""COMPUTED_VALUE"""),0.0)</f>
        <v>0</v>
      </c>
      <c r="T290" s="447">
        <f>IFERROR(__xludf.DUMMYFUNCTION("""COMPUTED_VALUE"""),0.0)</f>
        <v>0</v>
      </c>
      <c r="U290" s="447">
        <f>IFERROR(__xludf.DUMMYFUNCTION("""COMPUTED_VALUE"""),1.0)</f>
        <v>1</v>
      </c>
      <c r="V290" s="447">
        <f>IFERROR(__xludf.DUMMYFUNCTION("""COMPUTED_VALUE"""),4.0)</f>
        <v>4</v>
      </c>
      <c r="W290" s="447">
        <f>IFERROR(__xludf.DUMMYFUNCTION("""COMPUTED_VALUE"""),0.0)</f>
        <v>0</v>
      </c>
      <c r="X290" s="447">
        <f>IFERROR(__xludf.DUMMYFUNCTION("""COMPUTED_VALUE"""),0.0)</f>
        <v>0</v>
      </c>
      <c r="Y290" s="447">
        <f>IFERROR(__xludf.DUMMYFUNCTION("""COMPUTED_VALUE"""),0.0)</f>
        <v>0</v>
      </c>
      <c r="Z290" s="447">
        <f>IFERROR(__xludf.DUMMYFUNCTION("""COMPUTED_VALUE"""),0.0)</f>
        <v>0</v>
      </c>
      <c r="AA290" s="447">
        <f>IFERROR(__xludf.DUMMYFUNCTION("""COMPUTED_VALUE"""),0.0)</f>
        <v>0</v>
      </c>
      <c r="AB290" s="447">
        <f>IFERROR(__xludf.DUMMYFUNCTION("""COMPUTED_VALUE"""),0.0)</f>
        <v>0</v>
      </c>
      <c r="AC290" s="447">
        <f>IFERROR(__xludf.DUMMYFUNCTION("""COMPUTED_VALUE"""),1.0)</f>
        <v>1</v>
      </c>
      <c r="AD290" s="447">
        <f>IFERROR(__xludf.DUMMYFUNCTION("""COMPUTED_VALUE"""),47.0)</f>
        <v>47</v>
      </c>
      <c r="AE290" s="447">
        <f>IFERROR(__xludf.DUMMYFUNCTION("""COMPUTED_VALUE"""),6.0)</f>
        <v>6</v>
      </c>
      <c r="AF290" s="447">
        <f>IFERROR(__xludf.DUMMYFUNCTION("""COMPUTED_VALUE"""),1.0)</f>
        <v>1</v>
      </c>
      <c r="AG290" s="443" t="s">
        <v>137</v>
      </c>
      <c r="AH290" s="443" t="s">
        <v>343</v>
      </c>
      <c r="AI290" s="443"/>
      <c r="AJ290" s="443"/>
      <c r="AK290" s="443"/>
      <c r="AL290" s="443"/>
      <c r="AM290" s="443"/>
      <c r="AN290" s="443"/>
      <c r="AO290" s="443"/>
      <c r="AP290" s="443"/>
      <c r="AQ290" s="443"/>
      <c r="AR290" s="443"/>
      <c r="AS290" s="443"/>
      <c r="AT290" s="443"/>
      <c r="AU290" s="443"/>
      <c r="AV290" s="443"/>
      <c r="AW290" s="443"/>
      <c r="AX290" s="443"/>
      <c r="AY290" s="443"/>
      <c r="AZ290" s="443"/>
      <c r="BA290" s="443"/>
      <c r="BB290" s="443"/>
      <c r="BC290" s="443"/>
      <c r="BD290" s="443"/>
      <c r="BE290" s="443"/>
    </row>
    <row r="291" hidden="1">
      <c r="A291" s="445">
        <f t="shared" si="5"/>
        <v>45581</v>
      </c>
      <c r="B291" s="449">
        <v>411.0</v>
      </c>
      <c r="C291" s="462">
        <v>0.6</v>
      </c>
      <c r="D291" s="462">
        <v>0.9423611111111111</v>
      </c>
      <c r="E291" s="436">
        <f t="array" ref="E291">IF(B291=0,"",(J291+K291)/60)</f>
        <v>0.5</v>
      </c>
      <c r="F291" s="437">
        <f t="shared" si="1"/>
        <v>8.216666667</v>
      </c>
      <c r="G291" s="438">
        <f t="shared" si="7"/>
        <v>50.02028398</v>
      </c>
      <c r="H291" s="438">
        <f t="shared" si="3"/>
        <v>53.26133909</v>
      </c>
      <c r="I291" s="436">
        <f t="shared" si="6"/>
        <v>1.087397478</v>
      </c>
      <c r="J291" s="460">
        <v>30.0</v>
      </c>
      <c r="K291" s="464"/>
      <c r="L291" s="443"/>
      <c r="M291" s="447">
        <f>IFERROR(__xludf.DUMMYFUNCTION("""COMPUTED_VALUE"""),57.0)</f>
        <v>57</v>
      </c>
      <c r="N291" s="447">
        <f>IFERROR(__xludf.DUMMYFUNCTION("""COMPUTED_VALUE"""),56.0)</f>
        <v>56</v>
      </c>
      <c r="O291" s="447">
        <f>IFERROR(__xludf.DUMMYFUNCTION("""COMPUTED_VALUE"""),0.0)</f>
        <v>0</v>
      </c>
      <c r="P291" s="447">
        <f>IFERROR(__xludf.DUMMYFUNCTION("""COMPUTED_VALUE"""),0.0)</f>
        <v>0</v>
      </c>
      <c r="Q291" s="447">
        <f>IFERROR(__xludf.DUMMYFUNCTION("""COMPUTED_VALUE"""),1.0)</f>
        <v>1</v>
      </c>
      <c r="R291" s="447">
        <f>IFERROR(__xludf.DUMMYFUNCTION("""COMPUTED_VALUE"""),0.0)</f>
        <v>0</v>
      </c>
      <c r="S291" s="447">
        <f>IFERROR(__xludf.DUMMYFUNCTION("""COMPUTED_VALUE"""),1.0)</f>
        <v>1</v>
      </c>
      <c r="T291" s="447">
        <f>IFERROR(__xludf.DUMMYFUNCTION("""COMPUTED_VALUE"""),0.0)</f>
        <v>0</v>
      </c>
      <c r="U291" s="447">
        <f>IFERROR(__xludf.DUMMYFUNCTION("""COMPUTED_VALUE"""),1.0)</f>
        <v>1</v>
      </c>
      <c r="V291" s="447">
        <f>IFERROR(__xludf.DUMMYFUNCTION("""COMPUTED_VALUE"""),4.0)</f>
        <v>4</v>
      </c>
      <c r="W291" s="447">
        <f>IFERROR(__xludf.DUMMYFUNCTION("""COMPUTED_VALUE"""),0.0)</f>
        <v>0</v>
      </c>
      <c r="X291" s="447">
        <f>IFERROR(__xludf.DUMMYFUNCTION("""COMPUTED_VALUE"""),0.0)</f>
        <v>0</v>
      </c>
      <c r="Y291" s="447">
        <f>IFERROR(__xludf.DUMMYFUNCTION("""COMPUTED_VALUE"""),0.0)</f>
        <v>0</v>
      </c>
      <c r="Z291" s="447">
        <f>IFERROR(__xludf.DUMMYFUNCTION("""COMPUTED_VALUE"""),0.0)</f>
        <v>0</v>
      </c>
      <c r="AA291" s="447">
        <f>IFERROR(__xludf.DUMMYFUNCTION("""COMPUTED_VALUE"""),0.0)</f>
        <v>0</v>
      </c>
      <c r="AB291" s="447">
        <f>IFERROR(__xludf.DUMMYFUNCTION("""COMPUTED_VALUE"""),0.0)</f>
        <v>0</v>
      </c>
      <c r="AC291" s="447">
        <f>IFERROR(__xludf.DUMMYFUNCTION("""COMPUTED_VALUE"""),1.0)</f>
        <v>1</v>
      </c>
      <c r="AD291" s="447">
        <f>IFERROR(__xludf.DUMMYFUNCTION("""COMPUTED_VALUE"""),46.0)</f>
        <v>46</v>
      </c>
      <c r="AE291" s="447">
        <f>IFERROR(__xludf.DUMMYFUNCTION("""COMPUTED_VALUE"""),8.0)</f>
        <v>8</v>
      </c>
      <c r="AF291" s="447">
        <f>IFERROR(__xludf.DUMMYFUNCTION("""COMPUTED_VALUE"""),1.0)</f>
        <v>1</v>
      </c>
      <c r="AG291" s="443" t="s">
        <v>137</v>
      </c>
      <c r="AH291" s="443" t="s">
        <v>343</v>
      </c>
      <c r="AI291" s="443"/>
      <c r="AJ291" s="443"/>
      <c r="AK291" s="443"/>
      <c r="AL291" s="443"/>
      <c r="AM291" s="443"/>
      <c r="AN291" s="443"/>
      <c r="AO291" s="443"/>
      <c r="AP291" s="443"/>
      <c r="AQ291" s="443"/>
      <c r="AR291" s="443"/>
      <c r="AS291" s="443"/>
      <c r="AT291" s="443"/>
      <c r="AU291" s="443"/>
      <c r="AV291" s="443"/>
      <c r="AW291" s="443"/>
      <c r="AX291" s="443"/>
      <c r="AY291" s="443"/>
      <c r="AZ291" s="443"/>
      <c r="BA291" s="443"/>
      <c r="BB291" s="443"/>
      <c r="BC291" s="443"/>
      <c r="BD291" s="443"/>
      <c r="BE291" s="443"/>
    </row>
    <row r="292" hidden="1">
      <c r="A292" s="445">
        <f t="shared" si="5"/>
        <v>45582</v>
      </c>
      <c r="B292" s="449">
        <v>504.0</v>
      </c>
      <c r="C292" s="462">
        <v>0.6416666666666667</v>
      </c>
      <c r="D292" s="462">
        <v>1.0590277777777777</v>
      </c>
      <c r="E292" s="436">
        <f t="array" ref="E292">IF(B292=0,"",(J292+K292)/60)</f>
        <v>0.5</v>
      </c>
      <c r="F292" s="437">
        <f t="shared" si="1"/>
        <v>10.01666667</v>
      </c>
      <c r="G292" s="438">
        <f t="shared" si="7"/>
        <v>50.31613977</v>
      </c>
      <c r="H292" s="438">
        <f t="shared" si="3"/>
        <v>52.95971979</v>
      </c>
      <c r="I292" s="436">
        <f t="shared" si="6"/>
        <v>1.093829125</v>
      </c>
      <c r="J292" s="460">
        <v>30.0</v>
      </c>
      <c r="K292" s="464"/>
      <c r="L292" s="443"/>
      <c r="M292" s="447">
        <f>IFERROR(__xludf.DUMMYFUNCTION("""COMPUTED_VALUE"""),57.0)</f>
        <v>57</v>
      </c>
      <c r="N292" s="447">
        <f>IFERROR(__xludf.DUMMYFUNCTION("""COMPUTED_VALUE"""),56.0)</f>
        <v>56</v>
      </c>
      <c r="O292" s="447">
        <f>IFERROR(__xludf.DUMMYFUNCTION("""COMPUTED_VALUE"""),0.0)</f>
        <v>0</v>
      </c>
      <c r="P292" s="447">
        <f>IFERROR(__xludf.DUMMYFUNCTION("""COMPUTED_VALUE"""),0.0)</f>
        <v>0</v>
      </c>
      <c r="Q292" s="447">
        <f>IFERROR(__xludf.DUMMYFUNCTION("""COMPUTED_VALUE"""),0.0)</f>
        <v>0</v>
      </c>
      <c r="R292" s="447">
        <f>IFERROR(__xludf.DUMMYFUNCTION("""COMPUTED_VALUE"""),0.0)</f>
        <v>0</v>
      </c>
      <c r="S292" s="447">
        <f>IFERROR(__xludf.DUMMYFUNCTION("""COMPUTED_VALUE"""),2.0)</f>
        <v>2</v>
      </c>
      <c r="T292" s="447">
        <f>IFERROR(__xludf.DUMMYFUNCTION("""COMPUTED_VALUE"""),0.0)</f>
        <v>0</v>
      </c>
      <c r="U292" s="447">
        <f>IFERROR(__xludf.DUMMYFUNCTION("""COMPUTED_VALUE"""),1.0)</f>
        <v>1</v>
      </c>
      <c r="V292" s="447">
        <f>IFERROR(__xludf.DUMMYFUNCTION("""COMPUTED_VALUE"""),4.0)</f>
        <v>4</v>
      </c>
      <c r="W292" s="447">
        <f>IFERROR(__xludf.DUMMYFUNCTION("""COMPUTED_VALUE"""),0.0)</f>
        <v>0</v>
      </c>
      <c r="X292" s="447">
        <f>IFERROR(__xludf.DUMMYFUNCTION("""COMPUTED_VALUE"""),0.0)</f>
        <v>0</v>
      </c>
      <c r="Y292" s="447">
        <f>IFERROR(__xludf.DUMMYFUNCTION("""COMPUTED_VALUE"""),0.0)</f>
        <v>0</v>
      </c>
      <c r="Z292" s="447">
        <f>IFERROR(__xludf.DUMMYFUNCTION("""COMPUTED_VALUE"""),0.0)</f>
        <v>0</v>
      </c>
      <c r="AA292" s="447">
        <f>IFERROR(__xludf.DUMMYFUNCTION("""COMPUTED_VALUE"""),0.0)</f>
        <v>0</v>
      </c>
      <c r="AB292" s="447">
        <f>IFERROR(__xludf.DUMMYFUNCTION("""COMPUTED_VALUE"""),0.0)</f>
        <v>0</v>
      </c>
      <c r="AC292" s="447">
        <f>IFERROR(__xludf.DUMMYFUNCTION("""COMPUTED_VALUE"""),1.0)</f>
        <v>1</v>
      </c>
      <c r="AD292" s="447">
        <f>IFERROR(__xludf.DUMMYFUNCTION("""COMPUTED_VALUE"""),46.0)</f>
        <v>46</v>
      </c>
      <c r="AE292" s="447">
        <f>IFERROR(__xludf.DUMMYFUNCTION("""COMPUTED_VALUE"""),8.0)</f>
        <v>8</v>
      </c>
      <c r="AF292" s="447">
        <f>IFERROR(__xludf.DUMMYFUNCTION("""COMPUTED_VALUE"""),1.0)</f>
        <v>1</v>
      </c>
      <c r="AG292" s="443" t="s">
        <v>137</v>
      </c>
      <c r="AH292" s="443" t="s">
        <v>343</v>
      </c>
      <c r="AI292" s="443"/>
      <c r="AJ292" s="443"/>
      <c r="AK292" s="443"/>
      <c r="AL292" s="443"/>
      <c r="AM292" s="443"/>
      <c r="AN292" s="443"/>
      <c r="AO292" s="443"/>
      <c r="AP292" s="443"/>
      <c r="AQ292" s="443"/>
      <c r="AR292" s="443"/>
      <c r="AS292" s="443"/>
      <c r="AT292" s="443"/>
      <c r="AU292" s="443"/>
      <c r="AV292" s="443"/>
      <c r="AW292" s="443"/>
      <c r="AX292" s="443"/>
      <c r="AY292" s="443"/>
      <c r="AZ292" s="443"/>
      <c r="BA292" s="443"/>
      <c r="BB292" s="443"/>
      <c r="BC292" s="443"/>
      <c r="BD292" s="443"/>
      <c r="BE292" s="443"/>
    </row>
    <row r="293" hidden="1">
      <c r="A293" s="445">
        <f t="shared" si="5"/>
        <v>45583</v>
      </c>
      <c r="B293" s="449">
        <v>556.0</v>
      </c>
      <c r="C293" s="462">
        <v>0.6416666666666667</v>
      </c>
      <c r="D293" s="462">
        <v>1.0625</v>
      </c>
      <c r="E293" s="436">
        <f t="array" ref="E293">IF(B293=0,"",(J293+K293)/60)</f>
        <v>1.5</v>
      </c>
      <c r="F293" s="437">
        <f t="shared" si="1"/>
        <v>10.1</v>
      </c>
      <c r="G293" s="438">
        <f t="shared" si="7"/>
        <v>55.04950495</v>
      </c>
      <c r="H293" s="438">
        <f t="shared" si="3"/>
        <v>64.65116279</v>
      </c>
      <c r="I293" s="436">
        <f t="shared" si="6"/>
        <v>1.196728368</v>
      </c>
      <c r="J293" s="460">
        <v>60.0</v>
      </c>
      <c r="K293" s="460">
        <v>30.0</v>
      </c>
      <c r="L293" s="443"/>
      <c r="M293" s="447">
        <f>IFERROR(__xludf.DUMMYFUNCTION("""COMPUTED_VALUE"""),57.0)</f>
        <v>57</v>
      </c>
      <c r="N293" s="447">
        <f>IFERROR(__xludf.DUMMYFUNCTION("""COMPUTED_VALUE"""),56.0)</f>
        <v>56</v>
      </c>
      <c r="O293" s="447">
        <f>IFERROR(__xludf.DUMMYFUNCTION("""COMPUTED_VALUE"""),0.0)</f>
        <v>0</v>
      </c>
      <c r="P293" s="447">
        <f>IFERROR(__xludf.DUMMYFUNCTION("""COMPUTED_VALUE"""),0.0)</f>
        <v>0</v>
      </c>
      <c r="Q293" s="447">
        <f>IFERROR(__xludf.DUMMYFUNCTION("""COMPUTED_VALUE"""),0.0)</f>
        <v>0</v>
      </c>
      <c r="R293" s="447">
        <f>IFERROR(__xludf.DUMMYFUNCTION("""COMPUTED_VALUE"""),0.0)</f>
        <v>0</v>
      </c>
      <c r="S293" s="447">
        <f>IFERROR(__xludf.DUMMYFUNCTION("""COMPUTED_VALUE"""),2.0)</f>
        <v>2</v>
      </c>
      <c r="T293" s="447">
        <f>IFERROR(__xludf.DUMMYFUNCTION("""COMPUTED_VALUE"""),0.0)</f>
        <v>0</v>
      </c>
      <c r="U293" s="447">
        <f>IFERROR(__xludf.DUMMYFUNCTION("""COMPUTED_VALUE"""),1.0)</f>
        <v>1</v>
      </c>
      <c r="V293" s="447">
        <f>IFERROR(__xludf.DUMMYFUNCTION("""COMPUTED_VALUE"""),4.0)</f>
        <v>4</v>
      </c>
      <c r="W293" s="447">
        <f>IFERROR(__xludf.DUMMYFUNCTION("""COMPUTED_VALUE"""),0.0)</f>
        <v>0</v>
      </c>
      <c r="X293" s="447">
        <f>IFERROR(__xludf.DUMMYFUNCTION("""COMPUTED_VALUE"""),0.0)</f>
        <v>0</v>
      </c>
      <c r="Y293" s="447">
        <f>IFERROR(__xludf.DUMMYFUNCTION("""COMPUTED_VALUE"""),0.0)</f>
        <v>0</v>
      </c>
      <c r="Z293" s="447">
        <f>IFERROR(__xludf.DUMMYFUNCTION("""COMPUTED_VALUE"""),0.0)</f>
        <v>0</v>
      </c>
      <c r="AA293" s="447">
        <f>IFERROR(__xludf.DUMMYFUNCTION("""COMPUTED_VALUE"""),0.0)</f>
        <v>0</v>
      </c>
      <c r="AB293" s="447">
        <f>IFERROR(__xludf.DUMMYFUNCTION("""COMPUTED_VALUE"""),0.0)</f>
        <v>0</v>
      </c>
      <c r="AC293" s="447">
        <f>IFERROR(__xludf.DUMMYFUNCTION("""COMPUTED_VALUE"""),1.0)</f>
        <v>1</v>
      </c>
      <c r="AD293" s="447">
        <f>IFERROR(__xludf.DUMMYFUNCTION("""COMPUTED_VALUE"""),46.0)</f>
        <v>46</v>
      </c>
      <c r="AE293" s="447">
        <f>IFERROR(__xludf.DUMMYFUNCTION("""COMPUTED_VALUE"""),8.0)</f>
        <v>8</v>
      </c>
      <c r="AF293" s="447">
        <f>IFERROR(__xludf.DUMMYFUNCTION("""COMPUTED_VALUE"""),1.0)</f>
        <v>1</v>
      </c>
      <c r="AG293" s="443" t="s">
        <v>137</v>
      </c>
      <c r="AH293" s="443" t="s">
        <v>343</v>
      </c>
      <c r="AI293" s="443"/>
      <c r="AJ293" s="443"/>
      <c r="AK293" s="443"/>
      <c r="AL293" s="443"/>
      <c r="AM293" s="443"/>
      <c r="AN293" s="443"/>
      <c r="AO293" s="443"/>
      <c r="AP293" s="443"/>
      <c r="AQ293" s="443"/>
      <c r="AR293" s="443"/>
      <c r="AS293" s="443"/>
      <c r="AT293" s="443"/>
      <c r="AU293" s="443"/>
      <c r="AV293" s="443"/>
      <c r="AW293" s="443"/>
      <c r="AX293" s="443"/>
      <c r="AY293" s="443"/>
      <c r="AZ293" s="443"/>
      <c r="BA293" s="443"/>
      <c r="BB293" s="443"/>
      <c r="BC293" s="443"/>
      <c r="BD293" s="443"/>
      <c r="BE293" s="443"/>
    </row>
    <row r="294" hidden="1">
      <c r="A294" s="445">
        <f t="shared" si="5"/>
        <v>45584</v>
      </c>
      <c r="B294" s="449">
        <v>377.0</v>
      </c>
      <c r="C294" s="462">
        <v>0.6416666666666667</v>
      </c>
      <c r="D294" s="462">
        <v>0.9486111111111111</v>
      </c>
      <c r="E294" s="436">
        <f t="array" ref="E294">IF(B294=0,"",(J294+K294)/60)</f>
        <v>0.8333333333</v>
      </c>
      <c r="F294" s="437">
        <f t="shared" si="1"/>
        <v>7.366666667</v>
      </c>
      <c r="G294" s="438">
        <f t="shared" si="7"/>
        <v>51.17647059</v>
      </c>
      <c r="H294" s="438">
        <f t="shared" si="3"/>
        <v>57.70408163</v>
      </c>
      <c r="I294" s="436">
        <f t="shared" si="6"/>
        <v>1.112531969</v>
      </c>
      <c r="J294" s="460">
        <v>30.0</v>
      </c>
      <c r="K294" s="460">
        <v>20.0</v>
      </c>
      <c r="L294" s="443"/>
      <c r="M294" s="447">
        <f>IFERROR(__xludf.DUMMYFUNCTION("""COMPUTED_VALUE"""),57.0)</f>
        <v>57</v>
      </c>
      <c r="N294" s="447">
        <f>IFERROR(__xludf.DUMMYFUNCTION("""COMPUTED_VALUE"""),56.0)</f>
        <v>56</v>
      </c>
      <c r="O294" s="447">
        <f>IFERROR(__xludf.DUMMYFUNCTION("""COMPUTED_VALUE"""),0.0)</f>
        <v>0</v>
      </c>
      <c r="P294" s="447">
        <f>IFERROR(__xludf.DUMMYFUNCTION("""COMPUTED_VALUE"""),0.0)</f>
        <v>0</v>
      </c>
      <c r="Q294" s="447">
        <f>IFERROR(__xludf.DUMMYFUNCTION("""COMPUTED_VALUE"""),0.0)</f>
        <v>0</v>
      </c>
      <c r="R294" s="447">
        <f>IFERROR(__xludf.DUMMYFUNCTION("""COMPUTED_VALUE"""),0.0)</f>
        <v>0</v>
      </c>
      <c r="S294" s="447">
        <f>IFERROR(__xludf.DUMMYFUNCTION("""COMPUTED_VALUE"""),2.0)</f>
        <v>2</v>
      </c>
      <c r="T294" s="447">
        <f>IFERROR(__xludf.DUMMYFUNCTION("""COMPUTED_VALUE"""),0.0)</f>
        <v>0</v>
      </c>
      <c r="U294" s="447">
        <f>IFERROR(__xludf.DUMMYFUNCTION("""COMPUTED_VALUE"""),1.0)</f>
        <v>1</v>
      </c>
      <c r="V294" s="447">
        <f>IFERROR(__xludf.DUMMYFUNCTION("""COMPUTED_VALUE"""),4.0)</f>
        <v>4</v>
      </c>
      <c r="W294" s="447">
        <f>IFERROR(__xludf.DUMMYFUNCTION("""COMPUTED_VALUE"""),0.0)</f>
        <v>0</v>
      </c>
      <c r="X294" s="447">
        <f>IFERROR(__xludf.DUMMYFUNCTION("""COMPUTED_VALUE"""),0.0)</f>
        <v>0</v>
      </c>
      <c r="Y294" s="447">
        <f>IFERROR(__xludf.DUMMYFUNCTION("""COMPUTED_VALUE"""),0.0)</f>
        <v>0</v>
      </c>
      <c r="Z294" s="447">
        <f>IFERROR(__xludf.DUMMYFUNCTION("""COMPUTED_VALUE"""),0.0)</f>
        <v>0</v>
      </c>
      <c r="AA294" s="447">
        <f>IFERROR(__xludf.DUMMYFUNCTION("""COMPUTED_VALUE"""),0.0)</f>
        <v>0</v>
      </c>
      <c r="AB294" s="447">
        <f>IFERROR(__xludf.DUMMYFUNCTION("""COMPUTED_VALUE"""),0.0)</f>
        <v>0</v>
      </c>
      <c r="AC294" s="447">
        <f>IFERROR(__xludf.DUMMYFUNCTION("""COMPUTED_VALUE"""),1.0)</f>
        <v>1</v>
      </c>
      <c r="AD294" s="447">
        <f>IFERROR(__xludf.DUMMYFUNCTION("""COMPUTED_VALUE"""),46.0)</f>
        <v>46</v>
      </c>
      <c r="AE294" s="447">
        <f>IFERROR(__xludf.DUMMYFUNCTION("""COMPUTED_VALUE"""),8.0)</f>
        <v>8</v>
      </c>
      <c r="AF294" s="447">
        <f>IFERROR(__xludf.DUMMYFUNCTION("""COMPUTED_VALUE"""),1.0)</f>
        <v>1</v>
      </c>
      <c r="AG294" s="443" t="s">
        <v>137</v>
      </c>
      <c r="AH294" s="443" t="s">
        <v>343</v>
      </c>
      <c r="AI294" s="443"/>
      <c r="AJ294" s="443"/>
      <c r="AK294" s="443"/>
      <c r="AL294" s="443"/>
      <c r="AM294" s="443"/>
      <c r="AN294" s="443"/>
      <c r="AO294" s="443"/>
      <c r="AP294" s="443"/>
      <c r="AQ294" s="443"/>
      <c r="AR294" s="443"/>
      <c r="AS294" s="443"/>
      <c r="AT294" s="443"/>
      <c r="AU294" s="443"/>
      <c r="AV294" s="443"/>
      <c r="AW294" s="443"/>
      <c r="AX294" s="443"/>
      <c r="AY294" s="443"/>
      <c r="AZ294" s="443"/>
      <c r="BA294" s="443"/>
      <c r="BB294" s="443"/>
      <c r="BC294" s="443"/>
      <c r="BD294" s="443"/>
      <c r="BE294" s="443"/>
    </row>
    <row r="295" hidden="1">
      <c r="A295" s="445">
        <f t="shared" si="5"/>
        <v>45585</v>
      </c>
      <c r="B295" s="449">
        <v>0.0</v>
      </c>
      <c r="C295" s="462"/>
      <c r="D295" s="462"/>
      <c r="E295" s="436" t="str">
        <f t="array" ref="E295">IF(B295=0,"",(J295+K295)/60)</f>
        <v/>
      </c>
      <c r="F295" s="437" t="str">
        <f t="shared" si="1"/>
        <v/>
      </c>
      <c r="G295" s="438" t="str">
        <f t="shared" si="7"/>
        <v>#DIV/0!</v>
      </c>
      <c r="H295" s="438" t="str">
        <f t="shared" si="3"/>
        <v/>
      </c>
      <c r="I295" s="436" t="str">
        <f t="shared" si="6"/>
        <v/>
      </c>
      <c r="J295" s="460"/>
      <c r="K295" s="464"/>
      <c r="L295" s="443"/>
      <c r="M295" s="447">
        <f>IFERROR(__xludf.DUMMYFUNCTION("""COMPUTED_VALUE"""),57.0)</f>
        <v>57</v>
      </c>
      <c r="N295" s="447">
        <f>IFERROR(__xludf.DUMMYFUNCTION("""COMPUTED_VALUE"""),57.0)</f>
        <v>57</v>
      </c>
      <c r="O295" s="447">
        <f>IFERROR(__xludf.DUMMYFUNCTION("""COMPUTED_VALUE"""),0.0)</f>
        <v>0</v>
      </c>
      <c r="P295" s="447">
        <f>IFERROR(__xludf.DUMMYFUNCTION("""COMPUTED_VALUE"""),0.0)</f>
        <v>0</v>
      </c>
      <c r="Q295" s="447">
        <f>IFERROR(__xludf.DUMMYFUNCTION("""COMPUTED_VALUE"""),0.0)</f>
        <v>0</v>
      </c>
      <c r="R295" s="447">
        <f>IFERROR(__xludf.DUMMYFUNCTION("""COMPUTED_VALUE"""),0.0)</f>
        <v>0</v>
      </c>
      <c r="S295" s="447">
        <f>IFERROR(__xludf.DUMMYFUNCTION("""COMPUTED_VALUE"""),0.0)</f>
        <v>0</v>
      </c>
      <c r="T295" s="447">
        <f>IFERROR(__xludf.DUMMYFUNCTION("""COMPUTED_VALUE"""),0.0)</f>
        <v>0</v>
      </c>
      <c r="U295" s="447">
        <f>IFERROR(__xludf.DUMMYFUNCTION("""COMPUTED_VALUE"""),0.0)</f>
        <v>0</v>
      </c>
      <c r="V295" s="447">
        <f>IFERROR(__xludf.DUMMYFUNCTION("""COMPUTED_VALUE"""),0.0)</f>
        <v>0</v>
      </c>
      <c r="W295" s="447">
        <f>IFERROR(__xludf.DUMMYFUNCTION("""COMPUTED_VALUE"""),0.0)</f>
        <v>0</v>
      </c>
      <c r="X295" s="447">
        <f>IFERROR(__xludf.DUMMYFUNCTION("""COMPUTED_VALUE"""),0.0)</f>
        <v>0</v>
      </c>
      <c r="Y295" s="447">
        <f>IFERROR(__xludf.DUMMYFUNCTION("""COMPUTED_VALUE"""),0.0)</f>
        <v>0</v>
      </c>
      <c r="Z295" s="447">
        <f>IFERROR(__xludf.DUMMYFUNCTION("""COMPUTED_VALUE"""),0.0)</f>
        <v>0</v>
      </c>
      <c r="AA295" s="447">
        <f>IFERROR(__xludf.DUMMYFUNCTION("""COMPUTED_VALUE"""),0.0)</f>
        <v>0</v>
      </c>
      <c r="AB295" s="447">
        <f>IFERROR(__xludf.DUMMYFUNCTION("""COMPUTED_VALUE"""),0.0)</f>
        <v>0</v>
      </c>
      <c r="AC295" s="447">
        <f>IFERROR(__xludf.DUMMYFUNCTION("""COMPUTED_VALUE"""),0.0)</f>
        <v>0</v>
      </c>
      <c r="AD295" s="447">
        <f>IFERROR(__xludf.DUMMYFUNCTION("""COMPUTED_VALUE"""),0.0)</f>
        <v>0</v>
      </c>
      <c r="AE295" s="447">
        <f>IFERROR(__xludf.DUMMYFUNCTION("""COMPUTED_VALUE"""),0.0)</f>
        <v>0</v>
      </c>
      <c r="AF295" s="447">
        <f>IFERROR(__xludf.DUMMYFUNCTION("""COMPUTED_VALUE"""),0.0)</f>
        <v>0</v>
      </c>
      <c r="AG295" s="443" t="s">
        <v>137</v>
      </c>
      <c r="AH295" s="443" t="s">
        <v>343</v>
      </c>
      <c r="AI295" s="443"/>
      <c r="AJ295" s="443"/>
      <c r="AK295" s="443"/>
      <c r="AL295" s="443"/>
      <c r="AM295" s="443"/>
      <c r="AN295" s="443"/>
      <c r="AO295" s="443"/>
      <c r="AP295" s="443"/>
      <c r="AQ295" s="443"/>
      <c r="AR295" s="443"/>
      <c r="AS295" s="443"/>
      <c r="AT295" s="443"/>
      <c r="AU295" s="443"/>
      <c r="AV295" s="443"/>
      <c r="AW295" s="443"/>
      <c r="AX295" s="443"/>
      <c r="AY295" s="443"/>
      <c r="AZ295" s="443"/>
      <c r="BA295" s="443"/>
      <c r="BB295" s="443"/>
      <c r="BC295" s="443"/>
      <c r="BD295" s="443"/>
      <c r="BE295" s="443"/>
    </row>
    <row r="296" hidden="1">
      <c r="A296" s="445">
        <f t="shared" si="5"/>
        <v>45586</v>
      </c>
      <c r="B296" s="449">
        <v>630.0</v>
      </c>
      <c r="C296" s="462">
        <v>0.6</v>
      </c>
      <c r="D296" s="462">
        <v>1.082638888888889</v>
      </c>
      <c r="E296" s="436">
        <f t="array" ref="E296">IF(B296=0,"",(J296+K296)/60)</f>
        <v>1</v>
      </c>
      <c r="F296" s="437">
        <f t="shared" si="1"/>
        <v>11.58333333</v>
      </c>
      <c r="G296" s="438">
        <f t="shared" si="7"/>
        <v>54.38848921</v>
      </c>
      <c r="H296" s="438">
        <f t="shared" si="3"/>
        <v>59.52755906</v>
      </c>
      <c r="I296" s="436">
        <f t="shared" si="6"/>
        <v>1.182358461</v>
      </c>
      <c r="J296" s="460">
        <v>60.0</v>
      </c>
      <c r="K296" s="464"/>
      <c r="L296" s="443"/>
      <c r="M296" s="447">
        <f>IFERROR(__xludf.DUMMYFUNCTION("""COMPUTED_VALUE"""),57.0)</f>
        <v>57</v>
      </c>
      <c r="N296" s="447">
        <f>IFERROR(__xludf.DUMMYFUNCTION("""COMPUTED_VALUE"""),56.0)</f>
        <v>56</v>
      </c>
      <c r="O296" s="447">
        <f>IFERROR(__xludf.DUMMYFUNCTION("""COMPUTED_VALUE"""),0.0)</f>
        <v>0</v>
      </c>
      <c r="P296" s="447">
        <f>IFERROR(__xludf.DUMMYFUNCTION("""COMPUTED_VALUE"""),0.0)</f>
        <v>0</v>
      </c>
      <c r="Q296" s="447">
        <f>IFERROR(__xludf.DUMMYFUNCTION("""COMPUTED_VALUE"""),1.0)</f>
        <v>1</v>
      </c>
      <c r="R296" s="447">
        <f>IFERROR(__xludf.DUMMYFUNCTION("""COMPUTED_VALUE"""),0.0)</f>
        <v>0</v>
      </c>
      <c r="S296" s="447">
        <f>IFERROR(__xludf.DUMMYFUNCTION("""COMPUTED_VALUE"""),2.0)</f>
        <v>2</v>
      </c>
      <c r="T296" s="447">
        <f>IFERROR(__xludf.DUMMYFUNCTION("""COMPUTED_VALUE"""),0.0)</f>
        <v>0</v>
      </c>
      <c r="U296" s="447">
        <f>IFERROR(__xludf.DUMMYFUNCTION("""COMPUTED_VALUE"""),1.0)</f>
        <v>1</v>
      </c>
      <c r="V296" s="447">
        <f>IFERROR(__xludf.DUMMYFUNCTION("""COMPUTED_VALUE"""),3.0)</f>
        <v>3</v>
      </c>
      <c r="W296" s="447">
        <f>IFERROR(__xludf.DUMMYFUNCTION("""COMPUTED_VALUE"""),0.0)</f>
        <v>0</v>
      </c>
      <c r="X296" s="447">
        <f>IFERROR(__xludf.DUMMYFUNCTION("""COMPUTED_VALUE"""),0.0)</f>
        <v>0</v>
      </c>
      <c r="Y296" s="447">
        <f>IFERROR(__xludf.DUMMYFUNCTION("""COMPUTED_VALUE"""),0.0)</f>
        <v>0</v>
      </c>
      <c r="Z296" s="447">
        <f>IFERROR(__xludf.DUMMYFUNCTION("""COMPUTED_VALUE"""),0.0)</f>
        <v>0</v>
      </c>
      <c r="AA296" s="447">
        <f>IFERROR(__xludf.DUMMYFUNCTION("""COMPUTED_VALUE"""),1.0)</f>
        <v>1</v>
      </c>
      <c r="AB296" s="447">
        <f>IFERROR(__xludf.DUMMYFUNCTION("""COMPUTED_VALUE"""),0.0)</f>
        <v>0</v>
      </c>
      <c r="AC296" s="447">
        <f>IFERROR(__xludf.DUMMYFUNCTION("""COMPUTED_VALUE"""),0.0)</f>
        <v>0</v>
      </c>
      <c r="AD296" s="447">
        <f>IFERROR(__xludf.DUMMYFUNCTION("""COMPUTED_VALUE"""),46.0)</f>
        <v>46</v>
      </c>
      <c r="AE296" s="447">
        <f>IFERROR(__xludf.DUMMYFUNCTION("""COMPUTED_VALUE"""),8.0)</f>
        <v>8</v>
      </c>
      <c r="AF296" s="447">
        <f>IFERROR(__xludf.DUMMYFUNCTION("""COMPUTED_VALUE"""),1.0)</f>
        <v>1</v>
      </c>
      <c r="AG296" s="443" t="s">
        <v>137</v>
      </c>
      <c r="AH296" s="443" t="s">
        <v>343</v>
      </c>
      <c r="AI296" s="443"/>
      <c r="AJ296" s="443"/>
      <c r="AK296" s="443"/>
      <c r="AL296" s="443"/>
      <c r="AM296" s="443"/>
      <c r="AN296" s="443"/>
      <c r="AO296" s="443"/>
      <c r="AP296" s="443"/>
      <c r="AQ296" s="443"/>
      <c r="AR296" s="443"/>
      <c r="AS296" s="443"/>
      <c r="AT296" s="443"/>
      <c r="AU296" s="443"/>
      <c r="AV296" s="443"/>
      <c r="AW296" s="443"/>
      <c r="AX296" s="443"/>
      <c r="AY296" s="443"/>
      <c r="AZ296" s="443"/>
      <c r="BA296" s="443"/>
      <c r="BB296" s="443"/>
      <c r="BC296" s="443"/>
      <c r="BD296" s="443"/>
      <c r="BE296" s="443"/>
    </row>
    <row r="297" hidden="1">
      <c r="A297" s="445">
        <f t="shared" si="5"/>
        <v>45587</v>
      </c>
      <c r="B297" s="449">
        <v>517.0</v>
      </c>
      <c r="C297" s="462">
        <v>0.6416666666666667</v>
      </c>
      <c r="D297" s="462">
        <v>1.0763888888888888</v>
      </c>
      <c r="E297" s="436">
        <f t="array" ref="E297">IF(B297=0,"",(J297+K297)/60)</f>
        <v>0.5</v>
      </c>
      <c r="F297" s="437">
        <f t="shared" si="1"/>
        <v>10.43333333</v>
      </c>
      <c r="G297" s="438">
        <f t="shared" si="7"/>
        <v>49.55271565</v>
      </c>
      <c r="H297" s="438">
        <f t="shared" si="3"/>
        <v>52.04697987</v>
      </c>
      <c r="I297" s="436">
        <f t="shared" si="6"/>
        <v>1.077232949</v>
      </c>
      <c r="J297" s="460">
        <v>30.0</v>
      </c>
      <c r="K297" s="460"/>
      <c r="L297" s="443"/>
      <c r="M297" s="447">
        <f>IFERROR(__xludf.DUMMYFUNCTION("""COMPUTED_VALUE"""),57.0)</f>
        <v>57</v>
      </c>
      <c r="N297" s="447">
        <f>IFERROR(__xludf.DUMMYFUNCTION("""COMPUTED_VALUE"""),56.0)</f>
        <v>56</v>
      </c>
      <c r="O297" s="447">
        <f>IFERROR(__xludf.DUMMYFUNCTION("""COMPUTED_VALUE"""),0.0)</f>
        <v>0</v>
      </c>
      <c r="P297" s="447">
        <f>IFERROR(__xludf.DUMMYFUNCTION("""COMPUTED_VALUE"""),0.0)</f>
        <v>0</v>
      </c>
      <c r="Q297" s="447">
        <f>IFERROR(__xludf.DUMMYFUNCTION("""COMPUTED_VALUE"""),1.0)</f>
        <v>1</v>
      </c>
      <c r="R297" s="447">
        <f>IFERROR(__xludf.DUMMYFUNCTION("""COMPUTED_VALUE"""),0.0)</f>
        <v>0</v>
      </c>
      <c r="S297" s="447">
        <f>IFERROR(__xludf.DUMMYFUNCTION("""COMPUTED_VALUE"""),4.0)</f>
        <v>4</v>
      </c>
      <c r="T297" s="447">
        <f>IFERROR(__xludf.DUMMYFUNCTION("""COMPUTED_VALUE"""),0.0)</f>
        <v>0</v>
      </c>
      <c r="U297" s="447">
        <f>IFERROR(__xludf.DUMMYFUNCTION("""COMPUTED_VALUE"""),1.0)</f>
        <v>1</v>
      </c>
      <c r="V297" s="447">
        <f>IFERROR(__xludf.DUMMYFUNCTION("""COMPUTED_VALUE"""),0.0)</f>
        <v>0</v>
      </c>
      <c r="W297" s="447">
        <f>IFERROR(__xludf.DUMMYFUNCTION("""COMPUTED_VALUE"""),0.0)</f>
        <v>0</v>
      </c>
      <c r="X297" s="447">
        <f>IFERROR(__xludf.DUMMYFUNCTION("""COMPUTED_VALUE"""),0.0)</f>
        <v>0</v>
      </c>
      <c r="Y297" s="447">
        <f>IFERROR(__xludf.DUMMYFUNCTION("""COMPUTED_VALUE"""),0.0)</f>
        <v>0</v>
      </c>
      <c r="Z297" s="447">
        <f>IFERROR(__xludf.DUMMYFUNCTION("""COMPUTED_VALUE"""),0.0)</f>
        <v>0</v>
      </c>
      <c r="AA297" s="447">
        <f>IFERROR(__xludf.DUMMYFUNCTION("""COMPUTED_VALUE"""),2.0)</f>
        <v>2</v>
      </c>
      <c r="AB297" s="447">
        <f>IFERROR(__xludf.DUMMYFUNCTION("""COMPUTED_VALUE"""),0.0)</f>
        <v>0</v>
      </c>
      <c r="AC297" s="447">
        <f>IFERROR(__xludf.DUMMYFUNCTION("""COMPUTED_VALUE"""),0.0)</f>
        <v>0</v>
      </c>
      <c r="AD297" s="447">
        <f>IFERROR(__xludf.DUMMYFUNCTION("""COMPUTED_VALUE"""),46.0)</f>
        <v>46</v>
      </c>
      <c r="AE297" s="447">
        <f>IFERROR(__xludf.DUMMYFUNCTION("""COMPUTED_VALUE"""),8.0)</f>
        <v>8</v>
      </c>
      <c r="AF297" s="447">
        <f>IFERROR(__xludf.DUMMYFUNCTION("""COMPUTED_VALUE"""),1.0)</f>
        <v>1</v>
      </c>
      <c r="AG297" s="443" t="s">
        <v>137</v>
      </c>
      <c r="AH297" s="443" t="s">
        <v>343</v>
      </c>
      <c r="AI297" s="443"/>
      <c r="AJ297" s="443"/>
      <c r="AK297" s="443"/>
      <c r="AL297" s="443"/>
      <c r="AM297" s="443"/>
      <c r="AN297" s="443"/>
      <c r="AO297" s="443"/>
      <c r="AP297" s="443"/>
      <c r="AQ297" s="443"/>
      <c r="AR297" s="443"/>
      <c r="AS297" s="443"/>
      <c r="AT297" s="443"/>
      <c r="AU297" s="443"/>
      <c r="AV297" s="443"/>
      <c r="AW297" s="443"/>
      <c r="AX297" s="443"/>
      <c r="AY297" s="443"/>
      <c r="AZ297" s="443"/>
      <c r="BA297" s="443"/>
      <c r="BB297" s="443"/>
      <c r="BC297" s="443"/>
      <c r="BD297" s="443"/>
      <c r="BE297" s="443"/>
    </row>
    <row r="298" hidden="1">
      <c r="A298" s="445">
        <f t="shared" si="5"/>
        <v>45588</v>
      </c>
      <c r="B298" s="449">
        <v>416.0</v>
      </c>
      <c r="C298" s="462">
        <v>0.6416666666666667</v>
      </c>
      <c r="D298" s="462">
        <v>1.073611111111111</v>
      </c>
      <c r="E298" s="436">
        <f t="array" ref="E298">IF(B298=0,"",(J298+K298)/60)</f>
        <v>2.766666667</v>
      </c>
      <c r="F298" s="437">
        <f t="shared" si="1"/>
        <v>10.36666667</v>
      </c>
      <c r="G298" s="438">
        <f t="shared" si="7"/>
        <v>40.12861736</v>
      </c>
      <c r="H298" s="438">
        <f t="shared" si="3"/>
        <v>54.73684211</v>
      </c>
      <c r="I298" s="436">
        <f t="shared" si="6"/>
        <v>0.872361247</v>
      </c>
      <c r="J298" s="460"/>
      <c r="K298" s="460">
        <v>166.0</v>
      </c>
      <c r="L298" s="443"/>
      <c r="M298" s="447">
        <f>IFERROR(__xludf.DUMMYFUNCTION("""COMPUTED_VALUE"""),57.0)</f>
        <v>57</v>
      </c>
      <c r="N298" s="447">
        <f>IFERROR(__xludf.DUMMYFUNCTION("""COMPUTED_VALUE"""),57.0)</f>
        <v>57</v>
      </c>
      <c r="O298" s="447">
        <f>IFERROR(__xludf.DUMMYFUNCTION("""COMPUTED_VALUE"""),0.0)</f>
        <v>0</v>
      </c>
      <c r="P298" s="447">
        <f>IFERROR(__xludf.DUMMYFUNCTION("""COMPUTED_VALUE"""),0.0)</f>
        <v>0</v>
      </c>
      <c r="Q298" s="447">
        <f>IFERROR(__xludf.DUMMYFUNCTION("""COMPUTED_VALUE"""),1.0)</f>
        <v>1</v>
      </c>
      <c r="R298" s="447">
        <f>IFERROR(__xludf.DUMMYFUNCTION("""COMPUTED_VALUE"""),1.0)</f>
        <v>1</v>
      </c>
      <c r="S298" s="447">
        <f>IFERROR(__xludf.DUMMYFUNCTION("""COMPUTED_VALUE"""),5.0)</f>
        <v>5</v>
      </c>
      <c r="T298" s="447">
        <f>IFERROR(__xludf.DUMMYFUNCTION("""COMPUTED_VALUE"""),0.0)</f>
        <v>0</v>
      </c>
      <c r="U298" s="447">
        <f>IFERROR(__xludf.DUMMYFUNCTION("""COMPUTED_VALUE"""),0.0)</f>
        <v>0</v>
      </c>
      <c r="V298" s="447">
        <f>IFERROR(__xludf.DUMMYFUNCTION("""COMPUTED_VALUE"""),1.0)</f>
        <v>1</v>
      </c>
      <c r="W298" s="447">
        <f>IFERROR(__xludf.DUMMYFUNCTION("""COMPUTED_VALUE"""),0.0)</f>
        <v>0</v>
      </c>
      <c r="X298" s="447">
        <f>IFERROR(__xludf.DUMMYFUNCTION("""COMPUTED_VALUE"""),0.0)</f>
        <v>0</v>
      </c>
      <c r="Y298" s="447">
        <f>IFERROR(__xludf.DUMMYFUNCTION("""COMPUTED_VALUE"""),0.0)</f>
        <v>0</v>
      </c>
      <c r="Z298" s="447">
        <f>IFERROR(__xludf.DUMMYFUNCTION("""COMPUTED_VALUE"""),0.0)</f>
        <v>0</v>
      </c>
      <c r="AA298" s="447">
        <f>IFERROR(__xludf.DUMMYFUNCTION("""COMPUTED_VALUE"""),0.0)</f>
        <v>0</v>
      </c>
      <c r="AB298" s="447">
        <f>IFERROR(__xludf.DUMMYFUNCTION("""COMPUTED_VALUE"""),0.0)</f>
        <v>0</v>
      </c>
      <c r="AC298" s="447">
        <f>IFERROR(__xludf.DUMMYFUNCTION("""COMPUTED_VALUE"""),0.0)</f>
        <v>0</v>
      </c>
      <c r="AD298" s="447">
        <f>IFERROR(__xludf.DUMMYFUNCTION("""COMPUTED_VALUE"""),46.0)</f>
        <v>46</v>
      </c>
      <c r="AE298" s="447">
        <f>IFERROR(__xludf.DUMMYFUNCTION("""COMPUTED_VALUE"""),7.0)</f>
        <v>7</v>
      </c>
      <c r="AF298" s="447">
        <f>IFERROR(__xludf.DUMMYFUNCTION("""COMPUTED_VALUE"""),0.0)</f>
        <v>0</v>
      </c>
      <c r="AG298" s="443" t="s">
        <v>137</v>
      </c>
      <c r="AH298" s="443" t="s">
        <v>343</v>
      </c>
      <c r="AI298" s="443"/>
      <c r="AJ298" s="443"/>
      <c r="AK298" s="443"/>
      <c r="AL298" s="443"/>
      <c r="AM298" s="443"/>
      <c r="AN298" s="443"/>
      <c r="AO298" s="443"/>
      <c r="AP298" s="443"/>
      <c r="AQ298" s="443"/>
      <c r="AR298" s="443"/>
      <c r="AS298" s="443"/>
      <c r="AT298" s="443"/>
      <c r="AU298" s="443"/>
      <c r="AV298" s="443"/>
      <c r="AW298" s="443"/>
      <c r="AX298" s="443"/>
      <c r="AY298" s="443"/>
      <c r="AZ298" s="443"/>
      <c r="BA298" s="443"/>
      <c r="BB298" s="443"/>
      <c r="BC298" s="443"/>
      <c r="BD298" s="443"/>
      <c r="BE298" s="443"/>
    </row>
    <row r="299" hidden="1">
      <c r="A299" s="445">
        <f t="shared" si="5"/>
        <v>45589</v>
      </c>
      <c r="B299" s="449">
        <v>470.0</v>
      </c>
      <c r="C299" s="462">
        <v>0.6416666666666667</v>
      </c>
      <c r="D299" s="462">
        <v>1.01875</v>
      </c>
      <c r="E299" s="436">
        <f t="array" ref="E299">IF(B299=0,"",(J299+K299)/60)</f>
        <v>0.5</v>
      </c>
      <c r="F299" s="437">
        <f t="shared" si="1"/>
        <v>9.05</v>
      </c>
      <c r="G299" s="438">
        <f t="shared" si="7"/>
        <v>51.93370166</v>
      </c>
      <c r="H299" s="438">
        <f t="shared" si="3"/>
        <v>54.97076023</v>
      </c>
      <c r="I299" s="436">
        <f t="shared" si="6"/>
        <v>1.154082259</v>
      </c>
      <c r="J299" s="460">
        <v>30.0</v>
      </c>
      <c r="K299" s="464"/>
      <c r="L299" s="443"/>
      <c r="M299" s="447">
        <f>IFERROR(__xludf.DUMMYFUNCTION("""COMPUTED_VALUE"""),57.0)</f>
        <v>57</v>
      </c>
      <c r="N299" s="447">
        <f>IFERROR(__xludf.DUMMYFUNCTION("""COMPUTED_VALUE"""),56.0)</f>
        <v>56</v>
      </c>
      <c r="O299" s="447">
        <f>IFERROR(__xludf.DUMMYFUNCTION("""COMPUTED_VALUE"""),0.0)</f>
        <v>0</v>
      </c>
      <c r="P299" s="447">
        <f>IFERROR(__xludf.DUMMYFUNCTION("""COMPUTED_VALUE"""),0.0)</f>
        <v>0</v>
      </c>
      <c r="Q299" s="447">
        <f>IFERROR(__xludf.DUMMYFUNCTION("""COMPUTED_VALUE"""),1.0)</f>
        <v>1</v>
      </c>
      <c r="R299" s="447">
        <f>IFERROR(__xludf.DUMMYFUNCTION("""COMPUTED_VALUE"""),2.0)</f>
        <v>2</v>
      </c>
      <c r="S299" s="447">
        <f>IFERROR(__xludf.DUMMYFUNCTION("""COMPUTED_VALUE"""),3.0)</f>
        <v>3</v>
      </c>
      <c r="T299" s="447">
        <f>IFERROR(__xludf.DUMMYFUNCTION("""COMPUTED_VALUE"""),0.0)</f>
        <v>0</v>
      </c>
      <c r="U299" s="447">
        <f>IFERROR(__xludf.DUMMYFUNCTION("""COMPUTED_VALUE"""),1.0)</f>
        <v>1</v>
      </c>
      <c r="V299" s="447">
        <f>IFERROR(__xludf.DUMMYFUNCTION("""COMPUTED_VALUE"""),1.0)</f>
        <v>1</v>
      </c>
      <c r="W299" s="447">
        <f>IFERROR(__xludf.DUMMYFUNCTION("""COMPUTED_VALUE"""),0.0)</f>
        <v>0</v>
      </c>
      <c r="X299" s="447">
        <f>IFERROR(__xludf.DUMMYFUNCTION("""COMPUTED_VALUE"""),0.0)</f>
        <v>0</v>
      </c>
      <c r="Y299" s="447">
        <f>IFERROR(__xludf.DUMMYFUNCTION("""COMPUTED_VALUE"""),0.0)</f>
        <v>0</v>
      </c>
      <c r="Z299" s="447">
        <f>IFERROR(__xludf.DUMMYFUNCTION("""COMPUTED_VALUE"""),0.0)</f>
        <v>0</v>
      </c>
      <c r="AA299" s="447">
        <f>IFERROR(__xludf.DUMMYFUNCTION("""COMPUTED_VALUE"""),0.0)</f>
        <v>0</v>
      </c>
      <c r="AB299" s="447">
        <f>IFERROR(__xludf.DUMMYFUNCTION("""COMPUTED_VALUE"""),0.0)</f>
        <v>0</v>
      </c>
      <c r="AC299" s="447">
        <f>IFERROR(__xludf.DUMMYFUNCTION("""COMPUTED_VALUE"""),1.0)</f>
        <v>1</v>
      </c>
      <c r="AD299" s="447">
        <f>IFERROR(__xludf.DUMMYFUNCTION("""COMPUTED_VALUE"""),45.0)</f>
        <v>45</v>
      </c>
      <c r="AE299" s="447">
        <f>IFERROR(__xludf.DUMMYFUNCTION("""COMPUTED_VALUE"""),7.0)</f>
        <v>7</v>
      </c>
      <c r="AF299" s="447">
        <f>IFERROR(__xludf.DUMMYFUNCTION("""COMPUTED_VALUE"""),1.0)</f>
        <v>1</v>
      </c>
      <c r="AG299" s="443" t="s">
        <v>137</v>
      </c>
      <c r="AH299" s="443" t="s">
        <v>343</v>
      </c>
      <c r="AI299" s="443"/>
      <c r="AJ299" s="443"/>
      <c r="AK299" s="443"/>
      <c r="AL299" s="443"/>
      <c r="AM299" s="443"/>
      <c r="AN299" s="443"/>
      <c r="AO299" s="443"/>
      <c r="AP299" s="443"/>
      <c r="AQ299" s="443"/>
      <c r="AR299" s="443"/>
      <c r="AS299" s="443"/>
      <c r="AT299" s="443"/>
      <c r="AU299" s="443"/>
      <c r="AV299" s="443"/>
      <c r="AW299" s="443"/>
      <c r="AX299" s="443"/>
      <c r="AY299" s="443"/>
      <c r="AZ299" s="443"/>
      <c r="BA299" s="443"/>
      <c r="BB299" s="443"/>
      <c r="BC299" s="443"/>
      <c r="BD299" s="443"/>
      <c r="BE299" s="443"/>
    </row>
    <row r="300" hidden="1">
      <c r="A300" s="445">
        <f t="shared" si="5"/>
        <v>45590</v>
      </c>
      <c r="B300" s="449">
        <v>442.0</v>
      </c>
      <c r="C300" s="462">
        <v>0.6833333333333333</v>
      </c>
      <c r="D300" s="462">
        <v>1.0013888888888889</v>
      </c>
      <c r="E300" s="436">
        <f t="array" ref="E300">IF(B300=0,"",(J300+K300)/60)</f>
        <v>0.5</v>
      </c>
      <c r="F300" s="437">
        <f t="shared" si="1"/>
        <v>7.633333333</v>
      </c>
      <c r="G300" s="438">
        <f t="shared" si="7"/>
        <v>57.90393013</v>
      </c>
      <c r="H300" s="438">
        <f t="shared" si="3"/>
        <v>61.96261682</v>
      </c>
      <c r="I300" s="436">
        <f t="shared" si="6"/>
        <v>1.231998513</v>
      </c>
      <c r="J300" s="460">
        <v>30.0</v>
      </c>
      <c r="K300" s="464"/>
      <c r="L300" s="443"/>
      <c r="M300" s="447">
        <f>IFERROR(__xludf.DUMMYFUNCTION("""COMPUTED_VALUE"""),57.0)</f>
        <v>57</v>
      </c>
      <c r="N300" s="447">
        <f>IFERROR(__xludf.DUMMYFUNCTION("""COMPUTED_VALUE"""),54.0)</f>
        <v>54</v>
      </c>
      <c r="O300" s="447">
        <f>IFERROR(__xludf.DUMMYFUNCTION("""COMPUTED_VALUE"""),0.0)</f>
        <v>0</v>
      </c>
      <c r="P300" s="447">
        <f>IFERROR(__xludf.DUMMYFUNCTION("""COMPUTED_VALUE"""),0.0)</f>
        <v>0</v>
      </c>
      <c r="Q300" s="447">
        <f>IFERROR(__xludf.DUMMYFUNCTION("""COMPUTED_VALUE"""),1.0)</f>
        <v>1</v>
      </c>
      <c r="R300" s="447">
        <f>IFERROR(__xludf.DUMMYFUNCTION("""COMPUTED_VALUE"""),0.0)</f>
        <v>0</v>
      </c>
      <c r="S300" s="447">
        <f>IFERROR(__xludf.DUMMYFUNCTION("""COMPUTED_VALUE"""),2.0)</f>
        <v>2</v>
      </c>
      <c r="T300" s="447">
        <f>IFERROR(__xludf.DUMMYFUNCTION("""COMPUTED_VALUE"""),0.0)</f>
        <v>0</v>
      </c>
      <c r="U300" s="447">
        <f>IFERROR(__xludf.DUMMYFUNCTION("""COMPUTED_VALUE"""),3.0)</f>
        <v>3</v>
      </c>
      <c r="V300" s="447">
        <f>IFERROR(__xludf.DUMMYFUNCTION("""COMPUTED_VALUE"""),1.0)</f>
        <v>1</v>
      </c>
      <c r="W300" s="447">
        <f>IFERROR(__xludf.DUMMYFUNCTION("""COMPUTED_VALUE"""),0.0)</f>
        <v>0</v>
      </c>
      <c r="X300" s="447">
        <f>IFERROR(__xludf.DUMMYFUNCTION("""COMPUTED_VALUE"""),0.0)</f>
        <v>0</v>
      </c>
      <c r="Y300" s="447">
        <f>IFERROR(__xludf.DUMMYFUNCTION("""COMPUTED_VALUE"""),0.0)</f>
        <v>0</v>
      </c>
      <c r="Z300" s="447">
        <f>IFERROR(__xludf.DUMMYFUNCTION("""COMPUTED_VALUE"""),0.0)</f>
        <v>0</v>
      </c>
      <c r="AA300" s="447">
        <f>IFERROR(__xludf.DUMMYFUNCTION("""COMPUTED_VALUE"""),0.0)</f>
        <v>0</v>
      </c>
      <c r="AB300" s="447">
        <f>IFERROR(__xludf.DUMMYFUNCTION("""COMPUTED_VALUE"""),0.0)</f>
        <v>0</v>
      </c>
      <c r="AC300" s="447">
        <f>IFERROR(__xludf.DUMMYFUNCTION("""COMPUTED_VALUE"""),0.0)</f>
        <v>0</v>
      </c>
      <c r="AD300" s="447">
        <f>IFERROR(__xludf.DUMMYFUNCTION("""COMPUTED_VALUE"""),47.0)</f>
        <v>47</v>
      </c>
      <c r="AE300" s="447">
        <f>IFERROR(__xludf.DUMMYFUNCTION("""COMPUTED_VALUE"""),7.0)</f>
        <v>7</v>
      </c>
      <c r="AF300" s="447">
        <f>IFERROR(__xludf.DUMMYFUNCTION("""COMPUTED_VALUE"""),3.0)</f>
        <v>3</v>
      </c>
      <c r="AG300" s="443" t="s">
        <v>137</v>
      </c>
      <c r="AH300" s="443" t="s">
        <v>343</v>
      </c>
      <c r="AI300" s="443"/>
      <c r="AJ300" s="443"/>
      <c r="AK300" s="443"/>
      <c r="AL300" s="443"/>
      <c r="AM300" s="443"/>
      <c r="AN300" s="443"/>
      <c r="AO300" s="443"/>
      <c r="AP300" s="443"/>
      <c r="AQ300" s="443"/>
      <c r="AR300" s="443"/>
      <c r="AS300" s="443"/>
      <c r="AT300" s="443"/>
      <c r="AU300" s="443"/>
      <c r="AV300" s="443"/>
      <c r="AW300" s="443"/>
      <c r="AX300" s="443"/>
      <c r="AY300" s="443"/>
      <c r="AZ300" s="443"/>
      <c r="BA300" s="443"/>
      <c r="BB300" s="443"/>
      <c r="BC300" s="443"/>
      <c r="BD300" s="443"/>
      <c r="BE300" s="443"/>
    </row>
    <row r="301" hidden="1">
      <c r="A301" s="445">
        <f t="shared" si="5"/>
        <v>45591</v>
      </c>
      <c r="B301" s="449">
        <v>351.0</v>
      </c>
      <c r="C301" s="462">
        <v>0.6</v>
      </c>
      <c r="D301" s="462">
        <v>0.9090277777777778</v>
      </c>
      <c r="E301" s="436">
        <f t="array" ref="E301">IF(B301=0,"",(J301+K301)/60)</f>
        <v>0.5</v>
      </c>
      <c r="F301" s="437">
        <f t="shared" si="1"/>
        <v>7.416666667</v>
      </c>
      <c r="G301" s="438">
        <f t="shared" si="7"/>
        <v>47.3258427</v>
      </c>
      <c r="H301" s="438">
        <f t="shared" si="3"/>
        <v>50.74698795</v>
      </c>
      <c r="I301" s="436">
        <f t="shared" si="6"/>
        <v>1.006932823</v>
      </c>
      <c r="J301" s="460">
        <v>30.0</v>
      </c>
      <c r="K301" s="464"/>
      <c r="L301" s="443"/>
      <c r="M301" s="447">
        <f>IFERROR(__xludf.DUMMYFUNCTION("""COMPUTED_VALUE"""),57.0)</f>
        <v>57</v>
      </c>
      <c r="N301" s="447">
        <f>IFERROR(__xludf.DUMMYFUNCTION("""COMPUTED_VALUE"""),54.0)</f>
        <v>54</v>
      </c>
      <c r="O301" s="447">
        <f>IFERROR(__xludf.DUMMYFUNCTION("""COMPUTED_VALUE"""),0.0)</f>
        <v>0</v>
      </c>
      <c r="P301" s="447">
        <f>IFERROR(__xludf.DUMMYFUNCTION("""COMPUTED_VALUE"""),0.0)</f>
        <v>0</v>
      </c>
      <c r="Q301" s="447">
        <f>IFERROR(__xludf.DUMMYFUNCTION("""COMPUTED_VALUE"""),1.0)</f>
        <v>1</v>
      </c>
      <c r="R301" s="447">
        <f>IFERROR(__xludf.DUMMYFUNCTION("""COMPUTED_VALUE"""),0.0)</f>
        <v>0</v>
      </c>
      <c r="S301" s="447">
        <f>IFERROR(__xludf.DUMMYFUNCTION("""COMPUTED_VALUE"""),2.0)</f>
        <v>2</v>
      </c>
      <c r="T301" s="447">
        <f>IFERROR(__xludf.DUMMYFUNCTION("""COMPUTED_VALUE"""),0.0)</f>
        <v>0</v>
      </c>
      <c r="U301" s="447">
        <f>IFERROR(__xludf.DUMMYFUNCTION("""COMPUTED_VALUE"""),3.0)</f>
        <v>3</v>
      </c>
      <c r="V301" s="447">
        <f>IFERROR(__xludf.DUMMYFUNCTION("""COMPUTED_VALUE"""),1.0)</f>
        <v>1</v>
      </c>
      <c r="W301" s="447">
        <f>IFERROR(__xludf.DUMMYFUNCTION("""COMPUTED_VALUE"""),0.0)</f>
        <v>0</v>
      </c>
      <c r="X301" s="447">
        <f>IFERROR(__xludf.DUMMYFUNCTION("""COMPUTED_VALUE"""),0.0)</f>
        <v>0</v>
      </c>
      <c r="Y301" s="447">
        <f>IFERROR(__xludf.DUMMYFUNCTION("""COMPUTED_VALUE"""),0.0)</f>
        <v>0</v>
      </c>
      <c r="Z301" s="447">
        <f>IFERROR(__xludf.DUMMYFUNCTION("""COMPUTED_VALUE"""),0.0)</f>
        <v>0</v>
      </c>
      <c r="AA301" s="447">
        <f>IFERROR(__xludf.DUMMYFUNCTION("""COMPUTED_VALUE"""),0.0)</f>
        <v>0</v>
      </c>
      <c r="AB301" s="447">
        <f>IFERROR(__xludf.DUMMYFUNCTION("""COMPUTED_VALUE"""),0.0)</f>
        <v>0</v>
      </c>
      <c r="AC301" s="447">
        <f>IFERROR(__xludf.DUMMYFUNCTION("""COMPUTED_VALUE"""),0.0)</f>
        <v>0</v>
      </c>
      <c r="AD301" s="447">
        <f>IFERROR(__xludf.DUMMYFUNCTION("""COMPUTED_VALUE"""),47.0)</f>
        <v>47</v>
      </c>
      <c r="AE301" s="447">
        <f>IFERROR(__xludf.DUMMYFUNCTION("""COMPUTED_VALUE"""),7.0)</f>
        <v>7</v>
      </c>
      <c r="AF301" s="447">
        <f>IFERROR(__xludf.DUMMYFUNCTION("""COMPUTED_VALUE"""),3.0)</f>
        <v>3</v>
      </c>
      <c r="AG301" s="443" t="s">
        <v>137</v>
      </c>
      <c r="AH301" s="443" t="s">
        <v>343</v>
      </c>
      <c r="AI301" s="443"/>
      <c r="AJ301" s="443"/>
      <c r="AK301" s="443"/>
      <c r="AL301" s="443"/>
      <c r="AM301" s="443"/>
      <c r="AN301" s="443"/>
      <c r="AO301" s="443"/>
      <c r="AP301" s="443"/>
      <c r="AQ301" s="443"/>
      <c r="AR301" s="443"/>
      <c r="AS301" s="443"/>
      <c r="AT301" s="443"/>
      <c r="AU301" s="443"/>
      <c r="AV301" s="443"/>
      <c r="AW301" s="443"/>
      <c r="AX301" s="443"/>
      <c r="AY301" s="443"/>
      <c r="AZ301" s="443"/>
      <c r="BA301" s="443"/>
      <c r="BB301" s="443"/>
      <c r="BC301" s="443"/>
      <c r="BD301" s="443"/>
      <c r="BE301" s="443"/>
    </row>
    <row r="302" hidden="1">
      <c r="A302" s="445">
        <f t="shared" si="5"/>
        <v>45592</v>
      </c>
      <c r="B302" s="449">
        <v>0.0</v>
      </c>
      <c r="C302" s="443"/>
      <c r="D302" s="462"/>
      <c r="E302" s="436" t="str">
        <f t="array" ref="E302">IF(B302=0,"",(J302+K302)/60)</f>
        <v/>
      </c>
      <c r="F302" s="437" t="str">
        <f t="shared" si="1"/>
        <v/>
      </c>
      <c r="G302" s="438" t="str">
        <f t="shared" si="7"/>
        <v>#DIV/0!</v>
      </c>
      <c r="H302" s="438" t="str">
        <f t="shared" si="3"/>
        <v/>
      </c>
      <c r="I302" s="436" t="str">
        <f t="shared" si="6"/>
        <v/>
      </c>
      <c r="J302" s="464"/>
      <c r="K302" s="464"/>
      <c r="L302" s="443"/>
      <c r="M302" s="447">
        <f>IFERROR(__xludf.DUMMYFUNCTION("""COMPUTED_VALUE"""),57.0)</f>
        <v>57</v>
      </c>
      <c r="N302" s="447">
        <f>IFERROR(__xludf.DUMMYFUNCTION("""COMPUTED_VALUE"""),57.0)</f>
        <v>57</v>
      </c>
      <c r="O302" s="447">
        <f>IFERROR(__xludf.DUMMYFUNCTION("""COMPUTED_VALUE"""),0.0)</f>
        <v>0</v>
      </c>
      <c r="P302" s="447">
        <f>IFERROR(__xludf.DUMMYFUNCTION("""COMPUTED_VALUE"""),0.0)</f>
        <v>0</v>
      </c>
      <c r="Q302" s="447">
        <f>IFERROR(__xludf.DUMMYFUNCTION("""COMPUTED_VALUE"""),0.0)</f>
        <v>0</v>
      </c>
      <c r="R302" s="447">
        <f>IFERROR(__xludf.DUMMYFUNCTION("""COMPUTED_VALUE"""),0.0)</f>
        <v>0</v>
      </c>
      <c r="S302" s="447">
        <f>IFERROR(__xludf.DUMMYFUNCTION("""COMPUTED_VALUE"""),0.0)</f>
        <v>0</v>
      </c>
      <c r="T302" s="447">
        <f>IFERROR(__xludf.DUMMYFUNCTION("""COMPUTED_VALUE"""),0.0)</f>
        <v>0</v>
      </c>
      <c r="U302" s="447">
        <f>IFERROR(__xludf.DUMMYFUNCTION("""COMPUTED_VALUE"""),0.0)</f>
        <v>0</v>
      </c>
      <c r="V302" s="447">
        <f>IFERROR(__xludf.DUMMYFUNCTION("""COMPUTED_VALUE"""),0.0)</f>
        <v>0</v>
      </c>
      <c r="W302" s="447">
        <f>IFERROR(__xludf.DUMMYFUNCTION("""COMPUTED_VALUE"""),0.0)</f>
        <v>0</v>
      </c>
      <c r="X302" s="447">
        <f>IFERROR(__xludf.DUMMYFUNCTION("""COMPUTED_VALUE"""),0.0)</f>
        <v>0</v>
      </c>
      <c r="Y302" s="447">
        <f>IFERROR(__xludf.DUMMYFUNCTION("""COMPUTED_VALUE"""),0.0)</f>
        <v>0</v>
      </c>
      <c r="Z302" s="447">
        <f>IFERROR(__xludf.DUMMYFUNCTION("""COMPUTED_VALUE"""),0.0)</f>
        <v>0</v>
      </c>
      <c r="AA302" s="447">
        <f>IFERROR(__xludf.DUMMYFUNCTION("""COMPUTED_VALUE"""),0.0)</f>
        <v>0</v>
      </c>
      <c r="AB302" s="447">
        <f>IFERROR(__xludf.DUMMYFUNCTION("""COMPUTED_VALUE"""),0.0)</f>
        <v>0</v>
      </c>
      <c r="AC302" s="447">
        <f>IFERROR(__xludf.DUMMYFUNCTION("""COMPUTED_VALUE"""),0.0)</f>
        <v>0</v>
      </c>
      <c r="AD302" s="447">
        <f>IFERROR(__xludf.DUMMYFUNCTION("""COMPUTED_VALUE"""),0.0)</f>
        <v>0</v>
      </c>
      <c r="AE302" s="447">
        <f>IFERROR(__xludf.DUMMYFUNCTION("""COMPUTED_VALUE"""),0.0)</f>
        <v>0</v>
      </c>
      <c r="AF302" s="447">
        <f>IFERROR(__xludf.DUMMYFUNCTION("""COMPUTED_VALUE"""),0.0)</f>
        <v>0</v>
      </c>
      <c r="AG302" s="443" t="s">
        <v>137</v>
      </c>
      <c r="AH302" s="443" t="s">
        <v>343</v>
      </c>
      <c r="AI302" s="443"/>
      <c r="AJ302" s="443"/>
      <c r="AK302" s="443"/>
      <c r="AL302" s="443"/>
      <c r="AM302" s="443"/>
      <c r="AN302" s="443"/>
      <c r="AO302" s="443"/>
      <c r="AP302" s="443"/>
      <c r="AQ302" s="443"/>
      <c r="AR302" s="443"/>
      <c r="AS302" s="443"/>
      <c r="AT302" s="443"/>
      <c r="AU302" s="443"/>
      <c r="AV302" s="443"/>
      <c r="AW302" s="443"/>
      <c r="AX302" s="443"/>
      <c r="AY302" s="443"/>
      <c r="AZ302" s="443"/>
      <c r="BA302" s="443"/>
      <c r="BB302" s="443"/>
      <c r="BC302" s="443"/>
      <c r="BD302" s="443"/>
      <c r="BE302" s="443"/>
    </row>
    <row r="303" hidden="1">
      <c r="A303" s="445">
        <f t="shared" si="5"/>
        <v>45593</v>
      </c>
      <c r="B303" s="449">
        <v>439.0</v>
      </c>
      <c r="C303" s="462">
        <v>0.5583333333333333</v>
      </c>
      <c r="D303" s="462">
        <v>0.9791666666666666</v>
      </c>
      <c r="E303" s="436">
        <f t="array" ref="E303">IF(B303=0,"",(J303+K303)/60)</f>
        <v>0.5</v>
      </c>
      <c r="F303" s="437">
        <f t="shared" si="1"/>
        <v>10.1</v>
      </c>
      <c r="G303" s="438">
        <f t="shared" si="7"/>
        <v>43.46534653</v>
      </c>
      <c r="H303" s="438">
        <f t="shared" si="3"/>
        <v>45.72916667</v>
      </c>
      <c r="I303" s="436">
        <f t="shared" si="6"/>
        <v>0.9247946071</v>
      </c>
      <c r="J303" s="460">
        <v>30.0</v>
      </c>
      <c r="K303" s="464"/>
      <c r="L303" s="443"/>
      <c r="M303" s="447">
        <f>IFERROR(__xludf.DUMMYFUNCTION("""COMPUTED_VALUE"""),57.0)</f>
        <v>57</v>
      </c>
      <c r="N303" s="447">
        <f>IFERROR(__xludf.DUMMYFUNCTION("""COMPUTED_VALUE"""),56.0)</f>
        <v>56</v>
      </c>
      <c r="O303" s="447">
        <f>IFERROR(__xludf.DUMMYFUNCTION("""COMPUTED_VALUE"""),0.0)</f>
        <v>0</v>
      </c>
      <c r="P303" s="447">
        <f>IFERROR(__xludf.DUMMYFUNCTION("""COMPUTED_VALUE"""),0.0)</f>
        <v>0</v>
      </c>
      <c r="Q303" s="447">
        <f>IFERROR(__xludf.DUMMYFUNCTION("""COMPUTED_VALUE"""),0.0)</f>
        <v>0</v>
      </c>
      <c r="R303" s="447">
        <f>IFERROR(__xludf.DUMMYFUNCTION("""COMPUTED_VALUE"""),0.0)</f>
        <v>0</v>
      </c>
      <c r="S303" s="447">
        <f>IFERROR(__xludf.DUMMYFUNCTION("""COMPUTED_VALUE"""),2.0)</f>
        <v>2</v>
      </c>
      <c r="T303" s="447">
        <f>IFERROR(__xludf.DUMMYFUNCTION("""COMPUTED_VALUE"""),0.0)</f>
        <v>0</v>
      </c>
      <c r="U303" s="447">
        <f>IFERROR(__xludf.DUMMYFUNCTION("""COMPUTED_VALUE"""),1.0)</f>
        <v>1</v>
      </c>
      <c r="V303" s="447">
        <f>IFERROR(__xludf.DUMMYFUNCTION("""COMPUTED_VALUE"""),1.0)</f>
        <v>1</v>
      </c>
      <c r="W303" s="447">
        <f>IFERROR(__xludf.DUMMYFUNCTION("""COMPUTED_VALUE"""),0.0)</f>
        <v>0</v>
      </c>
      <c r="X303" s="447">
        <f>IFERROR(__xludf.DUMMYFUNCTION("""COMPUTED_VALUE"""),0.0)</f>
        <v>0</v>
      </c>
      <c r="Y303" s="447">
        <f>IFERROR(__xludf.DUMMYFUNCTION("""COMPUTED_VALUE"""),0.0)</f>
        <v>0</v>
      </c>
      <c r="Z303" s="447">
        <f>IFERROR(__xludf.DUMMYFUNCTION("""COMPUTED_VALUE"""),0.0)</f>
        <v>0</v>
      </c>
      <c r="AA303" s="447">
        <f>IFERROR(__xludf.DUMMYFUNCTION("""COMPUTED_VALUE"""),0.0)</f>
        <v>0</v>
      </c>
      <c r="AB303" s="447">
        <f>IFERROR(__xludf.DUMMYFUNCTION("""COMPUTED_VALUE"""),2.0)</f>
        <v>2</v>
      </c>
      <c r="AC303" s="447">
        <f>IFERROR(__xludf.DUMMYFUNCTION("""COMPUTED_VALUE"""),1.0)</f>
        <v>1</v>
      </c>
      <c r="AD303" s="447">
        <f>IFERROR(__xludf.DUMMYFUNCTION("""COMPUTED_VALUE"""),47.0)</f>
        <v>47</v>
      </c>
      <c r="AE303" s="447">
        <f>IFERROR(__xludf.DUMMYFUNCTION("""COMPUTED_VALUE"""),5.0)</f>
        <v>5</v>
      </c>
      <c r="AF303" s="447">
        <f>IFERROR(__xludf.DUMMYFUNCTION("""COMPUTED_VALUE"""),1.0)</f>
        <v>1</v>
      </c>
      <c r="AG303" s="443" t="s">
        <v>137</v>
      </c>
      <c r="AH303" s="443" t="s">
        <v>343</v>
      </c>
      <c r="AI303" s="443"/>
      <c r="AJ303" s="443"/>
      <c r="AK303" s="443"/>
      <c r="AL303" s="443"/>
      <c r="AM303" s="443"/>
      <c r="AN303" s="443"/>
      <c r="AO303" s="443"/>
      <c r="AP303" s="443"/>
      <c r="AQ303" s="443"/>
      <c r="AR303" s="443"/>
      <c r="AS303" s="443"/>
      <c r="AT303" s="443"/>
      <c r="AU303" s="443"/>
      <c r="AV303" s="443"/>
      <c r="AW303" s="443"/>
      <c r="AX303" s="443"/>
      <c r="AY303" s="443"/>
      <c r="AZ303" s="443"/>
      <c r="BA303" s="443"/>
      <c r="BB303" s="443"/>
      <c r="BC303" s="443"/>
      <c r="BD303" s="443"/>
      <c r="BE303" s="443"/>
    </row>
    <row r="304" hidden="1">
      <c r="A304" s="445">
        <f t="shared" si="5"/>
        <v>45594</v>
      </c>
      <c r="B304" s="449">
        <v>450.0</v>
      </c>
      <c r="C304" s="462">
        <v>0.6</v>
      </c>
      <c r="D304" s="462">
        <v>0.9625</v>
      </c>
      <c r="E304" s="436">
        <f t="array" ref="E304">IF(B304=0,"",(J304+K304)/60)</f>
        <v>0.5</v>
      </c>
      <c r="F304" s="437">
        <f t="shared" si="1"/>
        <v>8.7</v>
      </c>
      <c r="G304" s="438">
        <f t="shared" si="7"/>
        <v>51.72413793</v>
      </c>
      <c r="H304" s="438">
        <f t="shared" si="3"/>
        <v>54.87804878</v>
      </c>
      <c r="I304" s="436">
        <f t="shared" si="6"/>
        <v>1.034482759</v>
      </c>
      <c r="J304" s="460">
        <v>30.0</v>
      </c>
      <c r="K304" s="464"/>
      <c r="L304" s="443"/>
      <c r="M304" s="447">
        <f>IFERROR(__xludf.DUMMYFUNCTION("""COMPUTED_VALUE"""),57.0)</f>
        <v>57</v>
      </c>
      <c r="N304" s="447">
        <f>IFERROR(__xludf.DUMMYFUNCTION("""COMPUTED_VALUE"""),56.0)</f>
        <v>56</v>
      </c>
      <c r="O304" s="447">
        <f>IFERROR(__xludf.DUMMYFUNCTION("""COMPUTED_VALUE"""),0.0)</f>
        <v>0</v>
      </c>
      <c r="P304" s="447">
        <f>IFERROR(__xludf.DUMMYFUNCTION("""COMPUTED_VALUE"""),0.0)</f>
        <v>0</v>
      </c>
      <c r="Q304" s="447">
        <f>IFERROR(__xludf.DUMMYFUNCTION("""COMPUTED_VALUE"""),0.0)</f>
        <v>0</v>
      </c>
      <c r="R304" s="447">
        <f>IFERROR(__xludf.DUMMYFUNCTION("""COMPUTED_VALUE"""),0.0)</f>
        <v>0</v>
      </c>
      <c r="S304" s="447">
        <f>IFERROR(__xludf.DUMMYFUNCTION("""COMPUTED_VALUE"""),2.0)</f>
        <v>2</v>
      </c>
      <c r="T304" s="447">
        <f>IFERROR(__xludf.DUMMYFUNCTION("""COMPUTED_VALUE"""),0.0)</f>
        <v>0</v>
      </c>
      <c r="U304" s="447">
        <f>IFERROR(__xludf.DUMMYFUNCTION("""COMPUTED_VALUE"""),1.0)</f>
        <v>1</v>
      </c>
      <c r="V304" s="447">
        <f>IFERROR(__xludf.DUMMYFUNCTION("""COMPUTED_VALUE"""),1.0)</f>
        <v>1</v>
      </c>
      <c r="W304" s="447">
        <f>IFERROR(__xludf.DUMMYFUNCTION("""COMPUTED_VALUE"""),0.0)</f>
        <v>0</v>
      </c>
      <c r="X304" s="447">
        <f>IFERROR(__xludf.DUMMYFUNCTION("""COMPUTED_VALUE"""),0.0)</f>
        <v>0</v>
      </c>
      <c r="Y304" s="447">
        <f>IFERROR(__xludf.DUMMYFUNCTION("""COMPUTED_VALUE"""),0.0)</f>
        <v>0</v>
      </c>
      <c r="Z304" s="447">
        <f>IFERROR(__xludf.DUMMYFUNCTION("""COMPUTED_VALUE"""),0.0)</f>
        <v>0</v>
      </c>
      <c r="AA304" s="447">
        <f>IFERROR(__xludf.DUMMYFUNCTION("""COMPUTED_VALUE"""),0.0)</f>
        <v>0</v>
      </c>
      <c r="AB304" s="447">
        <f>IFERROR(__xludf.DUMMYFUNCTION("""COMPUTED_VALUE"""),0.0)</f>
        <v>0</v>
      </c>
      <c r="AC304" s="447">
        <f>IFERROR(__xludf.DUMMYFUNCTION("""COMPUTED_VALUE"""),0.0)</f>
        <v>0</v>
      </c>
      <c r="AD304" s="447">
        <f>IFERROR(__xludf.DUMMYFUNCTION("""COMPUTED_VALUE"""),50.0)</f>
        <v>50</v>
      </c>
      <c r="AE304" s="447">
        <f>IFERROR(__xludf.DUMMYFUNCTION("""COMPUTED_VALUE"""),4.0)</f>
        <v>4</v>
      </c>
      <c r="AF304" s="447">
        <f>IFERROR(__xludf.DUMMYFUNCTION("""COMPUTED_VALUE"""),1.0)</f>
        <v>1</v>
      </c>
      <c r="AG304" s="443" t="s">
        <v>137</v>
      </c>
      <c r="AH304" s="443" t="s">
        <v>343</v>
      </c>
      <c r="AI304" s="443"/>
      <c r="AJ304" s="443"/>
      <c r="AK304" s="443"/>
      <c r="AL304" s="443"/>
      <c r="AM304" s="443"/>
      <c r="AN304" s="443"/>
      <c r="AO304" s="443"/>
      <c r="AP304" s="443"/>
      <c r="AQ304" s="443"/>
      <c r="AR304" s="443"/>
      <c r="AS304" s="443"/>
      <c r="AT304" s="443"/>
      <c r="AU304" s="443"/>
      <c r="AV304" s="443"/>
      <c r="AW304" s="443"/>
      <c r="AX304" s="443"/>
      <c r="AY304" s="443"/>
      <c r="AZ304" s="443"/>
      <c r="BA304" s="443"/>
      <c r="BB304" s="443"/>
      <c r="BC304" s="443"/>
      <c r="BD304" s="443"/>
      <c r="BE304" s="443"/>
    </row>
    <row r="305" hidden="1">
      <c r="A305" s="445">
        <f t="shared" si="5"/>
        <v>45595</v>
      </c>
      <c r="B305" s="449">
        <v>366.0</v>
      </c>
      <c r="C305" s="462">
        <v>0.6</v>
      </c>
      <c r="D305" s="462">
        <v>0.8819444444444444</v>
      </c>
      <c r="E305" s="436">
        <f t="array" ref="E305">IF(B305=0,"",(J305+K305)/60)</f>
        <v>0.5</v>
      </c>
      <c r="F305" s="437">
        <f t="shared" si="1"/>
        <v>6.766666667</v>
      </c>
      <c r="G305" s="438">
        <f t="shared" si="7"/>
        <v>54.08866995</v>
      </c>
      <c r="H305" s="438">
        <f t="shared" si="3"/>
        <v>58.40425532</v>
      </c>
      <c r="I305" s="436">
        <f t="shared" si="6"/>
        <v>1.103850407</v>
      </c>
      <c r="J305" s="460">
        <v>30.0</v>
      </c>
      <c r="K305" s="464"/>
      <c r="L305" s="443"/>
      <c r="M305" s="447">
        <f>IFERROR(__xludf.DUMMYFUNCTION("""COMPUTED_VALUE"""),57.0)</f>
        <v>57</v>
      </c>
      <c r="N305" s="447">
        <f>IFERROR(__xludf.DUMMYFUNCTION("""COMPUTED_VALUE"""),56.0)</f>
        <v>56</v>
      </c>
      <c r="O305" s="447">
        <f>IFERROR(__xludf.DUMMYFUNCTION("""COMPUTED_VALUE"""),0.0)</f>
        <v>0</v>
      </c>
      <c r="P305" s="447">
        <f>IFERROR(__xludf.DUMMYFUNCTION("""COMPUTED_VALUE"""),0.0)</f>
        <v>0</v>
      </c>
      <c r="Q305" s="447">
        <f>IFERROR(__xludf.DUMMYFUNCTION("""COMPUTED_VALUE"""),0.0)</f>
        <v>0</v>
      </c>
      <c r="R305" s="447">
        <f>IFERROR(__xludf.DUMMYFUNCTION("""COMPUTED_VALUE"""),0.0)</f>
        <v>0</v>
      </c>
      <c r="S305" s="447">
        <f>IFERROR(__xludf.DUMMYFUNCTION("""COMPUTED_VALUE"""),3.0)</f>
        <v>3</v>
      </c>
      <c r="T305" s="447">
        <f>IFERROR(__xludf.DUMMYFUNCTION("""COMPUTED_VALUE"""),0.0)</f>
        <v>0</v>
      </c>
      <c r="U305" s="447">
        <f>IFERROR(__xludf.DUMMYFUNCTION("""COMPUTED_VALUE"""),1.0)</f>
        <v>1</v>
      </c>
      <c r="V305" s="447">
        <f>IFERROR(__xludf.DUMMYFUNCTION("""COMPUTED_VALUE"""),1.0)</f>
        <v>1</v>
      </c>
      <c r="W305" s="447">
        <f>IFERROR(__xludf.DUMMYFUNCTION("""COMPUTED_VALUE"""),0.0)</f>
        <v>0</v>
      </c>
      <c r="X305" s="447">
        <f>IFERROR(__xludf.DUMMYFUNCTION("""COMPUTED_VALUE"""),0.0)</f>
        <v>0</v>
      </c>
      <c r="Y305" s="447">
        <f>IFERROR(__xludf.DUMMYFUNCTION("""COMPUTED_VALUE"""),0.0)</f>
        <v>0</v>
      </c>
      <c r="Z305" s="447">
        <f>IFERROR(__xludf.DUMMYFUNCTION("""COMPUTED_VALUE"""),0.0)</f>
        <v>0</v>
      </c>
      <c r="AA305" s="447">
        <f>IFERROR(__xludf.DUMMYFUNCTION("""COMPUTED_VALUE"""),0.0)</f>
        <v>0</v>
      </c>
      <c r="AB305" s="447">
        <f>IFERROR(__xludf.DUMMYFUNCTION("""COMPUTED_VALUE"""),0.0)</f>
        <v>0</v>
      </c>
      <c r="AC305" s="447">
        <f>IFERROR(__xludf.DUMMYFUNCTION("""COMPUTED_VALUE"""),0.0)</f>
        <v>0</v>
      </c>
      <c r="AD305" s="447">
        <f>IFERROR(__xludf.DUMMYFUNCTION("""COMPUTED_VALUE"""),49.0)</f>
        <v>49</v>
      </c>
      <c r="AE305" s="447">
        <f>IFERROR(__xludf.DUMMYFUNCTION("""COMPUTED_VALUE"""),5.0)</f>
        <v>5</v>
      </c>
      <c r="AF305" s="447">
        <f>IFERROR(__xludf.DUMMYFUNCTION("""COMPUTED_VALUE"""),1.0)</f>
        <v>1</v>
      </c>
      <c r="AG305" s="443" t="s">
        <v>137</v>
      </c>
      <c r="AH305" s="443" t="s">
        <v>343</v>
      </c>
      <c r="AI305" s="443"/>
      <c r="AJ305" s="443"/>
      <c r="AK305" s="443"/>
      <c r="AL305" s="443"/>
      <c r="AM305" s="443"/>
      <c r="AN305" s="443"/>
      <c r="AO305" s="443"/>
      <c r="AP305" s="443"/>
      <c r="AQ305" s="443"/>
      <c r="AR305" s="443"/>
      <c r="AS305" s="443"/>
      <c r="AT305" s="443"/>
      <c r="AU305" s="443"/>
      <c r="AV305" s="443"/>
      <c r="AW305" s="443"/>
      <c r="AX305" s="443"/>
      <c r="AY305" s="443"/>
      <c r="AZ305" s="443"/>
      <c r="BA305" s="443"/>
      <c r="BB305" s="443"/>
      <c r="BC305" s="443"/>
      <c r="BD305" s="443"/>
      <c r="BE305" s="443"/>
    </row>
    <row r="306" hidden="1">
      <c r="A306" s="445">
        <f t="shared" si="5"/>
        <v>45596</v>
      </c>
      <c r="B306" s="449">
        <v>572.0</v>
      </c>
      <c r="C306" s="462">
        <v>0.6</v>
      </c>
      <c r="D306" s="462">
        <v>1.0444444444444445</v>
      </c>
      <c r="E306" s="436">
        <f t="array" ref="E306">IF(B306=0,"",(J306+K306)/60)</f>
        <v>1.15</v>
      </c>
      <c r="F306" s="437">
        <f t="shared" si="1"/>
        <v>10.66666667</v>
      </c>
      <c r="G306" s="438">
        <f t="shared" si="7"/>
        <v>53.625</v>
      </c>
      <c r="H306" s="438">
        <f t="shared" si="3"/>
        <v>60.10507881</v>
      </c>
      <c r="I306" s="436">
        <f t="shared" si="6"/>
        <v>1.140957447</v>
      </c>
      <c r="J306" s="460">
        <v>60.0</v>
      </c>
      <c r="K306" s="460">
        <v>9.0</v>
      </c>
      <c r="L306" s="443"/>
      <c r="M306" s="447">
        <f>IFERROR(__xludf.DUMMYFUNCTION("""COMPUTED_VALUE"""),57.0)</f>
        <v>57</v>
      </c>
      <c r="N306" s="447">
        <f>IFERROR(__xludf.DUMMYFUNCTION("""COMPUTED_VALUE"""),56.0)</f>
        <v>56</v>
      </c>
      <c r="O306" s="447">
        <f>IFERROR(__xludf.DUMMYFUNCTION("""COMPUTED_VALUE"""),0.0)</f>
        <v>0</v>
      </c>
      <c r="P306" s="447">
        <f>IFERROR(__xludf.DUMMYFUNCTION("""COMPUTED_VALUE"""),0.0)</f>
        <v>0</v>
      </c>
      <c r="Q306" s="447">
        <f>IFERROR(__xludf.DUMMYFUNCTION("""COMPUTED_VALUE"""),1.0)</f>
        <v>1</v>
      </c>
      <c r="R306" s="447">
        <f>IFERROR(__xludf.DUMMYFUNCTION("""COMPUTED_VALUE"""),1.0)</f>
        <v>1</v>
      </c>
      <c r="S306" s="447">
        <f>IFERROR(__xludf.DUMMYFUNCTION("""COMPUTED_VALUE"""),3.0)</f>
        <v>3</v>
      </c>
      <c r="T306" s="447">
        <f>IFERROR(__xludf.DUMMYFUNCTION("""COMPUTED_VALUE"""),0.0)</f>
        <v>0</v>
      </c>
      <c r="U306" s="447">
        <f>IFERROR(__xludf.DUMMYFUNCTION("""COMPUTED_VALUE"""),1.0)</f>
        <v>1</v>
      </c>
      <c r="V306" s="447">
        <f>IFERROR(__xludf.DUMMYFUNCTION("""COMPUTED_VALUE"""),1.0)</f>
        <v>1</v>
      </c>
      <c r="W306" s="447">
        <f>IFERROR(__xludf.DUMMYFUNCTION("""COMPUTED_VALUE"""),0.0)</f>
        <v>0</v>
      </c>
      <c r="X306" s="447">
        <f>IFERROR(__xludf.DUMMYFUNCTION("""COMPUTED_VALUE"""),0.0)</f>
        <v>0</v>
      </c>
      <c r="Y306" s="447">
        <f>IFERROR(__xludf.DUMMYFUNCTION("""COMPUTED_VALUE"""),0.0)</f>
        <v>0</v>
      </c>
      <c r="Z306" s="447">
        <f>IFERROR(__xludf.DUMMYFUNCTION("""COMPUTED_VALUE"""),0.0)</f>
        <v>0</v>
      </c>
      <c r="AA306" s="447">
        <f>IFERROR(__xludf.DUMMYFUNCTION("""COMPUTED_VALUE"""),0.0)</f>
        <v>0</v>
      </c>
      <c r="AB306" s="447">
        <f>IFERROR(__xludf.DUMMYFUNCTION("""COMPUTED_VALUE"""),0.0)</f>
        <v>0</v>
      </c>
      <c r="AC306" s="447">
        <f>IFERROR(__xludf.DUMMYFUNCTION("""COMPUTED_VALUE"""),0.0)</f>
        <v>0</v>
      </c>
      <c r="AD306" s="447">
        <f>IFERROR(__xludf.DUMMYFUNCTION("""COMPUTED_VALUE"""),47.0)</f>
        <v>47</v>
      </c>
      <c r="AE306" s="447">
        <f>IFERROR(__xludf.DUMMYFUNCTION("""COMPUTED_VALUE"""),6.0)</f>
        <v>6</v>
      </c>
      <c r="AF306" s="447">
        <f>IFERROR(__xludf.DUMMYFUNCTION("""COMPUTED_VALUE"""),1.0)</f>
        <v>1</v>
      </c>
      <c r="AG306" s="443" t="s">
        <v>137</v>
      </c>
      <c r="AH306" s="443" t="s">
        <v>343</v>
      </c>
      <c r="AI306" s="443"/>
      <c r="AJ306" s="443"/>
      <c r="AK306" s="443"/>
      <c r="AL306" s="443"/>
      <c r="AM306" s="443"/>
      <c r="AN306" s="443"/>
      <c r="AO306" s="443"/>
      <c r="AP306" s="443"/>
      <c r="AQ306" s="443"/>
      <c r="AR306" s="443"/>
      <c r="AS306" s="443"/>
      <c r="AT306" s="443"/>
      <c r="AU306" s="443"/>
      <c r="AV306" s="443"/>
      <c r="AW306" s="443"/>
      <c r="AX306" s="443"/>
      <c r="AY306" s="443"/>
      <c r="AZ306" s="443"/>
      <c r="BA306" s="443"/>
      <c r="BB306" s="443"/>
      <c r="BC306" s="443"/>
      <c r="BD306" s="443"/>
      <c r="BE306" s="443"/>
    </row>
    <row r="307" hidden="1">
      <c r="A307" s="445">
        <f t="shared" si="5"/>
        <v>45597</v>
      </c>
      <c r="B307" s="449">
        <v>441.0</v>
      </c>
      <c r="C307" s="462">
        <v>0.6916666666666667</v>
      </c>
      <c r="D307" s="462">
        <v>1.0256944444444445</v>
      </c>
      <c r="E307" s="436">
        <f t="array" ref="E307">IF(B307=0,"",(J307+K307)/60)</f>
        <v>0.5</v>
      </c>
      <c r="F307" s="437">
        <f t="shared" si="1"/>
        <v>8.016666667</v>
      </c>
      <c r="G307" s="438">
        <f t="shared" si="7"/>
        <v>55.01039501</v>
      </c>
      <c r="H307" s="438">
        <f t="shared" si="3"/>
        <v>58.66962306</v>
      </c>
      <c r="I307" s="436">
        <f t="shared" si="6"/>
        <v>1.25023625</v>
      </c>
      <c r="J307" s="460">
        <v>30.0</v>
      </c>
      <c r="K307" s="460"/>
      <c r="L307" s="443"/>
      <c r="M307" s="525">
        <f>IFERROR(__xludf.DUMMYFUNCTION("TRANSPOSE(IMPORTRANGE(""https://docs.google.com/spreadsheets/d/1CNeKSHTeNNJnfn5EymHwGg5Mkuk6EcepW7_9QkJxalc/edit#gid=1218471306"",""NOVIEMBRE 2024!F2:AI21""))"),57.0)</f>
        <v>57</v>
      </c>
      <c r="N307" s="447">
        <f>IFERROR(__xludf.DUMMYFUNCTION("""COMPUTED_VALUE"""),55.0)</f>
        <v>55</v>
      </c>
      <c r="O307" s="447">
        <f>IFERROR(__xludf.DUMMYFUNCTION("""COMPUTED_VALUE"""),0.0)</f>
        <v>0</v>
      </c>
      <c r="P307" s="447">
        <f>IFERROR(__xludf.DUMMYFUNCTION("""COMPUTED_VALUE"""),0.0)</f>
        <v>0</v>
      </c>
      <c r="Q307" s="447">
        <f>IFERROR(__xludf.DUMMYFUNCTION("""COMPUTED_VALUE"""),0.0)</f>
        <v>0</v>
      </c>
      <c r="R307" s="447">
        <f>IFERROR(__xludf.DUMMYFUNCTION("""COMPUTED_VALUE"""),1.0)</f>
        <v>1</v>
      </c>
      <c r="S307" s="447">
        <f>IFERROR(__xludf.DUMMYFUNCTION("""COMPUTED_VALUE"""),4.0)</f>
        <v>4</v>
      </c>
      <c r="T307" s="447">
        <f>IFERROR(__xludf.DUMMYFUNCTION("""COMPUTED_VALUE"""),2.0)</f>
        <v>2</v>
      </c>
      <c r="U307" s="447">
        <f>IFERROR(__xludf.DUMMYFUNCTION("""COMPUTED_VALUE"""),2.0)</f>
        <v>2</v>
      </c>
      <c r="V307" s="447">
        <f>IFERROR(__xludf.DUMMYFUNCTION("""COMPUTED_VALUE"""),1.0)</f>
        <v>1</v>
      </c>
      <c r="W307" s="447">
        <f>IFERROR(__xludf.DUMMYFUNCTION("""COMPUTED_VALUE"""),0.0)</f>
        <v>0</v>
      </c>
      <c r="X307" s="447">
        <f>IFERROR(__xludf.DUMMYFUNCTION("""COMPUTED_VALUE"""),0.0)</f>
        <v>0</v>
      </c>
      <c r="Y307" s="447">
        <f>IFERROR(__xludf.DUMMYFUNCTION("""COMPUTED_VALUE"""),0.0)</f>
        <v>0</v>
      </c>
      <c r="Z307" s="447">
        <f>IFERROR(__xludf.DUMMYFUNCTION("""COMPUTED_VALUE"""),0.0)</f>
        <v>0</v>
      </c>
      <c r="AA307" s="447">
        <f>IFERROR(__xludf.DUMMYFUNCTION("""COMPUTED_VALUE"""),0.0)</f>
        <v>0</v>
      </c>
      <c r="AB307" s="447">
        <f>IFERROR(__xludf.DUMMYFUNCTION("""COMPUTED_VALUE"""),0.0)</f>
        <v>0</v>
      </c>
      <c r="AC307" s="447">
        <f>IFERROR(__xludf.DUMMYFUNCTION("""COMPUTED_VALUE"""),0.0)</f>
        <v>0</v>
      </c>
      <c r="AD307" s="447">
        <f>IFERROR(__xludf.DUMMYFUNCTION("""COMPUTED_VALUE"""),44.0)</f>
        <v>44</v>
      </c>
      <c r="AE307" s="447">
        <f>IFERROR(__xludf.DUMMYFUNCTION("""COMPUTED_VALUE"""),9.0)</f>
        <v>9</v>
      </c>
      <c r="AF307" s="447">
        <f>IFERROR(__xludf.DUMMYFUNCTION("""COMPUTED_VALUE"""),2.0)</f>
        <v>2</v>
      </c>
      <c r="AG307" s="443" t="s">
        <v>140</v>
      </c>
      <c r="AH307" s="443" t="s">
        <v>343</v>
      </c>
      <c r="AI307" s="443"/>
      <c r="AJ307" s="443"/>
      <c r="AK307" s="443"/>
      <c r="AL307" s="443"/>
      <c r="AM307" s="443"/>
      <c r="AN307" s="443"/>
      <c r="AO307" s="443"/>
      <c r="AP307" s="443"/>
      <c r="AQ307" s="443"/>
      <c r="AR307" s="443"/>
      <c r="AS307" s="443"/>
      <c r="AT307" s="443"/>
      <c r="AU307" s="443"/>
      <c r="AV307" s="443"/>
      <c r="AW307" s="443"/>
      <c r="AX307" s="443"/>
      <c r="AY307" s="443"/>
      <c r="AZ307" s="443"/>
      <c r="BA307" s="443"/>
      <c r="BB307" s="443"/>
      <c r="BC307" s="443"/>
      <c r="BD307" s="443"/>
      <c r="BE307" s="443"/>
    </row>
    <row r="308" hidden="1">
      <c r="A308" s="445">
        <f t="shared" si="5"/>
        <v>45598</v>
      </c>
      <c r="B308" s="449">
        <v>310.0</v>
      </c>
      <c r="C308" s="462">
        <v>0.6125</v>
      </c>
      <c r="D308" s="462">
        <v>0.8298611111111112</v>
      </c>
      <c r="E308" s="436">
        <f t="array" ref="E308">IF(B308=0,"",(J308+K308)/60)</f>
        <v>0</v>
      </c>
      <c r="F308" s="437">
        <f t="shared" si="1"/>
        <v>5.216666667</v>
      </c>
      <c r="G308" s="438">
        <f t="shared" si="7"/>
        <v>59.42492013</v>
      </c>
      <c r="H308" s="438">
        <f t="shared" si="3"/>
        <v>59.42492013</v>
      </c>
      <c r="I308" s="436">
        <f t="shared" si="6"/>
        <v>1.29184609</v>
      </c>
      <c r="J308" s="464"/>
      <c r="K308" s="464"/>
      <c r="L308" s="443"/>
      <c r="M308" s="447">
        <f>IFERROR(__xludf.DUMMYFUNCTION("""COMPUTED_VALUE"""),57.0)</f>
        <v>57</v>
      </c>
      <c r="N308" s="447">
        <f>IFERROR(__xludf.DUMMYFUNCTION("""COMPUTED_VALUE"""),54.0)</f>
        <v>54</v>
      </c>
      <c r="O308" s="447">
        <f>IFERROR(__xludf.DUMMYFUNCTION("""COMPUTED_VALUE"""),0.0)</f>
        <v>0</v>
      </c>
      <c r="P308" s="447">
        <f>IFERROR(__xludf.DUMMYFUNCTION("""COMPUTED_VALUE"""),0.0)</f>
        <v>0</v>
      </c>
      <c r="Q308" s="447">
        <f>IFERROR(__xludf.DUMMYFUNCTION("""COMPUTED_VALUE"""),0.0)</f>
        <v>0</v>
      </c>
      <c r="R308" s="447">
        <f>IFERROR(__xludf.DUMMYFUNCTION("""COMPUTED_VALUE"""),0.0)</f>
        <v>0</v>
      </c>
      <c r="S308" s="447">
        <f>IFERROR(__xludf.DUMMYFUNCTION("""COMPUTED_VALUE"""),3.0)</f>
        <v>3</v>
      </c>
      <c r="T308" s="447">
        <f>IFERROR(__xludf.DUMMYFUNCTION("""COMPUTED_VALUE"""),1.0)</f>
        <v>1</v>
      </c>
      <c r="U308" s="447">
        <f>IFERROR(__xludf.DUMMYFUNCTION("""COMPUTED_VALUE"""),3.0)</f>
        <v>3</v>
      </c>
      <c r="V308" s="447">
        <f>IFERROR(__xludf.DUMMYFUNCTION("""COMPUTED_VALUE"""),1.0)</f>
        <v>1</v>
      </c>
      <c r="W308" s="447">
        <f>IFERROR(__xludf.DUMMYFUNCTION("""COMPUTED_VALUE"""),0.0)</f>
        <v>0</v>
      </c>
      <c r="X308" s="447">
        <f>IFERROR(__xludf.DUMMYFUNCTION("""COMPUTED_VALUE"""),0.0)</f>
        <v>0</v>
      </c>
      <c r="Y308" s="447">
        <f>IFERROR(__xludf.DUMMYFUNCTION("""COMPUTED_VALUE"""),0.0)</f>
        <v>0</v>
      </c>
      <c r="Z308" s="447">
        <f>IFERROR(__xludf.DUMMYFUNCTION("""COMPUTED_VALUE"""),0.0)</f>
        <v>0</v>
      </c>
      <c r="AA308" s="447">
        <f>IFERROR(__xludf.DUMMYFUNCTION("""COMPUTED_VALUE"""),0.0)</f>
        <v>0</v>
      </c>
      <c r="AB308" s="447">
        <f>IFERROR(__xludf.DUMMYFUNCTION("""COMPUTED_VALUE"""),0.0)</f>
        <v>0</v>
      </c>
      <c r="AC308" s="447">
        <f>IFERROR(__xludf.DUMMYFUNCTION("""COMPUTED_VALUE"""),0.0)</f>
        <v>0</v>
      </c>
      <c r="AD308" s="447">
        <f>IFERROR(__xludf.DUMMYFUNCTION("""COMPUTED_VALUE"""),46.0)</f>
        <v>46</v>
      </c>
      <c r="AE308" s="447">
        <f>IFERROR(__xludf.DUMMYFUNCTION("""COMPUTED_VALUE"""),8.0)</f>
        <v>8</v>
      </c>
      <c r="AF308" s="447">
        <f>IFERROR(__xludf.DUMMYFUNCTION("""COMPUTED_VALUE"""),3.0)</f>
        <v>3</v>
      </c>
      <c r="AG308" s="443" t="s">
        <v>140</v>
      </c>
      <c r="AH308" s="443" t="s">
        <v>343</v>
      </c>
      <c r="AI308" s="443"/>
      <c r="AJ308" s="443"/>
      <c r="AK308" s="443"/>
      <c r="AL308" s="443"/>
      <c r="AM308" s="443"/>
      <c r="AN308" s="443"/>
      <c r="AO308" s="443"/>
      <c r="AP308" s="443"/>
      <c r="AQ308" s="443"/>
      <c r="AR308" s="443"/>
      <c r="AS308" s="443"/>
      <c r="AT308" s="443"/>
      <c r="AU308" s="443"/>
      <c r="AV308" s="443"/>
      <c r="AW308" s="443"/>
      <c r="AX308" s="443"/>
      <c r="AY308" s="443"/>
      <c r="AZ308" s="443"/>
      <c r="BA308" s="443"/>
      <c r="BB308" s="443"/>
      <c r="BC308" s="443"/>
      <c r="BD308" s="443"/>
      <c r="BE308" s="443"/>
    </row>
    <row r="309" hidden="1">
      <c r="A309" s="445">
        <f t="shared" si="5"/>
        <v>45599</v>
      </c>
      <c r="B309" s="449">
        <v>0.0</v>
      </c>
      <c r="C309" s="462"/>
      <c r="D309" s="462"/>
      <c r="E309" s="436" t="str">
        <f t="array" ref="E309">IF(B309=0,"",(J309+K309)/60)</f>
        <v/>
      </c>
      <c r="F309" s="437" t="str">
        <f t="shared" si="1"/>
        <v/>
      </c>
      <c r="G309" s="438"/>
      <c r="H309" s="438" t="str">
        <f t="shared" si="3"/>
        <v/>
      </c>
      <c r="I309" s="436" t="str">
        <f t="shared" si="6"/>
        <v/>
      </c>
      <c r="J309" s="460"/>
      <c r="K309" s="460"/>
      <c r="L309" s="443"/>
      <c r="M309" s="447">
        <f>IFERROR(__xludf.DUMMYFUNCTION("""COMPUTED_VALUE"""),57.0)</f>
        <v>57</v>
      </c>
      <c r="N309" s="447">
        <f>IFERROR(__xludf.DUMMYFUNCTION("""COMPUTED_VALUE"""),57.0)</f>
        <v>57</v>
      </c>
      <c r="O309" s="447">
        <f>IFERROR(__xludf.DUMMYFUNCTION("""COMPUTED_VALUE"""),0.0)</f>
        <v>0</v>
      </c>
      <c r="P309" s="447">
        <f>IFERROR(__xludf.DUMMYFUNCTION("""COMPUTED_VALUE"""),0.0)</f>
        <v>0</v>
      </c>
      <c r="Q309" s="447">
        <f>IFERROR(__xludf.DUMMYFUNCTION("""COMPUTED_VALUE"""),0.0)</f>
        <v>0</v>
      </c>
      <c r="R309" s="447">
        <f>IFERROR(__xludf.DUMMYFUNCTION("""COMPUTED_VALUE"""),0.0)</f>
        <v>0</v>
      </c>
      <c r="S309" s="447">
        <f>IFERROR(__xludf.DUMMYFUNCTION("""COMPUTED_VALUE"""),0.0)</f>
        <v>0</v>
      </c>
      <c r="T309" s="447">
        <f>IFERROR(__xludf.DUMMYFUNCTION("""COMPUTED_VALUE"""),0.0)</f>
        <v>0</v>
      </c>
      <c r="U309" s="447">
        <f>IFERROR(__xludf.DUMMYFUNCTION("""COMPUTED_VALUE"""),0.0)</f>
        <v>0</v>
      </c>
      <c r="V309" s="447">
        <f>IFERROR(__xludf.DUMMYFUNCTION("""COMPUTED_VALUE"""),0.0)</f>
        <v>0</v>
      </c>
      <c r="W309" s="447">
        <f>IFERROR(__xludf.DUMMYFUNCTION("""COMPUTED_VALUE"""),0.0)</f>
        <v>0</v>
      </c>
      <c r="X309" s="447">
        <f>IFERROR(__xludf.DUMMYFUNCTION("""COMPUTED_VALUE"""),0.0)</f>
        <v>0</v>
      </c>
      <c r="Y309" s="447">
        <f>IFERROR(__xludf.DUMMYFUNCTION("""COMPUTED_VALUE"""),0.0)</f>
        <v>0</v>
      </c>
      <c r="Z309" s="447">
        <f>IFERROR(__xludf.DUMMYFUNCTION("""COMPUTED_VALUE"""),0.0)</f>
        <v>0</v>
      </c>
      <c r="AA309" s="447">
        <f>IFERROR(__xludf.DUMMYFUNCTION("""COMPUTED_VALUE"""),0.0)</f>
        <v>0</v>
      </c>
      <c r="AB309" s="447">
        <f>IFERROR(__xludf.DUMMYFUNCTION("""COMPUTED_VALUE"""),0.0)</f>
        <v>0</v>
      </c>
      <c r="AC309" s="447">
        <f>IFERROR(__xludf.DUMMYFUNCTION("""COMPUTED_VALUE"""),0.0)</f>
        <v>0</v>
      </c>
      <c r="AD309" s="447">
        <f>IFERROR(__xludf.DUMMYFUNCTION("""COMPUTED_VALUE"""),0.0)</f>
        <v>0</v>
      </c>
      <c r="AE309" s="447">
        <f>IFERROR(__xludf.DUMMYFUNCTION("""COMPUTED_VALUE"""),0.0)</f>
        <v>0</v>
      </c>
      <c r="AF309" s="447">
        <f>IFERROR(__xludf.DUMMYFUNCTION("""COMPUTED_VALUE"""),0.0)</f>
        <v>0</v>
      </c>
      <c r="AG309" s="443" t="s">
        <v>140</v>
      </c>
      <c r="AH309" s="443" t="s">
        <v>343</v>
      </c>
      <c r="AI309" s="443"/>
      <c r="AJ309" s="443"/>
      <c r="AK309" s="443"/>
      <c r="AL309" s="443"/>
      <c r="AM309" s="443"/>
      <c r="AN309" s="443"/>
      <c r="AO309" s="443"/>
      <c r="AP309" s="443"/>
      <c r="AQ309" s="443"/>
      <c r="AR309" s="443"/>
      <c r="AS309" s="443"/>
      <c r="AT309" s="443"/>
      <c r="AU309" s="443"/>
      <c r="AV309" s="443"/>
      <c r="AW309" s="443"/>
      <c r="AX309" s="443"/>
      <c r="AY309" s="443"/>
      <c r="AZ309" s="443"/>
      <c r="BA309" s="443"/>
      <c r="BB309" s="443"/>
      <c r="BC309" s="443"/>
      <c r="BD309" s="443"/>
      <c r="BE309" s="443"/>
    </row>
    <row r="310" hidden="1">
      <c r="A310" s="445">
        <f t="shared" si="5"/>
        <v>45600</v>
      </c>
      <c r="B310" s="449">
        <v>531.0</v>
      </c>
      <c r="C310" s="462">
        <v>0.5583333333333333</v>
      </c>
      <c r="D310" s="462">
        <v>0.9652777777777778</v>
      </c>
      <c r="E310" s="436">
        <f t="array" ref="E310">IF(B310=0,"",(J310+K310)/60)</f>
        <v>0.8333333333</v>
      </c>
      <c r="F310" s="437">
        <f t="shared" si="1"/>
        <v>9.766666667</v>
      </c>
      <c r="G310" s="438">
        <f t="shared" ref="G310:G553" si="8">IF(B310="","",B310/F310)</f>
        <v>54.36860068</v>
      </c>
      <c r="H310" s="438">
        <f t="shared" si="3"/>
        <v>59.44029851</v>
      </c>
      <c r="I310" s="436">
        <f t="shared" si="6"/>
        <v>1.235650016</v>
      </c>
      <c r="J310" s="460">
        <v>30.0</v>
      </c>
      <c r="K310" s="460">
        <v>20.0</v>
      </c>
      <c r="L310" s="443"/>
      <c r="M310" s="447">
        <f>IFERROR(__xludf.DUMMYFUNCTION("""COMPUTED_VALUE"""),57.0)</f>
        <v>57</v>
      </c>
      <c r="N310" s="447">
        <f>IFERROR(__xludf.DUMMYFUNCTION("""COMPUTED_VALUE"""),53.0)</f>
        <v>53</v>
      </c>
      <c r="O310" s="447">
        <f>IFERROR(__xludf.DUMMYFUNCTION("""COMPUTED_VALUE"""),0.0)</f>
        <v>0</v>
      </c>
      <c r="P310" s="447">
        <f>IFERROR(__xludf.DUMMYFUNCTION("""COMPUTED_VALUE"""),0.0)</f>
        <v>0</v>
      </c>
      <c r="Q310" s="447">
        <f>IFERROR(__xludf.DUMMYFUNCTION("""COMPUTED_VALUE"""),2.0)</f>
        <v>2</v>
      </c>
      <c r="R310" s="447">
        <f>IFERROR(__xludf.DUMMYFUNCTION("""COMPUTED_VALUE"""),0.0)</f>
        <v>0</v>
      </c>
      <c r="S310" s="447">
        <f>IFERROR(__xludf.DUMMYFUNCTION("""COMPUTED_VALUE"""),1.0)</f>
        <v>1</v>
      </c>
      <c r="T310" s="447">
        <f>IFERROR(__xludf.DUMMYFUNCTION("""COMPUTED_VALUE"""),1.0)</f>
        <v>1</v>
      </c>
      <c r="U310" s="447">
        <f>IFERROR(__xludf.DUMMYFUNCTION("""COMPUTED_VALUE"""),4.0)</f>
        <v>4</v>
      </c>
      <c r="V310" s="447">
        <f>IFERROR(__xludf.DUMMYFUNCTION("""COMPUTED_VALUE"""),2.0)</f>
        <v>2</v>
      </c>
      <c r="W310" s="447">
        <f>IFERROR(__xludf.DUMMYFUNCTION("""COMPUTED_VALUE"""),0.0)</f>
        <v>0</v>
      </c>
      <c r="X310" s="447">
        <f>IFERROR(__xludf.DUMMYFUNCTION("""COMPUTED_VALUE"""),0.0)</f>
        <v>0</v>
      </c>
      <c r="Y310" s="447">
        <f>IFERROR(__xludf.DUMMYFUNCTION("""COMPUTED_VALUE"""),0.0)</f>
        <v>0</v>
      </c>
      <c r="Z310" s="447">
        <f>IFERROR(__xludf.DUMMYFUNCTION("""COMPUTED_VALUE"""),0.0)</f>
        <v>0</v>
      </c>
      <c r="AA310" s="447">
        <f>IFERROR(__xludf.DUMMYFUNCTION("""COMPUTED_VALUE"""),0.0)</f>
        <v>0</v>
      </c>
      <c r="AB310" s="447">
        <f>IFERROR(__xludf.DUMMYFUNCTION("""COMPUTED_VALUE"""),0.0)</f>
        <v>0</v>
      </c>
      <c r="AC310" s="447">
        <f>IFERROR(__xludf.DUMMYFUNCTION("""COMPUTED_VALUE"""),0.0)</f>
        <v>0</v>
      </c>
      <c r="AD310" s="447">
        <f>IFERROR(__xludf.DUMMYFUNCTION("""COMPUTED_VALUE"""),44.0)</f>
        <v>44</v>
      </c>
      <c r="AE310" s="447">
        <f>IFERROR(__xludf.DUMMYFUNCTION("""COMPUTED_VALUE"""),10.0)</f>
        <v>10</v>
      </c>
      <c r="AF310" s="447">
        <f>IFERROR(__xludf.DUMMYFUNCTION("""COMPUTED_VALUE"""),4.0)</f>
        <v>4</v>
      </c>
      <c r="AG310" s="443" t="s">
        <v>140</v>
      </c>
      <c r="AH310" s="443" t="s">
        <v>343</v>
      </c>
      <c r="AI310" s="443"/>
      <c r="AJ310" s="443"/>
      <c r="AK310" s="443"/>
      <c r="AL310" s="443"/>
      <c r="AM310" s="443"/>
      <c r="AN310" s="443"/>
      <c r="AO310" s="443"/>
      <c r="AP310" s="443"/>
      <c r="AQ310" s="443"/>
      <c r="AR310" s="443"/>
      <c r="AS310" s="443"/>
      <c r="AT310" s="443"/>
      <c r="AU310" s="443"/>
      <c r="AV310" s="443"/>
      <c r="AW310" s="443"/>
      <c r="AX310" s="443"/>
      <c r="AY310" s="443"/>
      <c r="AZ310" s="443"/>
      <c r="BA310" s="443"/>
      <c r="BB310" s="443"/>
      <c r="BC310" s="443"/>
      <c r="BD310" s="443"/>
      <c r="BE310" s="443"/>
    </row>
    <row r="311" hidden="1">
      <c r="A311" s="445">
        <f t="shared" si="5"/>
        <v>45601</v>
      </c>
      <c r="B311" s="449">
        <v>432.0</v>
      </c>
      <c r="C311" s="462">
        <v>0.6</v>
      </c>
      <c r="D311" s="462">
        <v>0.9375</v>
      </c>
      <c r="E311" s="436">
        <f t="array" ref="E311">IF(B311=0,"",(J311+K311)/60)</f>
        <v>0.5</v>
      </c>
      <c r="F311" s="437">
        <f t="shared" si="1"/>
        <v>8.1</v>
      </c>
      <c r="G311" s="438">
        <f t="shared" si="8"/>
        <v>53.33333333</v>
      </c>
      <c r="H311" s="438">
        <f t="shared" si="3"/>
        <v>56.84210526</v>
      </c>
      <c r="I311" s="436">
        <f t="shared" si="6"/>
        <v>1.185185185</v>
      </c>
      <c r="J311" s="460">
        <v>30.0</v>
      </c>
      <c r="K311" s="464"/>
      <c r="L311" s="443"/>
      <c r="M311" s="447">
        <f>IFERROR(__xludf.DUMMYFUNCTION("""COMPUTED_VALUE"""),57.0)</f>
        <v>57</v>
      </c>
      <c r="N311" s="447">
        <f>IFERROR(__xludf.DUMMYFUNCTION("""COMPUTED_VALUE"""),53.0)</f>
        <v>53</v>
      </c>
      <c r="O311" s="447">
        <f>IFERROR(__xludf.DUMMYFUNCTION("""COMPUTED_VALUE"""),0.0)</f>
        <v>0</v>
      </c>
      <c r="P311" s="447">
        <f>IFERROR(__xludf.DUMMYFUNCTION("""COMPUTED_VALUE"""),0.0)</f>
        <v>0</v>
      </c>
      <c r="Q311" s="447">
        <f>IFERROR(__xludf.DUMMYFUNCTION("""COMPUTED_VALUE"""),0.0)</f>
        <v>0</v>
      </c>
      <c r="R311" s="447">
        <f>IFERROR(__xludf.DUMMYFUNCTION("""COMPUTED_VALUE"""),0.0)</f>
        <v>0</v>
      </c>
      <c r="S311" s="447">
        <f>IFERROR(__xludf.DUMMYFUNCTION("""COMPUTED_VALUE"""),1.0)</f>
        <v>1</v>
      </c>
      <c r="T311" s="447">
        <f>IFERROR(__xludf.DUMMYFUNCTION("""COMPUTED_VALUE"""),1.0)</f>
        <v>1</v>
      </c>
      <c r="U311" s="447">
        <f>IFERROR(__xludf.DUMMYFUNCTION("""COMPUTED_VALUE"""),4.0)</f>
        <v>4</v>
      </c>
      <c r="V311" s="447">
        <f>IFERROR(__xludf.DUMMYFUNCTION("""COMPUTED_VALUE"""),3.0)</f>
        <v>3</v>
      </c>
      <c r="W311" s="447">
        <f>IFERROR(__xludf.DUMMYFUNCTION("""COMPUTED_VALUE"""),0.0)</f>
        <v>0</v>
      </c>
      <c r="X311" s="447">
        <f>IFERROR(__xludf.DUMMYFUNCTION("""COMPUTED_VALUE"""),0.0)</f>
        <v>0</v>
      </c>
      <c r="Y311" s="447">
        <f>IFERROR(__xludf.DUMMYFUNCTION("""COMPUTED_VALUE"""),0.0)</f>
        <v>0</v>
      </c>
      <c r="Z311" s="447">
        <f>IFERROR(__xludf.DUMMYFUNCTION("""COMPUTED_VALUE"""),0.0)</f>
        <v>0</v>
      </c>
      <c r="AA311" s="447">
        <f>IFERROR(__xludf.DUMMYFUNCTION("""COMPUTED_VALUE"""),0.0)</f>
        <v>0</v>
      </c>
      <c r="AB311" s="447">
        <f>IFERROR(__xludf.DUMMYFUNCTION("""COMPUTED_VALUE"""),0.0)</f>
        <v>0</v>
      </c>
      <c r="AC311" s="447">
        <f>IFERROR(__xludf.DUMMYFUNCTION("""COMPUTED_VALUE"""),0.0)</f>
        <v>0</v>
      </c>
      <c r="AD311" s="447">
        <f>IFERROR(__xludf.DUMMYFUNCTION("""COMPUTED_VALUE"""),45.0)</f>
        <v>45</v>
      </c>
      <c r="AE311" s="447">
        <f>IFERROR(__xludf.DUMMYFUNCTION("""COMPUTED_VALUE"""),9.0)</f>
        <v>9</v>
      </c>
      <c r="AF311" s="447">
        <f>IFERROR(__xludf.DUMMYFUNCTION("""COMPUTED_VALUE"""),4.0)</f>
        <v>4</v>
      </c>
      <c r="AG311" s="443" t="s">
        <v>140</v>
      </c>
      <c r="AH311" s="443" t="s">
        <v>343</v>
      </c>
      <c r="AI311" s="443"/>
      <c r="AJ311" s="443"/>
      <c r="AK311" s="443"/>
      <c r="AL311" s="443"/>
      <c r="AM311" s="443"/>
      <c r="AN311" s="443"/>
      <c r="AO311" s="443"/>
      <c r="AP311" s="443"/>
      <c r="AQ311" s="443"/>
      <c r="AR311" s="443"/>
      <c r="AS311" s="443"/>
      <c r="AT311" s="443"/>
      <c r="AU311" s="443"/>
      <c r="AV311" s="443"/>
      <c r="AW311" s="443"/>
      <c r="AX311" s="443"/>
      <c r="AY311" s="443"/>
      <c r="AZ311" s="443"/>
      <c r="BA311" s="443"/>
      <c r="BB311" s="443"/>
      <c r="BC311" s="443"/>
      <c r="BD311" s="443"/>
      <c r="BE311" s="443"/>
    </row>
    <row r="312" hidden="1">
      <c r="A312" s="445">
        <f t="shared" si="5"/>
        <v>45602</v>
      </c>
      <c r="B312" s="449">
        <v>462.0</v>
      </c>
      <c r="C312" s="462">
        <v>0.6</v>
      </c>
      <c r="D312" s="462">
        <v>0.9583333333333334</v>
      </c>
      <c r="E312" s="436">
        <f t="array" ref="E312">IF(B312=0,"",(J312+K312)/60)</f>
        <v>0.5</v>
      </c>
      <c r="F312" s="437">
        <f t="shared" si="1"/>
        <v>8.6</v>
      </c>
      <c r="G312" s="438">
        <f t="shared" si="8"/>
        <v>53.72093023</v>
      </c>
      <c r="H312" s="438">
        <f t="shared" si="3"/>
        <v>57.03703704</v>
      </c>
      <c r="I312" s="436">
        <f t="shared" si="6"/>
        <v>1.19379845</v>
      </c>
      <c r="J312" s="460">
        <v>30.0</v>
      </c>
      <c r="K312" s="464"/>
      <c r="L312" s="443"/>
      <c r="M312" s="447">
        <f>IFERROR(__xludf.DUMMYFUNCTION("""COMPUTED_VALUE"""),57.0)</f>
        <v>57</v>
      </c>
      <c r="N312" s="447">
        <f>IFERROR(__xludf.DUMMYFUNCTION("""COMPUTED_VALUE"""),53.0)</f>
        <v>53</v>
      </c>
      <c r="O312" s="447">
        <f>IFERROR(__xludf.DUMMYFUNCTION("""COMPUTED_VALUE"""),0.0)</f>
        <v>0</v>
      </c>
      <c r="P312" s="447">
        <f>IFERROR(__xludf.DUMMYFUNCTION("""COMPUTED_VALUE"""),0.0)</f>
        <v>0</v>
      </c>
      <c r="Q312" s="447">
        <f>IFERROR(__xludf.DUMMYFUNCTION("""COMPUTED_VALUE"""),0.0)</f>
        <v>0</v>
      </c>
      <c r="R312" s="447">
        <f>IFERROR(__xludf.DUMMYFUNCTION("""COMPUTED_VALUE"""),0.0)</f>
        <v>0</v>
      </c>
      <c r="S312" s="447">
        <f>IFERROR(__xludf.DUMMYFUNCTION("""COMPUTED_VALUE"""),1.0)</f>
        <v>1</v>
      </c>
      <c r="T312" s="447">
        <f>IFERROR(__xludf.DUMMYFUNCTION("""COMPUTED_VALUE"""),1.0)</f>
        <v>1</v>
      </c>
      <c r="U312" s="447">
        <f>IFERROR(__xludf.DUMMYFUNCTION("""COMPUTED_VALUE"""),4.0)</f>
        <v>4</v>
      </c>
      <c r="V312" s="447">
        <f>IFERROR(__xludf.DUMMYFUNCTION("""COMPUTED_VALUE"""),3.0)</f>
        <v>3</v>
      </c>
      <c r="W312" s="447">
        <f>IFERROR(__xludf.DUMMYFUNCTION("""COMPUTED_VALUE"""),0.0)</f>
        <v>0</v>
      </c>
      <c r="X312" s="447">
        <f>IFERROR(__xludf.DUMMYFUNCTION("""COMPUTED_VALUE"""),0.0)</f>
        <v>0</v>
      </c>
      <c r="Y312" s="447">
        <f>IFERROR(__xludf.DUMMYFUNCTION("""COMPUTED_VALUE"""),0.0)</f>
        <v>0</v>
      </c>
      <c r="Z312" s="447">
        <f>IFERROR(__xludf.DUMMYFUNCTION("""COMPUTED_VALUE"""),0.0)</f>
        <v>0</v>
      </c>
      <c r="AA312" s="447">
        <f>IFERROR(__xludf.DUMMYFUNCTION("""COMPUTED_VALUE"""),0.0)</f>
        <v>0</v>
      </c>
      <c r="AB312" s="447">
        <f>IFERROR(__xludf.DUMMYFUNCTION("""COMPUTED_VALUE"""),0.0)</f>
        <v>0</v>
      </c>
      <c r="AC312" s="447">
        <f>IFERROR(__xludf.DUMMYFUNCTION("""COMPUTED_VALUE"""),0.0)</f>
        <v>0</v>
      </c>
      <c r="AD312" s="447">
        <f>IFERROR(__xludf.DUMMYFUNCTION("""COMPUTED_VALUE"""),45.0)</f>
        <v>45</v>
      </c>
      <c r="AE312" s="447">
        <f>IFERROR(__xludf.DUMMYFUNCTION("""COMPUTED_VALUE"""),9.0)</f>
        <v>9</v>
      </c>
      <c r="AF312" s="447">
        <f>IFERROR(__xludf.DUMMYFUNCTION("""COMPUTED_VALUE"""),4.0)</f>
        <v>4</v>
      </c>
      <c r="AG312" s="443" t="s">
        <v>140</v>
      </c>
      <c r="AH312" s="443" t="s">
        <v>343</v>
      </c>
      <c r="AI312" s="443"/>
      <c r="AJ312" s="443"/>
      <c r="AK312" s="443"/>
      <c r="AL312" s="443"/>
      <c r="AM312" s="443"/>
      <c r="AN312" s="443"/>
      <c r="AO312" s="443"/>
      <c r="AP312" s="443"/>
      <c r="AQ312" s="443"/>
      <c r="AR312" s="443"/>
      <c r="AS312" s="443"/>
      <c r="AT312" s="443"/>
      <c r="AU312" s="443"/>
      <c r="AV312" s="443"/>
      <c r="AW312" s="443"/>
      <c r="AX312" s="443"/>
      <c r="AY312" s="443"/>
      <c r="AZ312" s="443"/>
      <c r="BA312" s="443"/>
      <c r="BB312" s="443"/>
      <c r="BC312" s="443"/>
      <c r="BD312" s="443"/>
      <c r="BE312" s="443"/>
    </row>
    <row r="313" hidden="1">
      <c r="A313" s="445">
        <f t="shared" si="5"/>
        <v>45603</v>
      </c>
      <c r="B313" s="449">
        <v>575.0</v>
      </c>
      <c r="C313" s="462">
        <v>0.6</v>
      </c>
      <c r="D313" s="462">
        <v>1.01875</v>
      </c>
      <c r="E313" s="436">
        <f t="array" ref="E313">IF(B313=0,"",(J313+K313)/60)</f>
        <v>1</v>
      </c>
      <c r="F313" s="437">
        <f t="shared" si="1"/>
        <v>10.05</v>
      </c>
      <c r="G313" s="438">
        <f t="shared" si="8"/>
        <v>57.21393035</v>
      </c>
      <c r="H313" s="438">
        <f t="shared" si="3"/>
        <v>63.5359116</v>
      </c>
      <c r="I313" s="436">
        <f t="shared" si="6"/>
        <v>1.33055652</v>
      </c>
      <c r="J313" s="460">
        <v>60.0</v>
      </c>
      <c r="K313" s="464"/>
      <c r="L313" s="443"/>
      <c r="M313" s="447">
        <f>IFERROR(__xludf.DUMMYFUNCTION("""COMPUTED_VALUE"""),57.0)</f>
        <v>57</v>
      </c>
      <c r="N313" s="447">
        <f>IFERROR(__xludf.DUMMYFUNCTION("""COMPUTED_VALUE"""),53.0)</f>
        <v>53</v>
      </c>
      <c r="O313" s="447">
        <f>IFERROR(__xludf.DUMMYFUNCTION("""COMPUTED_VALUE"""),0.0)</f>
        <v>0</v>
      </c>
      <c r="P313" s="447">
        <f>IFERROR(__xludf.DUMMYFUNCTION("""COMPUTED_VALUE"""),0.0)</f>
        <v>0</v>
      </c>
      <c r="Q313" s="447">
        <f>IFERROR(__xludf.DUMMYFUNCTION("""COMPUTED_VALUE"""),0.0)</f>
        <v>0</v>
      </c>
      <c r="R313" s="447">
        <f>IFERROR(__xludf.DUMMYFUNCTION("""COMPUTED_VALUE"""),1.0)</f>
        <v>1</v>
      </c>
      <c r="S313" s="447">
        <f>IFERROR(__xludf.DUMMYFUNCTION("""COMPUTED_VALUE"""),2.0)</f>
        <v>2</v>
      </c>
      <c r="T313" s="447">
        <f>IFERROR(__xludf.DUMMYFUNCTION("""COMPUTED_VALUE"""),1.0)</f>
        <v>1</v>
      </c>
      <c r="U313" s="447">
        <f>IFERROR(__xludf.DUMMYFUNCTION("""COMPUTED_VALUE"""),4.0)</f>
        <v>4</v>
      </c>
      <c r="V313" s="447">
        <f>IFERROR(__xludf.DUMMYFUNCTION("""COMPUTED_VALUE"""),3.0)</f>
        <v>3</v>
      </c>
      <c r="W313" s="447">
        <f>IFERROR(__xludf.DUMMYFUNCTION("""COMPUTED_VALUE"""),0.0)</f>
        <v>0</v>
      </c>
      <c r="X313" s="447">
        <f>IFERROR(__xludf.DUMMYFUNCTION("""COMPUTED_VALUE"""),0.0)</f>
        <v>0</v>
      </c>
      <c r="Y313" s="447">
        <f>IFERROR(__xludf.DUMMYFUNCTION("""COMPUTED_VALUE"""),0.0)</f>
        <v>0</v>
      </c>
      <c r="Z313" s="447">
        <f>IFERROR(__xludf.DUMMYFUNCTION("""COMPUTED_VALUE"""),0.0)</f>
        <v>0</v>
      </c>
      <c r="AA313" s="447">
        <f>IFERROR(__xludf.DUMMYFUNCTION("""COMPUTED_VALUE"""),0.0)</f>
        <v>0</v>
      </c>
      <c r="AB313" s="447">
        <f>IFERROR(__xludf.DUMMYFUNCTION("""COMPUTED_VALUE"""),0.0)</f>
        <v>0</v>
      </c>
      <c r="AC313" s="447">
        <f>IFERROR(__xludf.DUMMYFUNCTION("""COMPUTED_VALUE"""),0.0)</f>
        <v>0</v>
      </c>
      <c r="AD313" s="447">
        <f>IFERROR(__xludf.DUMMYFUNCTION("""COMPUTED_VALUE"""),43.0)</f>
        <v>43</v>
      </c>
      <c r="AE313" s="447">
        <f>IFERROR(__xludf.DUMMYFUNCTION("""COMPUTED_VALUE"""),10.0)</f>
        <v>10</v>
      </c>
      <c r="AF313" s="447">
        <f>IFERROR(__xludf.DUMMYFUNCTION("""COMPUTED_VALUE"""),4.0)</f>
        <v>4</v>
      </c>
      <c r="AG313" s="443" t="s">
        <v>140</v>
      </c>
      <c r="AH313" s="443" t="s">
        <v>343</v>
      </c>
      <c r="AI313" s="443"/>
      <c r="AJ313" s="443"/>
      <c r="AK313" s="443"/>
      <c r="AL313" s="443"/>
      <c r="AM313" s="443"/>
      <c r="AN313" s="443"/>
      <c r="AO313" s="443"/>
      <c r="AP313" s="443"/>
      <c r="AQ313" s="443"/>
      <c r="AR313" s="443"/>
      <c r="AS313" s="443"/>
      <c r="AT313" s="443"/>
      <c r="AU313" s="443"/>
      <c r="AV313" s="443"/>
      <c r="AW313" s="443"/>
      <c r="AX313" s="443"/>
      <c r="AY313" s="443"/>
      <c r="AZ313" s="443"/>
      <c r="BA313" s="443"/>
      <c r="BB313" s="443"/>
      <c r="BC313" s="443"/>
      <c r="BD313" s="443"/>
      <c r="BE313" s="443"/>
    </row>
    <row r="314" hidden="1">
      <c r="A314" s="445">
        <f t="shared" si="5"/>
        <v>45604</v>
      </c>
      <c r="B314" s="449">
        <v>470.0</v>
      </c>
      <c r="C314" s="462">
        <v>0.6833333333333333</v>
      </c>
      <c r="D314" s="462">
        <v>1.0208333333333333</v>
      </c>
      <c r="E314" s="436">
        <f t="array" ref="E314">IF(B314=0,"",(J314+K314)/60)</f>
        <v>0.5</v>
      </c>
      <c r="F314" s="437">
        <f t="shared" si="1"/>
        <v>8.1</v>
      </c>
      <c r="G314" s="438">
        <f t="shared" si="8"/>
        <v>58.02469136</v>
      </c>
      <c r="H314" s="438">
        <f t="shared" si="3"/>
        <v>61.84210526</v>
      </c>
      <c r="I314" s="436">
        <f t="shared" si="6"/>
        <v>1.349411427</v>
      </c>
      <c r="J314" s="460">
        <v>30.0</v>
      </c>
      <c r="K314" s="464"/>
      <c r="L314" s="443"/>
      <c r="M314" s="447">
        <f>IFERROR(__xludf.DUMMYFUNCTION("""COMPUTED_VALUE"""),57.0)</f>
        <v>57</v>
      </c>
      <c r="N314" s="447">
        <f>IFERROR(__xludf.DUMMYFUNCTION("""COMPUTED_VALUE"""),52.0)</f>
        <v>52</v>
      </c>
      <c r="O314" s="447">
        <f>IFERROR(__xludf.DUMMYFUNCTION("""COMPUTED_VALUE"""),0.0)</f>
        <v>0</v>
      </c>
      <c r="P314" s="447">
        <f>IFERROR(__xludf.DUMMYFUNCTION("""COMPUTED_VALUE"""),0.0)</f>
        <v>0</v>
      </c>
      <c r="Q314" s="447">
        <f>IFERROR(__xludf.DUMMYFUNCTION("""COMPUTED_VALUE"""),0.0)</f>
        <v>0</v>
      </c>
      <c r="R314" s="447">
        <f>IFERROR(__xludf.DUMMYFUNCTION("""COMPUTED_VALUE"""),0.0)</f>
        <v>0</v>
      </c>
      <c r="S314" s="447">
        <f>IFERROR(__xludf.DUMMYFUNCTION("""COMPUTED_VALUE"""),3.0)</f>
        <v>3</v>
      </c>
      <c r="T314" s="447">
        <f>IFERROR(__xludf.DUMMYFUNCTION("""COMPUTED_VALUE"""),0.0)</f>
        <v>0</v>
      </c>
      <c r="U314" s="447">
        <f>IFERROR(__xludf.DUMMYFUNCTION("""COMPUTED_VALUE"""),5.0)</f>
        <v>5</v>
      </c>
      <c r="V314" s="447">
        <f>IFERROR(__xludf.DUMMYFUNCTION("""COMPUTED_VALUE"""),3.0)</f>
        <v>3</v>
      </c>
      <c r="W314" s="447">
        <f>IFERROR(__xludf.DUMMYFUNCTION("""COMPUTED_VALUE"""),0.0)</f>
        <v>0</v>
      </c>
      <c r="X314" s="447">
        <f>IFERROR(__xludf.DUMMYFUNCTION("""COMPUTED_VALUE"""),0.0)</f>
        <v>0</v>
      </c>
      <c r="Y314" s="447">
        <f>IFERROR(__xludf.DUMMYFUNCTION("""COMPUTED_VALUE"""),0.0)</f>
        <v>0</v>
      </c>
      <c r="Z314" s="447">
        <f>IFERROR(__xludf.DUMMYFUNCTION("""COMPUTED_VALUE"""),0.0)</f>
        <v>0</v>
      </c>
      <c r="AA314" s="447">
        <f>IFERROR(__xludf.DUMMYFUNCTION("""COMPUTED_VALUE"""),0.0)</f>
        <v>0</v>
      </c>
      <c r="AB314" s="447">
        <f>IFERROR(__xludf.DUMMYFUNCTION("""COMPUTED_VALUE"""),0.0)</f>
        <v>0</v>
      </c>
      <c r="AC314" s="447">
        <f>IFERROR(__xludf.DUMMYFUNCTION("""COMPUTED_VALUE"""),0.0)</f>
        <v>0</v>
      </c>
      <c r="AD314" s="447">
        <f>IFERROR(__xludf.DUMMYFUNCTION("""COMPUTED_VALUE"""),43.0)</f>
        <v>43</v>
      </c>
      <c r="AE314" s="447">
        <f>IFERROR(__xludf.DUMMYFUNCTION("""COMPUTED_VALUE"""),11.0)</f>
        <v>11</v>
      </c>
      <c r="AF314" s="447">
        <f>IFERROR(__xludf.DUMMYFUNCTION("""COMPUTED_VALUE"""),5.0)</f>
        <v>5</v>
      </c>
      <c r="AG314" s="443" t="s">
        <v>140</v>
      </c>
      <c r="AH314" s="443" t="s">
        <v>343</v>
      </c>
      <c r="AI314" s="443"/>
      <c r="AJ314" s="443"/>
      <c r="AK314" s="443"/>
      <c r="AL314" s="443"/>
      <c r="AM314" s="443"/>
      <c r="AN314" s="443"/>
      <c r="AO314" s="443"/>
      <c r="AP314" s="443"/>
      <c r="AQ314" s="443"/>
      <c r="AR314" s="443"/>
      <c r="AS314" s="443"/>
      <c r="AT314" s="443"/>
      <c r="AU314" s="443"/>
      <c r="AV314" s="443"/>
      <c r="AW314" s="443"/>
      <c r="AX314" s="443"/>
      <c r="AY314" s="443"/>
      <c r="AZ314" s="443"/>
      <c r="BA314" s="443"/>
      <c r="BB314" s="443"/>
      <c r="BC314" s="443"/>
      <c r="BD314" s="443"/>
      <c r="BE314" s="443"/>
    </row>
    <row r="315" hidden="1">
      <c r="A315" s="445">
        <f t="shared" si="5"/>
        <v>45605</v>
      </c>
      <c r="B315" s="449">
        <v>342.0</v>
      </c>
      <c r="C315" s="462">
        <v>0.6</v>
      </c>
      <c r="D315" s="462">
        <v>0.8576388888888888</v>
      </c>
      <c r="E315" s="436">
        <f t="array" ref="E315">IF(B315=0,"",(J315+K315)/60)</f>
        <v>0</v>
      </c>
      <c r="F315" s="437">
        <f t="shared" si="1"/>
        <v>6.183333333</v>
      </c>
      <c r="G315" s="438">
        <f t="shared" si="8"/>
        <v>55.30997305</v>
      </c>
      <c r="H315" s="438">
        <f t="shared" si="3"/>
        <v>55.30997305</v>
      </c>
      <c r="I315" s="436">
        <f t="shared" si="6"/>
        <v>1.229110512</v>
      </c>
      <c r="J315" s="464"/>
      <c r="K315" s="464"/>
      <c r="L315" s="443"/>
      <c r="M315" s="447">
        <f>IFERROR(__xludf.DUMMYFUNCTION("""COMPUTED_VALUE"""),57.0)</f>
        <v>57</v>
      </c>
      <c r="N315" s="447">
        <f>IFERROR(__xludf.DUMMYFUNCTION("""COMPUTED_VALUE"""),52.0)</f>
        <v>52</v>
      </c>
      <c r="O315" s="447">
        <f>IFERROR(__xludf.DUMMYFUNCTION("""COMPUTED_VALUE"""),0.0)</f>
        <v>0</v>
      </c>
      <c r="P315" s="447">
        <f>IFERROR(__xludf.DUMMYFUNCTION("""COMPUTED_VALUE"""),0.0)</f>
        <v>0</v>
      </c>
      <c r="Q315" s="447">
        <f>IFERROR(__xludf.DUMMYFUNCTION("""COMPUTED_VALUE"""),0.0)</f>
        <v>0</v>
      </c>
      <c r="R315" s="447">
        <f>IFERROR(__xludf.DUMMYFUNCTION("""COMPUTED_VALUE"""),0.0)</f>
        <v>0</v>
      </c>
      <c r="S315" s="447">
        <f>IFERROR(__xludf.DUMMYFUNCTION("""COMPUTED_VALUE"""),1.0)</f>
        <v>1</v>
      </c>
      <c r="T315" s="447">
        <f>IFERROR(__xludf.DUMMYFUNCTION("""COMPUTED_VALUE"""),0.0)</f>
        <v>0</v>
      </c>
      <c r="U315" s="447">
        <f>IFERROR(__xludf.DUMMYFUNCTION("""COMPUTED_VALUE"""),5.0)</f>
        <v>5</v>
      </c>
      <c r="V315" s="447">
        <f>IFERROR(__xludf.DUMMYFUNCTION("""COMPUTED_VALUE"""),3.0)</f>
        <v>3</v>
      </c>
      <c r="W315" s="447">
        <f>IFERROR(__xludf.DUMMYFUNCTION("""COMPUTED_VALUE"""),0.0)</f>
        <v>0</v>
      </c>
      <c r="X315" s="447">
        <f>IFERROR(__xludf.DUMMYFUNCTION("""COMPUTED_VALUE"""),0.0)</f>
        <v>0</v>
      </c>
      <c r="Y315" s="447">
        <f>IFERROR(__xludf.DUMMYFUNCTION("""COMPUTED_VALUE"""),0.0)</f>
        <v>0</v>
      </c>
      <c r="Z315" s="447">
        <f>IFERROR(__xludf.DUMMYFUNCTION("""COMPUTED_VALUE"""),0.0)</f>
        <v>0</v>
      </c>
      <c r="AA315" s="447">
        <f>IFERROR(__xludf.DUMMYFUNCTION("""COMPUTED_VALUE"""),0.0)</f>
        <v>0</v>
      </c>
      <c r="AB315" s="447">
        <f>IFERROR(__xludf.DUMMYFUNCTION("""COMPUTED_VALUE"""),0.0)</f>
        <v>0</v>
      </c>
      <c r="AC315" s="447">
        <f>IFERROR(__xludf.DUMMYFUNCTION("""COMPUTED_VALUE"""),0.0)</f>
        <v>0</v>
      </c>
      <c r="AD315" s="447">
        <f>IFERROR(__xludf.DUMMYFUNCTION("""COMPUTED_VALUE"""),45.0)</f>
        <v>45</v>
      </c>
      <c r="AE315" s="447">
        <f>IFERROR(__xludf.DUMMYFUNCTION("""COMPUTED_VALUE"""),9.0)</f>
        <v>9</v>
      </c>
      <c r="AF315" s="447">
        <f>IFERROR(__xludf.DUMMYFUNCTION("""COMPUTED_VALUE"""),5.0)</f>
        <v>5</v>
      </c>
      <c r="AG315" s="443" t="s">
        <v>140</v>
      </c>
      <c r="AH315" s="443" t="s">
        <v>343</v>
      </c>
      <c r="AI315" s="443"/>
      <c r="AJ315" s="443"/>
      <c r="AK315" s="443"/>
      <c r="AL315" s="443"/>
      <c r="AM315" s="443"/>
      <c r="AN315" s="443"/>
      <c r="AO315" s="443"/>
      <c r="AP315" s="443"/>
      <c r="AQ315" s="443"/>
      <c r="AR315" s="443"/>
      <c r="AS315" s="443"/>
      <c r="AT315" s="443"/>
      <c r="AU315" s="443"/>
      <c r="AV315" s="443"/>
      <c r="AW315" s="443"/>
      <c r="AX315" s="443"/>
      <c r="AY315" s="443"/>
      <c r="AZ315" s="443"/>
      <c r="BA315" s="443"/>
      <c r="BB315" s="443"/>
      <c r="BC315" s="443"/>
      <c r="BD315" s="443"/>
      <c r="BE315" s="443"/>
    </row>
    <row r="316" hidden="1">
      <c r="A316" s="445">
        <f t="shared" si="5"/>
        <v>45606</v>
      </c>
      <c r="B316" s="449">
        <v>0.0</v>
      </c>
      <c r="C316" s="443"/>
      <c r="D316" s="462"/>
      <c r="E316" s="436" t="str">
        <f t="array" ref="E316">IF(B316=0,"",(J316+K316)/60)</f>
        <v/>
      </c>
      <c r="F316" s="437" t="str">
        <f t="shared" si="1"/>
        <v/>
      </c>
      <c r="G316" s="438" t="str">
        <f t="shared" si="8"/>
        <v>#DIV/0!</v>
      </c>
      <c r="H316" s="438" t="str">
        <f t="shared" si="3"/>
        <v/>
      </c>
      <c r="I316" s="436" t="str">
        <f t="shared" si="6"/>
        <v/>
      </c>
      <c r="J316" s="464"/>
      <c r="K316" s="464"/>
      <c r="L316" s="443"/>
      <c r="M316" s="447">
        <f>IFERROR(__xludf.DUMMYFUNCTION("""COMPUTED_VALUE"""),57.0)</f>
        <v>57</v>
      </c>
      <c r="N316" s="447">
        <f>IFERROR(__xludf.DUMMYFUNCTION("""COMPUTED_VALUE"""),57.0)</f>
        <v>57</v>
      </c>
      <c r="O316" s="447">
        <f>IFERROR(__xludf.DUMMYFUNCTION("""COMPUTED_VALUE"""),0.0)</f>
        <v>0</v>
      </c>
      <c r="P316" s="447">
        <f>IFERROR(__xludf.DUMMYFUNCTION("""COMPUTED_VALUE"""),0.0)</f>
        <v>0</v>
      </c>
      <c r="Q316" s="447">
        <f>IFERROR(__xludf.DUMMYFUNCTION("""COMPUTED_VALUE"""),0.0)</f>
        <v>0</v>
      </c>
      <c r="R316" s="447">
        <f>IFERROR(__xludf.DUMMYFUNCTION("""COMPUTED_VALUE"""),0.0)</f>
        <v>0</v>
      </c>
      <c r="S316" s="447">
        <f>IFERROR(__xludf.DUMMYFUNCTION("""COMPUTED_VALUE"""),0.0)</f>
        <v>0</v>
      </c>
      <c r="T316" s="447">
        <f>IFERROR(__xludf.DUMMYFUNCTION("""COMPUTED_VALUE"""),0.0)</f>
        <v>0</v>
      </c>
      <c r="U316" s="447">
        <f>IFERROR(__xludf.DUMMYFUNCTION("""COMPUTED_VALUE"""),0.0)</f>
        <v>0</v>
      </c>
      <c r="V316" s="447">
        <f>IFERROR(__xludf.DUMMYFUNCTION("""COMPUTED_VALUE"""),0.0)</f>
        <v>0</v>
      </c>
      <c r="W316" s="447">
        <f>IFERROR(__xludf.DUMMYFUNCTION("""COMPUTED_VALUE"""),0.0)</f>
        <v>0</v>
      </c>
      <c r="X316" s="447">
        <f>IFERROR(__xludf.DUMMYFUNCTION("""COMPUTED_VALUE"""),0.0)</f>
        <v>0</v>
      </c>
      <c r="Y316" s="447">
        <f>IFERROR(__xludf.DUMMYFUNCTION("""COMPUTED_VALUE"""),0.0)</f>
        <v>0</v>
      </c>
      <c r="Z316" s="447">
        <f>IFERROR(__xludf.DUMMYFUNCTION("""COMPUTED_VALUE"""),0.0)</f>
        <v>0</v>
      </c>
      <c r="AA316" s="447">
        <f>IFERROR(__xludf.DUMMYFUNCTION("""COMPUTED_VALUE"""),0.0)</f>
        <v>0</v>
      </c>
      <c r="AB316" s="447">
        <f>IFERROR(__xludf.DUMMYFUNCTION("""COMPUTED_VALUE"""),0.0)</f>
        <v>0</v>
      </c>
      <c r="AC316" s="447">
        <f>IFERROR(__xludf.DUMMYFUNCTION("""COMPUTED_VALUE"""),0.0)</f>
        <v>0</v>
      </c>
      <c r="AD316" s="447">
        <f>IFERROR(__xludf.DUMMYFUNCTION("""COMPUTED_VALUE"""),0.0)</f>
        <v>0</v>
      </c>
      <c r="AE316" s="447">
        <f>IFERROR(__xludf.DUMMYFUNCTION("""COMPUTED_VALUE"""),0.0)</f>
        <v>0</v>
      </c>
      <c r="AF316" s="447">
        <f>IFERROR(__xludf.DUMMYFUNCTION("""COMPUTED_VALUE"""),0.0)</f>
        <v>0</v>
      </c>
      <c r="AG316" s="443" t="s">
        <v>140</v>
      </c>
      <c r="AH316" s="443" t="s">
        <v>343</v>
      </c>
      <c r="AI316" s="443"/>
      <c r="AJ316" s="443"/>
      <c r="AK316" s="443"/>
      <c r="AL316" s="443"/>
      <c r="AM316" s="443"/>
      <c r="AN316" s="443"/>
      <c r="AO316" s="443"/>
      <c r="AP316" s="443"/>
      <c r="AQ316" s="443"/>
      <c r="AR316" s="443"/>
      <c r="AS316" s="443"/>
      <c r="AT316" s="443"/>
      <c r="AU316" s="443"/>
      <c r="AV316" s="443"/>
      <c r="AW316" s="443"/>
      <c r="AX316" s="443"/>
      <c r="AY316" s="443"/>
      <c r="AZ316" s="443"/>
      <c r="BA316" s="443"/>
      <c r="BB316" s="443"/>
      <c r="BC316" s="443"/>
      <c r="BD316" s="443"/>
      <c r="BE316" s="443"/>
    </row>
    <row r="317" hidden="1">
      <c r="A317" s="445">
        <f t="shared" si="5"/>
        <v>45607</v>
      </c>
      <c r="B317" s="449">
        <v>496.0</v>
      </c>
      <c r="C317" s="462">
        <v>0.5583333333333333</v>
      </c>
      <c r="D317" s="462">
        <v>0.9152777777777777</v>
      </c>
      <c r="E317" s="436">
        <f t="array" ref="E317">IF(B317=0,"",(J317+K317)/60)</f>
        <v>0.5</v>
      </c>
      <c r="F317" s="437">
        <f t="shared" si="1"/>
        <v>8.566666667</v>
      </c>
      <c r="G317" s="438">
        <f t="shared" si="8"/>
        <v>57.89883268</v>
      </c>
      <c r="H317" s="438">
        <f t="shared" si="3"/>
        <v>61.48760331</v>
      </c>
      <c r="I317" s="436">
        <f t="shared" si="6"/>
        <v>1.346484481</v>
      </c>
      <c r="J317" s="460">
        <v>30.0</v>
      </c>
      <c r="K317" s="464"/>
      <c r="L317" s="443"/>
      <c r="M317" s="447">
        <f>IFERROR(__xludf.DUMMYFUNCTION("""COMPUTED_VALUE"""),57.0)</f>
        <v>57</v>
      </c>
      <c r="N317" s="447">
        <f>IFERROR(__xludf.DUMMYFUNCTION("""COMPUTED_VALUE"""),52.0)</f>
        <v>52</v>
      </c>
      <c r="O317" s="447">
        <f>IFERROR(__xludf.DUMMYFUNCTION("""COMPUTED_VALUE"""),0.0)</f>
        <v>0</v>
      </c>
      <c r="P317" s="447">
        <f>IFERROR(__xludf.DUMMYFUNCTION("""COMPUTED_VALUE"""),0.0)</f>
        <v>0</v>
      </c>
      <c r="Q317" s="447">
        <f>IFERROR(__xludf.DUMMYFUNCTION("""COMPUTED_VALUE"""),0.0)</f>
        <v>0</v>
      </c>
      <c r="R317" s="447">
        <f>IFERROR(__xludf.DUMMYFUNCTION("""COMPUTED_VALUE"""),0.0)</f>
        <v>0</v>
      </c>
      <c r="S317" s="447">
        <f>IFERROR(__xludf.DUMMYFUNCTION("""COMPUTED_VALUE"""),1.0)</f>
        <v>1</v>
      </c>
      <c r="T317" s="447">
        <f>IFERROR(__xludf.DUMMYFUNCTION("""COMPUTED_VALUE"""),1.0)</f>
        <v>1</v>
      </c>
      <c r="U317" s="447">
        <f>IFERROR(__xludf.DUMMYFUNCTION("""COMPUTED_VALUE"""),5.0)</f>
        <v>5</v>
      </c>
      <c r="V317" s="447">
        <f>IFERROR(__xludf.DUMMYFUNCTION("""COMPUTED_VALUE"""),2.0)</f>
        <v>2</v>
      </c>
      <c r="W317" s="447">
        <f>IFERROR(__xludf.DUMMYFUNCTION("""COMPUTED_VALUE"""),0.0)</f>
        <v>0</v>
      </c>
      <c r="X317" s="447">
        <f>IFERROR(__xludf.DUMMYFUNCTION("""COMPUTED_VALUE"""),0.0)</f>
        <v>0</v>
      </c>
      <c r="Y317" s="447">
        <f>IFERROR(__xludf.DUMMYFUNCTION("""COMPUTED_VALUE"""),0.0)</f>
        <v>0</v>
      </c>
      <c r="Z317" s="447">
        <f>IFERROR(__xludf.DUMMYFUNCTION("""COMPUTED_VALUE"""),0.0)</f>
        <v>0</v>
      </c>
      <c r="AA317" s="447">
        <f>IFERROR(__xludf.DUMMYFUNCTION("""COMPUTED_VALUE"""),1.0)</f>
        <v>1</v>
      </c>
      <c r="AB317" s="447">
        <f>IFERROR(__xludf.DUMMYFUNCTION("""COMPUTED_VALUE"""),0.0)</f>
        <v>0</v>
      </c>
      <c r="AC317" s="447">
        <f>IFERROR(__xludf.DUMMYFUNCTION("""COMPUTED_VALUE"""),1.0)</f>
        <v>1</v>
      </c>
      <c r="AD317" s="447">
        <f>IFERROR(__xludf.DUMMYFUNCTION("""COMPUTED_VALUE"""),43.0)</f>
        <v>43</v>
      </c>
      <c r="AE317" s="447">
        <f>IFERROR(__xludf.DUMMYFUNCTION("""COMPUTED_VALUE"""),11.0)</f>
        <v>11</v>
      </c>
      <c r="AF317" s="447">
        <f>IFERROR(__xludf.DUMMYFUNCTION("""COMPUTED_VALUE"""),5.0)</f>
        <v>5</v>
      </c>
      <c r="AG317" s="443" t="s">
        <v>140</v>
      </c>
      <c r="AH317" s="443" t="s">
        <v>343</v>
      </c>
      <c r="AI317" s="443"/>
      <c r="AJ317" s="443"/>
      <c r="AK317" s="443"/>
      <c r="AL317" s="443"/>
      <c r="AM317" s="443"/>
      <c r="AN317" s="443"/>
      <c r="AO317" s="443"/>
      <c r="AP317" s="443"/>
      <c r="AQ317" s="443"/>
      <c r="AR317" s="443"/>
      <c r="AS317" s="443"/>
      <c r="AT317" s="443"/>
      <c r="AU317" s="443"/>
      <c r="AV317" s="443"/>
      <c r="AW317" s="443"/>
      <c r="AX317" s="443"/>
      <c r="AY317" s="443"/>
      <c r="AZ317" s="443"/>
      <c r="BA317" s="443"/>
      <c r="BB317" s="443"/>
      <c r="BC317" s="443"/>
      <c r="BD317" s="443"/>
      <c r="BE317" s="443"/>
    </row>
    <row r="318" hidden="1">
      <c r="A318" s="445">
        <f t="shared" si="5"/>
        <v>45608</v>
      </c>
      <c r="B318" s="449">
        <v>268.0</v>
      </c>
      <c r="C318" s="462">
        <v>0.6</v>
      </c>
      <c r="D318" s="462">
        <v>0.8388888888888889</v>
      </c>
      <c r="E318" s="436">
        <f t="array" ref="E318">IF(B318=0,"",(J318+K318)/60)</f>
        <v>0.9166666667</v>
      </c>
      <c r="F318" s="437">
        <f t="shared" si="1"/>
        <v>5.733333333</v>
      </c>
      <c r="G318" s="438">
        <f t="shared" si="8"/>
        <v>46.74418605</v>
      </c>
      <c r="H318" s="438">
        <f t="shared" si="3"/>
        <v>55.64013841</v>
      </c>
      <c r="I318" s="436">
        <f t="shared" si="6"/>
        <v>1.112956811</v>
      </c>
      <c r="J318" s="460">
        <v>30.0</v>
      </c>
      <c r="K318" s="460">
        <v>25.0</v>
      </c>
      <c r="L318" s="443"/>
      <c r="M318" s="447">
        <f>IFERROR(__xludf.DUMMYFUNCTION("""COMPUTED_VALUE"""),57.0)</f>
        <v>57</v>
      </c>
      <c r="N318" s="447">
        <f>IFERROR(__xludf.DUMMYFUNCTION("""COMPUTED_VALUE"""),52.0)</f>
        <v>52</v>
      </c>
      <c r="O318" s="447">
        <f>IFERROR(__xludf.DUMMYFUNCTION("""COMPUTED_VALUE"""),0.0)</f>
        <v>0</v>
      </c>
      <c r="P318" s="447">
        <f>IFERROR(__xludf.DUMMYFUNCTION("""COMPUTED_VALUE"""),0.0)</f>
        <v>0</v>
      </c>
      <c r="Q318" s="447">
        <f>IFERROR(__xludf.DUMMYFUNCTION("""COMPUTED_VALUE"""),0.0)</f>
        <v>0</v>
      </c>
      <c r="R318" s="447">
        <f>IFERROR(__xludf.DUMMYFUNCTION("""COMPUTED_VALUE"""),0.0)</f>
        <v>0</v>
      </c>
      <c r="S318" s="447">
        <f>IFERROR(__xludf.DUMMYFUNCTION("""COMPUTED_VALUE"""),4.0)</f>
        <v>4</v>
      </c>
      <c r="T318" s="447">
        <f>IFERROR(__xludf.DUMMYFUNCTION("""COMPUTED_VALUE"""),0.0)</f>
        <v>0</v>
      </c>
      <c r="U318" s="447">
        <f>IFERROR(__xludf.DUMMYFUNCTION("""COMPUTED_VALUE"""),5.0)</f>
        <v>5</v>
      </c>
      <c r="V318" s="447">
        <f>IFERROR(__xludf.DUMMYFUNCTION("""COMPUTED_VALUE"""),2.0)</f>
        <v>2</v>
      </c>
      <c r="W318" s="447">
        <f>IFERROR(__xludf.DUMMYFUNCTION("""COMPUTED_VALUE"""),0.0)</f>
        <v>0</v>
      </c>
      <c r="X318" s="447">
        <f>IFERROR(__xludf.DUMMYFUNCTION("""COMPUTED_VALUE"""),0.0)</f>
        <v>0</v>
      </c>
      <c r="Y318" s="447">
        <f>IFERROR(__xludf.DUMMYFUNCTION("""COMPUTED_VALUE"""),0.0)</f>
        <v>0</v>
      </c>
      <c r="Z318" s="447">
        <f>IFERROR(__xludf.DUMMYFUNCTION("""COMPUTED_VALUE"""),0.0)</f>
        <v>0</v>
      </c>
      <c r="AA318" s="447">
        <f>IFERROR(__xludf.DUMMYFUNCTION("""COMPUTED_VALUE"""),0.0)</f>
        <v>0</v>
      </c>
      <c r="AB318" s="447">
        <f>IFERROR(__xludf.DUMMYFUNCTION("""COMPUTED_VALUE"""),0.0)</f>
        <v>0</v>
      </c>
      <c r="AC318" s="447">
        <f>IFERROR(__xludf.DUMMYFUNCTION("""COMPUTED_VALUE"""),1.0)</f>
        <v>1</v>
      </c>
      <c r="AD318" s="447">
        <f>IFERROR(__xludf.DUMMYFUNCTION("""COMPUTED_VALUE"""),42.0)</f>
        <v>42</v>
      </c>
      <c r="AE318" s="447">
        <f>IFERROR(__xludf.DUMMYFUNCTION("""COMPUTED_VALUE"""),12.0)</f>
        <v>12</v>
      </c>
      <c r="AF318" s="447">
        <f>IFERROR(__xludf.DUMMYFUNCTION("""COMPUTED_VALUE"""),5.0)</f>
        <v>5</v>
      </c>
      <c r="AG318" s="443" t="s">
        <v>140</v>
      </c>
      <c r="AH318" s="443" t="s">
        <v>343</v>
      </c>
      <c r="AI318" s="443"/>
      <c r="AJ318" s="443"/>
      <c r="AK318" s="443"/>
      <c r="AL318" s="443"/>
      <c r="AM318" s="443"/>
      <c r="AN318" s="443"/>
      <c r="AO318" s="443"/>
      <c r="AP318" s="443"/>
      <c r="AQ318" s="443"/>
      <c r="AR318" s="443"/>
      <c r="AS318" s="443"/>
      <c r="AT318" s="443"/>
      <c r="AU318" s="443"/>
      <c r="AV318" s="443"/>
      <c r="AW318" s="443"/>
      <c r="AX318" s="443"/>
      <c r="AY318" s="443"/>
      <c r="AZ318" s="443"/>
      <c r="BA318" s="443"/>
      <c r="BB318" s="443"/>
      <c r="BC318" s="443"/>
      <c r="BD318" s="443"/>
      <c r="BE318" s="443"/>
    </row>
    <row r="319" hidden="1">
      <c r="A319" s="445">
        <f t="shared" si="5"/>
        <v>45609</v>
      </c>
      <c r="B319" s="449">
        <v>662.0</v>
      </c>
      <c r="C319" s="462">
        <v>0.6</v>
      </c>
      <c r="D319" s="462">
        <v>1.1006944444444444</v>
      </c>
      <c r="E319" s="436">
        <f t="array" ref="E319">IF(B319=0,"",(J319+K319)/60)</f>
        <v>1</v>
      </c>
      <c r="F319" s="437">
        <f t="shared" si="1"/>
        <v>12.01666667</v>
      </c>
      <c r="G319" s="438">
        <f t="shared" si="8"/>
        <v>55.09015257</v>
      </c>
      <c r="H319" s="438">
        <f t="shared" si="3"/>
        <v>60.09077156</v>
      </c>
      <c r="I319" s="436">
        <f t="shared" si="6"/>
        <v>1.252048922</v>
      </c>
      <c r="J319" s="460">
        <v>60.0</v>
      </c>
      <c r="K319" s="464"/>
      <c r="L319" s="443"/>
      <c r="M319" s="447">
        <f>IFERROR(__xludf.DUMMYFUNCTION("""COMPUTED_VALUE"""),57.0)</f>
        <v>57</v>
      </c>
      <c r="N319" s="447">
        <f>IFERROR(__xludf.DUMMYFUNCTION("""COMPUTED_VALUE"""),52.0)</f>
        <v>52</v>
      </c>
      <c r="O319" s="447">
        <f>IFERROR(__xludf.DUMMYFUNCTION("""COMPUTED_VALUE"""),0.0)</f>
        <v>0</v>
      </c>
      <c r="P319" s="447">
        <f>IFERROR(__xludf.DUMMYFUNCTION("""COMPUTED_VALUE"""),0.0)</f>
        <v>0</v>
      </c>
      <c r="Q319" s="447">
        <f>IFERROR(__xludf.DUMMYFUNCTION("""COMPUTED_VALUE"""),0.0)</f>
        <v>0</v>
      </c>
      <c r="R319" s="447">
        <f>IFERROR(__xludf.DUMMYFUNCTION("""COMPUTED_VALUE"""),0.0)</f>
        <v>0</v>
      </c>
      <c r="S319" s="447">
        <f>IFERROR(__xludf.DUMMYFUNCTION("""COMPUTED_VALUE"""),3.0)</f>
        <v>3</v>
      </c>
      <c r="T319" s="447">
        <f>IFERROR(__xludf.DUMMYFUNCTION("""COMPUTED_VALUE"""),0.0)</f>
        <v>0</v>
      </c>
      <c r="U319" s="447">
        <f>IFERROR(__xludf.DUMMYFUNCTION("""COMPUTED_VALUE"""),5.0)</f>
        <v>5</v>
      </c>
      <c r="V319" s="447">
        <f>IFERROR(__xludf.DUMMYFUNCTION("""COMPUTED_VALUE"""),2.0)</f>
        <v>2</v>
      </c>
      <c r="W319" s="447">
        <f>IFERROR(__xludf.DUMMYFUNCTION("""COMPUTED_VALUE"""),0.0)</f>
        <v>0</v>
      </c>
      <c r="X319" s="447">
        <f>IFERROR(__xludf.DUMMYFUNCTION("""COMPUTED_VALUE"""),0.0)</f>
        <v>0</v>
      </c>
      <c r="Y319" s="447">
        <f>IFERROR(__xludf.DUMMYFUNCTION("""COMPUTED_VALUE"""),0.0)</f>
        <v>0</v>
      </c>
      <c r="Z319" s="447">
        <f>IFERROR(__xludf.DUMMYFUNCTION("""COMPUTED_VALUE"""),0.0)</f>
        <v>0</v>
      </c>
      <c r="AA319" s="447">
        <f>IFERROR(__xludf.DUMMYFUNCTION("""COMPUTED_VALUE"""),0.0)</f>
        <v>0</v>
      </c>
      <c r="AB319" s="447">
        <f>IFERROR(__xludf.DUMMYFUNCTION("""COMPUTED_VALUE"""),0.0)</f>
        <v>0</v>
      </c>
      <c r="AC319" s="447">
        <f>IFERROR(__xludf.DUMMYFUNCTION("""COMPUTED_VALUE"""),0.0)</f>
        <v>0</v>
      </c>
      <c r="AD319" s="447">
        <f>IFERROR(__xludf.DUMMYFUNCTION("""COMPUTED_VALUE"""),44.0)</f>
        <v>44</v>
      </c>
      <c r="AE319" s="447">
        <f>IFERROR(__xludf.DUMMYFUNCTION("""COMPUTED_VALUE"""),10.0)</f>
        <v>10</v>
      </c>
      <c r="AF319" s="447">
        <f>IFERROR(__xludf.DUMMYFUNCTION("""COMPUTED_VALUE"""),5.0)</f>
        <v>5</v>
      </c>
      <c r="AG319" s="443" t="s">
        <v>140</v>
      </c>
      <c r="AH319" s="443" t="s">
        <v>343</v>
      </c>
      <c r="AI319" s="443"/>
      <c r="AJ319" s="443"/>
      <c r="AK319" s="443"/>
      <c r="AL319" s="443"/>
      <c r="AM319" s="443"/>
      <c r="AN319" s="443"/>
      <c r="AO319" s="443"/>
      <c r="AP319" s="443"/>
      <c r="AQ319" s="443"/>
      <c r="AR319" s="443"/>
      <c r="AS319" s="443"/>
      <c r="AT319" s="443"/>
      <c r="AU319" s="443"/>
      <c r="AV319" s="443"/>
      <c r="AW319" s="443"/>
      <c r="AX319" s="443"/>
      <c r="AY319" s="443"/>
      <c r="AZ319" s="443"/>
      <c r="BA319" s="443"/>
      <c r="BB319" s="443"/>
      <c r="BC319" s="443"/>
      <c r="BD319" s="443"/>
      <c r="BE319" s="443"/>
    </row>
    <row r="320" hidden="1">
      <c r="A320" s="445">
        <f t="shared" si="5"/>
        <v>45610</v>
      </c>
      <c r="B320" s="449">
        <v>483.0</v>
      </c>
      <c r="C320" s="462">
        <v>0.6</v>
      </c>
      <c r="D320" s="462">
        <v>0.9763888888888889</v>
      </c>
      <c r="E320" s="436">
        <f t="array" ref="E320">IF(B320=0,"",(J320+K320)/60)</f>
        <v>1.816666667</v>
      </c>
      <c r="F320" s="437">
        <f t="shared" si="1"/>
        <v>9.033333333</v>
      </c>
      <c r="G320" s="438">
        <f t="shared" si="8"/>
        <v>53.46863469</v>
      </c>
      <c r="H320" s="438">
        <f t="shared" si="3"/>
        <v>66.92840647</v>
      </c>
      <c r="I320" s="436">
        <f t="shared" si="6"/>
        <v>1.215196243</v>
      </c>
      <c r="J320" s="460">
        <v>30.0</v>
      </c>
      <c r="K320" s="464">
        <f>40+29+10</f>
        <v>79</v>
      </c>
      <c r="L320" s="443"/>
      <c r="M320" s="447">
        <f>IFERROR(__xludf.DUMMYFUNCTION("""COMPUTED_VALUE"""),57.0)</f>
        <v>57</v>
      </c>
      <c r="N320" s="447">
        <f>IFERROR(__xludf.DUMMYFUNCTION("""COMPUTED_VALUE"""),52.0)</f>
        <v>52</v>
      </c>
      <c r="O320" s="447">
        <f>IFERROR(__xludf.DUMMYFUNCTION("""COMPUTED_VALUE"""),0.0)</f>
        <v>0</v>
      </c>
      <c r="P320" s="447">
        <f>IFERROR(__xludf.DUMMYFUNCTION("""COMPUTED_VALUE"""),0.0)</f>
        <v>0</v>
      </c>
      <c r="Q320" s="447">
        <f>IFERROR(__xludf.DUMMYFUNCTION("""COMPUTED_VALUE"""),0.0)</f>
        <v>0</v>
      </c>
      <c r="R320" s="447">
        <f>IFERROR(__xludf.DUMMYFUNCTION("""COMPUTED_VALUE"""),0.0)</f>
        <v>0</v>
      </c>
      <c r="S320" s="447">
        <f>IFERROR(__xludf.DUMMYFUNCTION("""COMPUTED_VALUE"""),3.0)</f>
        <v>3</v>
      </c>
      <c r="T320" s="447">
        <f>IFERROR(__xludf.DUMMYFUNCTION("""COMPUTED_VALUE"""),0.0)</f>
        <v>0</v>
      </c>
      <c r="U320" s="447">
        <f>IFERROR(__xludf.DUMMYFUNCTION("""COMPUTED_VALUE"""),5.0)</f>
        <v>5</v>
      </c>
      <c r="V320" s="447">
        <f>IFERROR(__xludf.DUMMYFUNCTION("""COMPUTED_VALUE"""),2.0)</f>
        <v>2</v>
      </c>
      <c r="W320" s="447">
        <f>IFERROR(__xludf.DUMMYFUNCTION("""COMPUTED_VALUE"""),0.0)</f>
        <v>0</v>
      </c>
      <c r="X320" s="447">
        <f>IFERROR(__xludf.DUMMYFUNCTION("""COMPUTED_VALUE"""),0.0)</f>
        <v>0</v>
      </c>
      <c r="Y320" s="447">
        <f>IFERROR(__xludf.DUMMYFUNCTION("""COMPUTED_VALUE"""),0.0)</f>
        <v>0</v>
      </c>
      <c r="Z320" s="447">
        <f>IFERROR(__xludf.DUMMYFUNCTION("""COMPUTED_VALUE"""),0.0)</f>
        <v>0</v>
      </c>
      <c r="AA320" s="447">
        <f>IFERROR(__xludf.DUMMYFUNCTION("""COMPUTED_VALUE"""),0.0)</f>
        <v>0</v>
      </c>
      <c r="AB320" s="447">
        <f>IFERROR(__xludf.DUMMYFUNCTION("""COMPUTED_VALUE"""),0.0)</f>
        <v>0</v>
      </c>
      <c r="AC320" s="447">
        <f>IFERROR(__xludf.DUMMYFUNCTION("""COMPUTED_VALUE"""),0.0)</f>
        <v>0</v>
      </c>
      <c r="AD320" s="447">
        <f>IFERROR(__xludf.DUMMYFUNCTION("""COMPUTED_VALUE"""),44.0)</f>
        <v>44</v>
      </c>
      <c r="AE320" s="447">
        <f>IFERROR(__xludf.DUMMYFUNCTION("""COMPUTED_VALUE"""),10.0)</f>
        <v>10</v>
      </c>
      <c r="AF320" s="447">
        <f>IFERROR(__xludf.DUMMYFUNCTION("""COMPUTED_VALUE"""),5.0)</f>
        <v>5</v>
      </c>
      <c r="AG320" s="443" t="s">
        <v>140</v>
      </c>
      <c r="AH320" s="443" t="s">
        <v>343</v>
      </c>
      <c r="AI320" s="443"/>
      <c r="AJ320" s="443"/>
      <c r="AK320" s="443"/>
      <c r="AL320" s="443"/>
      <c r="AM320" s="443"/>
      <c r="AN320" s="443"/>
      <c r="AO320" s="443"/>
      <c r="AP320" s="443"/>
      <c r="AQ320" s="443"/>
      <c r="AR320" s="443"/>
      <c r="AS320" s="443"/>
      <c r="AT320" s="443"/>
      <c r="AU320" s="443"/>
      <c r="AV320" s="443"/>
      <c r="AW320" s="443"/>
      <c r="AX320" s="443"/>
      <c r="AY320" s="443"/>
      <c r="AZ320" s="443"/>
      <c r="BA320" s="443"/>
      <c r="BB320" s="443"/>
      <c r="BC320" s="443"/>
      <c r="BD320" s="443"/>
      <c r="BE320" s="443"/>
    </row>
    <row r="321" hidden="1">
      <c r="A321" s="445">
        <f t="shared" si="5"/>
        <v>45611</v>
      </c>
      <c r="B321" s="449">
        <v>524.0</v>
      </c>
      <c r="C321" s="462">
        <v>0.6</v>
      </c>
      <c r="D321" s="462">
        <v>1.0465277777777777</v>
      </c>
      <c r="E321" s="436">
        <f t="array" ref="E321">IF(B321=0,"",(J321+K321)/60)</f>
        <v>1.716666667</v>
      </c>
      <c r="F321" s="437">
        <f t="shared" si="1"/>
        <v>10.71666667</v>
      </c>
      <c r="G321" s="438">
        <f t="shared" si="8"/>
        <v>48.89580093</v>
      </c>
      <c r="H321" s="438">
        <f t="shared" si="3"/>
        <v>58.22222222</v>
      </c>
      <c r="I321" s="436">
        <f t="shared" si="6"/>
        <v>1.018662519</v>
      </c>
      <c r="J321" s="460">
        <v>30.0</v>
      </c>
      <c r="K321" s="464">
        <f>50+23</f>
        <v>73</v>
      </c>
      <c r="L321" s="443"/>
      <c r="M321" s="447">
        <f>IFERROR(__xludf.DUMMYFUNCTION("""COMPUTED_VALUE"""),57.0)</f>
        <v>57</v>
      </c>
      <c r="N321" s="447">
        <f>IFERROR(__xludf.DUMMYFUNCTION("""COMPUTED_VALUE"""),56.0)</f>
        <v>56</v>
      </c>
      <c r="O321" s="447">
        <f>IFERROR(__xludf.DUMMYFUNCTION("""COMPUTED_VALUE"""),0.0)</f>
        <v>0</v>
      </c>
      <c r="P321" s="447">
        <f>IFERROR(__xludf.DUMMYFUNCTION("""COMPUTED_VALUE"""),0.0)</f>
        <v>0</v>
      </c>
      <c r="Q321" s="447">
        <f>IFERROR(__xludf.DUMMYFUNCTION("""COMPUTED_VALUE"""),0.0)</f>
        <v>0</v>
      </c>
      <c r="R321" s="447">
        <f>IFERROR(__xludf.DUMMYFUNCTION("""COMPUTED_VALUE"""),0.0)</f>
        <v>0</v>
      </c>
      <c r="S321" s="447">
        <f>IFERROR(__xludf.DUMMYFUNCTION("""COMPUTED_VALUE"""),3.0)</f>
        <v>3</v>
      </c>
      <c r="T321" s="447">
        <f>IFERROR(__xludf.DUMMYFUNCTION("""COMPUTED_VALUE"""),0.0)</f>
        <v>0</v>
      </c>
      <c r="U321" s="447">
        <f>IFERROR(__xludf.DUMMYFUNCTION("""COMPUTED_VALUE"""),1.0)</f>
        <v>1</v>
      </c>
      <c r="V321" s="447">
        <f>IFERROR(__xludf.DUMMYFUNCTION("""COMPUTED_VALUE"""),1.0)</f>
        <v>1</v>
      </c>
      <c r="W321" s="447">
        <f>IFERROR(__xludf.DUMMYFUNCTION("""COMPUTED_VALUE"""),0.0)</f>
        <v>0</v>
      </c>
      <c r="X321" s="447">
        <f>IFERROR(__xludf.DUMMYFUNCTION("""COMPUTED_VALUE"""),0.0)</f>
        <v>0</v>
      </c>
      <c r="Y321" s="447">
        <f>IFERROR(__xludf.DUMMYFUNCTION("""COMPUTED_VALUE"""),0.0)</f>
        <v>0</v>
      </c>
      <c r="Z321" s="447">
        <f>IFERROR(__xludf.DUMMYFUNCTION("""COMPUTED_VALUE"""),0.0)</f>
        <v>0</v>
      </c>
      <c r="AA321" s="447">
        <f>IFERROR(__xludf.DUMMYFUNCTION("""COMPUTED_VALUE"""),1.0)</f>
        <v>1</v>
      </c>
      <c r="AB321" s="447">
        <f>IFERROR(__xludf.DUMMYFUNCTION("""COMPUTED_VALUE"""),0.0)</f>
        <v>0</v>
      </c>
      <c r="AC321" s="447">
        <f>IFERROR(__xludf.DUMMYFUNCTION("""COMPUTED_VALUE"""),0.0)</f>
        <v>0</v>
      </c>
      <c r="AD321" s="447">
        <f>IFERROR(__xludf.DUMMYFUNCTION("""COMPUTED_VALUE"""),48.0)</f>
        <v>48</v>
      </c>
      <c r="AE321" s="447">
        <f>IFERROR(__xludf.DUMMYFUNCTION("""COMPUTED_VALUE"""),6.0)</f>
        <v>6</v>
      </c>
      <c r="AF321" s="447">
        <f>IFERROR(__xludf.DUMMYFUNCTION("""COMPUTED_VALUE"""),1.0)</f>
        <v>1</v>
      </c>
      <c r="AG321" s="443" t="s">
        <v>140</v>
      </c>
      <c r="AH321" s="443" t="s">
        <v>343</v>
      </c>
      <c r="AI321" s="443"/>
      <c r="AJ321" s="443"/>
      <c r="AK321" s="443"/>
      <c r="AL321" s="443"/>
      <c r="AM321" s="443"/>
      <c r="AN321" s="443"/>
      <c r="AO321" s="443"/>
      <c r="AP321" s="443"/>
      <c r="AQ321" s="443"/>
      <c r="AR321" s="443"/>
      <c r="AS321" s="443"/>
      <c r="AT321" s="443"/>
      <c r="AU321" s="443"/>
      <c r="AV321" s="443"/>
      <c r="AW321" s="443"/>
      <c r="AX321" s="443"/>
      <c r="AY321" s="443"/>
      <c r="AZ321" s="443"/>
      <c r="BA321" s="443"/>
      <c r="BB321" s="443"/>
      <c r="BC321" s="443"/>
      <c r="BD321" s="443"/>
      <c r="BE321" s="443"/>
    </row>
    <row r="322" hidden="1">
      <c r="A322" s="445">
        <f t="shared" si="5"/>
        <v>45612</v>
      </c>
      <c r="B322" s="449">
        <v>246.0</v>
      </c>
      <c r="C322" s="462">
        <v>0.6</v>
      </c>
      <c r="D322" s="462">
        <v>0.825</v>
      </c>
      <c r="E322" s="436">
        <f t="array" ref="E322">IF(B322=0,"",(J322+K322)/60)</f>
        <v>0</v>
      </c>
      <c r="F322" s="437">
        <f t="shared" si="1"/>
        <v>5.4</v>
      </c>
      <c r="G322" s="438">
        <f t="shared" si="8"/>
        <v>45.55555556</v>
      </c>
      <c r="H322" s="438">
        <f t="shared" si="3"/>
        <v>45.55555556</v>
      </c>
      <c r="I322" s="436">
        <f t="shared" si="6"/>
        <v>0.9297052154</v>
      </c>
      <c r="J322" s="464"/>
      <c r="K322" s="464"/>
      <c r="L322" s="443"/>
      <c r="M322" s="447">
        <f>IFERROR(__xludf.DUMMYFUNCTION("""COMPUTED_VALUE"""),57.0)</f>
        <v>57</v>
      </c>
      <c r="N322" s="447">
        <f>IFERROR(__xludf.DUMMYFUNCTION("""COMPUTED_VALUE"""),56.0)</f>
        <v>56</v>
      </c>
      <c r="O322" s="447">
        <f>IFERROR(__xludf.DUMMYFUNCTION("""COMPUTED_VALUE"""),0.0)</f>
        <v>0</v>
      </c>
      <c r="P322" s="447">
        <f>IFERROR(__xludf.DUMMYFUNCTION("""COMPUTED_VALUE"""),0.0)</f>
        <v>0</v>
      </c>
      <c r="Q322" s="447">
        <f>IFERROR(__xludf.DUMMYFUNCTION("""COMPUTED_VALUE"""),0.0)</f>
        <v>0</v>
      </c>
      <c r="R322" s="447">
        <f>IFERROR(__xludf.DUMMYFUNCTION("""COMPUTED_VALUE"""),0.0)</f>
        <v>0</v>
      </c>
      <c r="S322" s="447">
        <f>IFERROR(__xludf.DUMMYFUNCTION("""COMPUTED_VALUE"""),3.0)</f>
        <v>3</v>
      </c>
      <c r="T322" s="447">
        <f>IFERROR(__xludf.DUMMYFUNCTION("""COMPUTED_VALUE"""),0.0)</f>
        <v>0</v>
      </c>
      <c r="U322" s="447">
        <f>IFERROR(__xludf.DUMMYFUNCTION("""COMPUTED_VALUE"""),1.0)</f>
        <v>1</v>
      </c>
      <c r="V322" s="447">
        <f>IFERROR(__xludf.DUMMYFUNCTION("""COMPUTED_VALUE"""),1.0)</f>
        <v>1</v>
      </c>
      <c r="W322" s="447">
        <f>IFERROR(__xludf.DUMMYFUNCTION("""COMPUTED_VALUE"""),0.0)</f>
        <v>0</v>
      </c>
      <c r="X322" s="447">
        <f>IFERROR(__xludf.DUMMYFUNCTION("""COMPUTED_VALUE"""),0.0)</f>
        <v>0</v>
      </c>
      <c r="Y322" s="447">
        <f>IFERROR(__xludf.DUMMYFUNCTION("""COMPUTED_VALUE"""),0.0)</f>
        <v>0</v>
      </c>
      <c r="Z322" s="447">
        <f>IFERROR(__xludf.DUMMYFUNCTION("""COMPUTED_VALUE"""),0.0)</f>
        <v>0</v>
      </c>
      <c r="AA322" s="447">
        <f>IFERROR(__xludf.DUMMYFUNCTION("""COMPUTED_VALUE"""),0.0)</f>
        <v>0</v>
      </c>
      <c r="AB322" s="447">
        <f>IFERROR(__xludf.DUMMYFUNCTION("""COMPUTED_VALUE"""),0.0)</f>
        <v>0</v>
      </c>
      <c r="AC322" s="447">
        <f>IFERROR(__xludf.DUMMYFUNCTION("""COMPUTED_VALUE"""),0.0)</f>
        <v>0</v>
      </c>
      <c r="AD322" s="447">
        <f>IFERROR(__xludf.DUMMYFUNCTION("""COMPUTED_VALUE"""),49.0)</f>
        <v>49</v>
      </c>
      <c r="AE322" s="447">
        <f>IFERROR(__xludf.DUMMYFUNCTION("""COMPUTED_VALUE"""),5.0)</f>
        <v>5</v>
      </c>
      <c r="AF322" s="447">
        <f>IFERROR(__xludf.DUMMYFUNCTION("""COMPUTED_VALUE"""),1.0)</f>
        <v>1</v>
      </c>
      <c r="AG322" s="443" t="s">
        <v>140</v>
      </c>
      <c r="AH322" s="443" t="s">
        <v>343</v>
      </c>
      <c r="AI322" s="443"/>
      <c r="AJ322" s="443"/>
      <c r="AK322" s="443"/>
      <c r="AL322" s="443"/>
      <c r="AM322" s="443"/>
      <c r="AN322" s="443"/>
      <c r="AO322" s="443"/>
      <c r="AP322" s="443"/>
      <c r="AQ322" s="443"/>
      <c r="AR322" s="443"/>
      <c r="AS322" s="443"/>
      <c r="AT322" s="443"/>
      <c r="AU322" s="443"/>
      <c r="AV322" s="443"/>
      <c r="AW322" s="443"/>
      <c r="AX322" s="443"/>
      <c r="AY322" s="443"/>
      <c r="AZ322" s="443"/>
      <c r="BA322" s="443"/>
      <c r="BB322" s="443"/>
      <c r="BC322" s="443"/>
      <c r="BD322" s="443"/>
      <c r="BE322" s="443"/>
    </row>
    <row r="323" hidden="1">
      <c r="A323" s="445">
        <f t="shared" si="5"/>
        <v>45613</v>
      </c>
      <c r="B323" s="449">
        <v>0.0</v>
      </c>
      <c r="C323" s="443"/>
      <c r="D323" s="462"/>
      <c r="E323" s="436" t="str">
        <f t="array" ref="E323">IF(B323=0,"",(J323+K323)/60)</f>
        <v/>
      </c>
      <c r="F323" s="437" t="str">
        <f t="shared" si="1"/>
        <v/>
      </c>
      <c r="G323" s="438" t="str">
        <f t="shared" si="8"/>
        <v>#DIV/0!</v>
      </c>
      <c r="H323" s="438" t="str">
        <f t="shared" si="3"/>
        <v/>
      </c>
      <c r="I323" s="436" t="str">
        <f t="shared" si="6"/>
        <v/>
      </c>
      <c r="J323" s="464"/>
      <c r="K323" s="464"/>
      <c r="L323" s="443"/>
      <c r="M323" s="447">
        <f>IFERROR(__xludf.DUMMYFUNCTION("""COMPUTED_VALUE"""),57.0)</f>
        <v>57</v>
      </c>
      <c r="N323" s="447">
        <f>IFERROR(__xludf.DUMMYFUNCTION("""COMPUTED_VALUE"""),57.0)</f>
        <v>57</v>
      </c>
      <c r="O323" s="447">
        <f>IFERROR(__xludf.DUMMYFUNCTION("""COMPUTED_VALUE"""),0.0)</f>
        <v>0</v>
      </c>
      <c r="P323" s="447">
        <f>IFERROR(__xludf.DUMMYFUNCTION("""COMPUTED_VALUE"""),0.0)</f>
        <v>0</v>
      </c>
      <c r="Q323" s="447">
        <f>IFERROR(__xludf.DUMMYFUNCTION("""COMPUTED_VALUE"""),0.0)</f>
        <v>0</v>
      </c>
      <c r="R323" s="447">
        <f>IFERROR(__xludf.DUMMYFUNCTION("""COMPUTED_VALUE"""),0.0)</f>
        <v>0</v>
      </c>
      <c r="S323" s="447">
        <f>IFERROR(__xludf.DUMMYFUNCTION("""COMPUTED_VALUE"""),0.0)</f>
        <v>0</v>
      </c>
      <c r="T323" s="447">
        <f>IFERROR(__xludf.DUMMYFUNCTION("""COMPUTED_VALUE"""),0.0)</f>
        <v>0</v>
      </c>
      <c r="U323" s="447">
        <f>IFERROR(__xludf.DUMMYFUNCTION("""COMPUTED_VALUE"""),0.0)</f>
        <v>0</v>
      </c>
      <c r="V323" s="447">
        <f>IFERROR(__xludf.DUMMYFUNCTION("""COMPUTED_VALUE"""),0.0)</f>
        <v>0</v>
      </c>
      <c r="W323" s="447">
        <f>IFERROR(__xludf.DUMMYFUNCTION("""COMPUTED_VALUE"""),0.0)</f>
        <v>0</v>
      </c>
      <c r="X323" s="447">
        <f>IFERROR(__xludf.DUMMYFUNCTION("""COMPUTED_VALUE"""),0.0)</f>
        <v>0</v>
      </c>
      <c r="Y323" s="447">
        <f>IFERROR(__xludf.DUMMYFUNCTION("""COMPUTED_VALUE"""),0.0)</f>
        <v>0</v>
      </c>
      <c r="Z323" s="447">
        <f>IFERROR(__xludf.DUMMYFUNCTION("""COMPUTED_VALUE"""),0.0)</f>
        <v>0</v>
      </c>
      <c r="AA323" s="447">
        <f>IFERROR(__xludf.DUMMYFUNCTION("""COMPUTED_VALUE"""),0.0)</f>
        <v>0</v>
      </c>
      <c r="AB323" s="447">
        <f>IFERROR(__xludf.DUMMYFUNCTION("""COMPUTED_VALUE"""),0.0)</f>
        <v>0</v>
      </c>
      <c r="AC323" s="447">
        <f>IFERROR(__xludf.DUMMYFUNCTION("""COMPUTED_VALUE"""),0.0)</f>
        <v>0</v>
      </c>
      <c r="AD323" s="447">
        <f>IFERROR(__xludf.DUMMYFUNCTION("""COMPUTED_VALUE"""),0.0)</f>
        <v>0</v>
      </c>
      <c r="AE323" s="447">
        <f>IFERROR(__xludf.DUMMYFUNCTION("""COMPUTED_VALUE"""),0.0)</f>
        <v>0</v>
      </c>
      <c r="AF323" s="447">
        <f>IFERROR(__xludf.DUMMYFUNCTION("""COMPUTED_VALUE"""),0.0)</f>
        <v>0</v>
      </c>
      <c r="AG323" s="443" t="s">
        <v>140</v>
      </c>
      <c r="AH323" s="443" t="s">
        <v>343</v>
      </c>
      <c r="AI323" s="443"/>
      <c r="AJ323" s="443"/>
      <c r="AK323" s="443"/>
      <c r="AL323" s="443"/>
      <c r="AM323" s="443"/>
      <c r="AN323" s="443"/>
      <c r="AO323" s="443"/>
      <c r="AP323" s="443"/>
      <c r="AQ323" s="443"/>
      <c r="AR323" s="443"/>
      <c r="AS323" s="443"/>
      <c r="AT323" s="443"/>
      <c r="AU323" s="443"/>
      <c r="AV323" s="443"/>
      <c r="AW323" s="443"/>
      <c r="AX323" s="443"/>
      <c r="AY323" s="443"/>
      <c r="AZ323" s="443"/>
      <c r="BA323" s="443"/>
      <c r="BB323" s="443"/>
      <c r="BC323" s="443"/>
      <c r="BD323" s="443"/>
      <c r="BE323" s="443"/>
    </row>
    <row r="324" hidden="1">
      <c r="A324" s="445">
        <f t="shared" si="5"/>
        <v>45614</v>
      </c>
      <c r="B324" s="449">
        <v>584.0</v>
      </c>
      <c r="C324" s="462">
        <v>0.5583333333333333</v>
      </c>
      <c r="D324" s="462">
        <v>1.0118055555555556</v>
      </c>
      <c r="E324" s="436">
        <f t="array" ref="E324">IF(B324=0,"",(J324+K324)/60)</f>
        <v>1.216666667</v>
      </c>
      <c r="F324" s="437">
        <f t="shared" si="1"/>
        <v>10.88333333</v>
      </c>
      <c r="G324" s="438">
        <f t="shared" si="8"/>
        <v>53.66003063</v>
      </c>
      <c r="H324" s="438">
        <f t="shared" si="3"/>
        <v>60.4137931</v>
      </c>
      <c r="I324" s="436">
        <f t="shared" si="6"/>
        <v>1.052157463</v>
      </c>
      <c r="J324" s="460">
        <v>60.0</v>
      </c>
      <c r="K324" s="464">
        <f>13</f>
        <v>13</v>
      </c>
      <c r="L324" s="443"/>
      <c r="M324" s="447">
        <f>IFERROR(__xludf.DUMMYFUNCTION("""COMPUTED_VALUE"""),57.0)</f>
        <v>57</v>
      </c>
      <c r="N324" s="447">
        <f>IFERROR(__xludf.DUMMYFUNCTION("""COMPUTED_VALUE"""),56.0)</f>
        <v>56</v>
      </c>
      <c r="O324" s="447">
        <f>IFERROR(__xludf.DUMMYFUNCTION("""COMPUTED_VALUE"""),0.0)</f>
        <v>0</v>
      </c>
      <c r="P324" s="447">
        <f>IFERROR(__xludf.DUMMYFUNCTION("""COMPUTED_VALUE"""),0.0)</f>
        <v>0</v>
      </c>
      <c r="Q324" s="447">
        <f>IFERROR(__xludf.DUMMYFUNCTION("""COMPUTED_VALUE"""),0.0)</f>
        <v>0</v>
      </c>
      <c r="R324" s="447">
        <f>IFERROR(__xludf.DUMMYFUNCTION("""COMPUTED_VALUE"""),0.0)</f>
        <v>0</v>
      </c>
      <c r="S324" s="447">
        <f>IFERROR(__xludf.DUMMYFUNCTION("""COMPUTED_VALUE"""),1.0)</f>
        <v>1</v>
      </c>
      <c r="T324" s="447">
        <f>IFERROR(__xludf.DUMMYFUNCTION("""COMPUTED_VALUE"""),0.0)</f>
        <v>0</v>
      </c>
      <c r="U324" s="447">
        <f>IFERROR(__xludf.DUMMYFUNCTION("""COMPUTED_VALUE"""),1.0)</f>
        <v>1</v>
      </c>
      <c r="V324" s="447">
        <f>IFERROR(__xludf.DUMMYFUNCTION("""COMPUTED_VALUE"""),1.0)</f>
        <v>1</v>
      </c>
      <c r="W324" s="447">
        <f>IFERROR(__xludf.DUMMYFUNCTION("""COMPUTED_VALUE"""),0.0)</f>
        <v>0</v>
      </c>
      <c r="X324" s="447">
        <f>IFERROR(__xludf.DUMMYFUNCTION("""COMPUTED_VALUE"""),0.0)</f>
        <v>0</v>
      </c>
      <c r="Y324" s="447">
        <f>IFERROR(__xludf.DUMMYFUNCTION("""COMPUTED_VALUE"""),0.0)</f>
        <v>0</v>
      </c>
      <c r="Z324" s="447">
        <f>IFERROR(__xludf.DUMMYFUNCTION("""COMPUTED_VALUE"""),0.0)</f>
        <v>0</v>
      </c>
      <c r="AA324" s="447">
        <f>IFERROR(__xludf.DUMMYFUNCTION("""COMPUTED_VALUE"""),0.0)</f>
        <v>0</v>
      </c>
      <c r="AB324" s="447">
        <f>IFERROR(__xludf.DUMMYFUNCTION("""COMPUTED_VALUE"""),0.0)</f>
        <v>0</v>
      </c>
      <c r="AC324" s="447">
        <f>IFERROR(__xludf.DUMMYFUNCTION("""COMPUTED_VALUE"""),0.0)</f>
        <v>0</v>
      </c>
      <c r="AD324" s="447">
        <f>IFERROR(__xludf.DUMMYFUNCTION("""COMPUTED_VALUE"""),51.0)</f>
        <v>51</v>
      </c>
      <c r="AE324" s="447">
        <f>IFERROR(__xludf.DUMMYFUNCTION("""COMPUTED_VALUE"""),3.0)</f>
        <v>3</v>
      </c>
      <c r="AF324" s="447">
        <f>IFERROR(__xludf.DUMMYFUNCTION("""COMPUTED_VALUE"""),1.0)</f>
        <v>1</v>
      </c>
      <c r="AG324" s="443" t="s">
        <v>140</v>
      </c>
      <c r="AH324" s="443" t="s">
        <v>343</v>
      </c>
      <c r="AI324" s="443"/>
      <c r="AJ324" s="443"/>
      <c r="AK324" s="443"/>
      <c r="AL324" s="443"/>
      <c r="AM324" s="443"/>
      <c r="AN324" s="443"/>
      <c r="AO324" s="443"/>
      <c r="AP324" s="443"/>
      <c r="AQ324" s="443"/>
      <c r="AR324" s="443"/>
      <c r="AS324" s="443"/>
      <c r="AT324" s="443"/>
      <c r="AU324" s="443"/>
      <c r="AV324" s="443"/>
      <c r="AW324" s="443"/>
      <c r="AX324" s="443"/>
      <c r="AY324" s="443"/>
      <c r="AZ324" s="443"/>
      <c r="BA324" s="443"/>
      <c r="BB324" s="443"/>
      <c r="BC324" s="443"/>
      <c r="BD324" s="443"/>
      <c r="BE324" s="443"/>
    </row>
    <row r="325" hidden="1">
      <c r="A325" s="445">
        <f t="shared" si="5"/>
        <v>45615</v>
      </c>
      <c r="B325" s="449">
        <v>342.0</v>
      </c>
      <c r="C325" s="462">
        <v>0.6</v>
      </c>
      <c r="D325" s="462">
        <v>0.9006944444444445</v>
      </c>
      <c r="E325" s="436">
        <f t="array" ref="E325">IF(B325=0,"",(J325+K325)/60)</f>
        <v>0.25</v>
      </c>
      <c r="F325" s="437">
        <f t="shared" si="1"/>
        <v>7.216666667</v>
      </c>
      <c r="G325" s="438">
        <f t="shared" si="8"/>
        <v>47.39030023</v>
      </c>
      <c r="H325" s="438">
        <f t="shared" si="3"/>
        <v>49.09090909</v>
      </c>
      <c r="I325" s="436">
        <f t="shared" si="6"/>
        <v>1.00830426</v>
      </c>
      <c r="J325" s="460">
        <v>15.0</v>
      </c>
      <c r="K325" s="464"/>
      <c r="L325" s="443"/>
      <c r="M325" s="447">
        <f>IFERROR(__xludf.DUMMYFUNCTION("""COMPUTED_VALUE"""),57.0)</f>
        <v>57</v>
      </c>
      <c r="N325" s="447">
        <f>IFERROR(__xludf.DUMMYFUNCTION("""COMPUTED_VALUE"""),56.0)</f>
        <v>56</v>
      </c>
      <c r="O325" s="447">
        <f>IFERROR(__xludf.DUMMYFUNCTION("""COMPUTED_VALUE"""),0.0)</f>
        <v>0</v>
      </c>
      <c r="P325" s="447">
        <f>IFERROR(__xludf.DUMMYFUNCTION("""COMPUTED_VALUE"""),0.0)</f>
        <v>0</v>
      </c>
      <c r="Q325" s="447">
        <f>IFERROR(__xludf.DUMMYFUNCTION("""COMPUTED_VALUE"""),1.0)</f>
        <v>1</v>
      </c>
      <c r="R325" s="447">
        <f>IFERROR(__xludf.DUMMYFUNCTION("""COMPUTED_VALUE"""),0.0)</f>
        <v>0</v>
      </c>
      <c r="S325" s="447">
        <f>IFERROR(__xludf.DUMMYFUNCTION("""COMPUTED_VALUE"""),2.0)</f>
        <v>2</v>
      </c>
      <c r="T325" s="447">
        <f>IFERROR(__xludf.DUMMYFUNCTION("""COMPUTED_VALUE"""),0.0)</f>
        <v>0</v>
      </c>
      <c r="U325" s="447">
        <f>IFERROR(__xludf.DUMMYFUNCTION("""COMPUTED_VALUE"""),1.0)</f>
        <v>1</v>
      </c>
      <c r="V325" s="447">
        <f>IFERROR(__xludf.DUMMYFUNCTION("""COMPUTED_VALUE"""),1.0)</f>
        <v>1</v>
      </c>
      <c r="W325" s="447">
        <f>IFERROR(__xludf.DUMMYFUNCTION("""COMPUTED_VALUE"""),0.0)</f>
        <v>0</v>
      </c>
      <c r="X325" s="447">
        <f>IFERROR(__xludf.DUMMYFUNCTION("""COMPUTED_VALUE"""),0.0)</f>
        <v>0</v>
      </c>
      <c r="Y325" s="447">
        <f>IFERROR(__xludf.DUMMYFUNCTION("""COMPUTED_VALUE"""),0.0)</f>
        <v>0</v>
      </c>
      <c r="Z325" s="447">
        <f>IFERROR(__xludf.DUMMYFUNCTION("""COMPUTED_VALUE"""),2.0)</f>
        <v>2</v>
      </c>
      <c r="AA325" s="447">
        <f>IFERROR(__xludf.DUMMYFUNCTION("""COMPUTED_VALUE"""),0.0)</f>
        <v>0</v>
      </c>
      <c r="AB325" s="447">
        <f>IFERROR(__xludf.DUMMYFUNCTION("""COMPUTED_VALUE"""),0.0)</f>
        <v>0</v>
      </c>
      <c r="AC325" s="447">
        <f>IFERROR(__xludf.DUMMYFUNCTION("""COMPUTED_VALUE"""),0.0)</f>
        <v>0</v>
      </c>
      <c r="AD325" s="447">
        <f>IFERROR(__xludf.DUMMYFUNCTION("""COMPUTED_VALUE"""),47.0)</f>
        <v>47</v>
      </c>
      <c r="AE325" s="447">
        <f>IFERROR(__xludf.DUMMYFUNCTION("""COMPUTED_VALUE"""),7.0)</f>
        <v>7</v>
      </c>
      <c r="AF325" s="447">
        <f>IFERROR(__xludf.DUMMYFUNCTION("""COMPUTED_VALUE"""),1.0)</f>
        <v>1</v>
      </c>
      <c r="AG325" s="443" t="s">
        <v>140</v>
      </c>
      <c r="AH325" s="443" t="s">
        <v>343</v>
      </c>
      <c r="AI325" s="443"/>
      <c r="AJ325" s="443"/>
      <c r="AK325" s="443"/>
      <c r="AL325" s="443"/>
      <c r="AM325" s="443"/>
      <c r="AN325" s="443"/>
      <c r="AO325" s="443"/>
      <c r="AP325" s="443"/>
      <c r="AQ325" s="443"/>
      <c r="AR325" s="443"/>
      <c r="AS325" s="443"/>
      <c r="AT325" s="443"/>
      <c r="AU325" s="443"/>
      <c r="AV325" s="443"/>
      <c r="AW325" s="443"/>
      <c r="AX325" s="443"/>
      <c r="AY325" s="443"/>
      <c r="AZ325" s="443"/>
      <c r="BA325" s="443"/>
      <c r="BB325" s="443"/>
      <c r="BC325" s="443"/>
      <c r="BD325" s="443"/>
      <c r="BE325" s="443"/>
    </row>
    <row r="326" hidden="1">
      <c r="A326" s="445">
        <f t="shared" si="5"/>
        <v>45616</v>
      </c>
      <c r="B326" s="449">
        <v>502.0</v>
      </c>
      <c r="C326" s="462">
        <v>0.6</v>
      </c>
      <c r="D326" s="462">
        <v>0.9583333333333334</v>
      </c>
      <c r="E326" s="436">
        <f t="array" ref="E326">IF(B326=0,"",(J326+K326)/60)</f>
        <v>0.25</v>
      </c>
      <c r="F326" s="437">
        <f t="shared" si="1"/>
        <v>8.6</v>
      </c>
      <c r="G326" s="438">
        <f t="shared" si="8"/>
        <v>58.37209302</v>
      </c>
      <c r="H326" s="438">
        <f t="shared" si="3"/>
        <v>60.11976048</v>
      </c>
      <c r="I326" s="436">
        <f t="shared" si="6"/>
        <v>1.16744186</v>
      </c>
      <c r="J326" s="460">
        <v>15.0</v>
      </c>
      <c r="K326" s="464"/>
      <c r="L326" s="443"/>
      <c r="M326" s="447">
        <f>IFERROR(__xludf.DUMMYFUNCTION("""COMPUTED_VALUE"""),57.0)</f>
        <v>57</v>
      </c>
      <c r="N326" s="447">
        <f>IFERROR(__xludf.DUMMYFUNCTION("""COMPUTED_VALUE"""),56.0)</f>
        <v>56</v>
      </c>
      <c r="O326" s="447">
        <f>IFERROR(__xludf.DUMMYFUNCTION("""COMPUTED_VALUE"""),0.0)</f>
        <v>0</v>
      </c>
      <c r="P326" s="447">
        <f>IFERROR(__xludf.DUMMYFUNCTION("""COMPUTED_VALUE"""),0.0)</f>
        <v>0</v>
      </c>
      <c r="Q326" s="447">
        <f>IFERROR(__xludf.DUMMYFUNCTION("""COMPUTED_VALUE"""),1.0)</f>
        <v>1</v>
      </c>
      <c r="R326" s="447">
        <f>IFERROR(__xludf.DUMMYFUNCTION("""COMPUTED_VALUE"""),0.0)</f>
        <v>0</v>
      </c>
      <c r="S326" s="447">
        <f>IFERROR(__xludf.DUMMYFUNCTION("""COMPUTED_VALUE"""),1.0)</f>
        <v>1</v>
      </c>
      <c r="T326" s="447">
        <f>IFERROR(__xludf.DUMMYFUNCTION("""COMPUTED_VALUE"""),0.0)</f>
        <v>0</v>
      </c>
      <c r="U326" s="447">
        <f>IFERROR(__xludf.DUMMYFUNCTION("""COMPUTED_VALUE"""),1.0)</f>
        <v>1</v>
      </c>
      <c r="V326" s="447">
        <f>IFERROR(__xludf.DUMMYFUNCTION("""COMPUTED_VALUE"""),1.0)</f>
        <v>1</v>
      </c>
      <c r="W326" s="447">
        <f>IFERROR(__xludf.DUMMYFUNCTION("""COMPUTED_VALUE"""),0.0)</f>
        <v>0</v>
      </c>
      <c r="X326" s="447">
        <f>IFERROR(__xludf.DUMMYFUNCTION("""COMPUTED_VALUE"""),0.0)</f>
        <v>0</v>
      </c>
      <c r="Y326" s="447">
        <f>IFERROR(__xludf.DUMMYFUNCTION("""COMPUTED_VALUE"""),0.0)</f>
        <v>0</v>
      </c>
      <c r="Z326" s="447">
        <f>IFERROR(__xludf.DUMMYFUNCTION("""COMPUTED_VALUE"""),0.0)</f>
        <v>0</v>
      </c>
      <c r="AA326" s="447">
        <f>IFERROR(__xludf.DUMMYFUNCTION("""COMPUTED_VALUE"""),0.0)</f>
        <v>0</v>
      </c>
      <c r="AB326" s="447">
        <f>IFERROR(__xludf.DUMMYFUNCTION("""COMPUTED_VALUE"""),0.0)</f>
        <v>0</v>
      </c>
      <c r="AC326" s="447">
        <f>IFERROR(__xludf.DUMMYFUNCTION("""COMPUTED_VALUE"""),0.0)</f>
        <v>0</v>
      </c>
      <c r="AD326" s="447">
        <f>IFERROR(__xludf.DUMMYFUNCTION("""COMPUTED_VALUE"""),50.0)</f>
        <v>50</v>
      </c>
      <c r="AE326" s="447">
        <f>IFERROR(__xludf.DUMMYFUNCTION("""COMPUTED_VALUE"""),4.0)</f>
        <v>4</v>
      </c>
      <c r="AF326" s="447">
        <f>IFERROR(__xludf.DUMMYFUNCTION("""COMPUTED_VALUE"""),1.0)</f>
        <v>1</v>
      </c>
      <c r="AG326" s="443" t="s">
        <v>140</v>
      </c>
      <c r="AH326" s="443" t="s">
        <v>343</v>
      </c>
      <c r="AI326" s="443"/>
      <c r="AJ326" s="443"/>
      <c r="AK326" s="443"/>
      <c r="AL326" s="443"/>
      <c r="AM326" s="443"/>
      <c r="AN326" s="443"/>
      <c r="AO326" s="443"/>
      <c r="AP326" s="443"/>
      <c r="AQ326" s="443"/>
      <c r="AR326" s="443"/>
      <c r="AS326" s="443"/>
      <c r="AT326" s="443"/>
      <c r="AU326" s="443"/>
      <c r="AV326" s="443"/>
      <c r="AW326" s="443"/>
      <c r="AX326" s="443"/>
      <c r="AY326" s="443"/>
      <c r="AZ326" s="443"/>
      <c r="BA326" s="443"/>
      <c r="BB326" s="443"/>
      <c r="BC326" s="443"/>
      <c r="BD326" s="443"/>
      <c r="BE326" s="443"/>
    </row>
    <row r="327" hidden="1">
      <c r="A327" s="445">
        <f t="shared" si="5"/>
        <v>45617</v>
      </c>
      <c r="B327" s="449">
        <v>406.0</v>
      </c>
      <c r="C327" s="462">
        <v>0.6</v>
      </c>
      <c r="D327" s="462">
        <v>0.9152777777777777</v>
      </c>
      <c r="E327" s="436">
        <f t="array" ref="E327">IF(B327=0,"",(J327+K327)/60)</f>
        <v>0.5</v>
      </c>
      <c r="F327" s="437">
        <f t="shared" si="1"/>
        <v>7.566666667</v>
      </c>
      <c r="G327" s="438">
        <f t="shared" si="8"/>
        <v>53.65638767</v>
      </c>
      <c r="H327" s="438">
        <f t="shared" si="3"/>
        <v>57.45283019</v>
      </c>
      <c r="I327" s="436">
        <f t="shared" si="6"/>
        <v>1.073127753</v>
      </c>
      <c r="J327" s="460">
        <v>30.0</v>
      </c>
      <c r="K327" s="464"/>
      <c r="L327" s="443"/>
      <c r="M327" s="447">
        <f>IFERROR(__xludf.DUMMYFUNCTION("""COMPUTED_VALUE"""),57.0)</f>
        <v>57</v>
      </c>
      <c r="N327" s="447">
        <f>IFERROR(__xludf.DUMMYFUNCTION("""COMPUTED_VALUE"""),56.0)</f>
        <v>56</v>
      </c>
      <c r="O327" s="447">
        <f>IFERROR(__xludf.DUMMYFUNCTION("""COMPUTED_VALUE"""),0.0)</f>
        <v>0</v>
      </c>
      <c r="P327" s="447">
        <f>IFERROR(__xludf.DUMMYFUNCTION("""COMPUTED_VALUE"""),0.0)</f>
        <v>0</v>
      </c>
      <c r="Q327" s="447">
        <f>IFERROR(__xludf.DUMMYFUNCTION("""COMPUTED_VALUE"""),1.0)</f>
        <v>1</v>
      </c>
      <c r="R327" s="447">
        <f>IFERROR(__xludf.DUMMYFUNCTION("""COMPUTED_VALUE"""),0.0)</f>
        <v>0</v>
      </c>
      <c r="S327" s="447">
        <f>IFERROR(__xludf.DUMMYFUNCTION("""COMPUTED_VALUE"""),1.0)</f>
        <v>1</v>
      </c>
      <c r="T327" s="447">
        <f>IFERROR(__xludf.DUMMYFUNCTION("""COMPUTED_VALUE"""),0.0)</f>
        <v>0</v>
      </c>
      <c r="U327" s="447">
        <f>IFERROR(__xludf.DUMMYFUNCTION("""COMPUTED_VALUE"""),1.0)</f>
        <v>1</v>
      </c>
      <c r="V327" s="447">
        <f>IFERROR(__xludf.DUMMYFUNCTION("""COMPUTED_VALUE"""),1.0)</f>
        <v>1</v>
      </c>
      <c r="W327" s="447">
        <f>IFERROR(__xludf.DUMMYFUNCTION("""COMPUTED_VALUE"""),0.0)</f>
        <v>0</v>
      </c>
      <c r="X327" s="447">
        <f>IFERROR(__xludf.DUMMYFUNCTION("""COMPUTED_VALUE"""),0.0)</f>
        <v>0</v>
      </c>
      <c r="Y327" s="447">
        <f>IFERROR(__xludf.DUMMYFUNCTION("""COMPUTED_VALUE"""),0.0)</f>
        <v>0</v>
      </c>
      <c r="Z327" s="447">
        <f>IFERROR(__xludf.DUMMYFUNCTION("""COMPUTED_VALUE"""),0.0)</f>
        <v>0</v>
      </c>
      <c r="AA327" s="447">
        <f>IFERROR(__xludf.DUMMYFUNCTION("""COMPUTED_VALUE"""),0.0)</f>
        <v>0</v>
      </c>
      <c r="AB327" s="447">
        <f>IFERROR(__xludf.DUMMYFUNCTION("""COMPUTED_VALUE"""),0.0)</f>
        <v>0</v>
      </c>
      <c r="AC327" s="447">
        <f>IFERROR(__xludf.DUMMYFUNCTION("""COMPUTED_VALUE"""),0.0)</f>
        <v>0</v>
      </c>
      <c r="AD327" s="447">
        <f>IFERROR(__xludf.DUMMYFUNCTION("""COMPUTED_VALUE"""),50.0)</f>
        <v>50</v>
      </c>
      <c r="AE327" s="447">
        <f>IFERROR(__xludf.DUMMYFUNCTION("""COMPUTED_VALUE"""),4.0)</f>
        <v>4</v>
      </c>
      <c r="AF327" s="447">
        <f>IFERROR(__xludf.DUMMYFUNCTION("""COMPUTED_VALUE"""),1.0)</f>
        <v>1</v>
      </c>
      <c r="AG327" s="443" t="s">
        <v>140</v>
      </c>
      <c r="AH327" s="443" t="s">
        <v>343</v>
      </c>
      <c r="AI327" s="443"/>
      <c r="AJ327" s="443"/>
      <c r="AK327" s="443"/>
      <c r="AL327" s="443"/>
      <c r="AM327" s="443"/>
      <c r="AN327" s="443"/>
      <c r="AO327" s="443"/>
      <c r="AP327" s="443"/>
      <c r="AQ327" s="443"/>
      <c r="AR327" s="443"/>
      <c r="AS327" s="443"/>
      <c r="AT327" s="443"/>
      <c r="AU327" s="443"/>
      <c r="AV327" s="443"/>
      <c r="AW327" s="443"/>
      <c r="AX327" s="443"/>
      <c r="AY327" s="443"/>
      <c r="AZ327" s="443"/>
      <c r="BA327" s="443"/>
      <c r="BB327" s="443"/>
      <c r="BC327" s="443"/>
      <c r="BD327" s="443"/>
      <c r="BE327" s="443"/>
    </row>
    <row r="328" hidden="1">
      <c r="A328" s="445">
        <f t="shared" si="5"/>
        <v>45618</v>
      </c>
      <c r="B328" s="449">
        <v>427.0</v>
      </c>
      <c r="C328" s="462">
        <v>0.6</v>
      </c>
      <c r="D328" s="462">
        <v>0.95</v>
      </c>
      <c r="E328" s="436">
        <f t="array" ref="E328">IF(B328=0,"",(J328+K328)/60)</f>
        <v>0.75</v>
      </c>
      <c r="F328" s="437">
        <f t="shared" si="1"/>
        <v>8.4</v>
      </c>
      <c r="G328" s="438">
        <f t="shared" si="8"/>
        <v>50.83333333</v>
      </c>
      <c r="H328" s="438">
        <f t="shared" si="3"/>
        <v>55.81699346</v>
      </c>
      <c r="I328" s="436">
        <f t="shared" si="6"/>
        <v>1.059027778</v>
      </c>
      <c r="J328" s="460">
        <v>30.0</v>
      </c>
      <c r="K328" s="460">
        <v>15.0</v>
      </c>
      <c r="L328" s="443"/>
      <c r="M328" s="447">
        <f>IFERROR(__xludf.DUMMYFUNCTION("""COMPUTED_VALUE"""),57.0)</f>
        <v>57</v>
      </c>
      <c r="N328" s="447">
        <f>IFERROR(__xludf.DUMMYFUNCTION("""COMPUTED_VALUE"""),56.0)</f>
        <v>56</v>
      </c>
      <c r="O328" s="447">
        <f>IFERROR(__xludf.DUMMYFUNCTION("""COMPUTED_VALUE"""),1.0)</f>
        <v>1</v>
      </c>
      <c r="P328" s="447">
        <f>IFERROR(__xludf.DUMMYFUNCTION("""COMPUTED_VALUE"""),0.0)</f>
        <v>0</v>
      </c>
      <c r="Q328" s="447">
        <f>IFERROR(__xludf.DUMMYFUNCTION("""COMPUTED_VALUE"""),1.0)</f>
        <v>1</v>
      </c>
      <c r="R328" s="447">
        <f>IFERROR(__xludf.DUMMYFUNCTION("""COMPUTED_VALUE"""),0.0)</f>
        <v>0</v>
      </c>
      <c r="S328" s="447">
        <f>IFERROR(__xludf.DUMMYFUNCTION("""COMPUTED_VALUE"""),2.0)</f>
        <v>2</v>
      </c>
      <c r="T328" s="447">
        <f>IFERROR(__xludf.DUMMYFUNCTION("""COMPUTED_VALUE"""),0.0)</f>
        <v>0</v>
      </c>
      <c r="U328" s="447">
        <f>IFERROR(__xludf.DUMMYFUNCTION("""COMPUTED_VALUE"""),1.0)</f>
        <v>1</v>
      </c>
      <c r="V328" s="447">
        <f>IFERROR(__xludf.DUMMYFUNCTION("""COMPUTED_VALUE"""),1.0)</f>
        <v>1</v>
      </c>
      <c r="W328" s="447">
        <f>IFERROR(__xludf.DUMMYFUNCTION("""COMPUTED_VALUE"""),0.0)</f>
        <v>0</v>
      </c>
      <c r="X328" s="447">
        <f>IFERROR(__xludf.DUMMYFUNCTION("""COMPUTED_VALUE"""),0.0)</f>
        <v>0</v>
      </c>
      <c r="Y328" s="447">
        <f>IFERROR(__xludf.DUMMYFUNCTION("""COMPUTED_VALUE"""),0.0)</f>
        <v>0</v>
      </c>
      <c r="Z328" s="447">
        <f>IFERROR(__xludf.DUMMYFUNCTION("""COMPUTED_VALUE"""),0.0)</f>
        <v>0</v>
      </c>
      <c r="AA328" s="447">
        <f>IFERROR(__xludf.DUMMYFUNCTION("""COMPUTED_VALUE"""),0.0)</f>
        <v>0</v>
      </c>
      <c r="AB328" s="447">
        <f>IFERROR(__xludf.DUMMYFUNCTION("""COMPUTED_VALUE"""),0.0)</f>
        <v>0</v>
      </c>
      <c r="AC328" s="447">
        <f>IFERROR(__xludf.DUMMYFUNCTION("""COMPUTED_VALUE"""),0.0)</f>
        <v>0</v>
      </c>
      <c r="AD328" s="447">
        <f>IFERROR(__xludf.DUMMYFUNCTION("""COMPUTED_VALUE"""),48.0)</f>
        <v>48</v>
      </c>
      <c r="AE328" s="447">
        <f>IFERROR(__xludf.DUMMYFUNCTION("""COMPUTED_VALUE"""),6.0)</f>
        <v>6</v>
      </c>
      <c r="AF328" s="447">
        <f>IFERROR(__xludf.DUMMYFUNCTION("""COMPUTED_VALUE"""),1.0)</f>
        <v>1</v>
      </c>
      <c r="AG328" s="443" t="s">
        <v>140</v>
      </c>
      <c r="AH328" s="443" t="s">
        <v>343</v>
      </c>
      <c r="AI328" s="443"/>
      <c r="AJ328" s="443"/>
      <c r="AK328" s="443"/>
      <c r="AL328" s="443"/>
      <c r="AM328" s="443"/>
      <c r="AN328" s="443"/>
      <c r="AO328" s="443"/>
      <c r="AP328" s="443"/>
      <c r="AQ328" s="443"/>
      <c r="AR328" s="443"/>
      <c r="AS328" s="443"/>
      <c r="AT328" s="443"/>
      <c r="AU328" s="443"/>
      <c r="AV328" s="443"/>
      <c r="AW328" s="443"/>
      <c r="AX328" s="443"/>
      <c r="AY328" s="443"/>
      <c r="AZ328" s="443"/>
      <c r="BA328" s="443"/>
      <c r="BB328" s="443"/>
      <c r="BC328" s="443"/>
      <c r="BD328" s="443"/>
      <c r="BE328" s="443"/>
    </row>
    <row r="329" hidden="1">
      <c r="A329" s="445">
        <f t="shared" si="5"/>
        <v>45619</v>
      </c>
      <c r="B329" s="449">
        <v>362.0</v>
      </c>
      <c r="C329" s="462">
        <v>0.6</v>
      </c>
      <c r="D329" s="462">
        <v>0.8659722222222223</v>
      </c>
      <c r="E329" s="436">
        <f t="array" ref="E329">IF(B329=0,"",(J329+K329)/60)</f>
        <v>0.5</v>
      </c>
      <c r="F329" s="437">
        <f t="shared" si="1"/>
        <v>6.383333333</v>
      </c>
      <c r="G329" s="438">
        <f t="shared" si="8"/>
        <v>56.71018277</v>
      </c>
      <c r="H329" s="438">
        <f t="shared" si="3"/>
        <v>61.52974504</v>
      </c>
      <c r="I329" s="436">
        <f t="shared" si="6"/>
        <v>1.157350669</v>
      </c>
      <c r="J329" s="460">
        <v>30.0</v>
      </c>
      <c r="K329" s="464"/>
      <c r="L329" s="443"/>
      <c r="M329" s="447">
        <f>IFERROR(__xludf.DUMMYFUNCTION("""COMPUTED_VALUE"""),57.0)</f>
        <v>57</v>
      </c>
      <c r="N329" s="447">
        <f>IFERROR(__xludf.DUMMYFUNCTION("""COMPUTED_VALUE"""),56.0)</f>
        <v>56</v>
      </c>
      <c r="O329" s="447">
        <f>IFERROR(__xludf.DUMMYFUNCTION("""COMPUTED_VALUE"""),0.0)</f>
        <v>0</v>
      </c>
      <c r="P329" s="447">
        <f>IFERROR(__xludf.DUMMYFUNCTION("""COMPUTED_VALUE"""),0.0)</f>
        <v>0</v>
      </c>
      <c r="Q329" s="447">
        <f>IFERROR(__xludf.DUMMYFUNCTION("""COMPUTED_VALUE"""),1.0)</f>
        <v>1</v>
      </c>
      <c r="R329" s="447">
        <f>IFERROR(__xludf.DUMMYFUNCTION("""COMPUTED_VALUE"""),0.0)</f>
        <v>0</v>
      </c>
      <c r="S329" s="447">
        <f>IFERROR(__xludf.DUMMYFUNCTION("""COMPUTED_VALUE"""),3.0)</f>
        <v>3</v>
      </c>
      <c r="T329" s="447">
        <f>IFERROR(__xludf.DUMMYFUNCTION("""COMPUTED_VALUE"""),0.0)</f>
        <v>0</v>
      </c>
      <c r="U329" s="447">
        <f>IFERROR(__xludf.DUMMYFUNCTION("""COMPUTED_VALUE"""),1.0)</f>
        <v>1</v>
      </c>
      <c r="V329" s="447">
        <f>IFERROR(__xludf.DUMMYFUNCTION("""COMPUTED_VALUE"""),0.0)</f>
        <v>0</v>
      </c>
      <c r="W329" s="447">
        <f>IFERROR(__xludf.DUMMYFUNCTION("""COMPUTED_VALUE"""),0.0)</f>
        <v>0</v>
      </c>
      <c r="X329" s="447">
        <f>IFERROR(__xludf.DUMMYFUNCTION("""COMPUTED_VALUE"""),0.0)</f>
        <v>0</v>
      </c>
      <c r="Y329" s="447">
        <f>IFERROR(__xludf.DUMMYFUNCTION("""COMPUTED_VALUE"""),0.0)</f>
        <v>0</v>
      </c>
      <c r="Z329" s="447">
        <f>IFERROR(__xludf.DUMMYFUNCTION("""COMPUTED_VALUE"""),0.0)</f>
        <v>0</v>
      </c>
      <c r="AA329" s="447">
        <f>IFERROR(__xludf.DUMMYFUNCTION("""COMPUTED_VALUE"""),0.0)</f>
        <v>0</v>
      </c>
      <c r="AB329" s="447">
        <f>IFERROR(__xludf.DUMMYFUNCTION("""COMPUTED_VALUE"""),0.0)</f>
        <v>0</v>
      </c>
      <c r="AC329" s="447">
        <f>IFERROR(__xludf.DUMMYFUNCTION("""COMPUTED_VALUE"""),0.0)</f>
        <v>0</v>
      </c>
      <c r="AD329" s="447">
        <f>IFERROR(__xludf.DUMMYFUNCTION("""COMPUTED_VALUE"""),49.0)</f>
        <v>49</v>
      </c>
      <c r="AE329" s="447">
        <f>IFERROR(__xludf.DUMMYFUNCTION("""COMPUTED_VALUE"""),5.0)</f>
        <v>5</v>
      </c>
      <c r="AF329" s="447">
        <f>IFERROR(__xludf.DUMMYFUNCTION("""COMPUTED_VALUE"""),1.0)</f>
        <v>1</v>
      </c>
      <c r="AG329" s="443" t="s">
        <v>140</v>
      </c>
      <c r="AH329" s="443" t="s">
        <v>343</v>
      </c>
      <c r="AI329" s="443"/>
      <c r="AJ329" s="443"/>
      <c r="AK329" s="443"/>
      <c r="AL329" s="443"/>
      <c r="AM329" s="443"/>
      <c r="AN329" s="443"/>
      <c r="AO329" s="443"/>
      <c r="AP329" s="443"/>
      <c r="AQ329" s="443"/>
      <c r="AR329" s="443"/>
      <c r="AS329" s="443"/>
      <c r="AT329" s="443"/>
      <c r="AU329" s="443"/>
      <c r="AV329" s="443"/>
      <c r="AW329" s="443"/>
      <c r="AX329" s="443"/>
      <c r="AY329" s="443"/>
      <c r="AZ329" s="443"/>
      <c r="BA329" s="443"/>
      <c r="BB329" s="443"/>
      <c r="BC329" s="443"/>
      <c r="BD329" s="443"/>
      <c r="BE329" s="443"/>
    </row>
    <row r="330" hidden="1">
      <c r="A330" s="445">
        <f t="shared" si="5"/>
        <v>45620</v>
      </c>
      <c r="B330" s="449">
        <v>0.0</v>
      </c>
      <c r="C330" s="443"/>
      <c r="D330" s="462"/>
      <c r="E330" s="436" t="str">
        <f t="array" ref="E330">IF(B330=0,"",(J330+K330)/60)</f>
        <v/>
      </c>
      <c r="F330" s="437" t="str">
        <f t="shared" si="1"/>
        <v/>
      </c>
      <c r="G330" s="438" t="str">
        <f t="shared" si="8"/>
        <v>#DIV/0!</v>
      </c>
      <c r="H330" s="438" t="str">
        <f t="shared" si="3"/>
        <v/>
      </c>
      <c r="I330" s="436" t="str">
        <f t="shared" si="6"/>
        <v/>
      </c>
      <c r="J330" s="464"/>
      <c r="K330" s="464"/>
      <c r="L330" s="443"/>
      <c r="M330" s="447">
        <f>IFERROR(__xludf.DUMMYFUNCTION("""COMPUTED_VALUE"""),57.0)</f>
        <v>57</v>
      </c>
      <c r="N330" s="447">
        <f>IFERROR(__xludf.DUMMYFUNCTION("""COMPUTED_VALUE"""),57.0)</f>
        <v>57</v>
      </c>
      <c r="O330" s="447">
        <f>IFERROR(__xludf.DUMMYFUNCTION("""COMPUTED_VALUE"""),0.0)</f>
        <v>0</v>
      </c>
      <c r="P330" s="447">
        <f>IFERROR(__xludf.DUMMYFUNCTION("""COMPUTED_VALUE"""),0.0)</f>
        <v>0</v>
      </c>
      <c r="Q330" s="447">
        <f>IFERROR(__xludf.DUMMYFUNCTION("""COMPUTED_VALUE"""),0.0)</f>
        <v>0</v>
      </c>
      <c r="R330" s="447">
        <f>IFERROR(__xludf.DUMMYFUNCTION("""COMPUTED_VALUE"""),0.0)</f>
        <v>0</v>
      </c>
      <c r="S330" s="447">
        <f>IFERROR(__xludf.DUMMYFUNCTION("""COMPUTED_VALUE"""),0.0)</f>
        <v>0</v>
      </c>
      <c r="T330" s="447">
        <f>IFERROR(__xludf.DUMMYFUNCTION("""COMPUTED_VALUE"""),0.0)</f>
        <v>0</v>
      </c>
      <c r="U330" s="447">
        <f>IFERROR(__xludf.DUMMYFUNCTION("""COMPUTED_VALUE"""),0.0)</f>
        <v>0</v>
      </c>
      <c r="V330" s="447">
        <f>IFERROR(__xludf.DUMMYFUNCTION("""COMPUTED_VALUE"""),0.0)</f>
        <v>0</v>
      </c>
      <c r="W330" s="447">
        <f>IFERROR(__xludf.DUMMYFUNCTION("""COMPUTED_VALUE"""),0.0)</f>
        <v>0</v>
      </c>
      <c r="X330" s="447">
        <f>IFERROR(__xludf.DUMMYFUNCTION("""COMPUTED_VALUE"""),0.0)</f>
        <v>0</v>
      </c>
      <c r="Y330" s="447">
        <f>IFERROR(__xludf.DUMMYFUNCTION("""COMPUTED_VALUE"""),0.0)</f>
        <v>0</v>
      </c>
      <c r="Z330" s="447">
        <f>IFERROR(__xludf.DUMMYFUNCTION("""COMPUTED_VALUE"""),0.0)</f>
        <v>0</v>
      </c>
      <c r="AA330" s="447">
        <f>IFERROR(__xludf.DUMMYFUNCTION("""COMPUTED_VALUE"""),0.0)</f>
        <v>0</v>
      </c>
      <c r="AB330" s="447">
        <f>IFERROR(__xludf.DUMMYFUNCTION("""COMPUTED_VALUE"""),0.0)</f>
        <v>0</v>
      </c>
      <c r="AC330" s="447">
        <f>IFERROR(__xludf.DUMMYFUNCTION("""COMPUTED_VALUE"""),0.0)</f>
        <v>0</v>
      </c>
      <c r="AD330" s="447">
        <f>IFERROR(__xludf.DUMMYFUNCTION("""COMPUTED_VALUE"""),0.0)</f>
        <v>0</v>
      </c>
      <c r="AE330" s="447">
        <f>IFERROR(__xludf.DUMMYFUNCTION("""COMPUTED_VALUE"""),0.0)</f>
        <v>0</v>
      </c>
      <c r="AF330" s="447">
        <f>IFERROR(__xludf.DUMMYFUNCTION("""COMPUTED_VALUE"""),0.0)</f>
        <v>0</v>
      </c>
      <c r="AG330" s="443" t="s">
        <v>140</v>
      </c>
      <c r="AH330" s="443" t="s">
        <v>343</v>
      </c>
      <c r="AI330" s="443"/>
      <c r="AJ330" s="443"/>
      <c r="AK330" s="443"/>
      <c r="AL330" s="443"/>
      <c r="AM330" s="443"/>
      <c r="AN330" s="443"/>
      <c r="AO330" s="443"/>
      <c r="AP330" s="443"/>
      <c r="AQ330" s="443"/>
      <c r="AR330" s="443"/>
      <c r="AS330" s="443"/>
      <c r="AT330" s="443"/>
      <c r="AU330" s="443"/>
      <c r="AV330" s="443"/>
      <c r="AW330" s="443"/>
      <c r="AX330" s="443"/>
      <c r="AY330" s="443"/>
      <c r="AZ330" s="443"/>
      <c r="BA330" s="443"/>
      <c r="BB330" s="443"/>
      <c r="BC330" s="443"/>
      <c r="BD330" s="443"/>
      <c r="BE330" s="443"/>
    </row>
    <row r="331" hidden="1">
      <c r="A331" s="445">
        <f t="shared" si="5"/>
        <v>45621</v>
      </c>
      <c r="B331" s="449">
        <v>587.0</v>
      </c>
      <c r="C331" s="462">
        <v>0.5583333333333333</v>
      </c>
      <c r="D331" s="462">
        <v>1.05625</v>
      </c>
      <c r="E331" s="436">
        <f t="array" ref="E331">IF(B331=0,"",(J331+K331)/60)</f>
        <v>3.083333333</v>
      </c>
      <c r="F331" s="437">
        <f t="shared" si="1"/>
        <v>11.95</v>
      </c>
      <c r="G331" s="438">
        <f t="shared" si="8"/>
        <v>49.12133891</v>
      </c>
      <c r="H331" s="438">
        <f t="shared" si="3"/>
        <v>66.20300752</v>
      </c>
      <c r="I331" s="436">
        <f t="shared" si="6"/>
        <v>1.002476304</v>
      </c>
      <c r="J331" s="460">
        <v>60.0</v>
      </c>
      <c r="K331" s="460">
        <v>125.0</v>
      </c>
      <c r="L331" s="443"/>
      <c r="M331" s="447">
        <f>IFERROR(__xludf.DUMMYFUNCTION("""COMPUTED_VALUE"""),57.0)</f>
        <v>57</v>
      </c>
      <c r="N331" s="447">
        <f>IFERROR(__xludf.DUMMYFUNCTION("""COMPUTED_VALUE"""),56.0)</f>
        <v>56</v>
      </c>
      <c r="O331" s="447">
        <f>IFERROR(__xludf.DUMMYFUNCTION("""COMPUTED_VALUE"""),0.0)</f>
        <v>0</v>
      </c>
      <c r="P331" s="447">
        <f>IFERROR(__xludf.DUMMYFUNCTION("""COMPUTED_VALUE"""),0.0)</f>
        <v>0</v>
      </c>
      <c r="Q331" s="447">
        <f>IFERROR(__xludf.DUMMYFUNCTION("""COMPUTED_VALUE"""),1.0)</f>
        <v>1</v>
      </c>
      <c r="R331" s="447">
        <f>IFERROR(__xludf.DUMMYFUNCTION("""COMPUTED_VALUE"""),0.0)</f>
        <v>0</v>
      </c>
      <c r="S331" s="447">
        <f>IFERROR(__xludf.DUMMYFUNCTION("""COMPUTED_VALUE"""),2.0)</f>
        <v>2</v>
      </c>
      <c r="T331" s="447">
        <f>IFERROR(__xludf.DUMMYFUNCTION("""COMPUTED_VALUE"""),0.0)</f>
        <v>0</v>
      </c>
      <c r="U331" s="447">
        <f>IFERROR(__xludf.DUMMYFUNCTION("""COMPUTED_VALUE"""),1.0)</f>
        <v>1</v>
      </c>
      <c r="V331" s="447">
        <f>IFERROR(__xludf.DUMMYFUNCTION("""COMPUTED_VALUE"""),1.0)</f>
        <v>1</v>
      </c>
      <c r="W331" s="447">
        <f>IFERROR(__xludf.DUMMYFUNCTION("""COMPUTED_VALUE"""),0.0)</f>
        <v>0</v>
      </c>
      <c r="X331" s="447">
        <f>IFERROR(__xludf.DUMMYFUNCTION("""COMPUTED_VALUE"""),0.0)</f>
        <v>0</v>
      </c>
      <c r="Y331" s="447">
        <f>IFERROR(__xludf.DUMMYFUNCTION("""COMPUTED_VALUE"""),0.0)</f>
        <v>0</v>
      </c>
      <c r="Z331" s="447">
        <f>IFERROR(__xludf.DUMMYFUNCTION("""COMPUTED_VALUE"""),0.0)</f>
        <v>0</v>
      </c>
      <c r="AA331" s="447">
        <f>IFERROR(__xludf.DUMMYFUNCTION("""COMPUTED_VALUE"""),0.0)</f>
        <v>0</v>
      </c>
      <c r="AB331" s="447">
        <f>IFERROR(__xludf.DUMMYFUNCTION("""COMPUTED_VALUE"""),0.0)</f>
        <v>0</v>
      </c>
      <c r="AC331" s="447">
        <f>IFERROR(__xludf.DUMMYFUNCTION("""COMPUTED_VALUE"""),0.0)</f>
        <v>0</v>
      </c>
      <c r="AD331" s="447">
        <f>IFERROR(__xludf.DUMMYFUNCTION("""COMPUTED_VALUE"""),49.0)</f>
        <v>49</v>
      </c>
      <c r="AE331" s="447">
        <f>IFERROR(__xludf.DUMMYFUNCTION("""COMPUTED_VALUE"""),5.0)</f>
        <v>5</v>
      </c>
      <c r="AF331" s="447">
        <f>IFERROR(__xludf.DUMMYFUNCTION("""COMPUTED_VALUE"""),1.0)</f>
        <v>1</v>
      </c>
      <c r="AG331" s="443" t="s">
        <v>140</v>
      </c>
      <c r="AH331" s="443" t="s">
        <v>343</v>
      </c>
      <c r="AI331" s="443"/>
      <c r="AJ331" s="443"/>
      <c r="AK331" s="443"/>
      <c r="AL331" s="443"/>
      <c r="AM331" s="443"/>
      <c r="AN331" s="443"/>
      <c r="AO331" s="443"/>
      <c r="AP331" s="443"/>
      <c r="AQ331" s="443"/>
      <c r="AR331" s="443"/>
      <c r="AS331" s="443"/>
      <c r="AT331" s="443"/>
      <c r="AU331" s="443"/>
      <c r="AV331" s="443"/>
      <c r="AW331" s="443"/>
      <c r="AX331" s="443"/>
      <c r="AY331" s="443"/>
      <c r="AZ331" s="443"/>
      <c r="BA331" s="443"/>
      <c r="BB331" s="443"/>
      <c r="BC331" s="443"/>
      <c r="BD331" s="443"/>
      <c r="BE331" s="443"/>
    </row>
    <row r="332" hidden="1">
      <c r="A332" s="445">
        <f t="shared" si="5"/>
        <v>45622</v>
      </c>
      <c r="B332" s="449">
        <v>462.0</v>
      </c>
      <c r="C332" s="462">
        <v>0.6</v>
      </c>
      <c r="D332" s="462">
        <v>0.9368055555555556</v>
      </c>
      <c r="E332" s="436">
        <f t="array" ref="E332">IF(B332=0,"",(J332+K332)/60)</f>
        <v>0.5</v>
      </c>
      <c r="F332" s="437">
        <f t="shared" si="1"/>
        <v>8.083333333</v>
      </c>
      <c r="G332" s="438">
        <f t="shared" si="8"/>
        <v>57.15463918</v>
      </c>
      <c r="H332" s="438">
        <f t="shared" si="3"/>
        <v>60.92307692</v>
      </c>
      <c r="I332" s="436">
        <f t="shared" si="6"/>
        <v>1.166421208</v>
      </c>
      <c r="J332" s="460">
        <v>30.0</v>
      </c>
      <c r="K332" s="464"/>
      <c r="L332" s="443"/>
      <c r="M332" s="447">
        <f>IFERROR(__xludf.DUMMYFUNCTION("""COMPUTED_VALUE"""),57.0)</f>
        <v>57</v>
      </c>
      <c r="N332" s="447">
        <f>IFERROR(__xludf.DUMMYFUNCTION("""COMPUTED_VALUE"""),55.0)</f>
        <v>55</v>
      </c>
      <c r="O332" s="447">
        <f>IFERROR(__xludf.DUMMYFUNCTION("""COMPUTED_VALUE"""),0.0)</f>
        <v>0</v>
      </c>
      <c r="P332" s="447">
        <f>IFERROR(__xludf.DUMMYFUNCTION("""COMPUTED_VALUE"""),0.0)</f>
        <v>0</v>
      </c>
      <c r="Q332" s="447">
        <f>IFERROR(__xludf.DUMMYFUNCTION("""COMPUTED_VALUE"""),0.0)</f>
        <v>0</v>
      </c>
      <c r="R332" s="447">
        <f>IFERROR(__xludf.DUMMYFUNCTION("""COMPUTED_VALUE"""),0.0)</f>
        <v>0</v>
      </c>
      <c r="S332" s="447">
        <f>IFERROR(__xludf.DUMMYFUNCTION("""COMPUTED_VALUE"""),2.0)</f>
        <v>2</v>
      </c>
      <c r="T332" s="447">
        <f>IFERROR(__xludf.DUMMYFUNCTION("""COMPUTED_VALUE"""),0.0)</f>
        <v>0</v>
      </c>
      <c r="U332" s="447">
        <f>IFERROR(__xludf.DUMMYFUNCTION("""COMPUTED_VALUE"""),2.0)</f>
        <v>2</v>
      </c>
      <c r="V332" s="447">
        <f>IFERROR(__xludf.DUMMYFUNCTION("""COMPUTED_VALUE"""),1.0)</f>
        <v>1</v>
      </c>
      <c r="W332" s="447">
        <f>IFERROR(__xludf.DUMMYFUNCTION("""COMPUTED_VALUE"""),0.0)</f>
        <v>0</v>
      </c>
      <c r="X332" s="447">
        <f>IFERROR(__xludf.DUMMYFUNCTION("""COMPUTED_VALUE"""),0.0)</f>
        <v>0</v>
      </c>
      <c r="Y332" s="447">
        <f>IFERROR(__xludf.DUMMYFUNCTION("""COMPUTED_VALUE"""),0.0)</f>
        <v>0</v>
      </c>
      <c r="Z332" s="447">
        <f>IFERROR(__xludf.DUMMYFUNCTION("""COMPUTED_VALUE"""),0.0)</f>
        <v>0</v>
      </c>
      <c r="AA332" s="447">
        <f>IFERROR(__xludf.DUMMYFUNCTION("""COMPUTED_VALUE"""),0.0)</f>
        <v>0</v>
      </c>
      <c r="AB332" s="447">
        <f>IFERROR(__xludf.DUMMYFUNCTION("""COMPUTED_VALUE"""),0.0)</f>
        <v>0</v>
      </c>
      <c r="AC332" s="447">
        <f>IFERROR(__xludf.DUMMYFUNCTION("""COMPUTED_VALUE"""),0.0)</f>
        <v>0</v>
      </c>
      <c r="AD332" s="447">
        <f>IFERROR(__xludf.DUMMYFUNCTION("""COMPUTED_VALUE"""),49.0)</f>
        <v>49</v>
      </c>
      <c r="AE332" s="447">
        <f>IFERROR(__xludf.DUMMYFUNCTION("""COMPUTED_VALUE"""),5.0)</f>
        <v>5</v>
      </c>
      <c r="AF332" s="447">
        <f>IFERROR(__xludf.DUMMYFUNCTION("""COMPUTED_VALUE"""),2.0)</f>
        <v>2</v>
      </c>
      <c r="AG332" s="443" t="s">
        <v>140</v>
      </c>
      <c r="AH332" s="443" t="s">
        <v>343</v>
      </c>
      <c r="AI332" s="443"/>
      <c r="AJ332" s="443"/>
      <c r="AK332" s="443"/>
      <c r="AL332" s="443"/>
      <c r="AM332" s="443"/>
      <c r="AN332" s="443"/>
      <c r="AO332" s="443"/>
      <c r="AP332" s="443"/>
      <c r="AQ332" s="443"/>
      <c r="AR332" s="443"/>
      <c r="AS332" s="443"/>
      <c r="AT332" s="443"/>
      <c r="AU332" s="443"/>
      <c r="AV332" s="443"/>
      <c r="AW332" s="443"/>
      <c r="AX332" s="443"/>
      <c r="AY332" s="443"/>
      <c r="AZ332" s="443"/>
      <c r="BA332" s="443"/>
      <c r="BB332" s="443"/>
      <c r="BC332" s="443"/>
      <c r="BD332" s="443"/>
      <c r="BE332" s="443"/>
    </row>
    <row r="333" hidden="1">
      <c r="A333" s="445">
        <f t="shared" si="5"/>
        <v>45623</v>
      </c>
      <c r="B333" s="449">
        <v>398.0</v>
      </c>
      <c r="C333" s="462">
        <v>0.6</v>
      </c>
      <c r="D333" s="462">
        <v>0.9118055555555555</v>
      </c>
      <c r="E333" s="436">
        <f t="array" ref="E333">IF(B333=0,"",(J333+K333)/60)</f>
        <v>0.5</v>
      </c>
      <c r="F333" s="437">
        <f t="shared" si="1"/>
        <v>7.483333333</v>
      </c>
      <c r="G333" s="438">
        <f t="shared" si="8"/>
        <v>53.18485523</v>
      </c>
      <c r="H333" s="438">
        <f t="shared" si="3"/>
        <v>56.9928401</v>
      </c>
      <c r="I333" s="436">
        <f t="shared" si="6"/>
        <v>1.085405209</v>
      </c>
      <c r="J333" s="460">
        <v>30.0</v>
      </c>
      <c r="K333" s="464"/>
      <c r="L333" s="449" t="s">
        <v>960</v>
      </c>
      <c r="M333" s="447">
        <f>IFERROR(__xludf.DUMMYFUNCTION("""COMPUTED_VALUE"""),57.0)</f>
        <v>57</v>
      </c>
      <c r="N333" s="447">
        <f>IFERROR(__xludf.DUMMYFUNCTION("""COMPUTED_VALUE"""),55.0)</f>
        <v>55</v>
      </c>
      <c r="O333" s="447">
        <f>IFERROR(__xludf.DUMMYFUNCTION("""COMPUTED_VALUE"""),0.0)</f>
        <v>0</v>
      </c>
      <c r="P333" s="447">
        <f>IFERROR(__xludf.DUMMYFUNCTION("""COMPUTED_VALUE"""),0.0)</f>
        <v>0</v>
      </c>
      <c r="Q333" s="447">
        <f>IFERROR(__xludf.DUMMYFUNCTION("""COMPUTED_VALUE"""),0.0)</f>
        <v>0</v>
      </c>
      <c r="R333" s="447">
        <f>IFERROR(__xludf.DUMMYFUNCTION("""COMPUTED_VALUE"""),0.0)</f>
        <v>0</v>
      </c>
      <c r="S333" s="447">
        <f>IFERROR(__xludf.DUMMYFUNCTION("""COMPUTED_VALUE"""),2.0)</f>
        <v>2</v>
      </c>
      <c r="T333" s="447">
        <f>IFERROR(__xludf.DUMMYFUNCTION("""COMPUTED_VALUE"""),0.0)</f>
        <v>0</v>
      </c>
      <c r="U333" s="447">
        <f>IFERROR(__xludf.DUMMYFUNCTION("""COMPUTED_VALUE"""),2.0)</f>
        <v>2</v>
      </c>
      <c r="V333" s="447">
        <f>IFERROR(__xludf.DUMMYFUNCTION("""COMPUTED_VALUE"""),1.0)</f>
        <v>1</v>
      </c>
      <c r="W333" s="447">
        <f>IFERROR(__xludf.DUMMYFUNCTION("""COMPUTED_VALUE"""),0.0)</f>
        <v>0</v>
      </c>
      <c r="X333" s="447">
        <f>IFERROR(__xludf.DUMMYFUNCTION("""COMPUTED_VALUE"""),0.0)</f>
        <v>0</v>
      </c>
      <c r="Y333" s="447">
        <f>IFERROR(__xludf.DUMMYFUNCTION("""COMPUTED_VALUE"""),0.0)</f>
        <v>0</v>
      </c>
      <c r="Z333" s="447">
        <f>IFERROR(__xludf.DUMMYFUNCTION("""COMPUTED_VALUE"""),0.0)</f>
        <v>0</v>
      </c>
      <c r="AA333" s="447">
        <f>IFERROR(__xludf.DUMMYFUNCTION("""COMPUTED_VALUE"""),0.0)</f>
        <v>0</v>
      </c>
      <c r="AB333" s="447">
        <f>IFERROR(__xludf.DUMMYFUNCTION("""COMPUTED_VALUE"""),0.0)</f>
        <v>0</v>
      </c>
      <c r="AC333" s="447">
        <f>IFERROR(__xludf.DUMMYFUNCTION("""COMPUTED_VALUE"""),0.0)</f>
        <v>0</v>
      </c>
      <c r="AD333" s="447">
        <f>IFERROR(__xludf.DUMMYFUNCTION("""COMPUTED_VALUE"""),49.0)</f>
        <v>49</v>
      </c>
      <c r="AE333" s="447">
        <f>IFERROR(__xludf.DUMMYFUNCTION("""COMPUTED_VALUE"""),5.0)</f>
        <v>5</v>
      </c>
      <c r="AF333" s="447">
        <f>IFERROR(__xludf.DUMMYFUNCTION("""COMPUTED_VALUE"""),2.0)</f>
        <v>2</v>
      </c>
      <c r="AG333" s="443" t="s">
        <v>140</v>
      </c>
      <c r="AH333" s="443" t="s">
        <v>343</v>
      </c>
      <c r="AI333" s="443"/>
      <c r="AJ333" s="443"/>
      <c r="AK333" s="443"/>
      <c r="AL333" s="443"/>
      <c r="AM333" s="443"/>
      <c r="AN333" s="443"/>
      <c r="AO333" s="443"/>
      <c r="AP333" s="443"/>
      <c r="AQ333" s="443"/>
      <c r="AR333" s="443"/>
      <c r="AS333" s="443"/>
      <c r="AT333" s="443"/>
      <c r="AU333" s="443"/>
      <c r="AV333" s="443"/>
      <c r="AW333" s="443"/>
      <c r="AX333" s="443"/>
      <c r="AY333" s="443"/>
      <c r="AZ333" s="443"/>
      <c r="BA333" s="443"/>
      <c r="BB333" s="443"/>
      <c r="BC333" s="443"/>
      <c r="BD333" s="443"/>
      <c r="BE333" s="443"/>
    </row>
    <row r="334" hidden="1">
      <c r="A334" s="445">
        <f t="shared" si="5"/>
        <v>45624</v>
      </c>
      <c r="B334" s="449">
        <v>521.0</v>
      </c>
      <c r="C334" s="462">
        <v>0.6</v>
      </c>
      <c r="D334" s="462">
        <v>0.9680555555555556</v>
      </c>
      <c r="E334" s="436">
        <f t="array" ref="E334">IF(B334=0,"",(J334+K334)/60)</f>
        <v>0.5</v>
      </c>
      <c r="F334" s="437">
        <f t="shared" si="1"/>
        <v>8.833333333</v>
      </c>
      <c r="G334" s="438">
        <f t="shared" si="8"/>
        <v>58.98113208</v>
      </c>
      <c r="H334" s="438">
        <f t="shared" si="3"/>
        <v>62.52</v>
      </c>
      <c r="I334" s="436">
        <f t="shared" si="6"/>
        <v>1.254917704</v>
      </c>
      <c r="J334" s="460">
        <v>30.0</v>
      </c>
      <c r="K334" s="464"/>
      <c r="L334" s="443"/>
      <c r="M334" s="447">
        <f>IFERROR(__xludf.DUMMYFUNCTION("""COMPUTED_VALUE"""),57.0)</f>
        <v>57</v>
      </c>
      <c r="N334" s="447">
        <f>IFERROR(__xludf.DUMMYFUNCTION("""COMPUTED_VALUE"""),55.0)</f>
        <v>55</v>
      </c>
      <c r="O334" s="447">
        <f>IFERROR(__xludf.DUMMYFUNCTION("""COMPUTED_VALUE"""),0.0)</f>
        <v>0</v>
      </c>
      <c r="P334" s="447">
        <f>IFERROR(__xludf.DUMMYFUNCTION("""COMPUTED_VALUE"""),0.0)</f>
        <v>0</v>
      </c>
      <c r="Q334" s="447">
        <f>IFERROR(__xludf.DUMMYFUNCTION("""COMPUTED_VALUE"""),0.0)</f>
        <v>0</v>
      </c>
      <c r="R334" s="447">
        <f>IFERROR(__xludf.DUMMYFUNCTION("""COMPUTED_VALUE"""),0.0)</f>
        <v>0</v>
      </c>
      <c r="S334" s="447">
        <f>IFERROR(__xludf.DUMMYFUNCTION("""COMPUTED_VALUE"""),2.0)</f>
        <v>2</v>
      </c>
      <c r="T334" s="447">
        <f>IFERROR(__xludf.DUMMYFUNCTION("""COMPUTED_VALUE"""),1.0)</f>
        <v>1</v>
      </c>
      <c r="U334" s="447">
        <f>IFERROR(__xludf.DUMMYFUNCTION("""COMPUTED_VALUE"""),2.0)</f>
        <v>2</v>
      </c>
      <c r="V334" s="447">
        <f>IFERROR(__xludf.DUMMYFUNCTION("""COMPUTED_VALUE"""),1.0)</f>
        <v>1</v>
      </c>
      <c r="W334" s="447">
        <f>IFERROR(__xludf.DUMMYFUNCTION("""COMPUTED_VALUE"""),0.0)</f>
        <v>0</v>
      </c>
      <c r="X334" s="447">
        <f>IFERROR(__xludf.DUMMYFUNCTION("""COMPUTED_VALUE"""),0.0)</f>
        <v>0</v>
      </c>
      <c r="Y334" s="447">
        <f>IFERROR(__xludf.DUMMYFUNCTION("""COMPUTED_VALUE"""),0.0)</f>
        <v>0</v>
      </c>
      <c r="Z334" s="447">
        <f>IFERROR(__xludf.DUMMYFUNCTION("""COMPUTED_VALUE"""),1.0)</f>
        <v>1</v>
      </c>
      <c r="AA334" s="447">
        <f>IFERROR(__xludf.DUMMYFUNCTION("""COMPUTED_VALUE"""),0.0)</f>
        <v>0</v>
      </c>
      <c r="AB334" s="447">
        <f>IFERROR(__xludf.DUMMYFUNCTION("""COMPUTED_VALUE"""),0.0)</f>
        <v>0</v>
      </c>
      <c r="AC334" s="447">
        <f>IFERROR(__xludf.DUMMYFUNCTION("""COMPUTED_VALUE"""),0.0)</f>
        <v>0</v>
      </c>
      <c r="AD334" s="447">
        <f>IFERROR(__xludf.DUMMYFUNCTION("""COMPUTED_VALUE"""),47.0)</f>
        <v>47</v>
      </c>
      <c r="AE334" s="447">
        <f>IFERROR(__xludf.DUMMYFUNCTION("""COMPUTED_VALUE"""),7.0)</f>
        <v>7</v>
      </c>
      <c r="AF334" s="447">
        <f>IFERROR(__xludf.DUMMYFUNCTION("""COMPUTED_VALUE"""),2.0)</f>
        <v>2</v>
      </c>
      <c r="AG334" s="443" t="s">
        <v>140</v>
      </c>
      <c r="AH334" s="443" t="s">
        <v>343</v>
      </c>
      <c r="AI334" s="443"/>
      <c r="AJ334" s="443"/>
      <c r="AK334" s="443"/>
      <c r="AL334" s="443"/>
      <c r="AM334" s="443"/>
      <c r="AN334" s="443"/>
      <c r="AO334" s="443"/>
      <c r="AP334" s="443"/>
      <c r="AQ334" s="443"/>
      <c r="AR334" s="443"/>
      <c r="AS334" s="443"/>
      <c r="AT334" s="443"/>
      <c r="AU334" s="443"/>
      <c r="AV334" s="443"/>
      <c r="AW334" s="443"/>
      <c r="AX334" s="443"/>
      <c r="AY334" s="443"/>
      <c r="AZ334" s="443"/>
      <c r="BA334" s="443"/>
      <c r="BB334" s="443"/>
      <c r="BC334" s="443"/>
      <c r="BD334" s="443"/>
      <c r="BE334" s="443"/>
    </row>
    <row r="335" hidden="1">
      <c r="A335" s="445">
        <f t="shared" si="5"/>
        <v>45625</v>
      </c>
      <c r="B335" s="449">
        <v>333.0</v>
      </c>
      <c r="C335" s="462">
        <v>0.6</v>
      </c>
      <c r="D335" s="462">
        <v>0.8888888888888888</v>
      </c>
      <c r="E335" s="436">
        <f t="array" ref="E335">IF(B335=0,"",(J335+K335)/60)</f>
        <v>0.3333333333</v>
      </c>
      <c r="F335" s="437">
        <f t="shared" si="1"/>
        <v>6.933333333</v>
      </c>
      <c r="G335" s="438">
        <f t="shared" si="8"/>
        <v>48.02884615</v>
      </c>
      <c r="H335" s="438">
        <f t="shared" si="3"/>
        <v>50.45454545</v>
      </c>
      <c r="I335" s="436">
        <f t="shared" si="6"/>
        <v>1.044105351</v>
      </c>
      <c r="J335" s="460"/>
      <c r="K335" s="460">
        <v>20.0</v>
      </c>
      <c r="L335" s="443"/>
      <c r="M335" s="447">
        <f>IFERROR(__xludf.DUMMYFUNCTION("""COMPUTED_VALUE"""),57.0)</f>
        <v>57</v>
      </c>
      <c r="N335" s="447">
        <f>IFERROR(__xludf.DUMMYFUNCTION("""COMPUTED_VALUE"""),55.0)</f>
        <v>55</v>
      </c>
      <c r="O335" s="447">
        <f>IFERROR(__xludf.DUMMYFUNCTION("""COMPUTED_VALUE"""),0.0)</f>
        <v>0</v>
      </c>
      <c r="P335" s="447">
        <f>IFERROR(__xludf.DUMMYFUNCTION("""COMPUTED_VALUE"""),0.0)</f>
        <v>0</v>
      </c>
      <c r="Q335" s="447">
        <f>IFERROR(__xludf.DUMMYFUNCTION("""COMPUTED_VALUE"""),0.0)</f>
        <v>0</v>
      </c>
      <c r="R335" s="447">
        <f>IFERROR(__xludf.DUMMYFUNCTION("""COMPUTED_VALUE"""),0.0)</f>
        <v>0</v>
      </c>
      <c r="S335" s="447">
        <f>IFERROR(__xludf.DUMMYFUNCTION("""COMPUTED_VALUE"""),3.0)</f>
        <v>3</v>
      </c>
      <c r="T335" s="447">
        <f>IFERROR(__xludf.DUMMYFUNCTION("""COMPUTED_VALUE"""),2.0)</f>
        <v>2</v>
      </c>
      <c r="U335" s="447">
        <f>IFERROR(__xludf.DUMMYFUNCTION("""COMPUTED_VALUE"""),2.0)</f>
        <v>2</v>
      </c>
      <c r="V335" s="447">
        <f>IFERROR(__xludf.DUMMYFUNCTION("""COMPUTED_VALUE"""),1.0)</f>
        <v>1</v>
      </c>
      <c r="W335" s="447">
        <f>IFERROR(__xludf.DUMMYFUNCTION("""COMPUTED_VALUE"""),0.0)</f>
        <v>0</v>
      </c>
      <c r="X335" s="447">
        <f>IFERROR(__xludf.DUMMYFUNCTION("""COMPUTED_VALUE"""),0.0)</f>
        <v>0</v>
      </c>
      <c r="Y335" s="447">
        <f>IFERROR(__xludf.DUMMYFUNCTION("""COMPUTED_VALUE"""),0.0)</f>
        <v>0</v>
      </c>
      <c r="Z335" s="447">
        <f>IFERROR(__xludf.DUMMYFUNCTION("""COMPUTED_VALUE"""),0.0)</f>
        <v>0</v>
      </c>
      <c r="AA335" s="447">
        <f>IFERROR(__xludf.DUMMYFUNCTION("""COMPUTED_VALUE"""),0.0)</f>
        <v>0</v>
      </c>
      <c r="AB335" s="447">
        <f>IFERROR(__xludf.DUMMYFUNCTION("""COMPUTED_VALUE"""),0.0)</f>
        <v>0</v>
      </c>
      <c r="AC335" s="447">
        <f>IFERROR(__xludf.DUMMYFUNCTION("""COMPUTED_VALUE"""),0.0)</f>
        <v>0</v>
      </c>
      <c r="AD335" s="447">
        <f>IFERROR(__xludf.DUMMYFUNCTION("""COMPUTED_VALUE"""),46.0)</f>
        <v>46</v>
      </c>
      <c r="AE335" s="447">
        <f>IFERROR(__xludf.DUMMYFUNCTION("""COMPUTED_VALUE"""),8.0)</f>
        <v>8</v>
      </c>
      <c r="AF335" s="447">
        <f>IFERROR(__xludf.DUMMYFUNCTION("""COMPUTED_VALUE"""),2.0)</f>
        <v>2</v>
      </c>
      <c r="AG335" s="443" t="s">
        <v>140</v>
      </c>
      <c r="AH335" s="443" t="s">
        <v>343</v>
      </c>
      <c r="AI335" s="443"/>
      <c r="AJ335" s="443"/>
      <c r="AK335" s="443"/>
      <c r="AL335" s="443"/>
      <c r="AM335" s="443"/>
      <c r="AN335" s="443"/>
      <c r="AO335" s="443"/>
      <c r="AP335" s="443"/>
      <c r="AQ335" s="443"/>
      <c r="AR335" s="443"/>
      <c r="AS335" s="443"/>
      <c r="AT335" s="443"/>
      <c r="AU335" s="443"/>
      <c r="AV335" s="443"/>
      <c r="AW335" s="443"/>
      <c r="AX335" s="443"/>
      <c r="AY335" s="443"/>
      <c r="AZ335" s="443"/>
      <c r="BA335" s="443"/>
      <c r="BB335" s="443"/>
      <c r="BC335" s="443"/>
      <c r="BD335" s="443"/>
      <c r="BE335" s="443"/>
    </row>
    <row r="336" hidden="1">
      <c r="A336" s="445">
        <f t="shared" si="5"/>
        <v>45626</v>
      </c>
      <c r="B336" s="449">
        <v>215.0</v>
      </c>
      <c r="C336" s="462">
        <v>0.5166666666666667</v>
      </c>
      <c r="D336" s="462">
        <v>0.7847222222222222</v>
      </c>
      <c r="E336" s="436">
        <f t="array" ref="E336">IF(B336=0,"",(J336+K336)/60)</f>
        <v>0</v>
      </c>
      <c r="F336" s="437">
        <f t="shared" si="1"/>
        <v>6.433333333</v>
      </c>
      <c r="G336" s="438">
        <f t="shared" si="8"/>
        <v>33.41968912</v>
      </c>
      <c r="H336" s="438">
        <f t="shared" si="3"/>
        <v>33.41968912</v>
      </c>
      <c r="I336" s="436">
        <f t="shared" si="6"/>
        <v>0.7595383891</v>
      </c>
      <c r="J336" s="460"/>
      <c r="K336" s="464"/>
      <c r="L336" s="443"/>
      <c r="M336" s="447">
        <f>IFERROR(__xludf.DUMMYFUNCTION("""COMPUTED_VALUE"""),57.0)</f>
        <v>57</v>
      </c>
      <c r="N336" s="447">
        <f>IFERROR(__xludf.DUMMYFUNCTION("""COMPUTED_VALUE"""),54.0)</f>
        <v>54</v>
      </c>
      <c r="O336" s="447">
        <f>IFERROR(__xludf.DUMMYFUNCTION("""COMPUTED_VALUE"""),0.0)</f>
        <v>0</v>
      </c>
      <c r="P336" s="447">
        <f>IFERROR(__xludf.DUMMYFUNCTION("""COMPUTED_VALUE"""),0.0)</f>
        <v>0</v>
      </c>
      <c r="Q336" s="447">
        <f>IFERROR(__xludf.DUMMYFUNCTION("""COMPUTED_VALUE"""),0.0)</f>
        <v>0</v>
      </c>
      <c r="R336" s="447">
        <f>IFERROR(__xludf.DUMMYFUNCTION("""COMPUTED_VALUE"""),0.0)</f>
        <v>0</v>
      </c>
      <c r="S336" s="447">
        <f>IFERROR(__xludf.DUMMYFUNCTION("""COMPUTED_VALUE"""),4.0)</f>
        <v>4</v>
      </c>
      <c r="T336" s="447">
        <f>IFERROR(__xludf.DUMMYFUNCTION("""COMPUTED_VALUE"""),1.0)</f>
        <v>1</v>
      </c>
      <c r="U336" s="447">
        <f>IFERROR(__xludf.DUMMYFUNCTION("""COMPUTED_VALUE"""),3.0)</f>
        <v>3</v>
      </c>
      <c r="V336" s="447">
        <f>IFERROR(__xludf.DUMMYFUNCTION("""COMPUTED_VALUE"""),1.0)</f>
        <v>1</v>
      </c>
      <c r="W336" s="447">
        <f>IFERROR(__xludf.DUMMYFUNCTION("""COMPUTED_VALUE"""),0.0)</f>
        <v>0</v>
      </c>
      <c r="X336" s="447">
        <f>IFERROR(__xludf.DUMMYFUNCTION("""COMPUTED_VALUE"""),0.0)</f>
        <v>0</v>
      </c>
      <c r="Y336" s="447">
        <f>IFERROR(__xludf.DUMMYFUNCTION("""COMPUTED_VALUE"""),0.0)</f>
        <v>0</v>
      </c>
      <c r="Z336" s="447">
        <f>IFERROR(__xludf.DUMMYFUNCTION("""COMPUTED_VALUE"""),0.0)</f>
        <v>0</v>
      </c>
      <c r="AA336" s="447">
        <f>IFERROR(__xludf.DUMMYFUNCTION("""COMPUTED_VALUE"""),0.0)</f>
        <v>0</v>
      </c>
      <c r="AB336" s="447">
        <f>IFERROR(__xludf.DUMMYFUNCTION("""COMPUTED_VALUE"""),0.0)</f>
        <v>0</v>
      </c>
      <c r="AC336" s="447">
        <f>IFERROR(__xludf.DUMMYFUNCTION("""COMPUTED_VALUE"""),1.0)</f>
        <v>1</v>
      </c>
      <c r="AD336" s="447">
        <f>IFERROR(__xludf.DUMMYFUNCTION("""COMPUTED_VALUE"""),44.0)</f>
        <v>44</v>
      </c>
      <c r="AE336" s="447">
        <f>IFERROR(__xludf.DUMMYFUNCTION("""COMPUTED_VALUE"""),10.0)</f>
        <v>10</v>
      </c>
      <c r="AF336" s="447">
        <f>IFERROR(__xludf.DUMMYFUNCTION("""COMPUTED_VALUE"""),3.0)</f>
        <v>3</v>
      </c>
      <c r="AG336" s="443" t="s">
        <v>140</v>
      </c>
      <c r="AH336" s="443" t="s">
        <v>343</v>
      </c>
      <c r="AI336" s="443"/>
      <c r="AJ336" s="443"/>
      <c r="AK336" s="443"/>
      <c r="AL336" s="443"/>
      <c r="AM336" s="443"/>
      <c r="AN336" s="443"/>
      <c r="AO336" s="443"/>
      <c r="AP336" s="443"/>
      <c r="AQ336" s="443"/>
      <c r="AR336" s="443"/>
      <c r="AS336" s="443"/>
      <c r="AT336" s="443"/>
      <c r="AU336" s="443"/>
      <c r="AV336" s="443"/>
      <c r="AW336" s="443"/>
      <c r="AX336" s="443"/>
      <c r="AY336" s="443"/>
      <c r="AZ336" s="443"/>
      <c r="BA336" s="443"/>
      <c r="BB336" s="443"/>
      <c r="BC336" s="443"/>
      <c r="BD336" s="443"/>
      <c r="BE336" s="443"/>
    </row>
    <row r="337" hidden="1">
      <c r="A337" s="445">
        <f t="shared" si="5"/>
        <v>45627</v>
      </c>
      <c r="B337" s="449">
        <v>0.0</v>
      </c>
      <c r="C337" s="462"/>
      <c r="D337" s="462"/>
      <c r="E337" s="436" t="str">
        <f t="array" ref="E337">IF(B337=0,"",(J337+K337)/60)</f>
        <v/>
      </c>
      <c r="F337" s="437" t="str">
        <f t="shared" si="1"/>
        <v/>
      </c>
      <c r="G337" s="438" t="str">
        <f t="shared" si="8"/>
        <v>#DIV/0!</v>
      </c>
      <c r="H337" s="438" t="str">
        <f t="shared" si="3"/>
        <v/>
      </c>
      <c r="I337" s="436" t="str">
        <f t="shared" si="6"/>
        <v/>
      </c>
      <c r="J337" s="460"/>
      <c r="K337" s="464"/>
      <c r="L337" s="443"/>
      <c r="M337" s="525">
        <f>IFERROR(__xludf.DUMMYFUNCTION("TRANSPOSE(IMPORTRANGE(""https://docs.google.com/spreadsheets/d/1CNeKSHTeNNJnfn5EymHwGg5Mkuk6EcepW7_9QkJxalc/edit#gid=1218471306"",""DICIEMBRE 2024!F2:AJ21""))"),57.0)</f>
        <v>57</v>
      </c>
      <c r="N337" s="447">
        <f>IFERROR(__xludf.DUMMYFUNCTION("""COMPUTED_VALUE"""),55.0)</f>
        <v>55</v>
      </c>
      <c r="O337" s="447">
        <f>IFERROR(__xludf.DUMMYFUNCTION("""COMPUTED_VALUE"""),0.0)</f>
        <v>0</v>
      </c>
      <c r="P337" s="447">
        <f>IFERROR(__xludf.DUMMYFUNCTION("""COMPUTED_VALUE"""),0.0)</f>
        <v>0</v>
      </c>
      <c r="Q337" s="447">
        <f>IFERROR(__xludf.DUMMYFUNCTION("""COMPUTED_VALUE"""),0.0)</f>
        <v>0</v>
      </c>
      <c r="R337" s="447">
        <f>IFERROR(__xludf.DUMMYFUNCTION("""COMPUTED_VALUE"""),0.0)</f>
        <v>0</v>
      </c>
      <c r="S337" s="447">
        <f>IFERROR(__xludf.DUMMYFUNCTION("""COMPUTED_VALUE"""),0.0)</f>
        <v>0</v>
      </c>
      <c r="T337" s="447">
        <f>IFERROR(__xludf.DUMMYFUNCTION("""COMPUTED_VALUE"""),0.0)</f>
        <v>0</v>
      </c>
      <c r="U337" s="447">
        <f>IFERROR(__xludf.DUMMYFUNCTION("""COMPUTED_VALUE"""),2.0)</f>
        <v>2</v>
      </c>
      <c r="V337" s="447">
        <f>IFERROR(__xludf.DUMMYFUNCTION("""COMPUTED_VALUE"""),0.0)</f>
        <v>0</v>
      </c>
      <c r="W337" s="447">
        <f>IFERROR(__xludf.DUMMYFUNCTION("""COMPUTED_VALUE"""),0.0)</f>
        <v>0</v>
      </c>
      <c r="X337" s="447">
        <f>IFERROR(__xludf.DUMMYFUNCTION("""COMPUTED_VALUE"""),0.0)</f>
        <v>0</v>
      </c>
      <c r="Y337" s="447">
        <f>IFERROR(__xludf.DUMMYFUNCTION("""COMPUTED_VALUE"""),0.0)</f>
        <v>0</v>
      </c>
      <c r="Z337" s="447">
        <f>IFERROR(__xludf.DUMMYFUNCTION("""COMPUTED_VALUE"""),0.0)</f>
        <v>0</v>
      </c>
      <c r="AA337" s="447">
        <f>IFERROR(__xludf.DUMMYFUNCTION("""COMPUTED_VALUE"""),0.0)</f>
        <v>0</v>
      </c>
      <c r="AB337" s="447">
        <f>IFERROR(__xludf.DUMMYFUNCTION("""COMPUTED_VALUE"""),0.0)</f>
        <v>0</v>
      </c>
      <c r="AC337" s="447">
        <f>IFERROR(__xludf.DUMMYFUNCTION("""COMPUTED_VALUE"""),0.0)</f>
        <v>0</v>
      </c>
      <c r="AD337" s="447">
        <f>IFERROR(__xludf.DUMMYFUNCTION("""COMPUTED_VALUE"""),0.0)</f>
        <v>0</v>
      </c>
      <c r="AE337" s="447">
        <f>IFERROR(__xludf.DUMMYFUNCTION("""COMPUTED_VALUE"""),2.0)</f>
        <v>2</v>
      </c>
      <c r="AF337" s="447">
        <f>IFERROR(__xludf.DUMMYFUNCTION("""COMPUTED_VALUE"""),2.0)</f>
        <v>2</v>
      </c>
      <c r="AG337" s="443" t="s">
        <v>148</v>
      </c>
      <c r="AH337" s="443" t="s">
        <v>343</v>
      </c>
      <c r="AI337" s="443"/>
      <c r="AJ337" s="443"/>
      <c r="AK337" s="443"/>
      <c r="AL337" s="443"/>
      <c r="AM337" s="443"/>
      <c r="AN337" s="443"/>
      <c r="AO337" s="443"/>
      <c r="AP337" s="443"/>
      <c r="AQ337" s="443"/>
      <c r="AR337" s="443"/>
      <c r="AS337" s="443"/>
      <c r="AT337" s="443"/>
      <c r="AU337" s="443"/>
      <c r="AV337" s="443"/>
      <c r="AW337" s="443"/>
      <c r="AX337" s="443"/>
      <c r="AY337" s="443"/>
      <c r="AZ337" s="443"/>
      <c r="BA337" s="443"/>
      <c r="BB337" s="443"/>
      <c r="BC337" s="443"/>
      <c r="BD337" s="443"/>
      <c r="BE337" s="443"/>
    </row>
    <row r="338" hidden="1">
      <c r="A338" s="445">
        <f t="shared" si="5"/>
        <v>45628</v>
      </c>
      <c r="B338" s="449">
        <v>646.0</v>
      </c>
      <c r="C338" s="462">
        <v>0.5583333333333333</v>
      </c>
      <c r="D338" s="462">
        <v>1.0451388888888888</v>
      </c>
      <c r="E338" s="436">
        <f t="array" ref="E338">IF(B338=0,"",(J338+K338)/60)</f>
        <v>1</v>
      </c>
      <c r="F338" s="437">
        <f t="shared" si="1"/>
        <v>11.68333333</v>
      </c>
      <c r="G338" s="438">
        <f t="shared" si="8"/>
        <v>55.29243937</v>
      </c>
      <c r="H338" s="438">
        <f t="shared" si="3"/>
        <v>60.46801872</v>
      </c>
      <c r="I338" s="436">
        <f t="shared" si="6"/>
        <v>1.105848787</v>
      </c>
      <c r="J338" s="460">
        <v>60.0</v>
      </c>
      <c r="K338" s="464"/>
      <c r="L338" s="443"/>
      <c r="M338" s="447">
        <f>IFERROR(__xludf.DUMMYFUNCTION("""COMPUTED_VALUE"""),57.0)</f>
        <v>57</v>
      </c>
      <c r="N338" s="447">
        <f>IFERROR(__xludf.DUMMYFUNCTION("""COMPUTED_VALUE"""),55.0)</f>
        <v>55</v>
      </c>
      <c r="O338" s="447">
        <f>IFERROR(__xludf.DUMMYFUNCTION("""COMPUTED_VALUE"""),0.0)</f>
        <v>0</v>
      </c>
      <c r="P338" s="447">
        <f>IFERROR(__xludf.DUMMYFUNCTION("""COMPUTED_VALUE"""),0.0)</f>
        <v>0</v>
      </c>
      <c r="Q338" s="447">
        <f>IFERROR(__xludf.DUMMYFUNCTION("""COMPUTED_VALUE"""),0.0)</f>
        <v>0</v>
      </c>
      <c r="R338" s="447">
        <f>IFERROR(__xludf.DUMMYFUNCTION("""COMPUTED_VALUE"""),0.0)</f>
        <v>0</v>
      </c>
      <c r="S338" s="447">
        <f>IFERROR(__xludf.DUMMYFUNCTION("""COMPUTED_VALUE"""),2.0)</f>
        <v>2</v>
      </c>
      <c r="T338" s="447">
        <f>IFERROR(__xludf.DUMMYFUNCTION("""COMPUTED_VALUE"""),0.0)</f>
        <v>0</v>
      </c>
      <c r="U338" s="447">
        <f>IFERROR(__xludf.DUMMYFUNCTION("""COMPUTED_VALUE"""),2.0)</f>
        <v>2</v>
      </c>
      <c r="V338" s="447">
        <f>IFERROR(__xludf.DUMMYFUNCTION("""COMPUTED_VALUE"""),0.0)</f>
        <v>0</v>
      </c>
      <c r="W338" s="447">
        <f>IFERROR(__xludf.DUMMYFUNCTION("""COMPUTED_VALUE"""),0.0)</f>
        <v>0</v>
      </c>
      <c r="X338" s="447">
        <f>IFERROR(__xludf.DUMMYFUNCTION("""COMPUTED_VALUE"""),0.0)</f>
        <v>0</v>
      </c>
      <c r="Y338" s="447">
        <f>IFERROR(__xludf.DUMMYFUNCTION("""COMPUTED_VALUE"""),0.0)</f>
        <v>0</v>
      </c>
      <c r="Z338" s="447">
        <f>IFERROR(__xludf.DUMMYFUNCTION("""COMPUTED_VALUE"""),0.0)</f>
        <v>0</v>
      </c>
      <c r="AA338" s="447">
        <f>IFERROR(__xludf.DUMMYFUNCTION("""COMPUTED_VALUE"""),0.0)</f>
        <v>0</v>
      </c>
      <c r="AB338" s="447">
        <f>IFERROR(__xludf.DUMMYFUNCTION("""COMPUTED_VALUE"""),0.0)</f>
        <v>0</v>
      </c>
      <c r="AC338" s="447">
        <f>IFERROR(__xludf.DUMMYFUNCTION("""COMPUTED_VALUE"""),0.0)</f>
        <v>0</v>
      </c>
      <c r="AD338" s="447">
        <f>IFERROR(__xludf.DUMMYFUNCTION("""COMPUTED_VALUE"""),50.0)</f>
        <v>50</v>
      </c>
      <c r="AE338" s="447">
        <f>IFERROR(__xludf.DUMMYFUNCTION("""COMPUTED_VALUE"""),4.0)</f>
        <v>4</v>
      </c>
      <c r="AF338" s="447">
        <f>IFERROR(__xludf.DUMMYFUNCTION("""COMPUTED_VALUE"""),2.0)</f>
        <v>2</v>
      </c>
      <c r="AG338" s="443" t="s">
        <v>148</v>
      </c>
      <c r="AH338" s="443" t="s">
        <v>343</v>
      </c>
      <c r="AI338" s="443"/>
      <c r="AJ338" s="443"/>
      <c r="AK338" s="443"/>
      <c r="AL338" s="443"/>
      <c r="AM338" s="443"/>
      <c r="AN338" s="443"/>
      <c r="AO338" s="443"/>
      <c r="AP338" s="443"/>
      <c r="AQ338" s="443"/>
      <c r="AR338" s="443"/>
      <c r="AS338" s="443"/>
      <c r="AT338" s="443"/>
      <c r="AU338" s="443"/>
      <c r="AV338" s="443"/>
      <c r="AW338" s="443"/>
      <c r="AX338" s="443"/>
      <c r="AY338" s="443"/>
      <c r="AZ338" s="443"/>
      <c r="BA338" s="443"/>
      <c r="BB338" s="443"/>
      <c r="BC338" s="443"/>
      <c r="BD338" s="443"/>
      <c r="BE338" s="443"/>
    </row>
    <row r="339" hidden="1">
      <c r="A339" s="445">
        <f t="shared" si="5"/>
        <v>45629</v>
      </c>
      <c r="B339" s="449">
        <v>573.0</v>
      </c>
      <c r="C339" s="462">
        <v>0.6</v>
      </c>
      <c r="D339" s="462">
        <v>1.0381944444444444</v>
      </c>
      <c r="E339" s="436">
        <f t="array" ref="E339">IF(B339=0,"",(J339+K339)/60)</f>
        <v>1</v>
      </c>
      <c r="F339" s="437">
        <f t="shared" si="1"/>
        <v>10.51666667</v>
      </c>
      <c r="G339" s="438">
        <f t="shared" si="8"/>
        <v>54.48494453</v>
      </c>
      <c r="H339" s="438">
        <f t="shared" si="3"/>
        <v>60.21015762</v>
      </c>
      <c r="I339" s="436">
        <f t="shared" si="6"/>
        <v>1.159254139</v>
      </c>
      <c r="J339" s="460">
        <v>60.0</v>
      </c>
      <c r="K339" s="464"/>
      <c r="L339" s="443"/>
      <c r="M339" s="447">
        <f>IFERROR(__xludf.DUMMYFUNCTION("""COMPUTED_VALUE"""),57.0)</f>
        <v>57</v>
      </c>
      <c r="N339" s="447">
        <f>IFERROR(__xludf.DUMMYFUNCTION("""COMPUTED_VALUE"""),55.0)</f>
        <v>55</v>
      </c>
      <c r="O339" s="447">
        <f>IFERROR(__xludf.DUMMYFUNCTION("""COMPUTED_VALUE"""),0.0)</f>
        <v>0</v>
      </c>
      <c r="P339" s="447">
        <f>IFERROR(__xludf.DUMMYFUNCTION("""COMPUTED_VALUE"""),0.0)</f>
        <v>0</v>
      </c>
      <c r="Q339" s="447">
        <f>IFERROR(__xludf.DUMMYFUNCTION("""COMPUTED_VALUE"""),1.0)</f>
        <v>1</v>
      </c>
      <c r="R339" s="447">
        <f>IFERROR(__xludf.DUMMYFUNCTION("""COMPUTED_VALUE"""),0.0)</f>
        <v>0</v>
      </c>
      <c r="S339" s="447">
        <f>IFERROR(__xludf.DUMMYFUNCTION("""COMPUTED_VALUE"""),4.0)</f>
        <v>4</v>
      </c>
      <c r="T339" s="447">
        <f>IFERROR(__xludf.DUMMYFUNCTION("""COMPUTED_VALUE"""),0.0)</f>
        <v>0</v>
      </c>
      <c r="U339" s="447">
        <f>IFERROR(__xludf.DUMMYFUNCTION("""COMPUTED_VALUE"""),2.0)</f>
        <v>2</v>
      </c>
      <c r="V339" s="447">
        <f>IFERROR(__xludf.DUMMYFUNCTION("""COMPUTED_VALUE"""),0.0)</f>
        <v>0</v>
      </c>
      <c r="W339" s="447">
        <f>IFERROR(__xludf.DUMMYFUNCTION("""COMPUTED_VALUE"""),0.0)</f>
        <v>0</v>
      </c>
      <c r="X339" s="447">
        <f>IFERROR(__xludf.DUMMYFUNCTION("""COMPUTED_VALUE"""),0.0)</f>
        <v>0</v>
      </c>
      <c r="Y339" s="447">
        <f>IFERROR(__xludf.DUMMYFUNCTION("""COMPUTED_VALUE"""),0.0)</f>
        <v>0</v>
      </c>
      <c r="Z339" s="447">
        <f>IFERROR(__xludf.DUMMYFUNCTION("""COMPUTED_VALUE"""),0.0)</f>
        <v>0</v>
      </c>
      <c r="AA339" s="447">
        <f>IFERROR(__xludf.DUMMYFUNCTION("""COMPUTED_VALUE"""),0.0)</f>
        <v>0</v>
      </c>
      <c r="AB339" s="447">
        <f>IFERROR(__xludf.DUMMYFUNCTION("""COMPUTED_VALUE"""),0.0)</f>
        <v>0</v>
      </c>
      <c r="AC339" s="447">
        <f>IFERROR(__xludf.DUMMYFUNCTION("""COMPUTED_VALUE"""),0.0)</f>
        <v>0</v>
      </c>
      <c r="AD339" s="447">
        <f>IFERROR(__xludf.DUMMYFUNCTION("""COMPUTED_VALUE"""),47.0)</f>
        <v>47</v>
      </c>
      <c r="AE339" s="447">
        <f>IFERROR(__xludf.DUMMYFUNCTION("""COMPUTED_VALUE"""),7.0)</f>
        <v>7</v>
      </c>
      <c r="AF339" s="447">
        <f>IFERROR(__xludf.DUMMYFUNCTION("""COMPUTED_VALUE"""),2.0)</f>
        <v>2</v>
      </c>
      <c r="AG339" s="443" t="s">
        <v>148</v>
      </c>
      <c r="AH339" s="443" t="s">
        <v>343</v>
      </c>
      <c r="AI339" s="443"/>
      <c r="AJ339" s="443"/>
      <c r="AK339" s="443"/>
      <c r="AL339" s="443"/>
      <c r="AM339" s="443"/>
      <c r="AN339" s="443"/>
      <c r="AO339" s="443"/>
      <c r="AP339" s="443"/>
      <c r="AQ339" s="443"/>
      <c r="AR339" s="443"/>
      <c r="AS339" s="443"/>
      <c r="AT339" s="443"/>
      <c r="AU339" s="443"/>
      <c r="AV339" s="443"/>
      <c r="AW339" s="443"/>
      <c r="AX339" s="443"/>
      <c r="AY339" s="443"/>
      <c r="AZ339" s="443"/>
      <c r="BA339" s="443"/>
      <c r="BB339" s="443"/>
      <c r="BC339" s="443"/>
      <c r="BD339" s="443"/>
      <c r="BE339" s="443"/>
    </row>
    <row r="340" hidden="1">
      <c r="A340" s="445">
        <f t="shared" si="5"/>
        <v>45630</v>
      </c>
      <c r="B340" s="449">
        <v>691.0</v>
      </c>
      <c r="C340" s="462">
        <v>0.6</v>
      </c>
      <c r="D340" s="462">
        <v>1.0805555555555555</v>
      </c>
      <c r="E340" s="436">
        <f t="array" ref="E340">IF(B340=0,"",(J340+K340)/60)</f>
        <v>1.5</v>
      </c>
      <c r="F340" s="437">
        <f t="shared" si="1"/>
        <v>11.53333333</v>
      </c>
      <c r="G340" s="438">
        <f t="shared" si="8"/>
        <v>59.9132948</v>
      </c>
      <c r="H340" s="438">
        <f t="shared" si="3"/>
        <v>68.87043189</v>
      </c>
      <c r="I340" s="436">
        <f t="shared" si="6"/>
        <v>1.274750953</v>
      </c>
      <c r="J340" s="460">
        <v>60.0</v>
      </c>
      <c r="K340" s="460">
        <v>30.0</v>
      </c>
      <c r="L340" s="443"/>
      <c r="M340" s="447">
        <f>IFERROR(__xludf.DUMMYFUNCTION("""COMPUTED_VALUE"""),57.0)</f>
        <v>57</v>
      </c>
      <c r="N340" s="447">
        <f>IFERROR(__xludf.DUMMYFUNCTION("""COMPUTED_VALUE"""),55.0)</f>
        <v>55</v>
      </c>
      <c r="O340" s="447">
        <f>IFERROR(__xludf.DUMMYFUNCTION("""COMPUTED_VALUE"""),0.0)</f>
        <v>0</v>
      </c>
      <c r="P340" s="447">
        <f>IFERROR(__xludf.DUMMYFUNCTION("""COMPUTED_VALUE"""),0.0)</f>
        <v>0</v>
      </c>
      <c r="Q340" s="447">
        <f>IFERROR(__xludf.DUMMYFUNCTION("""COMPUTED_VALUE"""),0.0)</f>
        <v>0</v>
      </c>
      <c r="R340" s="447">
        <f>IFERROR(__xludf.DUMMYFUNCTION("""COMPUTED_VALUE"""),1.0)</f>
        <v>1</v>
      </c>
      <c r="S340" s="447">
        <f>IFERROR(__xludf.DUMMYFUNCTION("""COMPUTED_VALUE"""),3.0)</f>
        <v>3</v>
      </c>
      <c r="T340" s="447">
        <f>IFERROR(__xludf.DUMMYFUNCTION("""COMPUTED_VALUE"""),1.0)</f>
        <v>1</v>
      </c>
      <c r="U340" s="447">
        <f>IFERROR(__xludf.DUMMYFUNCTION("""COMPUTED_VALUE"""),2.0)</f>
        <v>2</v>
      </c>
      <c r="V340" s="447">
        <f>IFERROR(__xludf.DUMMYFUNCTION("""COMPUTED_VALUE"""),0.0)</f>
        <v>0</v>
      </c>
      <c r="W340" s="447">
        <f>IFERROR(__xludf.DUMMYFUNCTION("""COMPUTED_VALUE"""),0.0)</f>
        <v>0</v>
      </c>
      <c r="X340" s="447">
        <f>IFERROR(__xludf.DUMMYFUNCTION("""COMPUTED_VALUE"""),0.0)</f>
        <v>0</v>
      </c>
      <c r="Y340" s="447">
        <f>IFERROR(__xludf.DUMMYFUNCTION("""COMPUTED_VALUE"""),0.0)</f>
        <v>0</v>
      </c>
      <c r="Z340" s="447">
        <f>IFERROR(__xludf.DUMMYFUNCTION("""COMPUTED_VALUE"""),0.0)</f>
        <v>0</v>
      </c>
      <c r="AA340" s="447">
        <f>IFERROR(__xludf.DUMMYFUNCTION("""COMPUTED_VALUE"""),0.0)</f>
        <v>0</v>
      </c>
      <c r="AB340" s="447">
        <f>IFERROR(__xludf.DUMMYFUNCTION("""COMPUTED_VALUE"""),0.0)</f>
        <v>0</v>
      </c>
      <c r="AC340" s="447">
        <f>IFERROR(__xludf.DUMMYFUNCTION("""COMPUTED_VALUE"""),0.0)</f>
        <v>0</v>
      </c>
      <c r="AD340" s="447">
        <f>IFERROR(__xludf.DUMMYFUNCTION("""COMPUTED_VALUE"""),47.0)</f>
        <v>47</v>
      </c>
      <c r="AE340" s="447">
        <f>IFERROR(__xludf.DUMMYFUNCTION("""COMPUTED_VALUE"""),6.0)</f>
        <v>6</v>
      </c>
      <c r="AF340" s="447">
        <f>IFERROR(__xludf.DUMMYFUNCTION("""COMPUTED_VALUE"""),2.0)</f>
        <v>2</v>
      </c>
      <c r="AG340" s="443" t="s">
        <v>148</v>
      </c>
      <c r="AH340" s="443" t="s">
        <v>343</v>
      </c>
      <c r="AI340" s="443"/>
      <c r="AJ340" s="443"/>
      <c r="AK340" s="443"/>
      <c r="AL340" s="443"/>
      <c r="AM340" s="443"/>
      <c r="AN340" s="443"/>
      <c r="AO340" s="443"/>
      <c r="AP340" s="443"/>
      <c r="AQ340" s="443"/>
      <c r="AR340" s="443"/>
      <c r="AS340" s="443"/>
      <c r="AT340" s="443"/>
      <c r="AU340" s="443"/>
      <c r="AV340" s="443"/>
      <c r="AW340" s="443"/>
      <c r="AX340" s="443"/>
      <c r="AY340" s="443"/>
      <c r="AZ340" s="443"/>
      <c r="BA340" s="443"/>
      <c r="BB340" s="443"/>
      <c r="BC340" s="443"/>
      <c r="BD340" s="443"/>
      <c r="BE340" s="443"/>
    </row>
    <row r="341" hidden="1">
      <c r="A341" s="445">
        <f t="shared" si="5"/>
        <v>45631</v>
      </c>
      <c r="B341" s="449">
        <v>531.0</v>
      </c>
      <c r="C341" s="462">
        <v>0.6</v>
      </c>
      <c r="D341" s="462">
        <v>1.00625</v>
      </c>
      <c r="E341" s="436">
        <f t="array" ref="E341">IF(B341=0,"",(J341+K341)/60)</f>
        <v>1</v>
      </c>
      <c r="F341" s="437">
        <f t="shared" si="1"/>
        <v>9.75</v>
      </c>
      <c r="G341" s="438">
        <f t="shared" si="8"/>
        <v>54.46153846</v>
      </c>
      <c r="H341" s="438">
        <f t="shared" si="3"/>
        <v>60.68571429</v>
      </c>
      <c r="I341" s="436">
        <f t="shared" si="6"/>
        <v>1.21025641</v>
      </c>
      <c r="J341" s="460">
        <v>60.0</v>
      </c>
      <c r="K341" s="464"/>
      <c r="L341" s="443"/>
      <c r="M341" s="447">
        <f>IFERROR(__xludf.DUMMYFUNCTION("""COMPUTED_VALUE"""),57.0)</f>
        <v>57</v>
      </c>
      <c r="N341" s="447">
        <f>IFERROR(__xludf.DUMMYFUNCTION("""COMPUTED_VALUE"""),53.0)</f>
        <v>53</v>
      </c>
      <c r="O341" s="447">
        <f>IFERROR(__xludf.DUMMYFUNCTION("""COMPUTED_VALUE"""),0.0)</f>
        <v>0</v>
      </c>
      <c r="P341" s="447">
        <f>IFERROR(__xludf.DUMMYFUNCTION("""COMPUTED_VALUE"""),0.0)</f>
        <v>0</v>
      </c>
      <c r="Q341" s="447">
        <f>IFERROR(__xludf.DUMMYFUNCTION("""COMPUTED_VALUE"""),1.0)</f>
        <v>1</v>
      </c>
      <c r="R341" s="447">
        <f>IFERROR(__xludf.DUMMYFUNCTION("""COMPUTED_VALUE"""),0.0)</f>
        <v>0</v>
      </c>
      <c r="S341" s="447">
        <f>IFERROR(__xludf.DUMMYFUNCTION("""COMPUTED_VALUE"""),3.0)</f>
        <v>3</v>
      </c>
      <c r="T341" s="447">
        <f>IFERROR(__xludf.DUMMYFUNCTION("""COMPUTED_VALUE"""),0.0)</f>
        <v>0</v>
      </c>
      <c r="U341" s="447">
        <f>IFERROR(__xludf.DUMMYFUNCTION("""COMPUTED_VALUE"""),4.0)</f>
        <v>4</v>
      </c>
      <c r="V341" s="447">
        <f>IFERROR(__xludf.DUMMYFUNCTION("""COMPUTED_VALUE"""),0.0)</f>
        <v>0</v>
      </c>
      <c r="W341" s="447">
        <f>IFERROR(__xludf.DUMMYFUNCTION("""COMPUTED_VALUE"""),0.0)</f>
        <v>0</v>
      </c>
      <c r="X341" s="447">
        <f>IFERROR(__xludf.DUMMYFUNCTION("""COMPUTED_VALUE"""),0.0)</f>
        <v>0</v>
      </c>
      <c r="Y341" s="447">
        <f>IFERROR(__xludf.DUMMYFUNCTION("""COMPUTED_VALUE"""),0.0)</f>
        <v>0</v>
      </c>
      <c r="Z341" s="447">
        <f>IFERROR(__xludf.DUMMYFUNCTION("""COMPUTED_VALUE"""),1.0)</f>
        <v>1</v>
      </c>
      <c r="AA341" s="447">
        <f>IFERROR(__xludf.DUMMYFUNCTION("""COMPUTED_VALUE"""),0.0)</f>
        <v>0</v>
      </c>
      <c r="AB341" s="447">
        <f>IFERROR(__xludf.DUMMYFUNCTION("""COMPUTED_VALUE"""),0.0)</f>
        <v>0</v>
      </c>
      <c r="AC341" s="447">
        <f>IFERROR(__xludf.DUMMYFUNCTION("""COMPUTED_VALUE"""),0.0)</f>
        <v>0</v>
      </c>
      <c r="AD341" s="447">
        <f>IFERROR(__xludf.DUMMYFUNCTION("""COMPUTED_VALUE"""),45.0)</f>
        <v>45</v>
      </c>
      <c r="AE341" s="447">
        <f>IFERROR(__xludf.DUMMYFUNCTION("""COMPUTED_VALUE"""),9.0)</f>
        <v>9</v>
      </c>
      <c r="AF341" s="447">
        <f>IFERROR(__xludf.DUMMYFUNCTION("""COMPUTED_VALUE"""),4.0)</f>
        <v>4</v>
      </c>
      <c r="AG341" s="443" t="s">
        <v>148</v>
      </c>
      <c r="AH341" s="443" t="s">
        <v>343</v>
      </c>
      <c r="AI341" s="443"/>
      <c r="AJ341" s="443"/>
      <c r="AK341" s="443"/>
      <c r="AL341" s="443"/>
      <c r="AM341" s="443"/>
      <c r="AN341" s="443"/>
      <c r="AO341" s="443"/>
      <c r="AP341" s="443"/>
      <c r="AQ341" s="443"/>
      <c r="AR341" s="443"/>
      <c r="AS341" s="443"/>
      <c r="AT341" s="443"/>
      <c r="AU341" s="443"/>
      <c r="AV341" s="443"/>
      <c r="AW341" s="443"/>
      <c r="AX341" s="443"/>
      <c r="AY341" s="443"/>
      <c r="AZ341" s="443"/>
      <c r="BA341" s="443"/>
      <c r="BB341" s="443"/>
      <c r="BC341" s="443"/>
      <c r="BD341" s="443"/>
      <c r="BE341" s="443"/>
    </row>
    <row r="342" hidden="1">
      <c r="A342" s="445">
        <f t="shared" si="5"/>
        <v>45632</v>
      </c>
      <c r="B342" s="449">
        <v>451.0</v>
      </c>
      <c r="C342" s="462">
        <v>0.5583333333333333</v>
      </c>
      <c r="D342" s="462">
        <v>0.8972222222222223</v>
      </c>
      <c r="E342" s="436">
        <f t="array" ref="E342">IF(B342=0,"",(J342+K342)/60)</f>
        <v>1.383333333</v>
      </c>
      <c r="F342" s="437">
        <f t="shared" si="1"/>
        <v>8.133333333</v>
      </c>
      <c r="G342" s="438">
        <f t="shared" si="8"/>
        <v>55.45081967</v>
      </c>
      <c r="H342" s="438">
        <f t="shared" si="3"/>
        <v>66.81481481</v>
      </c>
      <c r="I342" s="436">
        <f t="shared" si="6"/>
        <v>1.289553946</v>
      </c>
      <c r="J342" s="460">
        <v>60.0</v>
      </c>
      <c r="K342" s="464">
        <f>13+10</f>
        <v>23</v>
      </c>
      <c r="L342" s="443"/>
      <c r="M342" s="447">
        <f>IFERROR(__xludf.DUMMYFUNCTION("""COMPUTED_VALUE"""),57.0)</f>
        <v>57</v>
      </c>
      <c r="N342" s="447">
        <f>IFERROR(__xludf.DUMMYFUNCTION("""COMPUTED_VALUE"""),53.0)</f>
        <v>53</v>
      </c>
      <c r="O342" s="447">
        <f>IFERROR(__xludf.DUMMYFUNCTION("""COMPUTED_VALUE"""),0.0)</f>
        <v>0</v>
      </c>
      <c r="P342" s="447">
        <f>IFERROR(__xludf.DUMMYFUNCTION("""COMPUTED_VALUE"""),0.0)</f>
        <v>0</v>
      </c>
      <c r="Q342" s="447">
        <f>IFERROR(__xludf.DUMMYFUNCTION("""COMPUTED_VALUE"""),2.0)</f>
        <v>2</v>
      </c>
      <c r="R342" s="447">
        <f>IFERROR(__xludf.DUMMYFUNCTION("""COMPUTED_VALUE"""),0.0)</f>
        <v>0</v>
      </c>
      <c r="S342" s="447">
        <f>IFERROR(__xludf.DUMMYFUNCTION("""COMPUTED_VALUE"""),4.0)</f>
        <v>4</v>
      </c>
      <c r="T342" s="447">
        <f>IFERROR(__xludf.DUMMYFUNCTION("""COMPUTED_VALUE"""),0.0)</f>
        <v>0</v>
      </c>
      <c r="U342" s="447">
        <f>IFERROR(__xludf.DUMMYFUNCTION("""COMPUTED_VALUE"""),4.0)</f>
        <v>4</v>
      </c>
      <c r="V342" s="447">
        <f>IFERROR(__xludf.DUMMYFUNCTION("""COMPUTED_VALUE"""),0.0)</f>
        <v>0</v>
      </c>
      <c r="W342" s="447">
        <f>IFERROR(__xludf.DUMMYFUNCTION("""COMPUTED_VALUE"""),0.0)</f>
        <v>0</v>
      </c>
      <c r="X342" s="447">
        <f>IFERROR(__xludf.DUMMYFUNCTION("""COMPUTED_VALUE"""),0.0)</f>
        <v>0</v>
      </c>
      <c r="Y342" s="447">
        <f>IFERROR(__xludf.DUMMYFUNCTION("""COMPUTED_VALUE"""),0.0)</f>
        <v>0</v>
      </c>
      <c r="Z342" s="447">
        <f>IFERROR(__xludf.DUMMYFUNCTION("""COMPUTED_VALUE"""),0.0)</f>
        <v>0</v>
      </c>
      <c r="AA342" s="447">
        <f>IFERROR(__xludf.DUMMYFUNCTION("""COMPUTED_VALUE"""),0.0)</f>
        <v>0</v>
      </c>
      <c r="AB342" s="447">
        <f>IFERROR(__xludf.DUMMYFUNCTION("""COMPUTED_VALUE"""),0.0)</f>
        <v>0</v>
      </c>
      <c r="AC342" s="447">
        <f>IFERROR(__xludf.DUMMYFUNCTION("""COMPUTED_VALUE"""),0.0)</f>
        <v>0</v>
      </c>
      <c r="AD342" s="447">
        <f>IFERROR(__xludf.DUMMYFUNCTION("""COMPUTED_VALUE"""),43.0)</f>
        <v>43</v>
      </c>
      <c r="AE342" s="447">
        <f>IFERROR(__xludf.DUMMYFUNCTION("""COMPUTED_VALUE"""),10.0)</f>
        <v>10</v>
      </c>
      <c r="AF342" s="447">
        <f>IFERROR(__xludf.DUMMYFUNCTION("""COMPUTED_VALUE"""),4.0)</f>
        <v>4</v>
      </c>
      <c r="AG342" s="443" t="s">
        <v>148</v>
      </c>
      <c r="AH342" s="443" t="s">
        <v>343</v>
      </c>
      <c r="AI342" s="443"/>
      <c r="AJ342" s="443"/>
      <c r="AK342" s="443"/>
      <c r="AL342" s="443"/>
      <c r="AM342" s="443"/>
      <c r="AN342" s="443"/>
      <c r="AO342" s="443"/>
      <c r="AP342" s="443"/>
      <c r="AQ342" s="443"/>
      <c r="AR342" s="443"/>
      <c r="AS342" s="443"/>
      <c r="AT342" s="443"/>
      <c r="AU342" s="443"/>
      <c r="AV342" s="443"/>
      <c r="AW342" s="443"/>
      <c r="AX342" s="443"/>
      <c r="AY342" s="443"/>
      <c r="AZ342" s="443"/>
      <c r="BA342" s="443"/>
      <c r="BB342" s="443"/>
      <c r="BC342" s="443"/>
      <c r="BD342" s="443"/>
      <c r="BE342" s="443"/>
    </row>
    <row r="343" hidden="1">
      <c r="A343" s="445">
        <f t="shared" si="5"/>
        <v>45633</v>
      </c>
      <c r="B343" s="449">
        <v>0.0</v>
      </c>
      <c r="C343" s="443"/>
      <c r="D343" s="462"/>
      <c r="E343" s="436" t="str">
        <f t="array" ref="E343">IF(B343=0,"",(J343+K343)/60)</f>
        <v/>
      </c>
      <c r="F343" s="437" t="str">
        <f t="shared" si="1"/>
        <v/>
      </c>
      <c r="G343" s="438" t="str">
        <f t="shared" si="8"/>
        <v>#DIV/0!</v>
      </c>
      <c r="H343" s="438" t="str">
        <f t="shared" si="3"/>
        <v/>
      </c>
      <c r="I343" s="436" t="str">
        <f t="shared" si="6"/>
        <v/>
      </c>
      <c r="J343" s="464"/>
      <c r="K343" s="464"/>
      <c r="L343" s="443"/>
      <c r="M343" s="447">
        <f>IFERROR(__xludf.DUMMYFUNCTION("""COMPUTED_VALUE"""),57.0)</f>
        <v>57</v>
      </c>
      <c r="N343" s="447">
        <f>IFERROR(__xludf.DUMMYFUNCTION("""COMPUTED_VALUE"""),57.0)</f>
        <v>57</v>
      </c>
      <c r="O343" s="447">
        <f>IFERROR(__xludf.DUMMYFUNCTION("""COMPUTED_VALUE"""),0.0)</f>
        <v>0</v>
      </c>
      <c r="P343" s="447">
        <f>IFERROR(__xludf.DUMMYFUNCTION("""COMPUTED_VALUE"""),0.0)</f>
        <v>0</v>
      </c>
      <c r="Q343" s="447">
        <f>IFERROR(__xludf.DUMMYFUNCTION("""COMPUTED_VALUE"""),0.0)</f>
        <v>0</v>
      </c>
      <c r="R343" s="447">
        <f>IFERROR(__xludf.DUMMYFUNCTION("""COMPUTED_VALUE"""),0.0)</f>
        <v>0</v>
      </c>
      <c r="S343" s="447">
        <f>IFERROR(__xludf.DUMMYFUNCTION("""COMPUTED_VALUE"""),0.0)</f>
        <v>0</v>
      </c>
      <c r="T343" s="447">
        <f>IFERROR(__xludf.DUMMYFUNCTION("""COMPUTED_VALUE"""),0.0)</f>
        <v>0</v>
      </c>
      <c r="U343" s="447">
        <f>IFERROR(__xludf.DUMMYFUNCTION("""COMPUTED_VALUE"""),0.0)</f>
        <v>0</v>
      </c>
      <c r="V343" s="447">
        <f>IFERROR(__xludf.DUMMYFUNCTION("""COMPUTED_VALUE"""),0.0)</f>
        <v>0</v>
      </c>
      <c r="W343" s="447">
        <f>IFERROR(__xludf.DUMMYFUNCTION("""COMPUTED_VALUE"""),0.0)</f>
        <v>0</v>
      </c>
      <c r="X343" s="447">
        <f>IFERROR(__xludf.DUMMYFUNCTION("""COMPUTED_VALUE"""),0.0)</f>
        <v>0</v>
      </c>
      <c r="Y343" s="447">
        <f>IFERROR(__xludf.DUMMYFUNCTION("""COMPUTED_VALUE"""),0.0)</f>
        <v>0</v>
      </c>
      <c r="Z343" s="447">
        <f>IFERROR(__xludf.DUMMYFUNCTION("""COMPUTED_VALUE"""),0.0)</f>
        <v>0</v>
      </c>
      <c r="AA343" s="447">
        <f>IFERROR(__xludf.DUMMYFUNCTION("""COMPUTED_VALUE"""),0.0)</f>
        <v>0</v>
      </c>
      <c r="AB343" s="447">
        <f>IFERROR(__xludf.DUMMYFUNCTION("""COMPUTED_VALUE"""),0.0)</f>
        <v>0</v>
      </c>
      <c r="AC343" s="447">
        <f>IFERROR(__xludf.DUMMYFUNCTION("""COMPUTED_VALUE"""),0.0)</f>
        <v>0</v>
      </c>
      <c r="AD343" s="447">
        <f>IFERROR(__xludf.DUMMYFUNCTION("""COMPUTED_VALUE"""),0.0)</f>
        <v>0</v>
      </c>
      <c r="AE343" s="447">
        <f>IFERROR(__xludf.DUMMYFUNCTION("""COMPUTED_VALUE"""),0.0)</f>
        <v>0</v>
      </c>
      <c r="AF343" s="447">
        <f>IFERROR(__xludf.DUMMYFUNCTION("""COMPUTED_VALUE"""),0.0)</f>
        <v>0</v>
      </c>
      <c r="AG343" s="443" t="s">
        <v>148</v>
      </c>
      <c r="AH343" s="443" t="s">
        <v>343</v>
      </c>
      <c r="AI343" s="443"/>
      <c r="AJ343" s="443"/>
      <c r="AK343" s="443"/>
      <c r="AL343" s="443"/>
      <c r="AM343" s="443"/>
      <c r="AN343" s="443"/>
      <c r="AO343" s="443"/>
      <c r="AP343" s="443"/>
      <c r="AQ343" s="443"/>
      <c r="AR343" s="443"/>
      <c r="AS343" s="443"/>
      <c r="AT343" s="443"/>
      <c r="AU343" s="443"/>
      <c r="AV343" s="443"/>
      <c r="AW343" s="443"/>
      <c r="AX343" s="443"/>
      <c r="AY343" s="443"/>
      <c r="AZ343" s="443"/>
      <c r="BA343" s="443"/>
      <c r="BB343" s="443"/>
      <c r="BC343" s="443"/>
      <c r="BD343" s="443"/>
      <c r="BE343" s="443"/>
    </row>
    <row r="344" hidden="1">
      <c r="A344" s="445">
        <f t="shared" si="5"/>
        <v>45634</v>
      </c>
      <c r="B344" s="449">
        <v>0.0</v>
      </c>
      <c r="C344" s="443"/>
      <c r="D344" s="462"/>
      <c r="E344" s="436" t="str">
        <f t="array" ref="E344">IF(B344=0,"",(J344+K344)/60)</f>
        <v/>
      </c>
      <c r="F344" s="437" t="str">
        <f t="shared" si="1"/>
        <v/>
      </c>
      <c r="G344" s="438" t="str">
        <f t="shared" si="8"/>
        <v>#DIV/0!</v>
      </c>
      <c r="H344" s="438" t="str">
        <f t="shared" si="3"/>
        <v/>
      </c>
      <c r="I344" s="436" t="str">
        <f t="shared" si="6"/>
        <v/>
      </c>
      <c r="J344" s="464"/>
      <c r="K344" s="464"/>
      <c r="L344" s="443"/>
      <c r="M344" s="447">
        <f>IFERROR(__xludf.DUMMYFUNCTION("""COMPUTED_VALUE"""),57.0)</f>
        <v>57</v>
      </c>
      <c r="N344" s="447">
        <f>IFERROR(__xludf.DUMMYFUNCTION("""COMPUTED_VALUE"""),57.0)</f>
        <v>57</v>
      </c>
      <c r="O344" s="447">
        <f>IFERROR(__xludf.DUMMYFUNCTION("""COMPUTED_VALUE"""),0.0)</f>
        <v>0</v>
      </c>
      <c r="P344" s="447">
        <f>IFERROR(__xludf.DUMMYFUNCTION("""COMPUTED_VALUE"""),0.0)</f>
        <v>0</v>
      </c>
      <c r="Q344" s="447">
        <f>IFERROR(__xludf.DUMMYFUNCTION("""COMPUTED_VALUE"""),0.0)</f>
        <v>0</v>
      </c>
      <c r="R344" s="447">
        <f>IFERROR(__xludf.DUMMYFUNCTION("""COMPUTED_VALUE"""),0.0)</f>
        <v>0</v>
      </c>
      <c r="S344" s="447">
        <f>IFERROR(__xludf.DUMMYFUNCTION("""COMPUTED_VALUE"""),0.0)</f>
        <v>0</v>
      </c>
      <c r="T344" s="447">
        <f>IFERROR(__xludf.DUMMYFUNCTION("""COMPUTED_VALUE"""),0.0)</f>
        <v>0</v>
      </c>
      <c r="U344" s="447">
        <f>IFERROR(__xludf.DUMMYFUNCTION("""COMPUTED_VALUE"""),0.0)</f>
        <v>0</v>
      </c>
      <c r="V344" s="447">
        <f>IFERROR(__xludf.DUMMYFUNCTION("""COMPUTED_VALUE"""),0.0)</f>
        <v>0</v>
      </c>
      <c r="W344" s="447">
        <f>IFERROR(__xludf.DUMMYFUNCTION("""COMPUTED_VALUE"""),0.0)</f>
        <v>0</v>
      </c>
      <c r="X344" s="447">
        <f>IFERROR(__xludf.DUMMYFUNCTION("""COMPUTED_VALUE"""),0.0)</f>
        <v>0</v>
      </c>
      <c r="Y344" s="447">
        <f>IFERROR(__xludf.DUMMYFUNCTION("""COMPUTED_VALUE"""),0.0)</f>
        <v>0</v>
      </c>
      <c r="Z344" s="447">
        <f>IFERROR(__xludf.DUMMYFUNCTION("""COMPUTED_VALUE"""),0.0)</f>
        <v>0</v>
      </c>
      <c r="AA344" s="447">
        <f>IFERROR(__xludf.DUMMYFUNCTION("""COMPUTED_VALUE"""),0.0)</f>
        <v>0</v>
      </c>
      <c r="AB344" s="447">
        <f>IFERROR(__xludf.DUMMYFUNCTION("""COMPUTED_VALUE"""),0.0)</f>
        <v>0</v>
      </c>
      <c r="AC344" s="447">
        <f>IFERROR(__xludf.DUMMYFUNCTION("""COMPUTED_VALUE"""),0.0)</f>
        <v>0</v>
      </c>
      <c r="AD344" s="447">
        <f>IFERROR(__xludf.DUMMYFUNCTION("""COMPUTED_VALUE"""),0.0)</f>
        <v>0</v>
      </c>
      <c r="AE344" s="447">
        <f>IFERROR(__xludf.DUMMYFUNCTION("""COMPUTED_VALUE"""),0.0)</f>
        <v>0</v>
      </c>
      <c r="AF344" s="447">
        <f>IFERROR(__xludf.DUMMYFUNCTION("""COMPUTED_VALUE"""),0.0)</f>
        <v>0</v>
      </c>
      <c r="AG344" s="443" t="s">
        <v>148</v>
      </c>
      <c r="AH344" s="443" t="s">
        <v>343</v>
      </c>
      <c r="AI344" s="443"/>
      <c r="AJ344" s="443"/>
      <c r="AK344" s="443"/>
      <c r="AL344" s="443"/>
      <c r="AM344" s="443"/>
      <c r="AN344" s="443"/>
      <c r="AO344" s="443"/>
      <c r="AP344" s="443"/>
      <c r="AQ344" s="443"/>
      <c r="AR344" s="443"/>
      <c r="AS344" s="443"/>
      <c r="AT344" s="443"/>
      <c r="AU344" s="443"/>
      <c r="AV344" s="443"/>
      <c r="AW344" s="443"/>
      <c r="AX344" s="443"/>
      <c r="AY344" s="443"/>
      <c r="AZ344" s="443"/>
      <c r="BA344" s="443"/>
      <c r="BB344" s="443"/>
      <c r="BC344" s="443"/>
      <c r="BD344" s="443"/>
      <c r="BE344" s="443"/>
    </row>
    <row r="345" hidden="1">
      <c r="A345" s="445">
        <f t="shared" si="5"/>
        <v>45635</v>
      </c>
      <c r="B345" s="449">
        <v>679.0</v>
      </c>
      <c r="C345" s="462">
        <v>0.5166666666666667</v>
      </c>
      <c r="D345" s="462">
        <v>0.9965277777777778</v>
      </c>
      <c r="E345" s="436">
        <f t="array" ref="E345">IF(B345=0,"",(J345+K345)/60)</f>
        <v>1</v>
      </c>
      <c r="F345" s="437">
        <f t="shared" si="1"/>
        <v>11.51666667</v>
      </c>
      <c r="G345" s="438">
        <f t="shared" si="8"/>
        <v>58.95803184</v>
      </c>
      <c r="H345" s="438">
        <f t="shared" si="3"/>
        <v>64.56418384</v>
      </c>
      <c r="I345" s="436">
        <f t="shared" si="6"/>
        <v>1.254426209</v>
      </c>
      <c r="J345" s="460">
        <v>60.0</v>
      </c>
      <c r="K345" s="464"/>
      <c r="L345" s="443"/>
      <c r="M345" s="447">
        <f>IFERROR(__xludf.DUMMYFUNCTION("""COMPUTED_VALUE"""),57.0)</f>
        <v>57</v>
      </c>
      <c r="N345" s="447">
        <f>IFERROR(__xludf.DUMMYFUNCTION("""COMPUTED_VALUE"""),52.0)</f>
        <v>52</v>
      </c>
      <c r="O345" s="447">
        <f>IFERROR(__xludf.DUMMYFUNCTION("""COMPUTED_VALUE"""),0.0)</f>
        <v>0</v>
      </c>
      <c r="P345" s="447">
        <f>IFERROR(__xludf.DUMMYFUNCTION("""COMPUTED_VALUE"""),0.0)</f>
        <v>0</v>
      </c>
      <c r="Q345" s="447">
        <f>IFERROR(__xludf.DUMMYFUNCTION("""COMPUTED_VALUE"""),0.0)</f>
        <v>0</v>
      </c>
      <c r="R345" s="447">
        <f>IFERROR(__xludf.DUMMYFUNCTION("""COMPUTED_VALUE"""),1.0)</f>
        <v>1</v>
      </c>
      <c r="S345" s="447">
        <f>IFERROR(__xludf.DUMMYFUNCTION("""COMPUTED_VALUE"""),1.0)</f>
        <v>1</v>
      </c>
      <c r="T345" s="447">
        <f>IFERROR(__xludf.DUMMYFUNCTION("""COMPUTED_VALUE"""),0.0)</f>
        <v>0</v>
      </c>
      <c r="U345" s="447">
        <f>IFERROR(__xludf.DUMMYFUNCTION("""COMPUTED_VALUE"""),5.0)</f>
        <v>5</v>
      </c>
      <c r="V345" s="447">
        <f>IFERROR(__xludf.DUMMYFUNCTION("""COMPUTED_VALUE"""),0.0)</f>
        <v>0</v>
      </c>
      <c r="W345" s="447">
        <f>IFERROR(__xludf.DUMMYFUNCTION("""COMPUTED_VALUE"""),0.0)</f>
        <v>0</v>
      </c>
      <c r="X345" s="447">
        <f>IFERROR(__xludf.DUMMYFUNCTION("""COMPUTED_VALUE"""),0.0)</f>
        <v>0</v>
      </c>
      <c r="Y345" s="447">
        <f>IFERROR(__xludf.DUMMYFUNCTION("""COMPUTED_VALUE"""),0.0)</f>
        <v>0</v>
      </c>
      <c r="Z345" s="447">
        <f>IFERROR(__xludf.DUMMYFUNCTION("""COMPUTED_VALUE"""),0.0)</f>
        <v>0</v>
      </c>
      <c r="AA345" s="447">
        <f>IFERROR(__xludf.DUMMYFUNCTION("""COMPUTED_VALUE"""),0.0)</f>
        <v>0</v>
      </c>
      <c r="AB345" s="447">
        <f>IFERROR(__xludf.DUMMYFUNCTION("""COMPUTED_VALUE"""),0.0)</f>
        <v>0</v>
      </c>
      <c r="AC345" s="447">
        <f>IFERROR(__xludf.DUMMYFUNCTION("""COMPUTED_VALUE"""),0.0)</f>
        <v>0</v>
      </c>
      <c r="AD345" s="447">
        <f>IFERROR(__xludf.DUMMYFUNCTION("""COMPUTED_VALUE"""),47.0)</f>
        <v>47</v>
      </c>
      <c r="AE345" s="447">
        <f>IFERROR(__xludf.DUMMYFUNCTION("""COMPUTED_VALUE"""),6.0)</f>
        <v>6</v>
      </c>
      <c r="AF345" s="447">
        <f>IFERROR(__xludf.DUMMYFUNCTION("""COMPUTED_VALUE"""),5.0)</f>
        <v>5</v>
      </c>
      <c r="AG345" s="443" t="s">
        <v>148</v>
      </c>
      <c r="AH345" s="443" t="s">
        <v>343</v>
      </c>
      <c r="AI345" s="443"/>
      <c r="AJ345" s="443"/>
      <c r="AK345" s="443"/>
      <c r="AL345" s="443"/>
      <c r="AM345" s="443"/>
      <c r="AN345" s="443"/>
      <c r="AO345" s="443"/>
      <c r="AP345" s="443"/>
      <c r="AQ345" s="443"/>
      <c r="AR345" s="443"/>
      <c r="AS345" s="443"/>
      <c r="AT345" s="443"/>
      <c r="AU345" s="443"/>
      <c r="AV345" s="443"/>
      <c r="AW345" s="443"/>
      <c r="AX345" s="443"/>
      <c r="AY345" s="443"/>
      <c r="AZ345" s="443"/>
      <c r="BA345" s="443"/>
      <c r="BB345" s="443"/>
      <c r="BC345" s="443"/>
      <c r="BD345" s="443"/>
      <c r="BE345" s="443"/>
    </row>
    <row r="346" hidden="1">
      <c r="A346" s="445">
        <f t="shared" si="5"/>
        <v>45636</v>
      </c>
      <c r="B346" s="449">
        <v>340.0</v>
      </c>
      <c r="C346" s="462">
        <v>0.6</v>
      </c>
      <c r="D346" s="462">
        <v>0.8625</v>
      </c>
      <c r="E346" s="436">
        <f t="array" ref="E346">IF(B346=0,"",(J346+K346)/60)</f>
        <v>0.5</v>
      </c>
      <c r="F346" s="437">
        <f t="shared" si="1"/>
        <v>6.3</v>
      </c>
      <c r="G346" s="438">
        <f t="shared" si="8"/>
        <v>53.96825397</v>
      </c>
      <c r="H346" s="438">
        <f t="shared" si="3"/>
        <v>58.62068966</v>
      </c>
      <c r="I346" s="436">
        <f t="shared" si="6"/>
        <v>1.148260723</v>
      </c>
      <c r="J346" s="460">
        <v>30.0</v>
      </c>
      <c r="K346" s="464"/>
      <c r="L346" s="443"/>
      <c r="M346" s="447">
        <f>IFERROR(__xludf.DUMMYFUNCTION("""COMPUTED_VALUE"""),57.0)</f>
        <v>57</v>
      </c>
      <c r="N346" s="447">
        <f>IFERROR(__xludf.DUMMYFUNCTION("""COMPUTED_VALUE"""),53.0)</f>
        <v>53</v>
      </c>
      <c r="O346" s="447">
        <f>IFERROR(__xludf.DUMMYFUNCTION("""COMPUTED_VALUE"""),0.0)</f>
        <v>0</v>
      </c>
      <c r="P346" s="447">
        <f>IFERROR(__xludf.DUMMYFUNCTION("""COMPUTED_VALUE"""),0.0)</f>
        <v>0</v>
      </c>
      <c r="Q346" s="447">
        <f>IFERROR(__xludf.DUMMYFUNCTION("""COMPUTED_VALUE"""),0.0)</f>
        <v>0</v>
      </c>
      <c r="R346" s="447">
        <f>IFERROR(__xludf.DUMMYFUNCTION("""COMPUTED_VALUE"""),0.0)</f>
        <v>0</v>
      </c>
      <c r="S346" s="447">
        <f>IFERROR(__xludf.DUMMYFUNCTION("""COMPUTED_VALUE"""),0.0)</f>
        <v>0</v>
      </c>
      <c r="T346" s="447">
        <f>IFERROR(__xludf.DUMMYFUNCTION("""COMPUTED_VALUE"""),0.0)</f>
        <v>0</v>
      </c>
      <c r="U346" s="447">
        <f>IFERROR(__xludf.DUMMYFUNCTION("""COMPUTED_VALUE"""),4.0)</f>
        <v>4</v>
      </c>
      <c r="V346" s="447">
        <f>IFERROR(__xludf.DUMMYFUNCTION("""COMPUTED_VALUE"""),0.0)</f>
        <v>0</v>
      </c>
      <c r="W346" s="447">
        <f>IFERROR(__xludf.DUMMYFUNCTION("""COMPUTED_VALUE"""),1.0)</f>
        <v>1</v>
      </c>
      <c r="X346" s="447">
        <f>IFERROR(__xludf.DUMMYFUNCTION("""COMPUTED_VALUE"""),0.0)</f>
        <v>0</v>
      </c>
      <c r="Y346" s="447">
        <f>IFERROR(__xludf.DUMMYFUNCTION("""COMPUTED_VALUE"""),0.0)</f>
        <v>0</v>
      </c>
      <c r="Z346" s="447">
        <f>IFERROR(__xludf.DUMMYFUNCTION("""COMPUTED_VALUE"""),0.0)</f>
        <v>0</v>
      </c>
      <c r="AA346" s="447">
        <f>IFERROR(__xludf.DUMMYFUNCTION("""COMPUTED_VALUE"""),0.0)</f>
        <v>0</v>
      </c>
      <c r="AB346" s="447">
        <f>IFERROR(__xludf.DUMMYFUNCTION("""COMPUTED_VALUE"""),2.0)</f>
        <v>2</v>
      </c>
      <c r="AC346" s="447">
        <f>IFERROR(__xludf.DUMMYFUNCTION("""COMPUTED_VALUE"""),0.0)</f>
        <v>0</v>
      </c>
      <c r="AD346" s="447">
        <f>IFERROR(__xludf.DUMMYFUNCTION("""COMPUTED_VALUE"""),47.0)</f>
        <v>47</v>
      </c>
      <c r="AE346" s="447">
        <f>IFERROR(__xludf.DUMMYFUNCTION("""COMPUTED_VALUE"""),5.0)</f>
        <v>5</v>
      </c>
      <c r="AF346" s="447">
        <f>IFERROR(__xludf.DUMMYFUNCTION("""COMPUTED_VALUE"""),4.0)</f>
        <v>4</v>
      </c>
      <c r="AG346" s="443" t="s">
        <v>148</v>
      </c>
      <c r="AH346" s="443" t="s">
        <v>343</v>
      </c>
      <c r="AI346" s="443"/>
      <c r="AJ346" s="443"/>
      <c r="AK346" s="443"/>
      <c r="AL346" s="443"/>
      <c r="AM346" s="443"/>
      <c r="AN346" s="443"/>
      <c r="AO346" s="443"/>
      <c r="AP346" s="443"/>
      <c r="AQ346" s="443"/>
      <c r="AR346" s="443"/>
      <c r="AS346" s="443"/>
      <c r="AT346" s="443"/>
      <c r="AU346" s="443"/>
      <c r="AV346" s="443"/>
      <c r="AW346" s="443"/>
      <c r="AX346" s="443"/>
      <c r="AY346" s="443"/>
      <c r="AZ346" s="443"/>
      <c r="BA346" s="443"/>
      <c r="BB346" s="443"/>
      <c r="BC346" s="443"/>
      <c r="BD346" s="443"/>
      <c r="BE346" s="443"/>
    </row>
    <row r="347" hidden="1">
      <c r="A347" s="445">
        <f t="shared" si="5"/>
        <v>45637</v>
      </c>
      <c r="B347" s="449">
        <v>656.0</v>
      </c>
      <c r="C347" s="462">
        <v>0.6</v>
      </c>
      <c r="D347" s="462">
        <v>1.1</v>
      </c>
      <c r="E347" s="436">
        <f t="array" ref="E347">IF(B347=0,"",(J347+K347)/60)</f>
        <v>1</v>
      </c>
      <c r="F347" s="437">
        <f t="shared" si="1"/>
        <v>12</v>
      </c>
      <c r="G347" s="438">
        <f t="shared" si="8"/>
        <v>54.66666667</v>
      </c>
      <c r="H347" s="438">
        <f t="shared" si="3"/>
        <v>59.63636364</v>
      </c>
      <c r="I347" s="436">
        <f t="shared" si="6"/>
        <v>1.138888889</v>
      </c>
      <c r="J347" s="460">
        <v>60.0</v>
      </c>
      <c r="K347" s="464"/>
      <c r="L347" s="443"/>
      <c r="M347" s="447">
        <f>IFERROR(__xludf.DUMMYFUNCTION("""COMPUTED_VALUE"""),57.0)</f>
        <v>57</v>
      </c>
      <c r="N347" s="447">
        <f>IFERROR(__xludf.DUMMYFUNCTION("""COMPUTED_VALUE"""),53.0)</f>
        <v>53</v>
      </c>
      <c r="O347" s="447">
        <f>IFERROR(__xludf.DUMMYFUNCTION("""COMPUTED_VALUE"""),0.0)</f>
        <v>0</v>
      </c>
      <c r="P347" s="447">
        <f>IFERROR(__xludf.DUMMYFUNCTION("""COMPUTED_VALUE"""),0.0)</f>
        <v>0</v>
      </c>
      <c r="Q347" s="447">
        <f>IFERROR(__xludf.DUMMYFUNCTION("""COMPUTED_VALUE"""),0.0)</f>
        <v>0</v>
      </c>
      <c r="R347" s="447">
        <f>IFERROR(__xludf.DUMMYFUNCTION("""COMPUTED_VALUE"""),0.0)</f>
        <v>0</v>
      </c>
      <c r="S347" s="447">
        <f>IFERROR(__xludf.DUMMYFUNCTION("""COMPUTED_VALUE"""),2.0)</f>
        <v>2</v>
      </c>
      <c r="T347" s="447">
        <f>IFERROR(__xludf.DUMMYFUNCTION("""COMPUTED_VALUE"""),0.0)</f>
        <v>0</v>
      </c>
      <c r="U347" s="447">
        <f>IFERROR(__xludf.DUMMYFUNCTION("""COMPUTED_VALUE"""),4.0)</f>
        <v>4</v>
      </c>
      <c r="V347" s="447">
        <f>IFERROR(__xludf.DUMMYFUNCTION("""COMPUTED_VALUE"""),0.0)</f>
        <v>0</v>
      </c>
      <c r="W347" s="447">
        <f>IFERROR(__xludf.DUMMYFUNCTION("""COMPUTED_VALUE"""),0.0)</f>
        <v>0</v>
      </c>
      <c r="X347" s="447">
        <f>IFERROR(__xludf.DUMMYFUNCTION("""COMPUTED_VALUE"""),0.0)</f>
        <v>0</v>
      </c>
      <c r="Y347" s="447">
        <f>IFERROR(__xludf.DUMMYFUNCTION("""COMPUTED_VALUE"""),0.0)</f>
        <v>0</v>
      </c>
      <c r="Z347" s="447">
        <f>IFERROR(__xludf.DUMMYFUNCTION("""COMPUTED_VALUE"""),0.0)</f>
        <v>0</v>
      </c>
      <c r="AA347" s="447">
        <f>IFERROR(__xludf.DUMMYFUNCTION("""COMPUTED_VALUE"""),0.0)</f>
        <v>0</v>
      </c>
      <c r="AB347" s="447">
        <f>IFERROR(__xludf.DUMMYFUNCTION("""COMPUTED_VALUE"""),0.0)</f>
        <v>0</v>
      </c>
      <c r="AC347" s="447">
        <f>IFERROR(__xludf.DUMMYFUNCTION("""COMPUTED_VALUE"""),0.0)</f>
        <v>0</v>
      </c>
      <c r="AD347" s="447">
        <f>IFERROR(__xludf.DUMMYFUNCTION("""COMPUTED_VALUE"""),48.0)</f>
        <v>48</v>
      </c>
      <c r="AE347" s="447">
        <f>IFERROR(__xludf.DUMMYFUNCTION("""COMPUTED_VALUE"""),6.0)</f>
        <v>6</v>
      </c>
      <c r="AF347" s="447">
        <f>IFERROR(__xludf.DUMMYFUNCTION("""COMPUTED_VALUE"""),4.0)</f>
        <v>4</v>
      </c>
      <c r="AG347" s="443" t="s">
        <v>148</v>
      </c>
      <c r="AH347" s="443" t="s">
        <v>343</v>
      </c>
      <c r="AI347" s="443"/>
      <c r="AJ347" s="443"/>
      <c r="AK347" s="443"/>
      <c r="AL347" s="443"/>
      <c r="AM347" s="443"/>
      <c r="AN347" s="443"/>
      <c r="AO347" s="443"/>
      <c r="AP347" s="443"/>
      <c r="AQ347" s="443"/>
      <c r="AR347" s="443"/>
      <c r="AS347" s="443"/>
      <c r="AT347" s="443"/>
      <c r="AU347" s="443"/>
      <c r="AV347" s="443"/>
      <c r="AW347" s="443"/>
      <c r="AX347" s="443"/>
      <c r="AY347" s="443"/>
      <c r="AZ347" s="443"/>
      <c r="BA347" s="443"/>
      <c r="BB347" s="443"/>
      <c r="BC347" s="443"/>
      <c r="BD347" s="443"/>
      <c r="BE347" s="443"/>
    </row>
    <row r="348" hidden="1">
      <c r="A348" s="445">
        <f t="shared" si="5"/>
        <v>45638</v>
      </c>
      <c r="B348" s="449">
        <v>423.0</v>
      </c>
      <c r="C348" s="462">
        <v>0.6</v>
      </c>
      <c r="D348" s="462">
        <v>0.9354166666666667</v>
      </c>
      <c r="E348" s="436">
        <f t="array" ref="E348">IF(B348=0,"",(J348+K348)/60)</f>
        <v>0.5</v>
      </c>
      <c r="F348" s="437">
        <f t="shared" si="1"/>
        <v>8.05</v>
      </c>
      <c r="G348" s="438">
        <f t="shared" si="8"/>
        <v>52.54658385</v>
      </c>
      <c r="H348" s="438">
        <f t="shared" si="3"/>
        <v>56.02649007</v>
      </c>
      <c r="I348" s="436">
        <f t="shared" si="6"/>
        <v>1.094720497</v>
      </c>
      <c r="J348" s="460">
        <v>30.0</v>
      </c>
      <c r="K348" s="464"/>
      <c r="L348" s="443"/>
      <c r="M348" s="447">
        <f>IFERROR(__xludf.DUMMYFUNCTION("""COMPUTED_VALUE"""),57.0)</f>
        <v>57</v>
      </c>
      <c r="N348" s="447">
        <f>IFERROR(__xludf.DUMMYFUNCTION("""COMPUTED_VALUE"""),55.0)</f>
        <v>55</v>
      </c>
      <c r="O348" s="447">
        <f>IFERROR(__xludf.DUMMYFUNCTION("""COMPUTED_VALUE"""),0.0)</f>
        <v>0</v>
      </c>
      <c r="P348" s="447">
        <f>IFERROR(__xludf.DUMMYFUNCTION("""COMPUTED_VALUE"""),0.0)</f>
        <v>0</v>
      </c>
      <c r="Q348" s="447">
        <f>IFERROR(__xludf.DUMMYFUNCTION("""COMPUTED_VALUE"""),0.0)</f>
        <v>0</v>
      </c>
      <c r="R348" s="447">
        <f>IFERROR(__xludf.DUMMYFUNCTION("""COMPUTED_VALUE"""),0.0)</f>
        <v>0</v>
      </c>
      <c r="S348" s="447">
        <f>IFERROR(__xludf.DUMMYFUNCTION("""COMPUTED_VALUE"""),2.0)</f>
        <v>2</v>
      </c>
      <c r="T348" s="447">
        <f>IFERROR(__xludf.DUMMYFUNCTION("""COMPUTED_VALUE"""),0.0)</f>
        <v>0</v>
      </c>
      <c r="U348" s="447">
        <f>IFERROR(__xludf.DUMMYFUNCTION("""COMPUTED_VALUE"""),2.0)</f>
        <v>2</v>
      </c>
      <c r="V348" s="447">
        <f>IFERROR(__xludf.DUMMYFUNCTION("""COMPUTED_VALUE"""),0.0)</f>
        <v>0</v>
      </c>
      <c r="W348" s="447">
        <f>IFERROR(__xludf.DUMMYFUNCTION("""COMPUTED_VALUE"""),0.0)</f>
        <v>0</v>
      </c>
      <c r="X348" s="447">
        <f>IFERROR(__xludf.DUMMYFUNCTION("""COMPUTED_VALUE"""),0.0)</f>
        <v>0</v>
      </c>
      <c r="Y348" s="447">
        <f>IFERROR(__xludf.DUMMYFUNCTION("""COMPUTED_VALUE"""),0.0)</f>
        <v>0</v>
      </c>
      <c r="Z348" s="447">
        <f>IFERROR(__xludf.DUMMYFUNCTION("""COMPUTED_VALUE"""),0.0)</f>
        <v>0</v>
      </c>
      <c r="AA348" s="447">
        <f>IFERROR(__xludf.DUMMYFUNCTION("""COMPUTED_VALUE"""),0.0)</f>
        <v>0</v>
      </c>
      <c r="AB348" s="447">
        <f>IFERROR(__xludf.DUMMYFUNCTION("""COMPUTED_VALUE"""),2.0)</f>
        <v>2</v>
      </c>
      <c r="AC348" s="447">
        <f>IFERROR(__xludf.DUMMYFUNCTION("""COMPUTED_VALUE"""),0.0)</f>
        <v>0</v>
      </c>
      <c r="AD348" s="447">
        <f>IFERROR(__xludf.DUMMYFUNCTION("""COMPUTED_VALUE"""),48.0)</f>
        <v>48</v>
      </c>
      <c r="AE348" s="447">
        <f>IFERROR(__xludf.DUMMYFUNCTION("""COMPUTED_VALUE"""),4.0)</f>
        <v>4</v>
      </c>
      <c r="AF348" s="447">
        <f>IFERROR(__xludf.DUMMYFUNCTION("""COMPUTED_VALUE"""),2.0)</f>
        <v>2</v>
      </c>
      <c r="AG348" s="443" t="s">
        <v>148</v>
      </c>
      <c r="AH348" s="443" t="s">
        <v>343</v>
      </c>
      <c r="AI348" s="443"/>
      <c r="AJ348" s="443"/>
      <c r="AK348" s="443"/>
      <c r="AL348" s="443"/>
      <c r="AM348" s="443"/>
      <c r="AN348" s="443"/>
      <c r="AO348" s="443"/>
      <c r="AP348" s="443"/>
      <c r="AQ348" s="443"/>
      <c r="AR348" s="443"/>
      <c r="AS348" s="443"/>
      <c r="AT348" s="443"/>
      <c r="AU348" s="443"/>
      <c r="AV348" s="443"/>
      <c r="AW348" s="443"/>
      <c r="AX348" s="443"/>
      <c r="AY348" s="443"/>
      <c r="AZ348" s="443"/>
      <c r="BA348" s="443"/>
      <c r="BB348" s="443"/>
      <c r="BC348" s="443"/>
      <c r="BD348" s="443"/>
      <c r="BE348" s="443"/>
    </row>
    <row r="349" hidden="1">
      <c r="A349" s="445">
        <f t="shared" si="5"/>
        <v>45639</v>
      </c>
      <c r="B349" s="449">
        <v>472.0</v>
      </c>
      <c r="C349" s="462">
        <v>0.6</v>
      </c>
      <c r="D349" s="462">
        <v>0.95625</v>
      </c>
      <c r="E349" s="436">
        <f t="array" ref="E349">IF(B349=0,"",(J349+K349)/60)</f>
        <v>0.6666666667</v>
      </c>
      <c r="F349" s="437">
        <f t="shared" si="1"/>
        <v>8.55</v>
      </c>
      <c r="G349" s="438">
        <f t="shared" si="8"/>
        <v>55.20467836</v>
      </c>
      <c r="H349" s="438">
        <f t="shared" si="3"/>
        <v>59.87315011</v>
      </c>
      <c r="I349" s="436">
        <f t="shared" si="6"/>
        <v>1.104093567</v>
      </c>
      <c r="J349" s="460">
        <v>30.0</v>
      </c>
      <c r="K349" s="464">
        <f>10</f>
        <v>10</v>
      </c>
      <c r="L349" s="443"/>
      <c r="M349" s="447">
        <f>IFERROR(__xludf.DUMMYFUNCTION("""COMPUTED_VALUE"""),57.0)</f>
        <v>57</v>
      </c>
      <c r="N349" s="447">
        <f>IFERROR(__xludf.DUMMYFUNCTION("""COMPUTED_VALUE"""),55.0)</f>
        <v>55</v>
      </c>
      <c r="O349" s="447">
        <f>IFERROR(__xludf.DUMMYFUNCTION("""COMPUTED_VALUE"""),0.0)</f>
        <v>0</v>
      </c>
      <c r="P349" s="447">
        <f>IFERROR(__xludf.DUMMYFUNCTION("""COMPUTED_VALUE"""),0.0)</f>
        <v>0</v>
      </c>
      <c r="Q349" s="447">
        <f>IFERROR(__xludf.DUMMYFUNCTION("""COMPUTED_VALUE"""),1.0)</f>
        <v>1</v>
      </c>
      <c r="R349" s="447">
        <f>IFERROR(__xludf.DUMMYFUNCTION("""COMPUTED_VALUE"""),0.0)</f>
        <v>0</v>
      </c>
      <c r="S349" s="447">
        <f>IFERROR(__xludf.DUMMYFUNCTION("""COMPUTED_VALUE"""),1.0)</f>
        <v>1</v>
      </c>
      <c r="T349" s="447">
        <f>IFERROR(__xludf.DUMMYFUNCTION("""COMPUTED_VALUE"""),0.0)</f>
        <v>0</v>
      </c>
      <c r="U349" s="447">
        <f>IFERROR(__xludf.DUMMYFUNCTION("""COMPUTED_VALUE"""),2.0)</f>
        <v>2</v>
      </c>
      <c r="V349" s="447">
        <f>IFERROR(__xludf.DUMMYFUNCTION("""COMPUTED_VALUE"""),0.0)</f>
        <v>0</v>
      </c>
      <c r="W349" s="447">
        <f>IFERROR(__xludf.DUMMYFUNCTION("""COMPUTED_VALUE"""),0.0)</f>
        <v>0</v>
      </c>
      <c r="X349" s="447">
        <f>IFERROR(__xludf.DUMMYFUNCTION("""COMPUTED_VALUE"""),0.0)</f>
        <v>0</v>
      </c>
      <c r="Y349" s="447">
        <f>IFERROR(__xludf.DUMMYFUNCTION("""COMPUTED_VALUE"""),0.0)</f>
        <v>0</v>
      </c>
      <c r="Z349" s="447">
        <f>IFERROR(__xludf.DUMMYFUNCTION("""COMPUTED_VALUE"""),0.0)</f>
        <v>0</v>
      </c>
      <c r="AA349" s="447">
        <f>IFERROR(__xludf.DUMMYFUNCTION("""COMPUTED_VALUE"""),0.0)</f>
        <v>0</v>
      </c>
      <c r="AB349" s="447">
        <f>IFERROR(__xludf.DUMMYFUNCTION("""COMPUTED_VALUE"""),0.0)</f>
        <v>0</v>
      </c>
      <c r="AC349" s="447">
        <f>IFERROR(__xludf.DUMMYFUNCTION("""COMPUTED_VALUE"""),0.0)</f>
        <v>0</v>
      </c>
      <c r="AD349" s="447">
        <f>IFERROR(__xludf.DUMMYFUNCTION("""COMPUTED_VALUE"""),50.0)</f>
        <v>50</v>
      </c>
      <c r="AE349" s="447">
        <f>IFERROR(__xludf.DUMMYFUNCTION("""COMPUTED_VALUE"""),4.0)</f>
        <v>4</v>
      </c>
      <c r="AF349" s="447">
        <f>IFERROR(__xludf.DUMMYFUNCTION("""COMPUTED_VALUE"""),2.0)</f>
        <v>2</v>
      </c>
      <c r="AG349" s="443" t="s">
        <v>148</v>
      </c>
      <c r="AH349" s="443" t="s">
        <v>343</v>
      </c>
      <c r="AI349" s="443"/>
      <c r="AJ349" s="443"/>
      <c r="AK349" s="443"/>
      <c r="AL349" s="443"/>
      <c r="AM349" s="443"/>
      <c r="AN349" s="443"/>
      <c r="AO349" s="443"/>
      <c r="AP349" s="443"/>
      <c r="AQ349" s="443"/>
      <c r="AR349" s="443"/>
      <c r="AS349" s="443"/>
      <c r="AT349" s="443"/>
      <c r="AU349" s="443"/>
      <c r="AV349" s="443"/>
      <c r="AW349" s="443"/>
      <c r="AX349" s="443"/>
      <c r="AY349" s="443"/>
      <c r="AZ349" s="443"/>
      <c r="BA349" s="443"/>
      <c r="BB349" s="443"/>
      <c r="BC349" s="443"/>
      <c r="BD349" s="443"/>
      <c r="BE349" s="443"/>
    </row>
    <row r="350" hidden="1">
      <c r="A350" s="445">
        <f t="shared" si="5"/>
        <v>45640</v>
      </c>
      <c r="B350" s="449">
        <v>508.0</v>
      </c>
      <c r="C350" s="462">
        <v>0.6</v>
      </c>
      <c r="D350" s="462">
        <v>0.975</v>
      </c>
      <c r="E350" s="436">
        <f t="array" ref="E350">IF(B350=0,"",(J350+K350)/60)</f>
        <v>0.5</v>
      </c>
      <c r="F350" s="437">
        <f t="shared" si="1"/>
        <v>9</v>
      </c>
      <c r="G350" s="438">
        <f t="shared" si="8"/>
        <v>56.44444444</v>
      </c>
      <c r="H350" s="438">
        <f t="shared" si="3"/>
        <v>59.76470588</v>
      </c>
      <c r="I350" s="436">
        <f t="shared" si="6"/>
        <v>1.128888889</v>
      </c>
      <c r="J350" s="460">
        <v>30.0</v>
      </c>
      <c r="K350" s="464"/>
      <c r="L350" s="443"/>
      <c r="M350" s="447">
        <f>IFERROR(__xludf.DUMMYFUNCTION("""COMPUTED_VALUE"""),57.0)</f>
        <v>57</v>
      </c>
      <c r="N350" s="447">
        <f>IFERROR(__xludf.DUMMYFUNCTION("""COMPUTED_VALUE"""),55.0)</f>
        <v>55</v>
      </c>
      <c r="O350" s="447">
        <f>IFERROR(__xludf.DUMMYFUNCTION("""COMPUTED_VALUE"""),0.0)</f>
        <v>0</v>
      </c>
      <c r="P350" s="447">
        <f>IFERROR(__xludf.DUMMYFUNCTION("""COMPUTED_VALUE"""),0.0)</f>
        <v>0</v>
      </c>
      <c r="Q350" s="447">
        <f>IFERROR(__xludf.DUMMYFUNCTION("""COMPUTED_VALUE"""),0.0)</f>
        <v>0</v>
      </c>
      <c r="R350" s="447">
        <f>IFERROR(__xludf.DUMMYFUNCTION("""COMPUTED_VALUE"""),0.0)</f>
        <v>0</v>
      </c>
      <c r="S350" s="447">
        <f>IFERROR(__xludf.DUMMYFUNCTION("""COMPUTED_VALUE"""),1.0)</f>
        <v>1</v>
      </c>
      <c r="T350" s="447">
        <f>IFERROR(__xludf.DUMMYFUNCTION("""COMPUTED_VALUE"""),0.0)</f>
        <v>0</v>
      </c>
      <c r="U350" s="447">
        <f>IFERROR(__xludf.DUMMYFUNCTION("""COMPUTED_VALUE"""),2.0)</f>
        <v>2</v>
      </c>
      <c r="V350" s="447">
        <f>IFERROR(__xludf.DUMMYFUNCTION("""COMPUTED_VALUE"""),0.0)</f>
        <v>0</v>
      </c>
      <c r="W350" s="447">
        <f>IFERROR(__xludf.DUMMYFUNCTION("""COMPUTED_VALUE"""),0.0)</f>
        <v>0</v>
      </c>
      <c r="X350" s="447">
        <f>IFERROR(__xludf.DUMMYFUNCTION("""COMPUTED_VALUE"""),0.0)</f>
        <v>0</v>
      </c>
      <c r="Y350" s="447">
        <f>IFERROR(__xludf.DUMMYFUNCTION("""COMPUTED_VALUE"""),0.0)</f>
        <v>0</v>
      </c>
      <c r="Z350" s="447">
        <f>IFERROR(__xludf.DUMMYFUNCTION("""COMPUTED_VALUE"""),0.0)</f>
        <v>0</v>
      </c>
      <c r="AA350" s="447">
        <f>IFERROR(__xludf.DUMMYFUNCTION("""COMPUTED_VALUE"""),0.0)</f>
        <v>0</v>
      </c>
      <c r="AB350" s="447">
        <f>IFERROR(__xludf.DUMMYFUNCTION("""COMPUTED_VALUE"""),0.0)</f>
        <v>0</v>
      </c>
      <c r="AC350" s="447">
        <f>IFERROR(__xludf.DUMMYFUNCTION("""COMPUTED_VALUE"""),1.0)</f>
        <v>1</v>
      </c>
      <c r="AD350" s="447">
        <f>IFERROR(__xludf.DUMMYFUNCTION("""COMPUTED_VALUE"""),50.0)</f>
        <v>50</v>
      </c>
      <c r="AE350" s="447">
        <f>IFERROR(__xludf.DUMMYFUNCTION("""COMPUTED_VALUE"""),4.0)</f>
        <v>4</v>
      </c>
      <c r="AF350" s="447">
        <f>IFERROR(__xludf.DUMMYFUNCTION("""COMPUTED_VALUE"""),2.0)</f>
        <v>2</v>
      </c>
      <c r="AG350" s="443" t="s">
        <v>148</v>
      </c>
      <c r="AH350" s="443" t="s">
        <v>343</v>
      </c>
      <c r="AI350" s="443"/>
      <c r="AJ350" s="443"/>
      <c r="AK350" s="443"/>
      <c r="AL350" s="443"/>
      <c r="AM350" s="443"/>
      <c r="AN350" s="443"/>
      <c r="AO350" s="443"/>
      <c r="AP350" s="443"/>
      <c r="AQ350" s="443"/>
      <c r="AR350" s="443"/>
      <c r="AS350" s="443"/>
      <c r="AT350" s="443"/>
      <c r="AU350" s="443"/>
      <c r="AV350" s="443"/>
      <c r="AW350" s="443"/>
      <c r="AX350" s="443"/>
      <c r="AY350" s="443"/>
      <c r="AZ350" s="443"/>
      <c r="BA350" s="443"/>
      <c r="BB350" s="443"/>
      <c r="BC350" s="443"/>
      <c r="BD350" s="443"/>
      <c r="BE350" s="443"/>
    </row>
    <row r="351" hidden="1">
      <c r="A351" s="445">
        <f t="shared" si="5"/>
        <v>45641</v>
      </c>
      <c r="B351" s="449">
        <v>0.0</v>
      </c>
      <c r="C351" s="443"/>
      <c r="D351" s="462"/>
      <c r="E351" s="436" t="str">
        <f t="array" ref="E351">IF(B351=0,"",(J351+K351)/60)</f>
        <v/>
      </c>
      <c r="F351" s="437" t="str">
        <f t="shared" si="1"/>
        <v/>
      </c>
      <c r="G351" s="438" t="str">
        <f t="shared" si="8"/>
        <v>#DIV/0!</v>
      </c>
      <c r="H351" s="438" t="str">
        <f t="shared" si="3"/>
        <v/>
      </c>
      <c r="I351" s="436" t="str">
        <f t="shared" si="6"/>
        <v/>
      </c>
      <c r="J351" s="464"/>
      <c r="K351" s="464"/>
      <c r="L351" s="443"/>
      <c r="M351" s="447">
        <f>IFERROR(__xludf.DUMMYFUNCTION("""COMPUTED_VALUE"""),57.0)</f>
        <v>57</v>
      </c>
      <c r="N351" s="447">
        <f>IFERROR(__xludf.DUMMYFUNCTION("""COMPUTED_VALUE"""),55.0)</f>
        <v>55</v>
      </c>
      <c r="O351" s="447">
        <f>IFERROR(__xludf.DUMMYFUNCTION("""COMPUTED_VALUE"""),0.0)</f>
        <v>0</v>
      </c>
      <c r="P351" s="447">
        <f>IFERROR(__xludf.DUMMYFUNCTION("""COMPUTED_VALUE"""),0.0)</f>
        <v>0</v>
      </c>
      <c r="Q351" s="447">
        <f>IFERROR(__xludf.DUMMYFUNCTION("""COMPUTED_VALUE"""),0.0)</f>
        <v>0</v>
      </c>
      <c r="R351" s="447">
        <f>IFERROR(__xludf.DUMMYFUNCTION("""COMPUTED_VALUE"""),0.0)</f>
        <v>0</v>
      </c>
      <c r="S351" s="447">
        <f>IFERROR(__xludf.DUMMYFUNCTION("""COMPUTED_VALUE"""),0.0)</f>
        <v>0</v>
      </c>
      <c r="T351" s="447">
        <f>IFERROR(__xludf.DUMMYFUNCTION("""COMPUTED_VALUE"""),0.0)</f>
        <v>0</v>
      </c>
      <c r="U351" s="447">
        <f>IFERROR(__xludf.DUMMYFUNCTION("""COMPUTED_VALUE"""),2.0)</f>
        <v>2</v>
      </c>
      <c r="V351" s="447">
        <f>IFERROR(__xludf.DUMMYFUNCTION("""COMPUTED_VALUE"""),0.0)</f>
        <v>0</v>
      </c>
      <c r="W351" s="447">
        <f>IFERROR(__xludf.DUMMYFUNCTION("""COMPUTED_VALUE"""),0.0)</f>
        <v>0</v>
      </c>
      <c r="X351" s="447">
        <f>IFERROR(__xludf.DUMMYFUNCTION("""COMPUTED_VALUE"""),0.0)</f>
        <v>0</v>
      </c>
      <c r="Y351" s="447">
        <f>IFERROR(__xludf.DUMMYFUNCTION("""COMPUTED_VALUE"""),0.0)</f>
        <v>0</v>
      </c>
      <c r="Z351" s="447">
        <f>IFERROR(__xludf.DUMMYFUNCTION("""COMPUTED_VALUE"""),0.0)</f>
        <v>0</v>
      </c>
      <c r="AA351" s="447">
        <f>IFERROR(__xludf.DUMMYFUNCTION("""COMPUTED_VALUE"""),0.0)</f>
        <v>0</v>
      </c>
      <c r="AB351" s="447">
        <f>IFERROR(__xludf.DUMMYFUNCTION("""COMPUTED_VALUE"""),0.0)</f>
        <v>0</v>
      </c>
      <c r="AC351" s="447">
        <f>IFERROR(__xludf.DUMMYFUNCTION("""COMPUTED_VALUE"""),0.0)</f>
        <v>0</v>
      </c>
      <c r="AD351" s="447">
        <f>IFERROR(__xludf.DUMMYFUNCTION("""COMPUTED_VALUE"""),0.0)</f>
        <v>0</v>
      </c>
      <c r="AE351" s="447">
        <f>IFERROR(__xludf.DUMMYFUNCTION("""COMPUTED_VALUE"""),2.0)</f>
        <v>2</v>
      </c>
      <c r="AF351" s="447">
        <f>IFERROR(__xludf.DUMMYFUNCTION("""COMPUTED_VALUE"""),2.0)</f>
        <v>2</v>
      </c>
      <c r="AG351" s="443" t="s">
        <v>148</v>
      </c>
      <c r="AH351" s="443" t="s">
        <v>343</v>
      </c>
      <c r="AI351" s="443"/>
      <c r="AJ351" s="443"/>
      <c r="AK351" s="443"/>
      <c r="AL351" s="443"/>
      <c r="AM351" s="443"/>
      <c r="AN351" s="443"/>
      <c r="AO351" s="443"/>
      <c r="AP351" s="443"/>
      <c r="AQ351" s="443"/>
      <c r="AR351" s="443"/>
      <c r="AS351" s="443"/>
      <c r="AT351" s="443"/>
      <c r="AU351" s="443"/>
      <c r="AV351" s="443"/>
      <c r="AW351" s="443"/>
      <c r="AX351" s="443"/>
      <c r="AY351" s="443"/>
      <c r="AZ351" s="443"/>
      <c r="BA351" s="443"/>
      <c r="BB351" s="443"/>
      <c r="BC351" s="443"/>
      <c r="BD351" s="443"/>
      <c r="BE351" s="443"/>
    </row>
    <row r="352" hidden="1">
      <c r="A352" s="445">
        <f t="shared" si="5"/>
        <v>45642</v>
      </c>
      <c r="B352" s="449">
        <v>609.0</v>
      </c>
      <c r="C352" s="462">
        <v>0.5583333333333333</v>
      </c>
      <c r="D352" s="462">
        <v>1.0361111111111112</v>
      </c>
      <c r="E352" s="436">
        <f t="array" ref="E352">IF(B352=0,"",(J352+K352)/60)</f>
        <v>1.566666667</v>
      </c>
      <c r="F352" s="437">
        <f t="shared" si="1"/>
        <v>11.46666667</v>
      </c>
      <c r="G352" s="438">
        <f t="shared" si="8"/>
        <v>53.11046512</v>
      </c>
      <c r="H352" s="438">
        <f t="shared" si="3"/>
        <v>61.51515152</v>
      </c>
      <c r="I352" s="436">
        <f t="shared" si="6"/>
        <v>1.106468023</v>
      </c>
      <c r="J352" s="460">
        <v>60.0</v>
      </c>
      <c r="K352" s="464">
        <f>18+16</f>
        <v>34</v>
      </c>
      <c r="L352" s="443"/>
      <c r="M352" s="447">
        <f>IFERROR(__xludf.DUMMYFUNCTION("""COMPUTED_VALUE"""),57.0)</f>
        <v>57</v>
      </c>
      <c r="N352" s="447">
        <f>IFERROR(__xludf.DUMMYFUNCTION("""COMPUTED_VALUE"""),55.0)</f>
        <v>55</v>
      </c>
      <c r="O352" s="447">
        <f>IFERROR(__xludf.DUMMYFUNCTION("""COMPUTED_VALUE"""),0.0)</f>
        <v>0</v>
      </c>
      <c r="P352" s="447">
        <f>IFERROR(__xludf.DUMMYFUNCTION("""COMPUTED_VALUE"""),0.0)</f>
        <v>0</v>
      </c>
      <c r="Q352" s="447">
        <f>IFERROR(__xludf.DUMMYFUNCTION("""COMPUTED_VALUE"""),1.0)</f>
        <v>1</v>
      </c>
      <c r="R352" s="447">
        <f>IFERROR(__xludf.DUMMYFUNCTION("""COMPUTED_VALUE"""),1.0)</f>
        <v>1</v>
      </c>
      <c r="S352" s="447">
        <f>IFERROR(__xludf.DUMMYFUNCTION("""COMPUTED_VALUE"""),2.0)</f>
        <v>2</v>
      </c>
      <c r="T352" s="447">
        <f>IFERROR(__xludf.DUMMYFUNCTION("""COMPUTED_VALUE"""),0.0)</f>
        <v>0</v>
      </c>
      <c r="U352" s="447">
        <f>IFERROR(__xludf.DUMMYFUNCTION("""COMPUTED_VALUE"""),2.0)</f>
        <v>2</v>
      </c>
      <c r="V352" s="447">
        <f>IFERROR(__xludf.DUMMYFUNCTION("""COMPUTED_VALUE"""),0.0)</f>
        <v>0</v>
      </c>
      <c r="W352" s="447">
        <f>IFERROR(__xludf.DUMMYFUNCTION("""COMPUTED_VALUE"""),0.0)</f>
        <v>0</v>
      </c>
      <c r="X352" s="447">
        <f>IFERROR(__xludf.DUMMYFUNCTION("""COMPUTED_VALUE"""),0.0)</f>
        <v>0</v>
      </c>
      <c r="Y352" s="447">
        <f>IFERROR(__xludf.DUMMYFUNCTION("""COMPUTED_VALUE"""),0.0)</f>
        <v>0</v>
      </c>
      <c r="Z352" s="447">
        <f>IFERROR(__xludf.DUMMYFUNCTION("""COMPUTED_VALUE"""),0.0)</f>
        <v>0</v>
      </c>
      <c r="AA352" s="447">
        <f>IFERROR(__xludf.DUMMYFUNCTION("""COMPUTED_VALUE"""),0.0)</f>
        <v>0</v>
      </c>
      <c r="AB352" s="447">
        <f>IFERROR(__xludf.DUMMYFUNCTION("""COMPUTED_VALUE"""),0.0)</f>
        <v>0</v>
      </c>
      <c r="AC352" s="447">
        <f>IFERROR(__xludf.DUMMYFUNCTION("""COMPUTED_VALUE"""),0.0)</f>
        <v>0</v>
      </c>
      <c r="AD352" s="447">
        <f>IFERROR(__xludf.DUMMYFUNCTION("""COMPUTED_VALUE"""),48.0)</f>
        <v>48</v>
      </c>
      <c r="AE352" s="447">
        <f>IFERROR(__xludf.DUMMYFUNCTION("""COMPUTED_VALUE"""),5.0)</f>
        <v>5</v>
      </c>
      <c r="AF352" s="447">
        <f>IFERROR(__xludf.DUMMYFUNCTION("""COMPUTED_VALUE"""),2.0)</f>
        <v>2</v>
      </c>
      <c r="AG352" s="443" t="s">
        <v>148</v>
      </c>
      <c r="AH352" s="443" t="s">
        <v>343</v>
      </c>
      <c r="AI352" s="443"/>
      <c r="AJ352" s="443"/>
      <c r="AK352" s="443"/>
      <c r="AL352" s="443"/>
      <c r="AM352" s="443"/>
      <c r="AN352" s="443"/>
      <c r="AO352" s="443"/>
      <c r="AP352" s="443"/>
      <c r="AQ352" s="443"/>
      <c r="AR352" s="443"/>
      <c r="AS352" s="443"/>
      <c r="AT352" s="443"/>
      <c r="AU352" s="443"/>
      <c r="AV352" s="443"/>
      <c r="AW352" s="443"/>
      <c r="AX352" s="443"/>
      <c r="AY352" s="443"/>
      <c r="AZ352" s="443"/>
      <c r="BA352" s="443"/>
      <c r="BB352" s="443"/>
      <c r="BC352" s="443"/>
      <c r="BD352" s="443"/>
      <c r="BE352" s="443"/>
    </row>
    <row r="353" hidden="1">
      <c r="A353" s="445">
        <f t="shared" si="5"/>
        <v>45643</v>
      </c>
      <c r="B353" s="449">
        <v>470.0</v>
      </c>
      <c r="C353" s="462">
        <v>0.6</v>
      </c>
      <c r="D353" s="462">
        <v>0.9534722222222223</v>
      </c>
      <c r="E353" s="436">
        <f t="array" ref="E353">IF(B353=0,"",(J353+K353)/60)</f>
        <v>0.6166666667</v>
      </c>
      <c r="F353" s="437">
        <f t="shared" si="1"/>
        <v>8.483333333</v>
      </c>
      <c r="G353" s="438">
        <f t="shared" si="8"/>
        <v>55.40275049</v>
      </c>
      <c r="H353" s="438">
        <f t="shared" si="3"/>
        <v>59.74576271</v>
      </c>
      <c r="I353" s="436">
        <f t="shared" si="6"/>
        <v>1.204407619</v>
      </c>
      <c r="J353" s="460">
        <v>30.0</v>
      </c>
      <c r="K353" s="460">
        <v>7.0</v>
      </c>
      <c r="L353" s="443"/>
      <c r="M353" s="447">
        <f>IFERROR(__xludf.DUMMYFUNCTION("""COMPUTED_VALUE"""),57.0)</f>
        <v>57</v>
      </c>
      <c r="N353" s="447">
        <f>IFERROR(__xludf.DUMMYFUNCTION("""COMPUTED_VALUE"""),54.0)</f>
        <v>54</v>
      </c>
      <c r="O353" s="447">
        <f>IFERROR(__xludf.DUMMYFUNCTION("""COMPUTED_VALUE"""),0.0)</f>
        <v>0</v>
      </c>
      <c r="P353" s="447">
        <f>IFERROR(__xludf.DUMMYFUNCTION("""COMPUTED_VALUE"""),0.0)</f>
        <v>0</v>
      </c>
      <c r="Q353" s="447">
        <f>IFERROR(__xludf.DUMMYFUNCTION("""COMPUTED_VALUE"""),1.0)</f>
        <v>1</v>
      </c>
      <c r="R353" s="447">
        <f>IFERROR(__xludf.DUMMYFUNCTION("""COMPUTED_VALUE"""),0.0)</f>
        <v>0</v>
      </c>
      <c r="S353" s="447">
        <f>IFERROR(__xludf.DUMMYFUNCTION("""COMPUTED_VALUE"""),4.0)</f>
        <v>4</v>
      </c>
      <c r="T353" s="447">
        <f>IFERROR(__xludf.DUMMYFUNCTION("""COMPUTED_VALUE"""),0.0)</f>
        <v>0</v>
      </c>
      <c r="U353" s="447">
        <f>IFERROR(__xludf.DUMMYFUNCTION("""COMPUTED_VALUE"""),3.0)</f>
        <v>3</v>
      </c>
      <c r="V353" s="447">
        <f>IFERROR(__xludf.DUMMYFUNCTION("""COMPUTED_VALUE"""),0.0)</f>
        <v>0</v>
      </c>
      <c r="W353" s="447">
        <f>IFERROR(__xludf.DUMMYFUNCTION("""COMPUTED_VALUE"""),0.0)</f>
        <v>0</v>
      </c>
      <c r="X353" s="447">
        <f>IFERROR(__xludf.DUMMYFUNCTION("""COMPUTED_VALUE"""),0.0)</f>
        <v>0</v>
      </c>
      <c r="Y353" s="447">
        <f>IFERROR(__xludf.DUMMYFUNCTION("""COMPUTED_VALUE"""),0.0)</f>
        <v>0</v>
      </c>
      <c r="Z353" s="447">
        <f>IFERROR(__xludf.DUMMYFUNCTION("""COMPUTED_VALUE"""),0.0)</f>
        <v>0</v>
      </c>
      <c r="AA353" s="447">
        <f>IFERROR(__xludf.DUMMYFUNCTION("""COMPUTED_VALUE"""),0.0)</f>
        <v>0</v>
      </c>
      <c r="AB353" s="447">
        <f>IFERROR(__xludf.DUMMYFUNCTION("""COMPUTED_VALUE"""),0.0)</f>
        <v>0</v>
      </c>
      <c r="AC353" s="447">
        <f>IFERROR(__xludf.DUMMYFUNCTION("""COMPUTED_VALUE"""),0.0)</f>
        <v>0</v>
      </c>
      <c r="AD353" s="447">
        <f>IFERROR(__xludf.DUMMYFUNCTION("""COMPUTED_VALUE"""),46.0)</f>
        <v>46</v>
      </c>
      <c r="AE353" s="447">
        <f>IFERROR(__xludf.DUMMYFUNCTION("""COMPUTED_VALUE"""),8.0)</f>
        <v>8</v>
      </c>
      <c r="AF353" s="447">
        <f>IFERROR(__xludf.DUMMYFUNCTION("""COMPUTED_VALUE"""),3.0)</f>
        <v>3</v>
      </c>
      <c r="AG353" s="443" t="s">
        <v>148</v>
      </c>
      <c r="AH353" s="443" t="s">
        <v>343</v>
      </c>
      <c r="AI353" s="443"/>
      <c r="AJ353" s="443"/>
      <c r="AK353" s="443"/>
      <c r="AL353" s="443"/>
      <c r="AM353" s="443"/>
      <c r="AN353" s="443"/>
      <c r="AO353" s="443"/>
      <c r="AP353" s="443"/>
      <c r="AQ353" s="443"/>
      <c r="AR353" s="443"/>
      <c r="AS353" s="443"/>
      <c r="AT353" s="443"/>
      <c r="AU353" s="443"/>
      <c r="AV353" s="443"/>
      <c r="AW353" s="443"/>
      <c r="AX353" s="443"/>
      <c r="AY353" s="443"/>
      <c r="AZ353" s="443"/>
      <c r="BA353" s="443"/>
      <c r="BB353" s="443"/>
      <c r="BC353" s="443"/>
      <c r="BD353" s="443"/>
      <c r="BE353" s="443"/>
    </row>
    <row r="354" hidden="1">
      <c r="A354" s="445">
        <f t="shared" si="5"/>
        <v>45644</v>
      </c>
      <c r="B354" s="449">
        <v>423.0</v>
      </c>
      <c r="C354" s="462">
        <v>0.6</v>
      </c>
      <c r="D354" s="462">
        <v>0.9361111111111111</v>
      </c>
      <c r="E354" s="436">
        <f t="array" ref="E354">IF(B354=0,"",(J354+K354)/60)</f>
        <v>0.5</v>
      </c>
      <c r="F354" s="437">
        <f t="shared" si="1"/>
        <v>8.066666667</v>
      </c>
      <c r="G354" s="438">
        <f t="shared" si="8"/>
        <v>52.43801653</v>
      </c>
      <c r="H354" s="438">
        <f t="shared" si="3"/>
        <v>55.9030837</v>
      </c>
      <c r="I354" s="436">
        <f t="shared" si="6"/>
        <v>1.165289256</v>
      </c>
      <c r="J354" s="460">
        <v>30.0</v>
      </c>
      <c r="K354" s="464"/>
      <c r="L354" s="443"/>
      <c r="M354" s="447">
        <f>IFERROR(__xludf.DUMMYFUNCTION("""COMPUTED_VALUE"""),57.0)</f>
        <v>57</v>
      </c>
      <c r="N354" s="447">
        <f>IFERROR(__xludf.DUMMYFUNCTION("""COMPUTED_VALUE"""),54.0)</f>
        <v>54</v>
      </c>
      <c r="O354" s="447">
        <f>IFERROR(__xludf.DUMMYFUNCTION("""COMPUTED_VALUE"""),0.0)</f>
        <v>0</v>
      </c>
      <c r="P354" s="447">
        <f>IFERROR(__xludf.DUMMYFUNCTION("""COMPUTED_VALUE"""),0.0)</f>
        <v>0</v>
      </c>
      <c r="Q354" s="447">
        <f>IFERROR(__xludf.DUMMYFUNCTION("""COMPUTED_VALUE"""),0.0)</f>
        <v>0</v>
      </c>
      <c r="R354" s="447">
        <f>IFERROR(__xludf.DUMMYFUNCTION("""COMPUTED_VALUE"""),1.0)</f>
        <v>1</v>
      </c>
      <c r="S354" s="447">
        <f>IFERROR(__xludf.DUMMYFUNCTION("""COMPUTED_VALUE"""),5.0)</f>
        <v>5</v>
      </c>
      <c r="T354" s="447">
        <f>IFERROR(__xludf.DUMMYFUNCTION("""COMPUTED_VALUE"""),0.0)</f>
        <v>0</v>
      </c>
      <c r="U354" s="447">
        <f>IFERROR(__xludf.DUMMYFUNCTION("""COMPUTED_VALUE"""),3.0)</f>
        <v>3</v>
      </c>
      <c r="V354" s="447">
        <f>IFERROR(__xludf.DUMMYFUNCTION("""COMPUTED_VALUE"""),0.0)</f>
        <v>0</v>
      </c>
      <c r="W354" s="447">
        <f>IFERROR(__xludf.DUMMYFUNCTION("""COMPUTED_VALUE"""),0.0)</f>
        <v>0</v>
      </c>
      <c r="X354" s="447">
        <f>IFERROR(__xludf.DUMMYFUNCTION("""COMPUTED_VALUE"""),0.0)</f>
        <v>0</v>
      </c>
      <c r="Y354" s="447">
        <f>IFERROR(__xludf.DUMMYFUNCTION("""COMPUTED_VALUE"""),0.0)</f>
        <v>0</v>
      </c>
      <c r="Z354" s="447">
        <f>IFERROR(__xludf.DUMMYFUNCTION("""COMPUTED_VALUE"""),0.0)</f>
        <v>0</v>
      </c>
      <c r="AA354" s="447">
        <f>IFERROR(__xludf.DUMMYFUNCTION("""COMPUTED_VALUE"""),0.0)</f>
        <v>0</v>
      </c>
      <c r="AB354" s="447">
        <f>IFERROR(__xludf.DUMMYFUNCTION("""COMPUTED_VALUE"""),0.0)</f>
        <v>0</v>
      </c>
      <c r="AC354" s="447">
        <f>IFERROR(__xludf.DUMMYFUNCTION("""COMPUTED_VALUE"""),0.0)</f>
        <v>0</v>
      </c>
      <c r="AD354" s="447">
        <f>IFERROR(__xludf.DUMMYFUNCTION("""COMPUTED_VALUE"""),45.0)</f>
        <v>45</v>
      </c>
      <c r="AE354" s="447">
        <f>IFERROR(__xludf.DUMMYFUNCTION("""COMPUTED_VALUE"""),8.0)</f>
        <v>8</v>
      </c>
      <c r="AF354" s="447">
        <f>IFERROR(__xludf.DUMMYFUNCTION("""COMPUTED_VALUE"""),3.0)</f>
        <v>3</v>
      </c>
      <c r="AG354" s="443" t="s">
        <v>148</v>
      </c>
      <c r="AH354" s="443" t="s">
        <v>343</v>
      </c>
      <c r="AI354" s="443"/>
      <c r="AJ354" s="443"/>
      <c r="AK354" s="443"/>
      <c r="AL354" s="443"/>
      <c r="AM354" s="443"/>
      <c r="AN354" s="443"/>
      <c r="AO354" s="443"/>
      <c r="AP354" s="443"/>
      <c r="AQ354" s="443"/>
      <c r="AR354" s="443"/>
      <c r="AS354" s="443"/>
      <c r="AT354" s="443"/>
      <c r="AU354" s="443"/>
      <c r="AV354" s="443"/>
      <c r="AW354" s="443"/>
      <c r="AX354" s="443"/>
      <c r="AY354" s="443"/>
      <c r="AZ354" s="443"/>
      <c r="BA354" s="443"/>
      <c r="BB354" s="443"/>
      <c r="BC354" s="443"/>
      <c r="BD354" s="443"/>
      <c r="BE354" s="443"/>
    </row>
    <row r="355" hidden="1">
      <c r="A355" s="445">
        <f t="shared" si="5"/>
        <v>45645</v>
      </c>
      <c r="B355" s="449">
        <v>625.0</v>
      </c>
      <c r="C355" s="462">
        <v>0.6</v>
      </c>
      <c r="D355" s="462">
        <v>1.038888888888889</v>
      </c>
      <c r="E355" s="436">
        <f t="array" ref="E355">IF(B355=0,"",(J355+K355)/60)</f>
        <v>1</v>
      </c>
      <c r="F355" s="437">
        <f t="shared" si="1"/>
        <v>10.53333333</v>
      </c>
      <c r="G355" s="438">
        <f t="shared" si="8"/>
        <v>59.33544304</v>
      </c>
      <c r="H355" s="438">
        <f t="shared" si="3"/>
        <v>65.55944056</v>
      </c>
      <c r="I355" s="436">
        <f t="shared" si="6"/>
        <v>1.262456235</v>
      </c>
      <c r="J355" s="460">
        <v>60.0</v>
      </c>
      <c r="K355" s="464"/>
      <c r="L355" s="443"/>
      <c r="M355" s="447">
        <f>IFERROR(__xludf.DUMMYFUNCTION("""COMPUTED_VALUE"""),57.0)</f>
        <v>57</v>
      </c>
      <c r="N355" s="447">
        <f>IFERROR(__xludf.DUMMYFUNCTION("""COMPUTED_VALUE"""),54.0)</f>
        <v>54</v>
      </c>
      <c r="O355" s="447">
        <f>IFERROR(__xludf.DUMMYFUNCTION("""COMPUTED_VALUE"""),0.0)</f>
        <v>0</v>
      </c>
      <c r="P355" s="447">
        <f>IFERROR(__xludf.DUMMYFUNCTION("""COMPUTED_VALUE"""),0.0)</f>
        <v>0</v>
      </c>
      <c r="Q355" s="447">
        <f>IFERROR(__xludf.DUMMYFUNCTION("""COMPUTED_VALUE"""),0.0)</f>
        <v>0</v>
      </c>
      <c r="R355" s="447">
        <f>IFERROR(__xludf.DUMMYFUNCTION("""COMPUTED_VALUE"""),0.0)</f>
        <v>0</v>
      </c>
      <c r="S355" s="447">
        <f>IFERROR(__xludf.DUMMYFUNCTION("""COMPUTED_VALUE"""),4.0)</f>
        <v>4</v>
      </c>
      <c r="T355" s="447">
        <f>IFERROR(__xludf.DUMMYFUNCTION("""COMPUTED_VALUE"""),0.0)</f>
        <v>0</v>
      </c>
      <c r="U355" s="447">
        <f>IFERROR(__xludf.DUMMYFUNCTION("""COMPUTED_VALUE"""),3.0)</f>
        <v>3</v>
      </c>
      <c r="V355" s="447">
        <f>IFERROR(__xludf.DUMMYFUNCTION("""COMPUTED_VALUE"""),0.0)</f>
        <v>0</v>
      </c>
      <c r="W355" s="447">
        <f>IFERROR(__xludf.DUMMYFUNCTION("""COMPUTED_VALUE"""),0.0)</f>
        <v>0</v>
      </c>
      <c r="X355" s="447">
        <f>IFERROR(__xludf.DUMMYFUNCTION("""COMPUTED_VALUE"""),0.0)</f>
        <v>0</v>
      </c>
      <c r="Y355" s="447">
        <f>IFERROR(__xludf.DUMMYFUNCTION("""COMPUTED_VALUE"""),0.0)</f>
        <v>0</v>
      </c>
      <c r="Z355" s="447">
        <f>IFERROR(__xludf.DUMMYFUNCTION("""COMPUTED_VALUE"""),0.0)</f>
        <v>0</v>
      </c>
      <c r="AA355" s="447">
        <f>IFERROR(__xludf.DUMMYFUNCTION("""COMPUTED_VALUE"""),0.0)</f>
        <v>0</v>
      </c>
      <c r="AB355" s="447">
        <f>IFERROR(__xludf.DUMMYFUNCTION("""COMPUTED_VALUE"""),0.0)</f>
        <v>0</v>
      </c>
      <c r="AC355" s="447">
        <f>IFERROR(__xludf.DUMMYFUNCTION("""COMPUTED_VALUE"""),0.0)</f>
        <v>0</v>
      </c>
      <c r="AD355" s="447">
        <f>IFERROR(__xludf.DUMMYFUNCTION("""COMPUTED_VALUE"""),47.0)</f>
        <v>47</v>
      </c>
      <c r="AE355" s="447">
        <f>IFERROR(__xludf.DUMMYFUNCTION("""COMPUTED_VALUE"""),7.0)</f>
        <v>7</v>
      </c>
      <c r="AF355" s="447">
        <f>IFERROR(__xludf.DUMMYFUNCTION("""COMPUTED_VALUE"""),3.0)</f>
        <v>3</v>
      </c>
      <c r="AG355" s="443" t="s">
        <v>148</v>
      </c>
      <c r="AH355" s="443" t="s">
        <v>343</v>
      </c>
      <c r="AI355" s="443"/>
      <c r="AJ355" s="443"/>
      <c r="AK355" s="443"/>
      <c r="AL355" s="443"/>
      <c r="AM355" s="443"/>
      <c r="AN355" s="443"/>
      <c r="AO355" s="443"/>
      <c r="AP355" s="443"/>
      <c r="AQ355" s="443"/>
      <c r="AR355" s="443"/>
      <c r="AS355" s="443"/>
      <c r="AT355" s="443"/>
      <c r="AU355" s="443"/>
      <c r="AV355" s="443"/>
      <c r="AW355" s="443"/>
      <c r="AX355" s="443"/>
      <c r="AY355" s="443"/>
      <c r="AZ355" s="443"/>
      <c r="BA355" s="443"/>
      <c r="BB355" s="443"/>
      <c r="BC355" s="443"/>
      <c r="BD355" s="443"/>
      <c r="BE355" s="443"/>
    </row>
    <row r="356" hidden="1">
      <c r="A356" s="445">
        <f t="shared" si="5"/>
        <v>45646</v>
      </c>
      <c r="B356" s="449">
        <v>664.0</v>
      </c>
      <c r="C356" s="462">
        <v>0.6</v>
      </c>
      <c r="D356" s="462">
        <v>1.0520833333333333</v>
      </c>
      <c r="E356" s="436">
        <f t="array" ref="E356">IF(B356=0,"",(J356+K356)/60)</f>
        <v>1</v>
      </c>
      <c r="F356" s="437">
        <f t="shared" si="1"/>
        <v>10.85</v>
      </c>
      <c r="G356" s="438">
        <f t="shared" si="8"/>
        <v>61.19815668</v>
      </c>
      <c r="H356" s="438">
        <f t="shared" si="3"/>
        <v>67.41116751</v>
      </c>
      <c r="I356" s="436">
        <f t="shared" si="6"/>
        <v>1.33039471</v>
      </c>
      <c r="J356" s="460">
        <v>60.0</v>
      </c>
      <c r="K356" s="464"/>
      <c r="L356" s="443"/>
      <c r="M356" s="447">
        <f>IFERROR(__xludf.DUMMYFUNCTION("""COMPUTED_VALUE"""),57.0)</f>
        <v>57</v>
      </c>
      <c r="N356" s="447">
        <f>IFERROR(__xludf.DUMMYFUNCTION("""COMPUTED_VALUE"""),54.0)</f>
        <v>54</v>
      </c>
      <c r="O356" s="447">
        <f>IFERROR(__xludf.DUMMYFUNCTION("""COMPUTED_VALUE"""),0.0)</f>
        <v>0</v>
      </c>
      <c r="P356" s="447">
        <f>IFERROR(__xludf.DUMMYFUNCTION("""COMPUTED_VALUE"""),0.0)</f>
        <v>0</v>
      </c>
      <c r="Q356" s="447">
        <f>IFERROR(__xludf.DUMMYFUNCTION("""COMPUTED_VALUE"""),0.0)</f>
        <v>0</v>
      </c>
      <c r="R356" s="447">
        <f>IFERROR(__xludf.DUMMYFUNCTION("""COMPUTED_VALUE"""),0.0)</f>
        <v>0</v>
      </c>
      <c r="S356" s="447">
        <f>IFERROR(__xludf.DUMMYFUNCTION("""COMPUTED_VALUE"""),5.0)</f>
        <v>5</v>
      </c>
      <c r="T356" s="447">
        <f>IFERROR(__xludf.DUMMYFUNCTION("""COMPUTED_VALUE"""),0.0)</f>
        <v>0</v>
      </c>
      <c r="U356" s="447">
        <f>IFERROR(__xludf.DUMMYFUNCTION("""COMPUTED_VALUE"""),3.0)</f>
        <v>3</v>
      </c>
      <c r="V356" s="447">
        <f>IFERROR(__xludf.DUMMYFUNCTION("""COMPUTED_VALUE"""),0.0)</f>
        <v>0</v>
      </c>
      <c r="W356" s="447">
        <f>IFERROR(__xludf.DUMMYFUNCTION("""COMPUTED_VALUE"""),0.0)</f>
        <v>0</v>
      </c>
      <c r="X356" s="447">
        <f>IFERROR(__xludf.DUMMYFUNCTION("""COMPUTED_VALUE"""),0.0)</f>
        <v>0</v>
      </c>
      <c r="Y356" s="447">
        <f>IFERROR(__xludf.DUMMYFUNCTION("""COMPUTED_VALUE"""),0.0)</f>
        <v>0</v>
      </c>
      <c r="Z356" s="447">
        <f>IFERROR(__xludf.DUMMYFUNCTION("""COMPUTED_VALUE"""),0.0)</f>
        <v>0</v>
      </c>
      <c r="AA356" s="447">
        <f>IFERROR(__xludf.DUMMYFUNCTION("""COMPUTED_VALUE"""),0.0)</f>
        <v>0</v>
      </c>
      <c r="AB356" s="447">
        <f>IFERROR(__xludf.DUMMYFUNCTION("""COMPUTED_VALUE"""),0.0)</f>
        <v>0</v>
      </c>
      <c r="AC356" s="447">
        <f>IFERROR(__xludf.DUMMYFUNCTION("""COMPUTED_VALUE"""),0.0)</f>
        <v>0</v>
      </c>
      <c r="AD356" s="447">
        <f>IFERROR(__xludf.DUMMYFUNCTION("""COMPUTED_VALUE"""),46.0)</f>
        <v>46</v>
      </c>
      <c r="AE356" s="447">
        <f>IFERROR(__xludf.DUMMYFUNCTION("""COMPUTED_VALUE"""),8.0)</f>
        <v>8</v>
      </c>
      <c r="AF356" s="447">
        <f>IFERROR(__xludf.DUMMYFUNCTION("""COMPUTED_VALUE"""),3.0)</f>
        <v>3</v>
      </c>
      <c r="AG356" s="443" t="s">
        <v>148</v>
      </c>
      <c r="AH356" s="443" t="s">
        <v>343</v>
      </c>
      <c r="AI356" s="443"/>
      <c r="AJ356" s="443"/>
      <c r="AK356" s="443"/>
      <c r="AL356" s="443"/>
      <c r="AM356" s="443"/>
      <c r="AN356" s="443"/>
      <c r="AO356" s="443"/>
      <c r="AP356" s="443"/>
      <c r="AQ356" s="443"/>
      <c r="AR356" s="443"/>
      <c r="AS356" s="443"/>
      <c r="AT356" s="443"/>
      <c r="AU356" s="443"/>
      <c r="AV356" s="443"/>
      <c r="AW356" s="443"/>
      <c r="AX356" s="443"/>
      <c r="AY356" s="443"/>
      <c r="AZ356" s="443"/>
      <c r="BA356" s="443"/>
      <c r="BB356" s="443"/>
      <c r="BC356" s="443"/>
      <c r="BD356" s="443"/>
      <c r="BE356" s="443"/>
    </row>
    <row r="357" hidden="1">
      <c r="A357" s="445">
        <f t="shared" si="5"/>
        <v>45647</v>
      </c>
      <c r="B357" s="449">
        <v>571.0</v>
      </c>
      <c r="C357" s="462">
        <v>0.6</v>
      </c>
      <c r="D357" s="462">
        <v>1.0486111111111112</v>
      </c>
      <c r="E357" s="436">
        <f t="array" ref="E357">IF(B357=0,"",(J357+K357)/60)</f>
        <v>0.5</v>
      </c>
      <c r="F357" s="437">
        <f t="shared" si="1"/>
        <v>10.76666667</v>
      </c>
      <c r="G357" s="438">
        <f t="shared" si="8"/>
        <v>53.03405573</v>
      </c>
      <c r="H357" s="438">
        <f t="shared" si="3"/>
        <v>55.61688312</v>
      </c>
      <c r="I357" s="436">
        <f t="shared" si="6"/>
        <v>1.128384164</v>
      </c>
      <c r="J357" s="460">
        <v>30.0</v>
      </c>
      <c r="K357" s="464"/>
      <c r="L357" s="443"/>
      <c r="M357" s="447">
        <f>IFERROR(__xludf.DUMMYFUNCTION("""COMPUTED_VALUE"""),57.0)</f>
        <v>57</v>
      </c>
      <c r="N357" s="447">
        <f>IFERROR(__xludf.DUMMYFUNCTION("""COMPUTED_VALUE"""),54.0)</f>
        <v>54</v>
      </c>
      <c r="O357" s="447">
        <f>IFERROR(__xludf.DUMMYFUNCTION("""COMPUTED_VALUE"""),0.0)</f>
        <v>0</v>
      </c>
      <c r="P357" s="447">
        <f>IFERROR(__xludf.DUMMYFUNCTION("""COMPUTED_VALUE"""),0.0)</f>
        <v>0</v>
      </c>
      <c r="Q357" s="447">
        <f>IFERROR(__xludf.DUMMYFUNCTION("""COMPUTED_VALUE"""),0.0)</f>
        <v>0</v>
      </c>
      <c r="R357" s="447">
        <f>IFERROR(__xludf.DUMMYFUNCTION("""COMPUTED_VALUE"""),0.0)</f>
        <v>0</v>
      </c>
      <c r="S357" s="447">
        <f>IFERROR(__xludf.DUMMYFUNCTION("""COMPUTED_VALUE"""),4.0)</f>
        <v>4</v>
      </c>
      <c r="T357" s="447">
        <f>IFERROR(__xludf.DUMMYFUNCTION("""COMPUTED_VALUE"""),0.0)</f>
        <v>0</v>
      </c>
      <c r="U357" s="447">
        <f>IFERROR(__xludf.DUMMYFUNCTION("""COMPUTED_VALUE"""),3.0)</f>
        <v>3</v>
      </c>
      <c r="V357" s="447">
        <f>IFERROR(__xludf.DUMMYFUNCTION("""COMPUTED_VALUE"""),0.0)</f>
        <v>0</v>
      </c>
      <c r="W357" s="447">
        <f>IFERROR(__xludf.DUMMYFUNCTION("""COMPUTED_VALUE"""),0.0)</f>
        <v>0</v>
      </c>
      <c r="X357" s="447">
        <f>IFERROR(__xludf.DUMMYFUNCTION("""COMPUTED_VALUE"""),0.0)</f>
        <v>0</v>
      </c>
      <c r="Y357" s="447">
        <f>IFERROR(__xludf.DUMMYFUNCTION("""COMPUTED_VALUE"""),0.0)</f>
        <v>0</v>
      </c>
      <c r="Z357" s="447">
        <f>IFERROR(__xludf.DUMMYFUNCTION("""COMPUTED_VALUE"""),0.0)</f>
        <v>0</v>
      </c>
      <c r="AA357" s="447">
        <f>IFERROR(__xludf.DUMMYFUNCTION("""COMPUTED_VALUE"""),0.0)</f>
        <v>0</v>
      </c>
      <c r="AB357" s="447">
        <f>IFERROR(__xludf.DUMMYFUNCTION("""COMPUTED_VALUE"""),0.0)</f>
        <v>0</v>
      </c>
      <c r="AC357" s="447">
        <f>IFERROR(__xludf.DUMMYFUNCTION("""COMPUTED_VALUE"""),0.0)</f>
        <v>0</v>
      </c>
      <c r="AD357" s="447">
        <f>IFERROR(__xludf.DUMMYFUNCTION("""COMPUTED_VALUE"""),47.0)</f>
        <v>47</v>
      </c>
      <c r="AE357" s="447">
        <f>IFERROR(__xludf.DUMMYFUNCTION("""COMPUTED_VALUE"""),7.0)</f>
        <v>7</v>
      </c>
      <c r="AF357" s="447">
        <f>IFERROR(__xludf.DUMMYFUNCTION("""COMPUTED_VALUE"""),3.0)</f>
        <v>3</v>
      </c>
      <c r="AG357" s="443" t="s">
        <v>148</v>
      </c>
      <c r="AH357" s="443" t="s">
        <v>343</v>
      </c>
      <c r="AI357" s="443"/>
      <c r="AJ357" s="443"/>
      <c r="AK357" s="443"/>
      <c r="AL357" s="443"/>
      <c r="AM357" s="443"/>
      <c r="AN357" s="443"/>
      <c r="AO357" s="443"/>
      <c r="AP357" s="443"/>
      <c r="AQ357" s="443"/>
      <c r="AR357" s="443"/>
      <c r="AS357" s="443"/>
      <c r="AT357" s="443"/>
      <c r="AU357" s="443"/>
      <c r="AV357" s="443"/>
      <c r="AW357" s="443"/>
      <c r="AX357" s="443"/>
      <c r="AY357" s="443"/>
      <c r="AZ357" s="443"/>
      <c r="BA357" s="443"/>
      <c r="BB357" s="443"/>
      <c r="BC357" s="443"/>
      <c r="BD357" s="443"/>
      <c r="BE357" s="443"/>
    </row>
    <row r="358" hidden="1">
      <c r="A358" s="445">
        <f t="shared" si="5"/>
        <v>45648</v>
      </c>
      <c r="B358" s="449">
        <v>0.0</v>
      </c>
      <c r="C358" s="443"/>
      <c r="D358" s="462"/>
      <c r="E358" s="436" t="str">
        <f t="array" ref="E358">IF(B358=0,"",(J358+K358)/60)</f>
        <v/>
      </c>
      <c r="F358" s="437" t="str">
        <f t="shared" si="1"/>
        <v/>
      </c>
      <c r="G358" s="438" t="str">
        <f t="shared" si="8"/>
        <v>#DIV/0!</v>
      </c>
      <c r="H358" s="438" t="str">
        <f t="shared" si="3"/>
        <v/>
      </c>
      <c r="I358" s="436" t="str">
        <f t="shared" si="6"/>
        <v/>
      </c>
      <c r="J358" s="464"/>
      <c r="K358" s="464"/>
      <c r="L358" s="443"/>
      <c r="M358" s="447">
        <f>IFERROR(__xludf.DUMMYFUNCTION("""COMPUTED_VALUE"""),57.0)</f>
        <v>57</v>
      </c>
      <c r="N358" s="447">
        <f>IFERROR(__xludf.DUMMYFUNCTION("""COMPUTED_VALUE"""),54.0)</f>
        <v>54</v>
      </c>
      <c r="O358" s="447">
        <f>IFERROR(__xludf.DUMMYFUNCTION("""COMPUTED_VALUE"""),0.0)</f>
        <v>0</v>
      </c>
      <c r="P358" s="447">
        <f>IFERROR(__xludf.DUMMYFUNCTION("""COMPUTED_VALUE"""),0.0)</f>
        <v>0</v>
      </c>
      <c r="Q358" s="447">
        <f>IFERROR(__xludf.DUMMYFUNCTION("""COMPUTED_VALUE"""),0.0)</f>
        <v>0</v>
      </c>
      <c r="R358" s="447">
        <f>IFERROR(__xludf.DUMMYFUNCTION("""COMPUTED_VALUE"""),0.0)</f>
        <v>0</v>
      </c>
      <c r="S358" s="447">
        <f>IFERROR(__xludf.DUMMYFUNCTION("""COMPUTED_VALUE"""),0.0)</f>
        <v>0</v>
      </c>
      <c r="T358" s="447">
        <f>IFERROR(__xludf.DUMMYFUNCTION("""COMPUTED_VALUE"""),0.0)</f>
        <v>0</v>
      </c>
      <c r="U358" s="447">
        <f>IFERROR(__xludf.DUMMYFUNCTION("""COMPUTED_VALUE"""),3.0)</f>
        <v>3</v>
      </c>
      <c r="V358" s="447">
        <f>IFERROR(__xludf.DUMMYFUNCTION("""COMPUTED_VALUE"""),0.0)</f>
        <v>0</v>
      </c>
      <c r="W358" s="447">
        <f>IFERROR(__xludf.DUMMYFUNCTION("""COMPUTED_VALUE"""),0.0)</f>
        <v>0</v>
      </c>
      <c r="X358" s="447">
        <f>IFERROR(__xludf.DUMMYFUNCTION("""COMPUTED_VALUE"""),0.0)</f>
        <v>0</v>
      </c>
      <c r="Y358" s="447">
        <f>IFERROR(__xludf.DUMMYFUNCTION("""COMPUTED_VALUE"""),0.0)</f>
        <v>0</v>
      </c>
      <c r="Z358" s="447">
        <f>IFERROR(__xludf.DUMMYFUNCTION("""COMPUTED_VALUE"""),0.0)</f>
        <v>0</v>
      </c>
      <c r="AA358" s="447">
        <f>IFERROR(__xludf.DUMMYFUNCTION("""COMPUTED_VALUE"""),0.0)</f>
        <v>0</v>
      </c>
      <c r="AB358" s="447">
        <f>IFERROR(__xludf.DUMMYFUNCTION("""COMPUTED_VALUE"""),0.0)</f>
        <v>0</v>
      </c>
      <c r="AC358" s="447">
        <f>IFERROR(__xludf.DUMMYFUNCTION("""COMPUTED_VALUE"""),0.0)</f>
        <v>0</v>
      </c>
      <c r="AD358" s="447">
        <f>IFERROR(__xludf.DUMMYFUNCTION("""COMPUTED_VALUE"""),0.0)</f>
        <v>0</v>
      </c>
      <c r="AE358" s="447">
        <f>IFERROR(__xludf.DUMMYFUNCTION("""COMPUTED_VALUE"""),3.0)</f>
        <v>3</v>
      </c>
      <c r="AF358" s="447">
        <f>IFERROR(__xludf.DUMMYFUNCTION("""COMPUTED_VALUE"""),3.0)</f>
        <v>3</v>
      </c>
      <c r="AG358" s="443" t="s">
        <v>148</v>
      </c>
      <c r="AH358" s="443" t="s">
        <v>343</v>
      </c>
      <c r="AI358" s="443"/>
      <c r="AJ358" s="443"/>
      <c r="AK358" s="443"/>
      <c r="AL358" s="443"/>
      <c r="AM358" s="443"/>
      <c r="AN358" s="443"/>
      <c r="AO358" s="443"/>
      <c r="AP358" s="443"/>
      <c r="AQ358" s="443"/>
      <c r="AR358" s="443"/>
      <c r="AS358" s="443"/>
      <c r="AT358" s="443"/>
      <c r="AU358" s="443"/>
      <c r="AV358" s="443"/>
      <c r="AW358" s="443"/>
      <c r="AX358" s="443"/>
      <c r="AY358" s="443"/>
      <c r="AZ358" s="443"/>
      <c r="BA358" s="443"/>
      <c r="BB358" s="443"/>
      <c r="BC358" s="443"/>
      <c r="BD358" s="443"/>
      <c r="BE358" s="443"/>
    </row>
    <row r="359" hidden="1">
      <c r="A359" s="445">
        <f t="shared" si="5"/>
        <v>45649</v>
      </c>
      <c r="B359" s="449">
        <v>685.0</v>
      </c>
      <c r="C359" s="462">
        <v>0.5583333333333333</v>
      </c>
      <c r="D359" s="462">
        <v>1.0847222222222221</v>
      </c>
      <c r="E359" s="436">
        <f t="array" ref="E359">IF(B359=0,"",(J359+K359)/60)</f>
        <v>1</v>
      </c>
      <c r="F359" s="437">
        <f t="shared" si="1"/>
        <v>12.63333333</v>
      </c>
      <c r="G359" s="438">
        <f t="shared" si="8"/>
        <v>54.22163588</v>
      </c>
      <c r="H359" s="438">
        <f t="shared" si="3"/>
        <v>58.88252149</v>
      </c>
      <c r="I359" s="436">
        <f t="shared" si="6"/>
        <v>1.106563998</v>
      </c>
      <c r="J359" s="460">
        <v>60.0</v>
      </c>
      <c r="K359" s="464"/>
      <c r="L359" s="443"/>
      <c r="M359" s="447">
        <f>IFERROR(__xludf.DUMMYFUNCTION("""COMPUTED_VALUE"""),57.0)</f>
        <v>57</v>
      </c>
      <c r="N359" s="447">
        <f>IFERROR(__xludf.DUMMYFUNCTION("""COMPUTED_VALUE"""),54.0)</f>
        <v>54</v>
      </c>
      <c r="O359" s="447">
        <f>IFERROR(__xludf.DUMMYFUNCTION("""COMPUTED_VALUE"""),0.0)</f>
        <v>0</v>
      </c>
      <c r="P359" s="447">
        <f>IFERROR(__xludf.DUMMYFUNCTION("""COMPUTED_VALUE"""),0.0)</f>
        <v>0</v>
      </c>
      <c r="Q359" s="447">
        <f>IFERROR(__xludf.DUMMYFUNCTION("""COMPUTED_VALUE"""),0.0)</f>
        <v>0</v>
      </c>
      <c r="R359" s="447">
        <f>IFERROR(__xludf.DUMMYFUNCTION("""COMPUTED_VALUE"""),0.0)</f>
        <v>0</v>
      </c>
      <c r="S359" s="447">
        <f>IFERROR(__xludf.DUMMYFUNCTION("""COMPUTED_VALUE"""),2.0)</f>
        <v>2</v>
      </c>
      <c r="T359" s="447">
        <f>IFERROR(__xludf.DUMMYFUNCTION("""COMPUTED_VALUE"""),0.0)</f>
        <v>0</v>
      </c>
      <c r="U359" s="447">
        <f>IFERROR(__xludf.DUMMYFUNCTION("""COMPUTED_VALUE"""),3.0)</f>
        <v>3</v>
      </c>
      <c r="V359" s="447">
        <f>IFERROR(__xludf.DUMMYFUNCTION("""COMPUTED_VALUE"""),0.0)</f>
        <v>0</v>
      </c>
      <c r="W359" s="447">
        <f>IFERROR(__xludf.DUMMYFUNCTION("""COMPUTED_VALUE"""),0.0)</f>
        <v>0</v>
      </c>
      <c r="X359" s="447">
        <f>IFERROR(__xludf.DUMMYFUNCTION("""COMPUTED_VALUE"""),0.0)</f>
        <v>0</v>
      </c>
      <c r="Y359" s="447">
        <f>IFERROR(__xludf.DUMMYFUNCTION("""COMPUTED_VALUE"""),0.0)</f>
        <v>0</v>
      </c>
      <c r="Z359" s="447">
        <f>IFERROR(__xludf.DUMMYFUNCTION("""COMPUTED_VALUE"""),0.0)</f>
        <v>0</v>
      </c>
      <c r="AA359" s="447">
        <f>IFERROR(__xludf.DUMMYFUNCTION("""COMPUTED_VALUE"""),0.0)</f>
        <v>0</v>
      </c>
      <c r="AB359" s="447">
        <f>IFERROR(__xludf.DUMMYFUNCTION("""COMPUTED_VALUE"""),0.0)</f>
        <v>0</v>
      </c>
      <c r="AC359" s="447">
        <f>IFERROR(__xludf.DUMMYFUNCTION("""COMPUTED_VALUE"""),0.0)</f>
        <v>0</v>
      </c>
      <c r="AD359" s="447">
        <f>IFERROR(__xludf.DUMMYFUNCTION("""COMPUTED_VALUE"""),49.0)</f>
        <v>49</v>
      </c>
      <c r="AE359" s="447">
        <f>IFERROR(__xludf.DUMMYFUNCTION("""COMPUTED_VALUE"""),5.0)</f>
        <v>5</v>
      </c>
      <c r="AF359" s="447">
        <f>IFERROR(__xludf.DUMMYFUNCTION("""COMPUTED_VALUE"""),3.0)</f>
        <v>3</v>
      </c>
      <c r="AG359" s="443" t="s">
        <v>148</v>
      </c>
      <c r="AH359" s="443" t="s">
        <v>343</v>
      </c>
      <c r="AI359" s="443"/>
      <c r="AJ359" s="443"/>
      <c r="AK359" s="443"/>
      <c r="AL359" s="443"/>
      <c r="AM359" s="443"/>
      <c r="AN359" s="443"/>
      <c r="AO359" s="443"/>
      <c r="AP359" s="443"/>
      <c r="AQ359" s="443"/>
      <c r="AR359" s="443"/>
      <c r="AS359" s="443"/>
      <c r="AT359" s="443"/>
      <c r="AU359" s="443"/>
      <c r="AV359" s="443"/>
      <c r="AW359" s="443"/>
      <c r="AX359" s="443"/>
      <c r="AY359" s="443"/>
      <c r="AZ359" s="443"/>
      <c r="BA359" s="443"/>
      <c r="BB359" s="443"/>
      <c r="BC359" s="443"/>
      <c r="BD359" s="443"/>
      <c r="BE359" s="443"/>
    </row>
    <row r="360" hidden="1">
      <c r="A360" s="445">
        <f t="shared" si="5"/>
        <v>45650</v>
      </c>
      <c r="B360" s="449">
        <v>0.0</v>
      </c>
      <c r="C360" s="443"/>
      <c r="D360" s="462"/>
      <c r="E360" s="436" t="str">
        <f t="array" ref="E360">IF(B360=0,"",(J360+K360)/60)</f>
        <v/>
      </c>
      <c r="F360" s="437" t="str">
        <f t="shared" si="1"/>
        <v/>
      </c>
      <c r="G360" s="438" t="str">
        <f t="shared" si="8"/>
        <v>#DIV/0!</v>
      </c>
      <c r="H360" s="438" t="str">
        <f t="shared" si="3"/>
        <v/>
      </c>
      <c r="I360" s="436" t="str">
        <f t="shared" si="6"/>
        <v/>
      </c>
      <c r="J360" s="464"/>
      <c r="K360" s="464"/>
      <c r="L360" s="443"/>
      <c r="M360" s="447">
        <f>IFERROR(__xludf.DUMMYFUNCTION("""COMPUTED_VALUE"""),57.0)</f>
        <v>57</v>
      </c>
      <c r="N360" s="447">
        <f>IFERROR(__xludf.DUMMYFUNCTION("""COMPUTED_VALUE"""),57.0)</f>
        <v>57</v>
      </c>
      <c r="O360" s="447">
        <f>IFERROR(__xludf.DUMMYFUNCTION("""COMPUTED_VALUE"""),0.0)</f>
        <v>0</v>
      </c>
      <c r="P360" s="447">
        <f>IFERROR(__xludf.DUMMYFUNCTION("""COMPUTED_VALUE"""),0.0)</f>
        <v>0</v>
      </c>
      <c r="Q360" s="447">
        <f>IFERROR(__xludf.DUMMYFUNCTION("""COMPUTED_VALUE"""),0.0)</f>
        <v>0</v>
      </c>
      <c r="R360" s="447">
        <f>IFERROR(__xludf.DUMMYFUNCTION("""COMPUTED_VALUE"""),0.0)</f>
        <v>0</v>
      </c>
      <c r="S360" s="447">
        <f>IFERROR(__xludf.DUMMYFUNCTION("""COMPUTED_VALUE"""),0.0)</f>
        <v>0</v>
      </c>
      <c r="T360" s="447">
        <f>IFERROR(__xludf.DUMMYFUNCTION("""COMPUTED_VALUE"""),0.0)</f>
        <v>0</v>
      </c>
      <c r="U360" s="447">
        <f>IFERROR(__xludf.DUMMYFUNCTION("""COMPUTED_VALUE"""),0.0)</f>
        <v>0</v>
      </c>
      <c r="V360" s="447">
        <f>IFERROR(__xludf.DUMMYFUNCTION("""COMPUTED_VALUE"""),0.0)</f>
        <v>0</v>
      </c>
      <c r="W360" s="447">
        <f>IFERROR(__xludf.DUMMYFUNCTION("""COMPUTED_VALUE"""),0.0)</f>
        <v>0</v>
      </c>
      <c r="X360" s="447">
        <f>IFERROR(__xludf.DUMMYFUNCTION("""COMPUTED_VALUE"""),0.0)</f>
        <v>0</v>
      </c>
      <c r="Y360" s="447">
        <f>IFERROR(__xludf.DUMMYFUNCTION("""COMPUTED_VALUE"""),0.0)</f>
        <v>0</v>
      </c>
      <c r="Z360" s="447">
        <f>IFERROR(__xludf.DUMMYFUNCTION("""COMPUTED_VALUE"""),0.0)</f>
        <v>0</v>
      </c>
      <c r="AA360" s="447">
        <f>IFERROR(__xludf.DUMMYFUNCTION("""COMPUTED_VALUE"""),0.0)</f>
        <v>0</v>
      </c>
      <c r="AB360" s="447">
        <f>IFERROR(__xludf.DUMMYFUNCTION("""COMPUTED_VALUE"""),0.0)</f>
        <v>0</v>
      </c>
      <c r="AC360" s="447">
        <f>IFERROR(__xludf.DUMMYFUNCTION("""COMPUTED_VALUE"""),0.0)</f>
        <v>0</v>
      </c>
      <c r="AD360" s="447">
        <f>IFERROR(__xludf.DUMMYFUNCTION("""COMPUTED_VALUE"""),0.0)</f>
        <v>0</v>
      </c>
      <c r="AE360" s="447">
        <f>IFERROR(__xludf.DUMMYFUNCTION("""COMPUTED_VALUE"""),0.0)</f>
        <v>0</v>
      </c>
      <c r="AF360" s="447">
        <f>IFERROR(__xludf.DUMMYFUNCTION("""COMPUTED_VALUE"""),0.0)</f>
        <v>0</v>
      </c>
      <c r="AG360" s="443" t="s">
        <v>148</v>
      </c>
      <c r="AH360" s="443" t="s">
        <v>343</v>
      </c>
      <c r="AI360" s="443"/>
      <c r="AJ360" s="443"/>
      <c r="AK360" s="443"/>
      <c r="AL360" s="443"/>
      <c r="AM360" s="443"/>
      <c r="AN360" s="443"/>
      <c r="AO360" s="443"/>
      <c r="AP360" s="443"/>
      <c r="AQ360" s="443"/>
      <c r="AR360" s="443"/>
      <c r="AS360" s="443"/>
      <c r="AT360" s="443"/>
      <c r="AU360" s="443"/>
      <c r="AV360" s="443"/>
      <c r="AW360" s="443"/>
      <c r="AX360" s="443"/>
      <c r="AY360" s="443"/>
      <c r="AZ360" s="443"/>
      <c r="BA360" s="443"/>
      <c r="BB360" s="443"/>
      <c r="BC360" s="443"/>
      <c r="BD360" s="443"/>
      <c r="BE360" s="443"/>
    </row>
    <row r="361" hidden="1">
      <c r="A361" s="445">
        <f t="shared" si="5"/>
        <v>45651</v>
      </c>
      <c r="B361" s="449">
        <v>0.0</v>
      </c>
      <c r="C361" s="462"/>
      <c r="D361" s="462"/>
      <c r="E361" s="436" t="str">
        <f t="array" ref="E361">IF(B361=0,"",(J361+K361)/60)</f>
        <v/>
      </c>
      <c r="F361" s="437" t="str">
        <f t="shared" si="1"/>
        <v/>
      </c>
      <c r="G361" s="438" t="str">
        <f t="shared" si="8"/>
        <v>#DIV/0!</v>
      </c>
      <c r="H361" s="438" t="str">
        <f t="shared" si="3"/>
        <v/>
      </c>
      <c r="I361" s="436" t="str">
        <f t="shared" si="6"/>
        <v/>
      </c>
      <c r="J361" s="464"/>
      <c r="K361" s="464"/>
      <c r="L361" s="443"/>
      <c r="M361" s="447">
        <f>IFERROR(__xludf.DUMMYFUNCTION("""COMPUTED_VALUE"""),57.0)</f>
        <v>57</v>
      </c>
      <c r="N361" s="447">
        <f>IFERROR(__xludf.DUMMYFUNCTION("""COMPUTED_VALUE"""),57.0)</f>
        <v>57</v>
      </c>
      <c r="O361" s="447">
        <f>IFERROR(__xludf.DUMMYFUNCTION("""COMPUTED_VALUE"""),0.0)</f>
        <v>0</v>
      </c>
      <c r="P361" s="447">
        <f>IFERROR(__xludf.DUMMYFUNCTION("""COMPUTED_VALUE"""),0.0)</f>
        <v>0</v>
      </c>
      <c r="Q361" s="447">
        <f>IFERROR(__xludf.DUMMYFUNCTION("""COMPUTED_VALUE"""),0.0)</f>
        <v>0</v>
      </c>
      <c r="R361" s="447">
        <f>IFERROR(__xludf.DUMMYFUNCTION("""COMPUTED_VALUE"""),0.0)</f>
        <v>0</v>
      </c>
      <c r="S361" s="447">
        <f>IFERROR(__xludf.DUMMYFUNCTION("""COMPUTED_VALUE"""),0.0)</f>
        <v>0</v>
      </c>
      <c r="T361" s="447">
        <f>IFERROR(__xludf.DUMMYFUNCTION("""COMPUTED_VALUE"""),0.0)</f>
        <v>0</v>
      </c>
      <c r="U361" s="447">
        <f>IFERROR(__xludf.DUMMYFUNCTION("""COMPUTED_VALUE"""),0.0)</f>
        <v>0</v>
      </c>
      <c r="V361" s="447">
        <f>IFERROR(__xludf.DUMMYFUNCTION("""COMPUTED_VALUE"""),0.0)</f>
        <v>0</v>
      </c>
      <c r="W361" s="447">
        <f>IFERROR(__xludf.DUMMYFUNCTION("""COMPUTED_VALUE"""),0.0)</f>
        <v>0</v>
      </c>
      <c r="X361" s="447">
        <f>IFERROR(__xludf.DUMMYFUNCTION("""COMPUTED_VALUE"""),0.0)</f>
        <v>0</v>
      </c>
      <c r="Y361" s="447">
        <f>IFERROR(__xludf.DUMMYFUNCTION("""COMPUTED_VALUE"""),0.0)</f>
        <v>0</v>
      </c>
      <c r="Z361" s="447">
        <f>IFERROR(__xludf.DUMMYFUNCTION("""COMPUTED_VALUE"""),0.0)</f>
        <v>0</v>
      </c>
      <c r="AA361" s="447">
        <f>IFERROR(__xludf.DUMMYFUNCTION("""COMPUTED_VALUE"""),0.0)</f>
        <v>0</v>
      </c>
      <c r="AB361" s="447">
        <f>IFERROR(__xludf.DUMMYFUNCTION("""COMPUTED_VALUE"""),0.0)</f>
        <v>0</v>
      </c>
      <c r="AC361" s="447">
        <f>IFERROR(__xludf.DUMMYFUNCTION("""COMPUTED_VALUE"""),0.0)</f>
        <v>0</v>
      </c>
      <c r="AD361" s="447">
        <f>IFERROR(__xludf.DUMMYFUNCTION("""COMPUTED_VALUE"""),0.0)</f>
        <v>0</v>
      </c>
      <c r="AE361" s="447">
        <f>IFERROR(__xludf.DUMMYFUNCTION("""COMPUTED_VALUE"""),0.0)</f>
        <v>0</v>
      </c>
      <c r="AF361" s="447">
        <f>IFERROR(__xludf.DUMMYFUNCTION("""COMPUTED_VALUE"""),0.0)</f>
        <v>0</v>
      </c>
      <c r="AG361" s="443" t="s">
        <v>148</v>
      </c>
      <c r="AH361" s="443" t="s">
        <v>343</v>
      </c>
      <c r="AI361" s="443"/>
      <c r="AJ361" s="443"/>
      <c r="AK361" s="443"/>
      <c r="AL361" s="443"/>
      <c r="AM361" s="443"/>
      <c r="AN361" s="443"/>
      <c r="AO361" s="443"/>
      <c r="AP361" s="443"/>
      <c r="AQ361" s="443"/>
      <c r="AR361" s="443"/>
      <c r="AS361" s="443"/>
      <c r="AT361" s="443"/>
      <c r="AU361" s="443"/>
      <c r="AV361" s="443"/>
      <c r="AW361" s="443"/>
      <c r="AX361" s="443"/>
      <c r="AY361" s="443"/>
      <c r="AZ361" s="443"/>
      <c r="BA361" s="443"/>
      <c r="BB361" s="443"/>
      <c r="BC361" s="443"/>
      <c r="BD361" s="443"/>
      <c r="BE361" s="443"/>
    </row>
    <row r="362" hidden="1">
      <c r="A362" s="445">
        <f t="shared" si="5"/>
        <v>45652</v>
      </c>
      <c r="B362" s="449">
        <v>624.0</v>
      </c>
      <c r="C362" s="462">
        <v>0.6</v>
      </c>
      <c r="D362" s="462">
        <v>1.2416666666666667</v>
      </c>
      <c r="E362" s="436">
        <f t="array" ref="E362">IF(B362=0,"",(J362+K362)/60)</f>
        <v>3.683333333</v>
      </c>
      <c r="F362" s="437">
        <f t="shared" si="1"/>
        <v>15.4</v>
      </c>
      <c r="G362" s="438">
        <f t="shared" si="8"/>
        <v>40.51948052</v>
      </c>
      <c r="H362" s="438">
        <f t="shared" si="3"/>
        <v>53.25746799</v>
      </c>
      <c r="I362" s="436">
        <f t="shared" si="6"/>
        <v>0.9004329004</v>
      </c>
      <c r="J362" s="460">
        <v>60.0</v>
      </c>
      <c r="K362" s="464">
        <f>127+34</f>
        <v>161</v>
      </c>
      <c r="L362" s="443"/>
      <c r="M362" s="447">
        <f>IFERROR(__xludf.DUMMYFUNCTION("""COMPUTED_VALUE"""),57.0)</f>
        <v>57</v>
      </c>
      <c r="N362" s="447">
        <f>IFERROR(__xludf.DUMMYFUNCTION("""COMPUTED_VALUE"""),54.0)</f>
        <v>54</v>
      </c>
      <c r="O362" s="447">
        <f>IFERROR(__xludf.DUMMYFUNCTION("""COMPUTED_VALUE"""),0.0)</f>
        <v>0</v>
      </c>
      <c r="P362" s="447">
        <f>IFERROR(__xludf.DUMMYFUNCTION("""COMPUTED_VALUE"""),0.0)</f>
        <v>0</v>
      </c>
      <c r="Q362" s="447">
        <f>IFERROR(__xludf.DUMMYFUNCTION("""COMPUTED_VALUE"""),1.0)</f>
        <v>1</v>
      </c>
      <c r="R362" s="447">
        <f>IFERROR(__xludf.DUMMYFUNCTION("""COMPUTED_VALUE"""),0.0)</f>
        <v>0</v>
      </c>
      <c r="S362" s="447">
        <f>IFERROR(__xludf.DUMMYFUNCTION("""COMPUTED_VALUE"""),4.0)</f>
        <v>4</v>
      </c>
      <c r="T362" s="447">
        <f>IFERROR(__xludf.DUMMYFUNCTION("""COMPUTED_VALUE"""),0.0)</f>
        <v>0</v>
      </c>
      <c r="U362" s="447">
        <f>IFERROR(__xludf.DUMMYFUNCTION("""COMPUTED_VALUE"""),3.0)</f>
        <v>3</v>
      </c>
      <c r="V362" s="447">
        <f>IFERROR(__xludf.DUMMYFUNCTION("""COMPUTED_VALUE"""),0.0)</f>
        <v>0</v>
      </c>
      <c r="W362" s="447">
        <f>IFERROR(__xludf.DUMMYFUNCTION("""COMPUTED_VALUE"""),0.0)</f>
        <v>0</v>
      </c>
      <c r="X362" s="447">
        <f>IFERROR(__xludf.DUMMYFUNCTION("""COMPUTED_VALUE"""),0.0)</f>
        <v>0</v>
      </c>
      <c r="Y362" s="447">
        <f>IFERROR(__xludf.DUMMYFUNCTION("""COMPUTED_VALUE"""),0.0)</f>
        <v>0</v>
      </c>
      <c r="Z362" s="447">
        <f>IFERROR(__xludf.DUMMYFUNCTION("""COMPUTED_VALUE"""),0.0)</f>
        <v>0</v>
      </c>
      <c r="AA362" s="447">
        <f>IFERROR(__xludf.DUMMYFUNCTION("""COMPUTED_VALUE"""),0.0)</f>
        <v>0</v>
      </c>
      <c r="AB362" s="447">
        <f>IFERROR(__xludf.DUMMYFUNCTION("""COMPUTED_VALUE"""),0.0)</f>
        <v>0</v>
      </c>
      <c r="AC362" s="447">
        <f>IFERROR(__xludf.DUMMYFUNCTION("""COMPUTED_VALUE"""),1.0)</f>
        <v>1</v>
      </c>
      <c r="AD362" s="447">
        <f>IFERROR(__xludf.DUMMYFUNCTION("""COMPUTED_VALUE"""),45.0)</f>
        <v>45</v>
      </c>
      <c r="AE362" s="447">
        <f>IFERROR(__xludf.DUMMYFUNCTION("""COMPUTED_VALUE"""),9.0)</f>
        <v>9</v>
      </c>
      <c r="AF362" s="447">
        <f>IFERROR(__xludf.DUMMYFUNCTION("""COMPUTED_VALUE"""),3.0)</f>
        <v>3</v>
      </c>
      <c r="AG362" s="443" t="s">
        <v>148</v>
      </c>
      <c r="AH362" s="443" t="s">
        <v>343</v>
      </c>
      <c r="AI362" s="443"/>
      <c r="AJ362" s="443"/>
      <c r="AK362" s="443"/>
      <c r="AL362" s="443"/>
      <c r="AM362" s="443"/>
      <c r="AN362" s="443"/>
      <c r="AO362" s="443"/>
      <c r="AP362" s="443"/>
      <c r="AQ362" s="443"/>
      <c r="AR362" s="443"/>
      <c r="AS362" s="443"/>
      <c r="AT362" s="443"/>
      <c r="AU362" s="443"/>
      <c r="AV362" s="443"/>
      <c r="AW362" s="443"/>
      <c r="AX362" s="443"/>
      <c r="AY362" s="443"/>
      <c r="AZ362" s="443"/>
      <c r="BA362" s="443"/>
      <c r="BB362" s="443"/>
      <c r="BC362" s="443"/>
      <c r="BD362" s="443"/>
      <c r="BE362" s="443"/>
    </row>
    <row r="363" hidden="1">
      <c r="A363" s="445">
        <f t="shared" si="5"/>
        <v>45653</v>
      </c>
      <c r="B363" s="449">
        <v>589.0</v>
      </c>
      <c r="C363" s="462">
        <v>0.6833333333333333</v>
      </c>
      <c r="D363" s="462">
        <v>1.0763888888888888</v>
      </c>
      <c r="E363" s="436">
        <f t="array" ref="E363">IF(B363=0,"",(J363+K363)/60)</f>
        <v>1</v>
      </c>
      <c r="F363" s="437">
        <f t="shared" si="1"/>
        <v>9.433333333</v>
      </c>
      <c r="G363" s="438">
        <f t="shared" si="8"/>
        <v>62.43816254</v>
      </c>
      <c r="H363" s="438">
        <f t="shared" si="3"/>
        <v>69.84189723</v>
      </c>
      <c r="I363" s="436">
        <f t="shared" si="6"/>
        <v>1.387514723</v>
      </c>
      <c r="J363" s="460">
        <v>60.0</v>
      </c>
      <c r="K363" s="464"/>
      <c r="L363" s="443"/>
      <c r="M363" s="447">
        <f>IFERROR(__xludf.DUMMYFUNCTION("""COMPUTED_VALUE"""),57.0)</f>
        <v>57</v>
      </c>
      <c r="N363" s="447">
        <f>IFERROR(__xludf.DUMMYFUNCTION("""COMPUTED_VALUE"""),52.0)</f>
        <v>52</v>
      </c>
      <c r="O363" s="447">
        <f>IFERROR(__xludf.DUMMYFUNCTION("""COMPUTED_VALUE"""),0.0)</f>
        <v>0</v>
      </c>
      <c r="P363" s="447">
        <f>IFERROR(__xludf.DUMMYFUNCTION("""COMPUTED_VALUE"""),0.0)</f>
        <v>0</v>
      </c>
      <c r="Q363" s="447">
        <f>IFERROR(__xludf.DUMMYFUNCTION("""COMPUTED_VALUE"""),0.0)</f>
        <v>0</v>
      </c>
      <c r="R363" s="447">
        <f>IFERROR(__xludf.DUMMYFUNCTION("""COMPUTED_VALUE"""),0.0)</f>
        <v>0</v>
      </c>
      <c r="S363" s="447">
        <f>IFERROR(__xludf.DUMMYFUNCTION("""COMPUTED_VALUE"""),4.0)</f>
        <v>4</v>
      </c>
      <c r="T363" s="447">
        <f>IFERROR(__xludf.DUMMYFUNCTION("""COMPUTED_VALUE"""),0.0)</f>
        <v>0</v>
      </c>
      <c r="U363" s="447">
        <f>IFERROR(__xludf.DUMMYFUNCTION("""COMPUTED_VALUE"""),5.0)</f>
        <v>5</v>
      </c>
      <c r="V363" s="447">
        <f>IFERROR(__xludf.DUMMYFUNCTION("""COMPUTED_VALUE"""),0.0)</f>
        <v>0</v>
      </c>
      <c r="W363" s="447">
        <f>IFERROR(__xludf.DUMMYFUNCTION("""COMPUTED_VALUE"""),0.0)</f>
        <v>0</v>
      </c>
      <c r="X363" s="447">
        <f>IFERROR(__xludf.DUMMYFUNCTION("""COMPUTED_VALUE"""),0.0)</f>
        <v>0</v>
      </c>
      <c r="Y363" s="447">
        <f>IFERROR(__xludf.DUMMYFUNCTION("""COMPUTED_VALUE"""),0.0)</f>
        <v>0</v>
      </c>
      <c r="Z363" s="447">
        <f>IFERROR(__xludf.DUMMYFUNCTION("""COMPUTED_VALUE"""),0.0)</f>
        <v>0</v>
      </c>
      <c r="AA363" s="447">
        <f>IFERROR(__xludf.DUMMYFUNCTION("""COMPUTED_VALUE"""),0.0)</f>
        <v>0</v>
      </c>
      <c r="AB363" s="447">
        <f>IFERROR(__xludf.DUMMYFUNCTION("""COMPUTED_VALUE"""),0.0)</f>
        <v>0</v>
      </c>
      <c r="AC363" s="447">
        <f>IFERROR(__xludf.DUMMYFUNCTION("""COMPUTED_VALUE"""),0.0)</f>
        <v>0</v>
      </c>
      <c r="AD363" s="447">
        <f>IFERROR(__xludf.DUMMYFUNCTION("""COMPUTED_VALUE"""),45.0)</f>
        <v>45</v>
      </c>
      <c r="AE363" s="447">
        <f>IFERROR(__xludf.DUMMYFUNCTION("""COMPUTED_VALUE"""),9.0)</f>
        <v>9</v>
      </c>
      <c r="AF363" s="447">
        <f>IFERROR(__xludf.DUMMYFUNCTION("""COMPUTED_VALUE"""),5.0)</f>
        <v>5</v>
      </c>
      <c r="AG363" s="443" t="s">
        <v>148</v>
      </c>
      <c r="AH363" s="443" t="s">
        <v>343</v>
      </c>
      <c r="AI363" s="443"/>
      <c r="AJ363" s="443"/>
      <c r="AK363" s="443"/>
      <c r="AL363" s="443"/>
      <c r="AM363" s="443"/>
      <c r="AN363" s="443"/>
      <c r="AO363" s="443"/>
      <c r="AP363" s="443"/>
      <c r="AQ363" s="443"/>
      <c r="AR363" s="443"/>
      <c r="AS363" s="443"/>
      <c r="AT363" s="443"/>
      <c r="AU363" s="443"/>
      <c r="AV363" s="443"/>
      <c r="AW363" s="443"/>
      <c r="AX363" s="443"/>
      <c r="AY363" s="443"/>
      <c r="AZ363" s="443"/>
      <c r="BA363" s="443"/>
      <c r="BB363" s="443"/>
      <c r="BC363" s="443"/>
      <c r="BD363" s="443"/>
      <c r="BE363" s="443"/>
    </row>
    <row r="364" hidden="1">
      <c r="A364" s="445">
        <f t="shared" si="5"/>
        <v>45654</v>
      </c>
      <c r="B364" s="449">
        <v>616.0</v>
      </c>
      <c r="C364" s="462">
        <v>0.6</v>
      </c>
      <c r="D364" s="462">
        <v>1.0277777777777777</v>
      </c>
      <c r="E364" s="436">
        <f t="array" ref="E364">IF(B364=0,"",(J364+K364)/60)</f>
        <v>1</v>
      </c>
      <c r="F364" s="437">
        <f t="shared" si="1"/>
        <v>10.26666667</v>
      </c>
      <c r="G364" s="438">
        <f t="shared" si="8"/>
        <v>60</v>
      </c>
      <c r="H364" s="438">
        <f t="shared" si="3"/>
        <v>66.47482014</v>
      </c>
      <c r="I364" s="436">
        <f t="shared" si="6"/>
        <v>1.333333333</v>
      </c>
      <c r="J364" s="460">
        <v>60.0</v>
      </c>
      <c r="K364" s="464"/>
      <c r="L364" s="443"/>
      <c r="M364" s="447">
        <f>IFERROR(__xludf.DUMMYFUNCTION("""COMPUTED_VALUE"""),57.0)</f>
        <v>57</v>
      </c>
      <c r="N364" s="447">
        <f>IFERROR(__xludf.DUMMYFUNCTION("""COMPUTED_VALUE"""),52.0)</f>
        <v>52</v>
      </c>
      <c r="O364" s="447">
        <f>IFERROR(__xludf.DUMMYFUNCTION("""COMPUTED_VALUE"""),0.0)</f>
        <v>0</v>
      </c>
      <c r="P364" s="447">
        <f>IFERROR(__xludf.DUMMYFUNCTION("""COMPUTED_VALUE"""),0.0)</f>
        <v>0</v>
      </c>
      <c r="Q364" s="447">
        <f>IFERROR(__xludf.DUMMYFUNCTION("""COMPUTED_VALUE"""),0.0)</f>
        <v>0</v>
      </c>
      <c r="R364" s="447">
        <f>IFERROR(__xludf.DUMMYFUNCTION("""COMPUTED_VALUE"""),0.0)</f>
        <v>0</v>
      </c>
      <c r="S364" s="447">
        <f>IFERROR(__xludf.DUMMYFUNCTION("""COMPUTED_VALUE"""),3.0)</f>
        <v>3</v>
      </c>
      <c r="T364" s="447">
        <f>IFERROR(__xludf.DUMMYFUNCTION("""COMPUTED_VALUE"""),0.0)</f>
        <v>0</v>
      </c>
      <c r="U364" s="447">
        <f>IFERROR(__xludf.DUMMYFUNCTION("""COMPUTED_VALUE"""),5.0)</f>
        <v>5</v>
      </c>
      <c r="V364" s="447">
        <f>IFERROR(__xludf.DUMMYFUNCTION("""COMPUTED_VALUE"""),0.0)</f>
        <v>0</v>
      </c>
      <c r="W364" s="447">
        <f>IFERROR(__xludf.DUMMYFUNCTION("""COMPUTED_VALUE"""),0.0)</f>
        <v>0</v>
      </c>
      <c r="X364" s="447">
        <f>IFERROR(__xludf.DUMMYFUNCTION("""COMPUTED_VALUE"""),0.0)</f>
        <v>0</v>
      </c>
      <c r="Y364" s="447">
        <f>IFERROR(__xludf.DUMMYFUNCTION("""COMPUTED_VALUE"""),0.0)</f>
        <v>0</v>
      </c>
      <c r="Z364" s="447">
        <f>IFERROR(__xludf.DUMMYFUNCTION("""COMPUTED_VALUE"""),0.0)</f>
        <v>0</v>
      </c>
      <c r="AA364" s="447">
        <f>IFERROR(__xludf.DUMMYFUNCTION("""COMPUTED_VALUE"""),0.0)</f>
        <v>0</v>
      </c>
      <c r="AB364" s="447">
        <f>IFERROR(__xludf.DUMMYFUNCTION("""COMPUTED_VALUE"""),0.0)</f>
        <v>0</v>
      </c>
      <c r="AC364" s="447">
        <f>IFERROR(__xludf.DUMMYFUNCTION("""COMPUTED_VALUE"""),1.0)</f>
        <v>1</v>
      </c>
      <c r="AD364" s="447">
        <f>IFERROR(__xludf.DUMMYFUNCTION("""COMPUTED_VALUE"""),45.0)</f>
        <v>45</v>
      </c>
      <c r="AE364" s="447">
        <f>IFERROR(__xludf.DUMMYFUNCTION("""COMPUTED_VALUE"""),9.0)</f>
        <v>9</v>
      </c>
      <c r="AF364" s="447">
        <f>IFERROR(__xludf.DUMMYFUNCTION("""COMPUTED_VALUE"""),5.0)</f>
        <v>5</v>
      </c>
      <c r="AG364" s="443" t="s">
        <v>148</v>
      </c>
      <c r="AH364" s="443" t="s">
        <v>343</v>
      </c>
      <c r="AI364" s="443"/>
      <c r="AJ364" s="443"/>
      <c r="AK364" s="443"/>
      <c r="AL364" s="443"/>
      <c r="AM364" s="443"/>
      <c r="AN364" s="443"/>
      <c r="AO364" s="443"/>
      <c r="AP364" s="443"/>
      <c r="AQ364" s="443"/>
      <c r="AR364" s="443"/>
      <c r="AS364" s="443"/>
      <c r="AT364" s="443"/>
      <c r="AU364" s="443"/>
      <c r="AV364" s="443"/>
      <c r="AW364" s="443"/>
      <c r="AX364" s="443"/>
      <c r="AY364" s="443"/>
      <c r="AZ364" s="443"/>
      <c r="BA364" s="443"/>
      <c r="BB364" s="443"/>
      <c r="BC364" s="443"/>
      <c r="BD364" s="443"/>
      <c r="BE364" s="443"/>
    </row>
    <row r="365" hidden="1">
      <c r="A365" s="445">
        <f t="shared" si="5"/>
        <v>45655</v>
      </c>
      <c r="B365" s="449">
        <v>0.0</v>
      </c>
      <c r="C365" s="443"/>
      <c r="D365" s="462"/>
      <c r="E365" s="436" t="str">
        <f t="array" ref="E365">IF(B365=0,"",(J365+K365)/60)</f>
        <v/>
      </c>
      <c r="F365" s="437" t="str">
        <f t="shared" si="1"/>
        <v/>
      </c>
      <c r="G365" s="438" t="str">
        <f t="shared" si="8"/>
        <v>#DIV/0!</v>
      </c>
      <c r="H365" s="438" t="str">
        <f t="shared" si="3"/>
        <v/>
      </c>
      <c r="I365" s="436" t="str">
        <f t="shared" si="6"/>
        <v/>
      </c>
      <c r="J365" s="464"/>
      <c r="K365" s="464"/>
      <c r="L365" s="443"/>
      <c r="M365" s="447">
        <f>IFERROR(__xludf.DUMMYFUNCTION("""COMPUTED_VALUE"""),57.0)</f>
        <v>57</v>
      </c>
      <c r="N365" s="447">
        <f>IFERROR(__xludf.DUMMYFUNCTION("""COMPUTED_VALUE"""),57.0)</f>
        <v>57</v>
      </c>
      <c r="O365" s="447">
        <f>IFERROR(__xludf.DUMMYFUNCTION("""COMPUTED_VALUE"""),0.0)</f>
        <v>0</v>
      </c>
      <c r="P365" s="447">
        <f>IFERROR(__xludf.DUMMYFUNCTION("""COMPUTED_VALUE"""),0.0)</f>
        <v>0</v>
      </c>
      <c r="Q365" s="447">
        <f>IFERROR(__xludf.DUMMYFUNCTION("""COMPUTED_VALUE"""),0.0)</f>
        <v>0</v>
      </c>
      <c r="R365" s="447">
        <f>IFERROR(__xludf.DUMMYFUNCTION("""COMPUTED_VALUE"""),0.0)</f>
        <v>0</v>
      </c>
      <c r="S365" s="447">
        <f>IFERROR(__xludf.DUMMYFUNCTION("""COMPUTED_VALUE"""),0.0)</f>
        <v>0</v>
      </c>
      <c r="T365" s="447">
        <f>IFERROR(__xludf.DUMMYFUNCTION("""COMPUTED_VALUE"""),0.0)</f>
        <v>0</v>
      </c>
      <c r="U365" s="447">
        <f>IFERROR(__xludf.DUMMYFUNCTION("""COMPUTED_VALUE"""),0.0)</f>
        <v>0</v>
      </c>
      <c r="V365" s="447">
        <f>IFERROR(__xludf.DUMMYFUNCTION("""COMPUTED_VALUE"""),0.0)</f>
        <v>0</v>
      </c>
      <c r="W365" s="447">
        <f>IFERROR(__xludf.DUMMYFUNCTION("""COMPUTED_VALUE"""),0.0)</f>
        <v>0</v>
      </c>
      <c r="X365" s="447">
        <f>IFERROR(__xludf.DUMMYFUNCTION("""COMPUTED_VALUE"""),0.0)</f>
        <v>0</v>
      </c>
      <c r="Y365" s="447">
        <f>IFERROR(__xludf.DUMMYFUNCTION("""COMPUTED_VALUE"""),0.0)</f>
        <v>0</v>
      </c>
      <c r="Z365" s="447">
        <f>IFERROR(__xludf.DUMMYFUNCTION("""COMPUTED_VALUE"""),0.0)</f>
        <v>0</v>
      </c>
      <c r="AA365" s="447">
        <f>IFERROR(__xludf.DUMMYFUNCTION("""COMPUTED_VALUE"""),0.0)</f>
        <v>0</v>
      </c>
      <c r="AB365" s="447">
        <f>IFERROR(__xludf.DUMMYFUNCTION("""COMPUTED_VALUE"""),0.0)</f>
        <v>0</v>
      </c>
      <c r="AC365" s="447">
        <f>IFERROR(__xludf.DUMMYFUNCTION("""COMPUTED_VALUE"""),0.0)</f>
        <v>0</v>
      </c>
      <c r="AD365" s="447">
        <f>IFERROR(__xludf.DUMMYFUNCTION("""COMPUTED_VALUE"""),0.0)</f>
        <v>0</v>
      </c>
      <c r="AE365" s="447">
        <f>IFERROR(__xludf.DUMMYFUNCTION("""COMPUTED_VALUE"""),0.0)</f>
        <v>0</v>
      </c>
      <c r="AF365" s="447">
        <f>IFERROR(__xludf.DUMMYFUNCTION("""COMPUTED_VALUE"""),0.0)</f>
        <v>0</v>
      </c>
      <c r="AG365" s="443" t="s">
        <v>148</v>
      </c>
      <c r="AH365" s="443" t="s">
        <v>343</v>
      </c>
      <c r="AI365" s="443"/>
      <c r="AJ365" s="443"/>
      <c r="AK365" s="443"/>
      <c r="AL365" s="443"/>
      <c r="AM365" s="443"/>
      <c r="AN365" s="443"/>
      <c r="AO365" s="443"/>
      <c r="AP365" s="443"/>
      <c r="AQ365" s="443"/>
      <c r="AR365" s="443"/>
      <c r="AS365" s="443"/>
      <c r="AT365" s="443"/>
      <c r="AU365" s="443"/>
      <c r="AV365" s="443"/>
      <c r="AW365" s="443"/>
      <c r="AX365" s="443"/>
      <c r="AY365" s="443"/>
      <c r="AZ365" s="443"/>
      <c r="BA365" s="443"/>
      <c r="BB365" s="443"/>
      <c r="BC365" s="443"/>
      <c r="BD365" s="443"/>
      <c r="BE365" s="443"/>
    </row>
    <row r="366" hidden="1">
      <c r="A366" s="445">
        <f t="shared" si="5"/>
        <v>45656</v>
      </c>
      <c r="B366" s="449">
        <v>690.0</v>
      </c>
      <c r="C366" s="462">
        <v>0.5166666666666667</v>
      </c>
      <c r="D366" s="462">
        <v>0.9548611111111112</v>
      </c>
      <c r="E366" s="436">
        <f t="array" ref="E366">IF(B366=0,"",(J366+K366)/60)</f>
        <v>1.25</v>
      </c>
      <c r="F366" s="437">
        <f t="shared" si="1"/>
        <v>10.51666667</v>
      </c>
      <c r="G366" s="438">
        <f t="shared" si="8"/>
        <v>65.61014263</v>
      </c>
      <c r="H366" s="438">
        <f t="shared" si="3"/>
        <v>74.46043165</v>
      </c>
      <c r="I366" s="436">
        <f t="shared" si="6"/>
        <v>1.395960482</v>
      </c>
      <c r="J366" s="460">
        <v>75.0</v>
      </c>
      <c r="K366" s="464"/>
      <c r="L366" s="443"/>
      <c r="M366" s="447">
        <f>IFERROR(__xludf.DUMMYFUNCTION("""COMPUTED_VALUE"""),57.0)</f>
        <v>57</v>
      </c>
      <c r="N366" s="447">
        <f>IFERROR(__xludf.DUMMYFUNCTION("""COMPUTED_VALUE"""),52.0)</f>
        <v>52</v>
      </c>
      <c r="O366" s="447">
        <f>IFERROR(__xludf.DUMMYFUNCTION("""COMPUTED_VALUE"""),0.0)</f>
        <v>0</v>
      </c>
      <c r="P366" s="447">
        <f>IFERROR(__xludf.DUMMYFUNCTION("""COMPUTED_VALUE"""),0.0)</f>
        <v>0</v>
      </c>
      <c r="Q366" s="447">
        <f>IFERROR(__xludf.DUMMYFUNCTION("""COMPUTED_VALUE"""),1.0)</f>
        <v>1</v>
      </c>
      <c r="R366" s="447">
        <f>IFERROR(__xludf.DUMMYFUNCTION("""COMPUTED_VALUE"""),0.0)</f>
        <v>0</v>
      </c>
      <c r="S366" s="447">
        <f>IFERROR(__xludf.DUMMYFUNCTION("""COMPUTED_VALUE"""),1.0)</f>
        <v>1</v>
      </c>
      <c r="T366" s="447">
        <f>IFERROR(__xludf.DUMMYFUNCTION("""COMPUTED_VALUE"""),0.0)</f>
        <v>0</v>
      </c>
      <c r="U366" s="447">
        <f>IFERROR(__xludf.DUMMYFUNCTION("""COMPUTED_VALUE"""),5.0)</f>
        <v>5</v>
      </c>
      <c r="V366" s="447">
        <f>IFERROR(__xludf.DUMMYFUNCTION("""COMPUTED_VALUE"""),0.0)</f>
        <v>0</v>
      </c>
      <c r="W366" s="447">
        <f>IFERROR(__xludf.DUMMYFUNCTION("""COMPUTED_VALUE"""),0.0)</f>
        <v>0</v>
      </c>
      <c r="X366" s="447">
        <f>IFERROR(__xludf.DUMMYFUNCTION("""COMPUTED_VALUE"""),0.0)</f>
        <v>0</v>
      </c>
      <c r="Y366" s="447">
        <f>IFERROR(__xludf.DUMMYFUNCTION("""COMPUTED_VALUE"""),0.0)</f>
        <v>0</v>
      </c>
      <c r="Z366" s="447">
        <f>IFERROR(__xludf.DUMMYFUNCTION("""COMPUTED_VALUE"""),0.0)</f>
        <v>0</v>
      </c>
      <c r="AA366" s="447">
        <f>IFERROR(__xludf.DUMMYFUNCTION("""COMPUTED_VALUE"""),0.0)</f>
        <v>0</v>
      </c>
      <c r="AB366" s="447">
        <f>IFERROR(__xludf.DUMMYFUNCTION("""COMPUTED_VALUE"""),0.0)</f>
        <v>0</v>
      </c>
      <c r="AC366" s="447">
        <f>IFERROR(__xludf.DUMMYFUNCTION("""COMPUTED_VALUE"""),0.0)</f>
        <v>0</v>
      </c>
      <c r="AD366" s="447">
        <f>IFERROR(__xludf.DUMMYFUNCTION("""COMPUTED_VALUE"""),47.0)</f>
        <v>47</v>
      </c>
      <c r="AE366" s="447">
        <f>IFERROR(__xludf.DUMMYFUNCTION("""COMPUTED_VALUE"""),7.0)</f>
        <v>7</v>
      </c>
      <c r="AF366" s="447">
        <f>IFERROR(__xludf.DUMMYFUNCTION("""COMPUTED_VALUE"""),5.0)</f>
        <v>5</v>
      </c>
      <c r="AG366" s="443" t="s">
        <v>148</v>
      </c>
      <c r="AH366" s="443" t="s">
        <v>343</v>
      </c>
      <c r="AI366" s="443"/>
      <c r="AJ366" s="443"/>
      <c r="AK366" s="443"/>
      <c r="AL366" s="443"/>
      <c r="AM366" s="443"/>
      <c r="AN366" s="443"/>
      <c r="AO366" s="443"/>
      <c r="AP366" s="443"/>
      <c r="AQ366" s="443"/>
      <c r="AR366" s="443"/>
      <c r="AS366" s="443"/>
      <c r="AT366" s="443"/>
      <c r="AU366" s="443"/>
      <c r="AV366" s="443"/>
      <c r="AW366" s="443"/>
      <c r="AX366" s="443"/>
      <c r="AY366" s="443"/>
      <c r="AZ366" s="443"/>
      <c r="BA366" s="443"/>
      <c r="BB366" s="443"/>
      <c r="BC366" s="443"/>
      <c r="BD366" s="443"/>
      <c r="BE366" s="443"/>
    </row>
    <row r="367" hidden="1">
      <c r="A367" s="445">
        <f t="shared" si="5"/>
        <v>45657</v>
      </c>
      <c r="B367" s="449">
        <v>0.0</v>
      </c>
      <c r="C367" s="443"/>
      <c r="D367" s="462"/>
      <c r="E367" s="436" t="str">
        <f t="array" ref="E367">IF(B367=0,"",(J367+K367)/60)</f>
        <v/>
      </c>
      <c r="F367" s="437" t="str">
        <f t="shared" si="1"/>
        <v/>
      </c>
      <c r="G367" s="438" t="str">
        <f t="shared" si="8"/>
        <v>#DIV/0!</v>
      </c>
      <c r="H367" s="438" t="str">
        <f t="shared" si="3"/>
        <v/>
      </c>
      <c r="I367" s="436" t="str">
        <f t="shared" si="6"/>
        <v/>
      </c>
      <c r="J367" s="464"/>
      <c r="K367" s="464"/>
      <c r="L367" s="443"/>
      <c r="M367" s="447">
        <f>IFERROR(__xludf.DUMMYFUNCTION("""COMPUTED_VALUE"""),57.0)</f>
        <v>57</v>
      </c>
      <c r="N367" s="447">
        <f>IFERROR(__xludf.DUMMYFUNCTION("""COMPUTED_VALUE"""),57.0)</f>
        <v>57</v>
      </c>
      <c r="O367" s="447">
        <f>IFERROR(__xludf.DUMMYFUNCTION("""COMPUTED_VALUE"""),0.0)</f>
        <v>0</v>
      </c>
      <c r="P367" s="447">
        <f>IFERROR(__xludf.DUMMYFUNCTION("""COMPUTED_VALUE"""),0.0)</f>
        <v>0</v>
      </c>
      <c r="Q367" s="447">
        <f>IFERROR(__xludf.DUMMYFUNCTION("""COMPUTED_VALUE"""),0.0)</f>
        <v>0</v>
      </c>
      <c r="R367" s="447">
        <f>IFERROR(__xludf.DUMMYFUNCTION("""COMPUTED_VALUE"""),0.0)</f>
        <v>0</v>
      </c>
      <c r="S367" s="447">
        <f>IFERROR(__xludf.DUMMYFUNCTION("""COMPUTED_VALUE"""),0.0)</f>
        <v>0</v>
      </c>
      <c r="T367" s="447">
        <f>IFERROR(__xludf.DUMMYFUNCTION("""COMPUTED_VALUE"""),0.0)</f>
        <v>0</v>
      </c>
      <c r="U367" s="447">
        <f>IFERROR(__xludf.DUMMYFUNCTION("""COMPUTED_VALUE"""),0.0)</f>
        <v>0</v>
      </c>
      <c r="V367" s="447">
        <f>IFERROR(__xludf.DUMMYFUNCTION("""COMPUTED_VALUE"""),0.0)</f>
        <v>0</v>
      </c>
      <c r="W367" s="447">
        <f>IFERROR(__xludf.DUMMYFUNCTION("""COMPUTED_VALUE"""),0.0)</f>
        <v>0</v>
      </c>
      <c r="X367" s="447">
        <f>IFERROR(__xludf.DUMMYFUNCTION("""COMPUTED_VALUE"""),0.0)</f>
        <v>0</v>
      </c>
      <c r="Y367" s="447">
        <f>IFERROR(__xludf.DUMMYFUNCTION("""COMPUTED_VALUE"""),0.0)</f>
        <v>0</v>
      </c>
      <c r="Z367" s="447">
        <f>IFERROR(__xludf.DUMMYFUNCTION("""COMPUTED_VALUE"""),0.0)</f>
        <v>0</v>
      </c>
      <c r="AA367" s="447">
        <f>IFERROR(__xludf.DUMMYFUNCTION("""COMPUTED_VALUE"""),0.0)</f>
        <v>0</v>
      </c>
      <c r="AB367" s="447">
        <f>IFERROR(__xludf.DUMMYFUNCTION("""COMPUTED_VALUE"""),0.0)</f>
        <v>0</v>
      </c>
      <c r="AC367" s="447">
        <f>IFERROR(__xludf.DUMMYFUNCTION("""COMPUTED_VALUE"""),0.0)</f>
        <v>0</v>
      </c>
      <c r="AD367" s="447">
        <f>IFERROR(__xludf.DUMMYFUNCTION("""COMPUTED_VALUE"""),0.0)</f>
        <v>0</v>
      </c>
      <c r="AE367" s="447">
        <f>IFERROR(__xludf.DUMMYFUNCTION("""COMPUTED_VALUE"""),0.0)</f>
        <v>0</v>
      </c>
      <c r="AF367" s="447">
        <f>IFERROR(__xludf.DUMMYFUNCTION("""COMPUTED_VALUE"""),0.0)</f>
        <v>0</v>
      </c>
      <c r="AG367" s="443" t="s">
        <v>148</v>
      </c>
      <c r="AH367" s="443" t="s">
        <v>343</v>
      </c>
      <c r="AI367" s="443"/>
      <c r="AJ367" s="443"/>
      <c r="AK367" s="443"/>
      <c r="AL367" s="443"/>
      <c r="AM367" s="443"/>
      <c r="AN367" s="443"/>
      <c r="AO367" s="443"/>
      <c r="AP367" s="443"/>
      <c r="AQ367" s="443"/>
      <c r="AR367" s="443"/>
      <c r="AS367" s="443"/>
      <c r="AT367" s="443"/>
      <c r="AU367" s="443"/>
      <c r="AV367" s="443"/>
      <c r="AW367" s="443"/>
      <c r="AX367" s="443"/>
      <c r="AY367" s="443"/>
      <c r="AZ367" s="443"/>
      <c r="BA367" s="443"/>
      <c r="BB367" s="443"/>
      <c r="BC367" s="443"/>
      <c r="BD367" s="443"/>
      <c r="BE367" s="443"/>
    </row>
    <row r="368" hidden="1">
      <c r="A368" s="445">
        <f t="shared" si="5"/>
        <v>45658</v>
      </c>
      <c r="B368" s="449">
        <v>0.0</v>
      </c>
      <c r="C368" s="443"/>
      <c r="D368" s="462"/>
      <c r="E368" s="436" t="str">
        <f t="array" ref="E368">IF(B368=0,"",(J368+K368)/60)</f>
        <v/>
      </c>
      <c r="F368" s="437" t="str">
        <f t="shared" si="1"/>
        <v/>
      </c>
      <c r="G368" s="438" t="str">
        <f t="shared" si="8"/>
        <v>#DIV/0!</v>
      </c>
      <c r="H368" s="438" t="str">
        <f t="shared" si="3"/>
        <v/>
      </c>
      <c r="I368" s="436" t="str">
        <f t="shared" si="6"/>
        <v/>
      </c>
      <c r="J368" s="464"/>
      <c r="K368" s="464"/>
      <c r="L368" s="443"/>
      <c r="M368" s="525">
        <f>IFERROR(__xludf.DUMMYFUNCTION("TRANSPOSE(IMPORTRANGE(""https://docs.google.com/spreadsheets/d/1CNeKSHTeNNJnfn5EymHwGg5Mkuk6EcepW7_9QkJxalc/edit#gid=1218471306"",""ENERO 2025!F2:AJ21""))"),57.0)</f>
        <v>57</v>
      </c>
      <c r="N368" s="447">
        <f>IFERROR(__xludf.DUMMYFUNCTION("""COMPUTED_VALUE"""),56.0)</f>
        <v>56</v>
      </c>
      <c r="O368" s="447">
        <f>IFERROR(__xludf.DUMMYFUNCTION("""COMPUTED_VALUE"""),0.0)</f>
        <v>0</v>
      </c>
      <c r="P368" s="447">
        <f>IFERROR(__xludf.DUMMYFUNCTION("""COMPUTED_VALUE"""),0.0)</f>
        <v>0</v>
      </c>
      <c r="Q368" s="447">
        <f>IFERROR(__xludf.DUMMYFUNCTION("""COMPUTED_VALUE"""),0.0)</f>
        <v>0</v>
      </c>
      <c r="R368" s="447">
        <f>IFERROR(__xludf.DUMMYFUNCTION("""COMPUTED_VALUE"""),0.0)</f>
        <v>0</v>
      </c>
      <c r="S368" s="447">
        <f>IFERROR(__xludf.DUMMYFUNCTION("""COMPUTED_VALUE"""),0.0)</f>
        <v>0</v>
      </c>
      <c r="T368" s="447">
        <f>IFERROR(__xludf.DUMMYFUNCTION("""COMPUTED_VALUE"""),0.0)</f>
        <v>0</v>
      </c>
      <c r="U368" s="447">
        <f>IFERROR(__xludf.DUMMYFUNCTION("""COMPUTED_VALUE"""),1.0)</f>
        <v>1</v>
      </c>
      <c r="V368" s="447">
        <f>IFERROR(__xludf.DUMMYFUNCTION("""COMPUTED_VALUE"""),0.0)</f>
        <v>0</v>
      </c>
      <c r="W368" s="447">
        <f>IFERROR(__xludf.DUMMYFUNCTION("""COMPUTED_VALUE"""),0.0)</f>
        <v>0</v>
      </c>
      <c r="X368" s="447">
        <f>IFERROR(__xludf.DUMMYFUNCTION("""COMPUTED_VALUE"""),0.0)</f>
        <v>0</v>
      </c>
      <c r="Y368" s="447">
        <f>IFERROR(__xludf.DUMMYFUNCTION("""COMPUTED_VALUE"""),0.0)</f>
        <v>0</v>
      </c>
      <c r="Z368" s="447">
        <f>IFERROR(__xludf.DUMMYFUNCTION("""COMPUTED_VALUE"""),0.0)</f>
        <v>0</v>
      </c>
      <c r="AA368" s="447">
        <f>IFERROR(__xludf.DUMMYFUNCTION("""COMPUTED_VALUE"""),0.0)</f>
        <v>0</v>
      </c>
      <c r="AB368" s="447">
        <f>IFERROR(__xludf.DUMMYFUNCTION("""COMPUTED_VALUE"""),0.0)</f>
        <v>0</v>
      </c>
      <c r="AC368" s="447">
        <f>IFERROR(__xludf.DUMMYFUNCTION("""COMPUTED_VALUE"""),0.0)</f>
        <v>0</v>
      </c>
      <c r="AD368" s="447">
        <f>IFERROR(__xludf.DUMMYFUNCTION("""COMPUTED_VALUE"""),0.0)</f>
        <v>0</v>
      </c>
      <c r="AE368" s="447">
        <f>IFERROR(__xludf.DUMMYFUNCTION("""COMPUTED_VALUE"""),1.0)</f>
        <v>1</v>
      </c>
      <c r="AF368" s="447">
        <f>IFERROR(__xludf.DUMMYFUNCTION("""COMPUTED_VALUE"""),1.0)</f>
        <v>1</v>
      </c>
      <c r="AG368" s="443" t="s">
        <v>83</v>
      </c>
      <c r="AH368" s="443" t="s">
        <v>961</v>
      </c>
      <c r="AI368" s="443"/>
      <c r="AJ368" s="443"/>
      <c r="AK368" s="443"/>
      <c r="AL368" s="443"/>
      <c r="AM368" s="443"/>
      <c r="AN368" s="443"/>
      <c r="AO368" s="443"/>
      <c r="AP368" s="443"/>
      <c r="AQ368" s="443"/>
      <c r="AR368" s="443"/>
      <c r="AS368" s="443"/>
      <c r="AT368" s="443"/>
      <c r="AU368" s="443"/>
      <c r="AV368" s="443"/>
      <c r="AW368" s="443"/>
      <c r="AX368" s="443"/>
      <c r="AY368" s="443"/>
      <c r="AZ368" s="443"/>
      <c r="BA368" s="443"/>
      <c r="BB368" s="443"/>
      <c r="BC368" s="443"/>
      <c r="BD368" s="443"/>
      <c r="BE368" s="443"/>
    </row>
    <row r="369" hidden="1">
      <c r="A369" s="445">
        <f t="shared" si="5"/>
        <v>45659</v>
      </c>
      <c r="B369" s="449">
        <v>443.0</v>
      </c>
      <c r="C369" s="462">
        <v>0.6</v>
      </c>
      <c r="D369" s="462">
        <v>0.9305555555555556</v>
      </c>
      <c r="E369" s="436">
        <f t="array" ref="E369">IF(B369=0,"",(J369+K369)/60)</f>
        <v>0.3333333333</v>
      </c>
      <c r="F369" s="437">
        <f t="shared" si="1"/>
        <v>7.933333333</v>
      </c>
      <c r="G369" s="438">
        <f t="shared" si="8"/>
        <v>55.84033613</v>
      </c>
      <c r="H369" s="438">
        <f t="shared" si="3"/>
        <v>58.28947368</v>
      </c>
      <c r="I369" s="436">
        <f t="shared" si="6"/>
        <v>1.361959418</v>
      </c>
      <c r="J369" s="460">
        <v>20.0</v>
      </c>
      <c r="K369" s="464"/>
      <c r="L369" s="443"/>
      <c r="M369" s="447">
        <f>IFERROR(__xludf.DUMMYFUNCTION("""COMPUTED_VALUE"""),57.0)</f>
        <v>57</v>
      </c>
      <c r="N369" s="447">
        <f>IFERROR(__xludf.DUMMYFUNCTION("""COMPUTED_VALUE"""),52.0)</f>
        <v>52</v>
      </c>
      <c r="O369" s="447">
        <f>IFERROR(__xludf.DUMMYFUNCTION("""COMPUTED_VALUE"""),0.0)</f>
        <v>0</v>
      </c>
      <c r="P369" s="447">
        <f>IFERROR(__xludf.DUMMYFUNCTION("""COMPUTED_VALUE"""),0.0)</f>
        <v>0</v>
      </c>
      <c r="Q369" s="447">
        <f>IFERROR(__xludf.DUMMYFUNCTION("""COMPUTED_VALUE"""),2.0)</f>
        <v>2</v>
      </c>
      <c r="R369" s="447">
        <f>IFERROR(__xludf.DUMMYFUNCTION("""COMPUTED_VALUE"""),0.0)</f>
        <v>0</v>
      </c>
      <c r="S369" s="447">
        <f>IFERROR(__xludf.DUMMYFUNCTION("""COMPUTED_VALUE"""),2.0)</f>
        <v>2</v>
      </c>
      <c r="T369" s="447">
        <f>IFERROR(__xludf.DUMMYFUNCTION("""COMPUTED_VALUE"""),0.0)</f>
        <v>0</v>
      </c>
      <c r="U369" s="447">
        <f>IFERROR(__xludf.DUMMYFUNCTION("""COMPUTED_VALUE"""),5.0)</f>
        <v>5</v>
      </c>
      <c r="V369" s="447">
        <f>IFERROR(__xludf.DUMMYFUNCTION("""COMPUTED_VALUE"""),3.0)</f>
        <v>3</v>
      </c>
      <c r="W369" s="447">
        <f>IFERROR(__xludf.DUMMYFUNCTION("""COMPUTED_VALUE"""),0.0)</f>
        <v>0</v>
      </c>
      <c r="X369" s="447">
        <f>IFERROR(__xludf.DUMMYFUNCTION("""COMPUTED_VALUE"""),0.0)</f>
        <v>0</v>
      </c>
      <c r="Y369" s="447">
        <f>IFERROR(__xludf.DUMMYFUNCTION("""COMPUTED_VALUE"""),0.0)</f>
        <v>0</v>
      </c>
      <c r="Z369" s="447">
        <f>IFERROR(__xludf.DUMMYFUNCTION("""COMPUTED_VALUE"""),0.0)</f>
        <v>0</v>
      </c>
      <c r="AA369" s="447">
        <f>IFERROR(__xludf.DUMMYFUNCTION("""COMPUTED_VALUE"""),0.0)</f>
        <v>0</v>
      </c>
      <c r="AB369" s="447">
        <f>IFERROR(__xludf.DUMMYFUNCTION("""COMPUTED_VALUE"""),0.0)</f>
        <v>0</v>
      </c>
      <c r="AC369" s="447">
        <f>IFERROR(__xludf.DUMMYFUNCTION("""COMPUTED_VALUE"""),1.0)</f>
        <v>1</v>
      </c>
      <c r="AD369" s="447">
        <f>IFERROR(__xludf.DUMMYFUNCTION("""COMPUTED_VALUE"""),41.0)</f>
        <v>41</v>
      </c>
      <c r="AE369" s="447">
        <f>IFERROR(__xludf.DUMMYFUNCTION("""COMPUTED_VALUE"""),13.0)</f>
        <v>13</v>
      </c>
      <c r="AF369" s="447">
        <f>IFERROR(__xludf.DUMMYFUNCTION("""COMPUTED_VALUE"""),5.0)</f>
        <v>5</v>
      </c>
      <c r="AG369" s="443" t="s">
        <v>83</v>
      </c>
      <c r="AH369" s="443" t="s">
        <v>961</v>
      </c>
      <c r="AI369" s="443"/>
      <c r="AJ369" s="443"/>
      <c r="AK369" s="443"/>
      <c r="AL369" s="443"/>
      <c r="AM369" s="443"/>
      <c r="AN369" s="443"/>
      <c r="AO369" s="443"/>
      <c r="AP369" s="443"/>
      <c r="AQ369" s="443"/>
      <c r="AR369" s="443"/>
      <c r="AS369" s="443"/>
      <c r="AT369" s="443"/>
      <c r="AU369" s="443"/>
      <c r="AV369" s="443"/>
      <c r="AW369" s="443"/>
      <c r="AX369" s="443"/>
      <c r="AY369" s="443"/>
      <c r="AZ369" s="443"/>
      <c r="BA369" s="443"/>
      <c r="BB369" s="443"/>
      <c r="BC369" s="443"/>
      <c r="BD369" s="443"/>
      <c r="BE369" s="443"/>
    </row>
    <row r="370" hidden="1">
      <c r="A370" s="445">
        <f t="shared" si="5"/>
        <v>45660</v>
      </c>
      <c r="B370" s="449">
        <v>445.0</v>
      </c>
      <c r="C370" s="462">
        <v>0.6</v>
      </c>
      <c r="D370" s="462">
        <v>0.9590277777777778</v>
      </c>
      <c r="E370" s="436">
        <f t="array" ref="E370">IF(B370=0,"",(J370+K370)/60)</f>
        <v>0.95</v>
      </c>
      <c r="F370" s="437">
        <f t="shared" si="1"/>
        <v>8.616666667</v>
      </c>
      <c r="G370" s="438">
        <f t="shared" si="8"/>
        <v>51.64410058</v>
      </c>
      <c r="H370" s="438">
        <f t="shared" si="3"/>
        <v>58.04347826</v>
      </c>
      <c r="I370" s="436">
        <f t="shared" si="6"/>
        <v>1.259612209</v>
      </c>
      <c r="J370" s="460">
        <v>30.0</v>
      </c>
      <c r="K370" s="460">
        <v>27.0</v>
      </c>
      <c r="L370" s="443"/>
      <c r="M370" s="447">
        <f>IFERROR(__xludf.DUMMYFUNCTION("""COMPUTED_VALUE"""),57.0)</f>
        <v>57</v>
      </c>
      <c r="N370" s="447">
        <f>IFERROR(__xludf.DUMMYFUNCTION("""COMPUTED_VALUE"""),52.0)</f>
        <v>52</v>
      </c>
      <c r="O370" s="447">
        <f>IFERROR(__xludf.DUMMYFUNCTION("""COMPUTED_VALUE"""),0.0)</f>
        <v>0</v>
      </c>
      <c r="P370" s="447">
        <f>IFERROR(__xludf.DUMMYFUNCTION("""COMPUTED_VALUE"""),0.0)</f>
        <v>0</v>
      </c>
      <c r="Q370" s="447">
        <f>IFERROR(__xludf.DUMMYFUNCTION("""COMPUTED_VALUE"""),1.0)</f>
        <v>1</v>
      </c>
      <c r="R370" s="447">
        <f>IFERROR(__xludf.DUMMYFUNCTION("""COMPUTED_VALUE"""),0.0)</f>
        <v>0</v>
      </c>
      <c r="S370" s="447">
        <f>IFERROR(__xludf.DUMMYFUNCTION("""COMPUTED_VALUE"""),4.0)</f>
        <v>4</v>
      </c>
      <c r="T370" s="447">
        <f>IFERROR(__xludf.DUMMYFUNCTION("""COMPUTED_VALUE"""),0.0)</f>
        <v>0</v>
      </c>
      <c r="U370" s="447">
        <f>IFERROR(__xludf.DUMMYFUNCTION("""COMPUTED_VALUE"""),5.0)</f>
        <v>5</v>
      </c>
      <c r="V370" s="447">
        <f>IFERROR(__xludf.DUMMYFUNCTION("""COMPUTED_VALUE"""),3.0)</f>
        <v>3</v>
      </c>
      <c r="W370" s="447">
        <f>IFERROR(__xludf.DUMMYFUNCTION("""COMPUTED_VALUE"""),0.0)</f>
        <v>0</v>
      </c>
      <c r="X370" s="447">
        <f>IFERROR(__xludf.DUMMYFUNCTION("""COMPUTED_VALUE"""),0.0)</f>
        <v>0</v>
      </c>
      <c r="Y370" s="447">
        <f>IFERROR(__xludf.DUMMYFUNCTION("""COMPUTED_VALUE"""),0.0)</f>
        <v>0</v>
      </c>
      <c r="Z370" s="447">
        <f>IFERROR(__xludf.DUMMYFUNCTION("""COMPUTED_VALUE"""),0.0)</f>
        <v>0</v>
      </c>
      <c r="AA370" s="447">
        <f>IFERROR(__xludf.DUMMYFUNCTION("""COMPUTED_VALUE"""),0.0)</f>
        <v>0</v>
      </c>
      <c r="AB370" s="447">
        <f>IFERROR(__xludf.DUMMYFUNCTION("""COMPUTED_VALUE"""),0.0)</f>
        <v>0</v>
      </c>
      <c r="AC370" s="447">
        <f>IFERROR(__xludf.DUMMYFUNCTION("""COMPUTED_VALUE"""),0.0)</f>
        <v>0</v>
      </c>
      <c r="AD370" s="447">
        <f>IFERROR(__xludf.DUMMYFUNCTION("""COMPUTED_VALUE"""),41.0)</f>
        <v>41</v>
      </c>
      <c r="AE370" s="447">
        <f>IFERROR(__xludf.DUMMYFUNCTION("""COMPUTED_VALUE"""),13.0)</f>
        <v>13</v>
      </c>
      <c r="AF370" s="447">
        <f>IFERROR(__xludf.DUMMYFUNCTION("""COMPUTED_VALUE"""),5.0)</f>
        <v>5</v>
      </c>
      <c r="AG370" s="443" t="s">
        <v>83</v>
      </c>
      <c r="AH370" s="443" t="s">
        <v>961</v>
      </c>
      <c r="AI370" s="443"/>
      <c r="AJ370" s="443"/>
      <c r="AK370" s="443"/>
      <c r="AL370" s="443"/>
      <c r="AM370" s="443"/>
      <c r="AN370" s="443"/>
      <c r="AO370" s="443"/>
      <c r="AP370" s="443"/>
      <c r="AQ370" s="443"/>
      <c r="AR370" s="443"/>
      <c r="AS370" s="443"/>
      <c r="AT370" s="443"/>
      <c r="AU370" s="443"/>
      <c r="AV370" s="443"/>
      <c r="AW370" s="443"/>
      <c r="AX370" s="443"/>
      <c r="AY370" s="443"/>
      <c r="AZ370" s="443"/>
      <c r="BA370" s="443"/>
      <c r="BB370" s="443"/>
      <c r="BC370" s="443"/>
      <c r="BD370" s="443"/>
      <c r="BE370" s="443"/>
    </row>
    <row r="371" hidden="1">
      <c r="A371" s="445">
        <f t="shared" si="5"/>
        <v>45661</v>
      </c>
      <c r="B371" s="449">
        <v>645.0</v>
      </c>
      <c r="C371" s="462">
        <v>0.6</v>
      </c>
      <c r="D371" s="462">
        <v>1.0534722222222221</v>
      </c>
      <c r="E371" s="436">
        <f t="array" ref="E371">IF(B371=0,"",(J371+K371)/60)</f>
        <v>1</v>
      </c>
      <c r="F371" s="437">
        <f t="shared" si="1"/>
        <v>10.88333333</v>
      </c>
      <c r="G371" s="438">
        <f t="shared" si="8"/>
        <v>59.26493109</v>
      </c>
      <c r="H371" s="438">
        <f t="shared" si="3"/>
        <v>65.2613828</v>
      </c>
      <c r="I371" s="436">
        <f t="shared" si="6"/>
        <v>1.378254211</v>
      </c>
      <c r="J371" s="460">
        <v>60.0</v>
      </c>
      <c r="K371" s="464"/>
      <c r="L371" s="443"/>
      <c r="M371" s="447">
        <f>IFERROR(__xludf.DUMMYFUNCTION("""COMPUTED_VALUE"""),57.0)</f>
        <v>57</v>
      </c>
      <c r="N371" s="447">
        <f>IFERROR(__xludf.DUMMYFUNCTION("""COMPUTED_VALUE"""),55.0)</f>
        <v>55</v>
      </c>
      <c r="O371" s="447">
        <f>IFERROR(__xludf.DUMMYFUNCTION("""COMPUTED_VALUE"""),0.0)</f>
        <v>0</v>
      </c>
      <c r="P371" s="447">
        <f>IFERROR(__xludf.DUMMYFUNCTION("""COMPUTED_VALUE"""),0.0)</f>
        <v>0</v>
      </c>
      <c r="Q371" s="447">
        <f>IFERROR(__xludf.DUMMYFUNCTION("""COMPUTED_VALUE"""),1.0)</f>
        <v>1</v>
      </c>
      <c r="R371" s="447">
        <f>IFERROR(__xludf.DUMMYFUNCTION("""COMPUTED_VALUE"""),0.0)</f>
        <v>0</v>
      </c>
      <c r="S371" s="447">
        <f>IFERROR(__xludf.DUMMYFUNCTION("""COMPUTED_VALUE"""),5.0)</f>
        <v>5</v>
      </c>
      <c r="T371" s="447">
        <f>IFERROR(__xludf.DUMMYFUNCTION("""COMPUTED_VALUE"""),0.0)</f>
        <v>0</v>
      </c>
      <c r="U371" s="447">
        <f>IFERROR(__xludf.DUMMYFUNCTION("""COMPUTED_VALUE"""),2.0)</f>
        <v>2</v>
      </c>
      <c r="V371" s="447">
        <f>IFERROR(__xludf.DUMMYFUNCTION("""COMPUTED_VALUE"""),3.0)</f>
        <v>3</v>
      </c>
      <c r="W371" s="447">
        <f>IFERROR(__xludf.DUMMYFUNCTION("""COMPUTED_VALUE"""),0.0)</f>
        <v>0</v>
      </c>
      <c r="X371" s="447">
        <f>IFERROR(__xludf.DUMMYFUNCTION("""COMPUTED_VALUE"""),0.0)</f>
        <v>0</v>
      </c>
      <c r="Y371" s="447">
        <f>IFERROR(__xludf.DUMMYFUNCTION("""COMPUTED_VALUE"""),0.0)</f>
        <v>0</v>
      </c>
      <c r="Z371" s="447">
        <f>IFERROR(__xludf.DUMMYFUNCTION("""COMPUTED_VALUE"""),0.0)</f>
        <v>0</v>
      </c>
      <c r="AA371" s="447">
        <f>IFERROR(__xludf.DUMMYFUNCTION("""COMPUTED_VALUE"""),0.0)</f>
        <v>0</v>
      </c>
      <c r="AB371" s="447">
        <f>IFERROR(__xludf.DUMMYFUNCTION("""COMPUTED_VALUE"""),0.0)</f>
        <v>0</v>
      </c>
      <c r="AC371" s="447">
        <f>IFERROR(__xludf.DUMMYFUNCTION("""COMPUTED_VALUE"""),0.0)</f>
        <v>0</v>
      </c>
      <c r="AD371" s="447">
        <f>IFERROR(__xludf.DUMMYFUNCTION("""COMPUTED_VALUE"""),43.0)</f>
        <v>43</v>
      </c>
      <c r="AE371" s="447">
        <f>IFERROR(__xludf.DUMMYFUNCTION("""COMPUTED_VALUE"""),11.0)</f>
        <v>11</v>
      </c>
      <c r="AF371" s="447">
        <f>IFERROR(__xludf.DUMMYFUNCTION("""COMPUTED_VALUE"""),2.0)</f>
        <v>2</v>
      </c>
      <c r="AG371" s="443" t="s">
        <v>83</v>
      </c>
      <c r="AH371" s="443" t="s">
        <v>961</v>
      </c>
      <c r="AI371" s="443"/>
      <c r="AJ371" s="443"/>
      <c r="AK371" s="443"/>
      <c r="AL371" s="443"/>
      <c r="AM371" s="443"/>
      <c r="AN371" s="443"/>
      <c r="AO371" s="443"/>
      <c r="AP371" s="443"/>
      <c r="AQ371" s="443"/>
      <c r="AR371" s="443"/>
      <c r="AS371" s="443"/>
      <c r="AT371" s="443"/>
      <c r="AU371" s="443"/>
      <c r="AV371" s="443"/>
      <c r="AW371" s="443"/>
      <c r="AX371" s="443"/>
      <c r="AY371" s="443"/>
      <c r="AZ371" s="443"/>
      <c r="BA371" s="443"/>
      <c r="BB371" s="443"/>
      <c r="BC371" s="443"/>
      <c r="BD371" s="443"/>
      <c r="BE371" s="443"/>
    </row>
    <row r="372" hidden="1">
      <c r="A372" s="445">
        <f t="shared" si="5"/>
        <v>45662</v>
      </c>
      <c r="B372" s="449">
        <v>0.0</v>
      </c>
      <c r="C372" s="443"/>
      <c r="D372" s="462"/>
      <c r="E372" s="436" t="str">
        <f t="array" ref="E372">IF(B372=0,"",(J372+K372)/60)</f>
        <v/>
      </c>
      <c r="F372" s="437" t="str">
        <f t="shared" si="1"/>
        <v/>
      </c>
      <c r="G372" s="438" t="str">
        <f t="shared" si="8"/>
        <v>#DIV/0!</v>
      </c>
      <c r="H372" s="438" t="str">
        <f t="shared" si="3"/>
        <v/>
      </c>
      <c r="I372" s="436" t="str">
        <f t="shared" si="6"/>
        <v/>
      </c>
      <c r="J372" s="464"/>
      <c r="K372" s="464"/>
      <c r="L372" s="443"/>
      <c r="M372" s="447">
        <f>IFERROR(__xludf.DUMMYFUNCTION("""COMPUTED_VALUE"""),57.0)</f>
        <v>57</v>
      </c>
      <c r="N372" s="447">
        <f>IFERROR(__xludf.DUMMYFUNCTION("""COMPUTED_VALUE"""),57.0)</f>
        <v>57</v>
      </c>
      <c r="O372" s="447">
        <f>IFERROR(__xludf.DUMMYFUNCTION("""COMPUTED_VALUE"""),0.0)</f>
        <v>0</v>
      </c>
      <c r="P372" s="447">
        <f>IFERROR(__xludf.DUMMYFUNCTION("""COMPUTED_VALUE"""),0.0)</f>
        <v>0</v>
      </c>
      <c r="Q372" s="447">
        <f>IFERROR(__xludf.DUMMYFUNCTION("""COMPUTED_VALUE"""),0.0)</f>
        <v>0</v>
      </c>
      <c r="R372" s="447">
        <f>IFERROR(__xludf.DUMMYFUNCTION("""COMPUTED_VALUE"""),0.0)</f>
        <v>0</v>
      </c>
      <c r="S372" s="447">
        <f>IFERROR(__xludf.DUMMYFUNCTION("""COMPUTED_VALUE"""),0.0)</f>
        <v>0</v>
      </c>
      <c r="T372" s="447">
        <f>IFERROR(__xludf.DUMMYFUNCTION("""COMPUTED_VALUE"""),0.0)</f>
        <v>0</v>
      </c>
      <c r="U372" s="447">
        <f>IFERROR(__xludf.DUMMYFUNCTION("""COMPUTED_VALUE"""),0.0)</f>
        <v>0</v>
      </c>
      <c r="V372" s="447">
        <f>IFERROR(__xludf.DUMMYFUNCTION("""COMPUTED_VALUE"""),0.0)</f>
        <v>0</v>
      </c>
      <c r="W372" s="447">
        <f>IFERROR(__xludf.DUMMYFUNCTION("""COMPUTED_VALUE"""),0.0)</f>
        <v>0</v>
      </c>
      <c r="X372" s="447">
        <f>IFERROR(__xludf.DUMMYFUNCTION("""COMPUTED_VALUE"""),0.0)</f>
        <v>0</v>
      </c>
      <c r="Y372" s="447">
        <f>IFERROR(__xludf.DUMMYFUNCTION("""COMPUTED_VALUE"""),0.0)</f>
        <v>0</v>
      </c>
      <c r="Z372" s="447">
        <f>IFERROR(__xludf.DUMMYFUNCTION("""COMPUTED_VALUE"""),0.0)</f>
        <v>0</v>
      </c>
      <c r="AA372" s="447">
        <f>IFERROR(__xludf.DUMMYFUNCTION("""COMPUTED_VALUE"""),0.0)</f>
        <v>0</v>
      </c>
      <c r="AB372" s="447">
        <f>IFERROR(__xludf.DUMMYFUNCTION("""COMPUTED_VALUE"""),0.0)</f>
        <v>0</v>
      </c>
      <c r="AC372" s="447">
        <f>IFERROR(__xludf.DUMMYFUNCTION("""COMPUTED_VALUE"""),0.0)</f>
        <v>0</v>
      </c>
      <c r="AD372" s="447">
        <f>IFERROR(__xludf.DUMMYFUNCTION("""COMPUTED_VALUE"""),0.0)</f>
        <v>0</v>
      </c>
      <c r="AE372" s="447">
        <f>IFERROR(__xludf.DUMMYFUNCTION("""COMPUTED_VALUE"""),0.0)</f>
        <v>0</v>
      </c>
      <c r="AF372" s="447">
        <f>IFERROR(__xludf.DUMMYFUNCTION("""COMPUTED_VALUE"""),0.0)</f>
        <v>0</v>
      </c>
      <c r="AG372" s="443" t="s">
        <v>83</v>
      </c>
      <c r="AH372" s="443" t="s">
        <v>961</v>
      </c>
      <c r="AI372" s="443"/>
      <c r="AJ372" s="443"/>
      <c r="AK372" s="443"/>
      <c r="AL372" s="443"/>
      <c r="AM372" s="443"/>
      <c r="AN372" s="443"/>
      <c r="AO372" s="443"/>
      <c r="AP372" s="443"/>
      <c r="AQ372" s="443"/>
      <c r="AR372" s="443"/>
      <c r="AS372" s="443"/>
      <c r="AT372" s="443"/>
      <c r="AU372" s="443"/>
      <c r="AV372" s="443"/>
      <c r="AW372" s="443"/>
      <c r="AX372" s="443"/>
      <c r="AY372" s="443"/>
      <c r="AZ372" s="443"/>
      <c r="BA372" s="443"/>
      <c r="BB372" s="443"/>
      <c r="BC372" s="443"/>
      <c r="BD372" s="443"/>
      <c r="BE372" s="443"/>
    </row>
    <row r="373" hidden="1">
      <c r="A373" s="445">
        <f t="shared" si="5"/>
        <v>45663</v>
      </c>
      <c r="B373" s="449">
        <v>623.0</v>
      </c>
      <c r="C373" s="462">
        <v>0.5583333333333333</v>
      </c>
      <c r="D373" s="462">
        <v>1.0402777777777779</v>
      </c>
      <c r="E373" s="436">
        <f t="array" ref="E373">IF(B373=0,"",(J373+K373)/60)</f>
        <v>1</v>
      </c>
      <c r="F373" s="437">
        <f t="shared" si="1"/>
        <v>11.56666667</v>
      </c>
      <c r="G373" s="438">
        <f t="shared" si="8"/>
        <v>53.86167147</v>
      </c>
      <c r="H373" s="438">
        <f t="shared" si="3"/>
        <v>58.95899054</v>
      </c>
      <c r="I373" s="436">
        <f t="shared" si="6"/>
        <v>1.252597011</v>
      </c>
      <c r="J373" s="460">
        <v>60.0</v>
      </c>
      <c r="K373" s="464"/>
      <c r="L373" s="449" t="s">
        <v>962</v>
      </c>
      <c r="M373" s="447">
        <f>IFERROR(__xludf.DUMMYFUNCTION("""COMPUTED_VALUE"""),57.0)</f>
        <v>57</v>
      </c>
      <c r="N373" s="447">
        <f>IFERROR(__xludf.DUMMYFUNCTION("""COMPUTED_VALUE"""),55.0)</f>
        <v>55</v>
      </c>
      <c r="O373" s="447">
        <f>IFERROR(__xludf.DUMMYFUNCTION("""COMPUTED_VALUE"""),0.0)</f>
        <v>0</v>
      </c>
      <c r="P373" s="447">
        <f>IFERROR(__xludf.DUMMYFUNCTION("""COMPUTED_VALUE"""),0.0)</f>
        <v>0</v>
      </c>
      <c r="Q373" s="447">
        <f>IFERROR(__xludf.DUMMYFUNCTION("""COMPUTED_VALUE"""),2.0)</f>
        <v>2</v>
      </c>
      <c r="R373" s="447">
        <f>IFERROR(__xludf.DUMMYFUNCTION("""COMPUTED_VALUE"""),0.0)</f>
        <v>0</v>
      </c>
      <c r="S373" s="447">
        <f>IFERROR(__xludf.DUMMYFUNCTION("""COMPUTED_VALUE"""),4.0)</f>
        <v>4</v>
      </c>
      <c r="T373" s="447">
        <f>IFERROR(__xludf.DUMMYFUNCTION("""COMPUTED_VALUE"""),0.0)</f>
        <v>0</v>
      </c>
      <c r="U373" s="447">
        <f>IFERROR(__xludf.DUMMYFUNCTION("""COMPUTED_VALUE"""),2.0)</f>
        <v>2</v>
      </c>
      <c r="V373" s="447">
        <f>IFERROR(__xludf.DUMMYFUNCTION("""COMPUTED_VALUE"""),3.0)</f>
        <v>3</v>
      </c>
      <c r="W373" s="447">
        <f>IFERROR(__xludf.DUMMYFUNCTION("""COMPUTED_VALUE"""),0.0)</f>
        <v>0</v>
      </c>
      <c r="X373" s="447">
        <f>IFERROR(__xludf.DUMMYFUNCTION("""COMPUTED_VALUE"""),0.0)</f>
        <v>0</v>
      </c>
      <c r="Y373" s="447">
        <f>IFERROR(__xludf.DUMMYFUNCTION("""COMPUTED_VALUE"""),0.0)</f>
        <v>0</v>
      </c>
      <c r="Z373" s="447">
        <f>IFERROR(__xludf.DUMMYFUNCTION("""COMPUTED_VALUE"""),0.0)</f>
        <v>0</v>
      </c>
      <c r="AA373" s="447">
        <f>IFERROR(__xludf.DUMMYFUNCTION("""COMPUTED_VALUE"""),0.0)</f>
        <v>0</v>
      </c>
      <c r="AB373" s="447">
        <f>IFERROR(__xludf.DUMMYFUNCTION("""COMPUTED_VALUE"""),0.0)</f>
        <v>0</v>
      </c>
      <c r="AC373" s="447">
        <f>IFERROR(__xludf.DUMMYFUNCTION("""COMPUTED_VALUE"""),0.0)</f>
        <v>0</v>
      </c>
      <c r="AD373" s="447">
        <f>IFERROR(__xludf.DUMMYFUNCTION("""COMPUTED_VALUE"""),43.0)</f>
        <v>43</v>
      </c>
      <c r="AE373" s="447">
        <f>IFERROR(__xludf.DUMMYFUNCTION("""COMPUTED_VALUE"""),11.0)</f>
        <v>11</v>
      </c>
      <c r="AF373" s="447">
        <f>IFERROR(__xludf.DUMMYFUNCTION("""COMPUTED_VALUE"""),2.0)</f>
        <v>2</v>
      </c>
      <c r="AG373" s="443" t="s">
        <v>83</v>
      </c>
      <c r="AH373" s="443" t="s">
        <v>961</v>
      </c>
      <c r="AI373" s="443"/>
      <c r="AJ373" s="443"/>
      <c r="AK373" s="443"/>
      <c r="AL373" s="443"/>
      <c r="AM373" s="443"/>
      <c r="AN373" s="443"/>
      <c r="AO373" s="443"/>
      <c r="AP373" s="443"/>
      <c r="AQ373" s="443"/>
      <c r="AR373" s="443"/>
      <c r="AS373" s="443"/>
      <c r="AT373" s="443"/>
      <c r="AU373" s="443"/>
      <c r="AV373" s="443"/>
      <c r="AW373" s="443"/>
      <c r="AX373" s="443"/>
      <c r="AY373" s="443"/>
      <c r="AZ373" s="443"/>
      <c r="BA373" s="443"/>
      <c r="BB373" s="443"/>
      <c r="BC373" s="443"/>
      <c r="BD373" s="443"/>
      <c r="BE373" s="443"/>
    </row>
    <row r="374" hidden="1">
      <c r="A374" s="445">
        <f t="shared" si="5"/>
        <v>45664</v>
      </c>
      <c r="B374" s="449">
        <v>400.0</v>
      </c>
      <c r="C374" s="462">
        <v>0.6</v>
      </c>
      <c r="D374" s="462">
        <v>0.9048611111111111</v>
      </c>
      <c r="E374" s="436">
        <f t="array" ref="E374">IF(B374=0,"",(J374+K374)/60)</f>
        <v>0.5</v>
      </c>
      <c r="F374" s="437">
        <f t="shared" si="1"/>
        <v>7.316666667</v>
      </c>
      <c r="G374" s="438">
        <f t="shared" si="8"/>
        <v>54.66970387</v>
      </c>
      <c r="H374" s="438">
        <f t="shared" si="3"/>
        <v>58.6797066</v>
      </c>
      <c r="I374" s="436">
        <f t="shared" si="6"/>
        <v>1.24249327</v>
      </c>
      <c r="J374" s="460">
        <v>30.0</v>
      </c>
      <c r="K374" s="464"/>
      <c r="L374" s="443"/>
      <c r="M374" s="447">
        <f>IFERROR(__xludf.DUMMYFUNCTION("""COMPUTED_VALUE"""),57.0)</f>
        <v>57</v>
      </c>
      <c r="N374" s="447">
        <f>IFERROR(__xludf.DUMMYFUNCTION("""COMPUTED_VALUE"""),57.0)</f>
        <v>57</v>
      </c>
      <c r="O374" s="447">
        <f>IFERROR(__xludf.DUMMYFUNCTION("""COMPUTED_VALUE"""),0.0)</f>
        <v>0</v>
      </c>
      <c r="P374" s="447">
        <f>IFERROR(__xludf.DUMMYFUNCTION("""COMPUTED_VALUE"""),0.0)</f>
        <v>0</v>
      </c>
      <c r="Q374" s="447">
        <f>IFERROR(__xludf.DUMMYFUNCTION("""COMPUTED_VALUE"""),1.0)</f>
        <v>1</v>
      </c>
      <c r="R374" s="447">
        <f>IFERROR(__xludf.DUMMYFUNCTION("""COMPUTED_VALUE"""),0.0)</f>
        <v>0</v>
      </c>
      <c r="S374" s="447">
        <f>IFERROR(__xludf.DUMMYFUNCTION("""COMPUTED_VALUE"""),4.0)</f>
        <v>4</v>
      </c>
      <c r="T374" s="447">
        <f>IFERROR(__xludf.DUMMYFUNCTION("""COMPUTED_VALUE"""),0.0)</f>
        <v>0</v>
      </c>
      <c r="U374" s="447">
        <f>IFERROR(__xludf.DUMMYFUNCTION("""COMPUTED_VALUE"""),0.0)</f>
        <v>0</v>
      </c>
      <c r="V374" s="447">
        <f>IFERROR(__xludf.DUMMYFUNCTION("""COMPUTED_VALUE"""),3.0)</f>
        <v>3</v>
      </c>
      <c r="W374" s="447">
        <f>IFERROR(__xludf.DUMMYFUNCTION("""COMPUTED_VALUE"""),0.0)</f>
        <v>0</v>
      </c>
      <c r="X374" s="447">
        <f>IFERROR(__xludf.DUMMYFUNCTION("""COMPUTED_VALUE"""),0.0)</f>
        <v>0</v>
      </c>
      <c r="Y374" s="447">
        <f>IFERROR(__xludf.DUMMYFUNCTION("""COMPUTED_VALUE"""),0.0)</f>
        <v>0</v>
      </c>
      <c r="Z374" s="447">
        <f>IFERROR(__xludf.DUMMYFUNCTION("""COMPUTED_VALUE"""),0.0)</f>
        <v>0</v>
      </c>
      <c r="AA374" s="447">
        <f>IFERROR(__xludf.DUMMYFUNCTION("""COMPUTED_VALUE"""),0.0)</f>
        <v>0</v>
      </c>
      <c r="AB374" s="447">
        <f>IFERROR(__xludf.DUMMYFUNCTION("""COMPUTED_VALUE"""),2.0)</f>
        <v>2</v>
      </c>
      <c r="AC374" s="447">
        <f>IFERROR(__xludf.DUMMYFUNCTION("""COMPUTED_VALUE"""),0.0)</f>
        <v>0</v>
      </c>
      <c r="AD374" s="447">
        <f>IFERROR(__xludf.DUMMYFUNCTION("""COMPUTED_VALUE"""),44.0)</f>
        <v>44</v>
      </c>
      <c r="AE374" s="447">
        <f>IFERROR(__xludf.DUMMYFUNCTION("""COMPUTED_VALUE"""),8.0)</f>
        <v>8</v>
      </c>
      <c r="AF374" s="447">
        <f>IFERROR(__xludf.DUMMYFUNCTION("""COMPUTED_VALUE"""),0.0)</f>
        <v>0</v>
      </c>
      <c r="AG374" s="443" t="s">
        <v>83</v>
      </c>
      <c r="AH374" s="443" t="s">
        <v>961</v>
      </c>
      <c r="AI374" s="443"/>
      <c r="AJ374" s="443"/>
      <c r="AK374" s="443"/>
      <c r="AL374" s="443"/>
      <c r="AM374" s="443"/>
      <c r="AN374" s="443"/>
      <c r="AO374" s="443"/>
      <c r="AP374" s="443"/>
      <c r="AQ374" s="443"/>
      <c r="AR374" s="443"/>
      <c r="AS374" s="443"/>
      <c r="AT374" s="443"/>
      <c r="AU374" s="443"/>
      <c r="AV374" s="443"/>
      <c r="AW374" s="443"/>
      <c r="AX374" s="443"/>
      <c r="AY374" s="443"/>
      <c r="AZ374" s="443"/>
      <c r="BA374" s="443"/>
      <c r="BB374" s="443"/>
      <c r="BC374" s="443"/>
      <c r="BD374" s="443"/>
      <c r="BE374" s="443"/>
    </row>
    <row r="375" hidden="1">
      <c r="A375" s="445">
        <f t="shared" si="5"/>
        <v>45665</v>
      </c>
      <c r="B375" s="449">
        <v>372.0</v>
      </c>
      <c r="C375" s="462">
        <v>0.6416666666666667</v>
      </c>
      <c r="D375" s="462">
        <v>0.9263888888888889</v>
      </c>
      <c r="E375" s="436">
        <f t="array" ref="E375">IF(B375=0,"",(J375+K375)/60)</f>
        <v>0.5</v>
      </c>
      <c r="F375" s="437">
        <f t="shared" si="1"/>
        <v>6.833333333</v>
      </c>
      <c r="G375" s="438">
        <f t="shared" si="8"/>
        <v>54.43902439</v>
      </c>
      <c r="H375" s="438">
        <f t="shared" si="3"/>
        <v>58.73684211</v>
      </c>
      <c r="I375" s="436">
        <f t="shared" si="6"/>
        <v>1.209756098</v>
      </c>
      <c r="J375" s="460">
        <v>30.0</v>
      </c>
      <c r="K375" s="464"/>
      <c r="L375" s="443"/>
      <c r="M375" s="447">
        <f>IFERROR(__xludf.DUMMYFUNCTION("""COMPUTED_VALUE"""),57.0)</f>
        <v>57</v>
      </c>
      <c r="N375" s="447">
        <f>IFERROR(__xludf.DUMMYFUNCTION("""COMPUTED_VALUE"""),57.0)</f>
        <v>57</v>
      </c>
      <c r="O375" s="447">
        <f>IFERROR(__xludf.DUMMYFUNCTION("""COMPUTED_VALUE"""),0.0)</f>
        <v>0</v>
      </c>
      <c r="P375" s="447">
        <f>IFERROR(__xludf.DUMMYFUNCTION("""COMPUTED_VALUE"""),1.0)</f>
        <v>1</v>
      </c>
      <c r="Q375" s="447">
        <f>IFERROR(__xludf.DUMMYFUNCTION("""COMPUTED_VALUE"""),1.0)</f>
        <v>1</v>
      </c>
      <c r="R375" s="447">
        <f>IFERROR(__xludf.DUMMYFUNCTION("""COMPUTED_VALUE"""),0.0)</f>
        <v>0</v>
      </c>
      <c r="S375" s="447">
        <f>IFERROR(__xludf.DUMMYFUNCTION("""COMPUTED_VALUE"""),4.0)</f>
        <v>4</v>
      </c>
      <c r="T375" s="447">
        <f>IFERROR(__xludf.DUMMYFUNCTION("""COMPUTED_VALUE"""),0.0)</f>
        <v>0</v>
      </c>
      <c r="U375" s="447">
        <f>IFERROR(__xludf.DUMMYFUNCTION("""COMPUTED_VALUE"""),0.0)</f>
        <v>0</v>
      </c>
      <c r="V375" s="447">
        <f>IFERROR(__xludf.DUMMYFUNCTION("""COMPUTED_VALUE"""),3.0)</f>
        <v>3</v>
      </c>
      <c r="W375" s="447">
        <f>IFERROR(__xludf.DUMMYFUNCTION("""COMPUTED_VALUE"""),0.0)</f>
        <v>0</v>
      </c>
      <c r="X375" s="447">
        <f>IFERROR(__xludf.DUMMYFUNCTION("""COMPUTED_VALUE"""),0.0)</f>
        <v>0</v>
      </c>
      <c r="Y375" s="447">
        <f>IFERROR(__xludf.DUMMYFUNCTION("""COMPUTED_VALUE"""),0.0)</f>
        <v>0</v>
      </c>
      <c r="Z375" s="447">
        <f>IFERROR(__xludf.DUMMYFUNCTION("""COMPUTED_VALUE"""),0.0)</f>
        <v>0</v>
      </c>
      <c r="AA375" s="447">
        <f>IFERROR(__xludf.DUMMYFUNCTION("""COMPUTED_VALUE"""),0.0)</f>
        <v>0</v>
      </c>
      <c r="AB375" s="447">
        <f>IFERROR(__xludf.DUMMYFUNCTION("""COMPUTED_VALUE"""),0.0)</f>
        <v>0</v>
      </c>
      <c r="AC375" s="447">
        <f>IFERROR(__xludf.DUMMYFUNCTION("""COMPUTED_VALUE"""),0.0)</f>
        <v>0</v>
      </c>
      <c r="AD375" s="447">
        <f>IFERROR(__xludf.DUMMYFUNCTION("""COMPUTED_VALUE"""),45.0)</f>
        <v>45</v>
      </c>
      <c r="AE375" s="447">
        <f>IFERROR(__xludf.DUMMYFUNCTION("""COMPUTED_VALUE"""),9.0)</f>
        <v>9</v>
      </c>
      <c r="AF375" s="447">
        <f>IFERROR(__xludf.DUMMYFUNCTION("""COMPUTED_VALUE"""),0.0)</f>
        <v>0</v>
      </c>
      <c r="AG375" s="443" t="s">
        <v>83</v>
      </c>
      <c r="AH375" s="443" t="s">
        <v>961</v>
      </c>
      <c r="AI375" s="443"/>
      <c r="AJ375" s="443"/>
      <c r="AK375" s="443"/>
      <c r="AL375" s="443"/>
      <c r="AM375" s="443"/>
      <c r="AN375" s="443"/>
      <c r="AO375" s="443"/>
      <c r="AP375" s="443"/>
      <c r="AQ375" s="443"/>
      <c r="AR375" s="443"/>
      <c r="AS375" s="443"/>
      <c r="AT375" s="443"/>
      <c r="AU375" s="443"/>
      <c r="AV375" s="443"/>
      <c r="AW375" s="443"/>
      <c r="AX375" s="443"/>
      <c r="AY375" s="443"/>
      <c r="AZ375" s="443"/>
      <c r="BA375" s="443"/>
      <c r="BB375" s="443"/>
      <c r="BC375" s="443"/>
      <c r="BD375" s="443"/>
      <c r="BE375" s="443"/>
    </row>
    <row r="376" hidden="1">
      <c r="A376" s="445">
        <f t="shared" si="5"/>
        <v>45666</v>
      </c>
      <c r="B376" s="449">
        <v>486.0</v>
      </c>
      <c r="C376" s="462">
        <v>0.6416666666666667</v>
      </c>
      <c r="D376" s="462">
        <v>1.0138888888888888</v>
      </c>
      <c r="E376" s="436">
        <f t="array" ref="E376">IF(B376=0,"",(J376+K376)/60)</f>
        <v>0.5</v>
      </c>
      <c r="F376" s="437">
        <f t="shared" si="1"/>
        <v>8.933333333</v>
      </c>
      <c r="G376" s="438">
        <f t="shared" si="8"/>
        <v>54.40298507</v>
      </c>
      <c r="H376" s="438">
        <f t="shared" si="3"/>
        <v>57.6284585</v>
      </c>
      <c r="I376" s="436">
        <f t="shared" si="6"/>
        <v>1.236431479</v>
      </c>
      <c r="J376" s="460">
        <v>30.0</v>
      </c>
      <c r="K376" s="464"/>
      <c r="L376" s="443"/>
      <c r="M376" s="447">
        <f>IFERROR(__xludf.DUMMYFUNCTION("""COMPUTED_VALUE"""),57.0)</f>
        <v>57</v>
      </c>
      <c r="N376" s="447">
        <f>IFERROR(__xludf.DUMMYFUNCTION("""COMPUTED_VALUE"""),57.0)</f>
        <v>57</v>
      </c>
      <c r="O376" s="447">
        <f>IFERROR(__xludf.DUMMYFUNCTION("""COMPUTED_VALUE"""),0.0)</f>
        <v>0</v>
      </c>
      <c r="P376" s="447">
        <f>IFERROR(__xludf.DUMMYFUNCTION("""COMPUTED_VALUE"""),0.0)</f>
        <v>0</v>
      </c>
      <c r="Q376" s="447">
        <f>IFERROR(__xludf.DUMMYFUNCTION("""COMPUTED_VALUE"""),1.0)</f>
        <v>1</v>
      </c>
      <c r="R376" s="447">
        <f>IFERROR(__xludf.DUMMYFUNCTION("""COMPUTED_VALUE"""),0.0)</f>
        <v>0</v>
      </c>
      <c r="S376" s="447">
        <f>IFERROR(__xludf.DUMMYFUNCTION("""COMPUTED_VALUE"""),6.0)</f>
        <v>6</v>
      </c>
      <c r="T376" s="447">
        <f>IFERROR(__xludf.DUMMYFUNCTION("""COMPUTED_VALUE"""),0.0)</f>
        <v>0</v>
      </c>
      <c r="U376" s="447">
        <f>IFERROR(__xludf.DUMMYFUNCTION("""COMPUTED_VALUE"""),0.0)</f>
        <v>0</v>
      </c>
      <c r="V376" s="447">
        <f>IFERROR(__xludf.DUMMYFUNCTION("""COMPUTED_VALUE"""),3.0)</f>
        <v>3</v>
      </c>
      <c r="W376" s="447">
        <f>IFERROR(__xludf.DUMMYFUNCTION("""COMPUTED_VALUE"""),0.0)</f>
        <v>0</v>
      </c>
      <c r="X376" s="447">
        <f>IFERROR(__xludf.DUMMYFUNCTION("""COMPUTED_VALUE"""),0.0)</f>
        <v>0</v>
      </c>
      <c r="Y376" s="447">
        <f>IFERROR(__xludf.DUMMYFUNCTION("""COMPUTED_VALUE"""),0.0)</f>
        <v>0</v>
      </c>
      <c r="Z376" s="447">
        <f>IFERROR(__xludf.DUMMYFUNCTION("""COMPUTED_VALUE"""),0.0)</f>
        <v>0</v>
      </c>
      <c r="AA376" s="447">
        <f>IFERROR(__xludf.DUMMYFUNCTION("""COMPUTED_VALUE"""),0.0)</f>
        <v>0</v>
      </c>
      <c r="AB376" s="447">
        <f>IFERROR(__xludf.DUMMYFUNCTION("""COMPUTED_VALUE"""),0.0)</f>
        <v>0</v>
      </c>
      <c r="AC376" s="447">
        <f>IFERROR(__xludf.DUMMYFUNCTION("""COMPUTED_VALUE"""),0.0)</f>
        <v>0</v>
      </c>
      <c r="AD376" s="447">
        <f>IFERROR(__xludf.DUMMYFUNCTION("""COMPUTED_VALUE"""),44.0)</f>
        <v>44</v>
      </c>
      <c r="AE376" s="447">
        <f>IFERROR(__xludf.DUMMYFUNCTION("""COMPUTED_VALUE"""),10.0)</f>
        <v>10</v>
      </c>
      <c r="AF376" s="447">
        <f>IFERROR(__xludf.DUMMYFUNCTION("""COMPUTED_VALUE"""),0.0)</f>
        <v>0</v>
      </c>
      <c r="AG376" s="443" t="s">
        <v>83</v>
      </c>
      <c r="AH376" s="443" t="s">
        <v>961</v>
      </c>
      <c r="AI376" s="443"/>
      <c r="AJ376" s="443"/>
      <c r="AK376" s="443"/>
      <c r="AL376" s="443"/>
      <c r="AM376" s="443"/>
      <c r="AN376" s="443"/>
      <c r="AO376" s="443"/>
      <c r="AP376" s="443"/>
      <c r="AQ376" s="443"/>
      <c r="AR376" s="443"/>
      <c r="AS376" s="443"/>
      <c r="AT376" s="443"/>
      <c r="AU376" s="443"/>
      <c r="AV376" s="443"/>
      <c r="AW376" s="443"/>
      <c r="AX376" s="443"/>
      <c r="AY376" s="443"/>
      <c r="AZ376" s="443"/>
      <c r="BA376" s="443"/>
      <c r="BB376" s="443"/>
      <c r="BC376" s="443"/>
      <c r="BD376" s="443"/>
      <c r="BE376" s="443"/>
    </row>
    <row r="377" hidden="1">
      <c r="A377" s="445">
        <f t="shared" si="5"/>
        <v>45667</v>
      </c>
      <c r="B377" s="449">
        <v>420.0</v>
      </c>
      <c r="C377" s="462">
        <v>0.6416666666666667</v>
      </c>
      <c r="D377" s="462">
        <v>0.9861111111111112</v>
      </c>
      <c r="E377" s="436">
        <f t="array" ref="E377">IF(B377=0,"",(J377+K377)/60)</f>
        <v>0.3333333333</v>
      </c>
      <c r="F377" s="437">
        <f t="shared" si="1"/>
        <v>8.266666667</v>
      </c>
      <c r="G377" s="438">
        <f t="shared" si="8"/>
        <v>50.80645161</v>
      </c>
      <c r="H377" s="438">
        <f t="shared" si="3"/>
        <v>52.94117647</v>
      </c>
      <c r="I377" s="436">
        <f t="shared" si="6"/>
        <v>1.104488079</v>
      </c>
      <c r="J377" s="460">
        <v>20.0</v>
      </c>
      <c r="K377" s="464"/>
      <c r="L377" s="443"/>
      <c r="M377" s="447">
        <f>IFERROR(__xludf.DUMMYFUNCTION("""COMPUTED_VALUE"""),57.0)</f>
        <v>57</v>
      </c>
      <c r="N377" s="447">
        <f>IFERROR(__xludf.DUMMYFUNCTION("""COMPUTED_VALUE"""),57.0)</f>
        <v>57</v>
      </c>
      <c r="O377" s="447">
        <f>IFERROR(__xludf.DUMMYFUNCTION("""COMPUTED_VALUE"""),0.0)</f>
        <v>0</v>
      </c>
      <c r="P377" s="447">
        <f>IFERROR(__xludf.DUMMYFUNCTION("""COMPUTED_VALUE"""),0.0)</f>
        <v>0</v>
      </c>
      <c r="Q377" s="447">
        <f>IFERROR(__xludf.DUMMYFUNCTION("""COMPUTED_VALUE"""),1.0)</f>
        <v>1</v>
      </c>
      <c r="R377" s="447">
        <f>IFERROR(__xludf.DUMMYFUNCTION("""COMPUTED_VALUE"""),0.0)</f>
        <v>0</v>
      </c>
      <c r="S377" s="447">
        <f>IFERROR(__xludf.DUMMYFUNCTION("""COMPUTED_VALUE"""),4.0)</f>
        <v>4</v>
      </c>
      <c r="T377" s="447">
        <f>IFERROR(__xludf.DUMMYFUNCTION("""COMPUTED_VALUE"""),0.0)</f>
        <v>0</v>
      </c>
      <c r="U377" s="447">
        <f>IFERROR(__xludf.DUMMYFUNCTION("""COMPUTED_VALUE"""),0.0)</f>
        <v>0</v>
      </c>
      <c r="V377" s="447">
        <f>IFERROR(__xludf.DUMMYFUNCTION("""COMPUTED_VALUE"""),3.0)</f>
        <v>3</v>
      </c>
      <c r="W377" s="447">
        <f>IFERROR(__xludf.DUMMYFUNCTION("""COMPUTED_VALUE"""),0.0)</f>
        <v>0</v>
      </c>
      <c r="X377" s="447">
        <f>IFERROR(__xludf.DUMMYFUNCTION("""COMPUTED_VALUE"""),0.0)</f>
        <v>0</v>
      </c>
      <c r="Y377" s="447">
        <f>IFERROR(__xludf.DUMMYFUNCTION("""COMPUTED_VALUE"""),0.0)</f>
        <v>0</v>
      </c>
      <c r="Z377" s="447">
        <f>IFERROR(__xludf.DUMMYFUNCTION("""COMPUTED_VALUE"""),0.0)</f>
        <v>0</v>
      </c>
      <c r="AA377" s="447">
        <f>IFERROR(__xludf.DUMMYFUNCTION("""COMPUTED_VALUE"""),0.0)</f>
        <v>0</v>
      </c>
      <c r="AB377" s="447">
        <f>IFERROR(__xludf.DUMMYFUNCTION("""COMPUTED_VALUE"""),0.0)</f>
        <v>0</v>
      </c>
      <c r="AC377" s="447">
        <f>IFERROR(__xludf.DUMMYFUNCTION("""COMPUTED_VALUE"""),0.0)</f>
        <v>0</v>
      </c>
      <c r="AD377" s="447">
        <f>IFERROR(__xludf.DUMMYFUNCTION("""COMPUTED_VALUE"""),46.0)</f>
        <v>46</v>
      </c>
      <c r="AE377" s="447">
        <f>IFERROR(__xludf.DUMMYFUNCTION("""COMPUTED_VALUE"""),8.0)</f>
        <v>8</v>
      </c>
      <c r="AF377" s="447">
        <f>IFERROR(__xludf.DUMMYFUNCTION("""COMPUTED_VALUE"""),0.0)</f>
        <v>0</v>
      </c>
      <c r="AG377" s="443" t="s">
        <v>83</v>
      </c>
      <c r="AH377" s="443" t="s">
        <v>961</v>
      </c>
      <c r="AI377" s="443"/>
      <c r="AJ377" s="443"/>
      <c r="AK377" s="443"/>
      <c r="AL377" s="443"/>
      <c r="AM377" s="443"/>
      <c r="AN377" s="443"/>
      <c r="AO377" s="443"/>
      <c r="AP377" s="443"/>
      <c r="AQ377" s="443"/>
      <c r="AR377" s="443"/>
      <c r="AS377" s="443"/>
      <c r="AT377" s="443"/>
      <c r="AU377" s="443"/>
      <c r="AV377" s="443"/>
      <c r="AW377" s="443"/>
      <c r="AX377" s="443"/>
      <c r="AY377" s="443"/>
      <c r="AZ377" s="443"/>
      <c r="BA377" s="443"/>
      <c r="BB377" s="443"/>
      <c r="BC377" s="443"/>
      <c r="BD377" s="443"/>
      <c r="BE377" s="443"/>
    </row>
    <row r="378" hidden="1">
      <c r="A378" s="445">
        <f t="shared" si="5"/>
        <v>45668</v>
      </c>
      <c r="B378" s="449">
        <v>339.0</v>
      </c>
      <c r="C378" s="462">
        <v>0.6</v>
      </c>
      <c r="D378" s="462">
        <v>0.8590277777777777</v>
      </c>
      <c r="E378" s="436">
        <f t="array" ref="E378">IF(B378=0,"",(J378+K378)/60)</f>
        <v>0.5</v>
      </c>
      <c r="F378" s="437">
        <f t="shared" si="1"/>
        <v>6.216666667</v>
      </c>
      <c r="G378" s="438">
        <f t="shared" si="8"/>
        <v>54.5308311</v>
      </c>
      <c r="H378" s="438">
        <f t="shared" si="3"/>
        <v>59.30029155</v>
      </c>
      <c r="I378" s="436">
        <f t="shared" si="6"/>
        <v>1.18545285</v>
      </c>
      <c r="J378" s="460">
        <v>30.0</v>
      </c>
      <c r="K378" s="464"/>
      <c r="L378" s="449" t="s">
        <v>963</v>
      </c>
      <c r="M378" s="447">
        <f>IFERROR(__xludf.DUMMYFUNCTION("""COMPUTED_VALUE"""),57.0)</f>
        <v>57</v>
      </c>
      <c r="N378" s="447">
        <f>IFERROR(__xludf.DUMMYFUNCTION("""COMPUTED_VALUE"""),57.0)</f>
        <v>57</v>
      </c>
      <c r="O378" s="447">
        <f>IFERROR(__xludf.DUMMYFUNCTION("""COMPUTED_VALUE"""),0.0)</f>
        <v>0</v>
      </c>
      <c r="P378" s="447">
        <f>IFERROR(__xludf.DUMMYFUNCTION("""COMPUTED_VALUE"""),0.0)</f>
        <v>0</v>
      </c>
      <c r="Q378" s="447">
        <f>IFERROR(__xludf.DUMMYFUNCTION("""COMPUTED_VALUE"""),1.0)</f>
        <v>1</v>
      </c>
      <c r="R378" s="447">
        <f>IFERROR(__xludf.DUMMYFUNCTION("""COMPUTED_VALUE"""),0.0)</f>
        <v>0</v>
      </c>
      <c r="S378" s="447">
        <f>IFERROR(__xludf.DUMMYFUNCTION("""COMPUTED_VALUE"""),4.0)</f>
        <v>4</v>
      </c>
      <c r="T378" s="447">
        <f>IFERROR(__xludf.DUMMYFUNCTION("""COMPUTED_VALUE"""),0.0)</f>
        <v>0</v>
      </c>
      <c r="U378" s="447">
        <f>IFERROR(__xludf.DUMMYFUNCTION("""COMPUTED_VALUE"""),0.0)</f>
        <v>0</v>
      </c>
      <c r="V378" s="447">
        <f>IFERROR(__xludf.DUMMYFUNCTION("""COMPUTED_VALUE"""),3.0)</f>
        <v>3</v>
      </c>
      <c r="W378" s="447">
        <f>IFERROR(__xludf.DUMMYFUNCTION("""COMPUTED_VALUE"""),0.0)</f>
        <v>0</v>
      </c>
      <c r="X378" s="447">
        <f>IFERROR(__xludf.DUMMYFUNCTION("""COMPUTED_VALUE"""),0.0)</f>
        <v>0</v>
      </c>
      <c r="Y378" s="447">
        <f>IFERROR(__xludf.DUMMYFUNCTION("""COMPUTED_VALUE"""),0.0)</f>
        <v>0</v>
      </c>
      <c r="Z378" s="447">
        <f>IFERROR(__xludf.DUMMYFUNCTION("""COMPUTED_VALUE"""),0.0)</f>
        <v>0</v>
      </c>
      <c r="AA378" s="447">
        <f>IFERROR(__xludf.DUMMYFUNCTION("""COMPUTED_VALUE"""),0.0)</f>
        <v>0</v>
      </c>
      <c r="AB378" s="447">
        <f>IFERROR(__xludf.DUMMYFUNCTION("""COMPUTED_VALUE"""),0.0)</f>
        <v>0</v>
      </c>
      <c r="AC378" s="447">
        <f>IFERROR(__xludf.DUMMYFUNCTION("""COMPUTED_VALUE"""),0.0)</f>
        <v>0</v>
      </c>
      <c r="AD378" s="447">
        <f>IFERROR(__xludf.DUMMYFUNCTION("""COMPUTED_VALUE"""),46.0)</f>
        <v>46</v>
      </c>
      <c r="AE378" s="447">
        <f>IFERROR(__xludf.DUMMYFUNCTION("""COMPUTED_VALUE"""),8.0)</f>
        <v>8</v>
      </c>
      <c r="AF378" s="447">
        <f>IFERROR(__xludf.DUMMYFUNCTION("""COMPUTED_VALUE"""),0.0)</f>
        <v>0</v>
      </c>
      <c r="AG378" s="443" t="s">
        <v>83</v>
      </c>
      <c r="AH378" s="443" t="s">
        <v>961</v>
      </c>
      <c r="AI378" s="443"/>
      <c r="AJ378" s="443"/>
      <c r="AK378" s="443"/>
      <c r="AL378" s="443"/>
      <c r="AM378" s="443"/>
      <c r="AN378" s="443"/>
      <c r="AO378" s="443"/>
      <c r="AP378" s="443"/>
      <c r="AQ378" s="443"/>
      <c r="AR378" s="443"/>
      <c r="AS378" s="443"/>
      <c r="AT378" s="443"/>
      <c r="AU378" s="443"/>
      <c r="AV378" s="443"/>
      <c r="AW378" s="443"/>
      <c r="AX378" s="443"/>
      <c r="AY378" s="443"/>
      <c r="AZ378" s="443"/>
      <c r="BA378" s="443"/>
      <c r="BB378" s="443"/>
      <c r="BC378" s="443"/>
      <c r="BD378" s="443"/>
      <c r="BE378" s="443"/>
    </row>
    <row r="379" hidden="1">
      <c r="A379" s="445">
        <f t="shared" si="5"/>
        <v>45669</v>
      </c>
      <c r="B379" s="449">
        <v>0.0</v>
      </c>
      <c r="C379" s="443"/>
      <c r="D379" s="462"/>
      <c r="E379" s="436" t="str">
        <f t="array" ref="E379">IF(B379=0,"",(J379+K379)/60)</f>
        <v/>
      </c>
      <c r="F379" s="437" t="str">
        <f t="shared" si="1"/>
        <v/>
      </c>
      <c r="G379" s="438" t="str">
        <f t="shared" si="8"/>
        <v>#DIV/0!</v>
      </c>
      <c r="H379" s="438" t="str">
        <f t="shared" si="3"/>
        <v/>
      </c>
      <c r="I379" s="436" t="str">
        <f t="shared" si="6"/>
        <v/>
      </c>
      <c r="J379" s="464"/>
      <c r="K379" s="464"/>
      <c r="L379" s="443"/>
      <c r="M379" s="447">
        <f>IFERROR(__xludf.DUMMYFUNCTION("""COMPUTED_VALUE"""),57.0)</f>
        <v>57</v>
      </c>
      <c r="N379" s="447">
        <f>IFERROR(__xludf.DUMMYFUNCTION("""COMPUTED_VALUE"""),57.0)</f>
        <v>57</v>
      </c>
      <c r="O379" s="447">
        <f>IFERROR(__xludf.DUMMYFUNCTION("""COMPUTED_VALUE"""),0.0)</f>
        <v>0</v>
      </c>
      <c r="P379" s="447">
        <f>IFERROR(__xludf.DUMMYFUNCTION("""COMPUTED_VALUE"""),0.0)</f>
        <v>0</v>
      </c>
      <c r="Q379" s="447">
        <f>IFERROR(__xludf.DUMMYFUNCTION("""COMPUTED_VALUE"""),0.0)</f>
        <v>0</v>
      </c>
      <c r="R379" s="447">
        <f>IFERROR(__xludf.DUMMYFUNCTION("""COMPUTED_VALUE"""),0.0)</f>
        <v>0</v>
      </c>
      <c r="S379" s="447">
        <f>IFERROR(__xludf.DUMMYFUNCTION("""COMPUTED_VALUE"""),0.0)</f>
        <v>0</v>
      </c>
      <c r="T379" s="447">
        <f>IFERROR(__xludf.DUMMYFUNCTION("""COMPUTED_VALUE"""),0.0)</f>
        <v>0</v>
      </c>
      <c r="U379" s="447">
        <f>IFERROR(__xludf.DUMMYFUNCTION("""COMPUTED_VALUE"""),0.0)</f>
        <v>0</v>
      </c>
      <c r="V379" s="447">
        <f>IFERROR(__xludf.DUMMYFUNCTION("""COMPUTED_VALUE"""),0.0)</f>
        <v>0</v>
      </c>
      <c r="W379" s="447">
        <f>IFERROR(__xludf.DUMMYFUNCTION("""COMPUTED_VALUE"""),0.0)</f>
        <v>0</v>
      </c>
      <c r="X379" s="447">
        <f>IFERROR(__xludf.DUMMYFUNCTION("""COMPUTED_VALUE"""),0.0)</f>
        <v>0</v>
      </c>
      <c r="Y379" s="447">
        <f>IFERROR(__xludf.DUMMYFUNCTION("""COMPUTED_VALUE"""),0.0)</f>
        <v>0</v>
      </c>
      <c r="Z379" s="447">
        <f>IFERROR(__xludf.DUMMYFUNCTION("""COMPUTED_VALUE"""),0.0)</f>
        <v>0</v>
      </c>
      <c r="AA379" s="447">
        <f>IFERROR(__xludf.DUMMYFUNCTION("""COMPUTED_VALUE"""),0.0)</f>
        <v>0</v>
      </c>
      <c r="AB379" s="447">
        <f>IFERROR(__xludf.DUMMYFUNCTION("""COMPUTED_VALUE"""),0.0)</f>
        <v>0</v>
      </c>
      <c r="AC379" s="447">
        <f>IFERROR(__xludf.DUMMYFUNCTION("""COMPUTED_VALUE"""),0.0)</f>
        <v>0</v>
      </c>
      <c r="AD379" s="447">
        <f>IFERROR(__xludf.DUMMYFUNCTION("""COMPUTED_VALUE"""),0.0)</f>
        <v>0</v>
      </c>
      <c r="AE379" s="447">
        <f>IFERROR(__xludf.DUMMYFUNCTION("""COMPUTED_VALUE"""),0.0)</f>
        <v>0</v>
      </c>
      <c r="AF379" s="447">
        <f>IFERROR(__xludf.DUMMYFUNCTION("""COMPUTED_VALUE"""),0.0)</f>
        <v>0</v>
      </c>
      <c r="AG379" s="443" t="s">
        <v>83</v>
      </c>
      <c r="AH379" s="443" t="s">
        <v>961</v>
      </c>
      <c r="AI379" s="443"/>
      <c r="AJ379" s="443"/>
      <c r="AK379" s="443"/>
      <c r="AL379" s="443"/>
      <c r="AM379" s="443"/>
      <c r="AN379" s="443"/>
      <c r="AO379" s="443"/>
      <c r="AP379" s="443"/>
      <c r="AQ379" s="443"/>
      <c r="AR379" s="443"/>
      <c r="AS379" s="443"/>
      <c r="AT379" s="443"/>
      <c r="AU379" s="443"/>
      <c r="AV379" s="443"/>
      <c r="AW379" s="443"/>
      <c r="AX379" s="443"/>
      <c r="AY379" s="443"/>
      <c r="AZ379" s="443"/>
      <c r="BA379" s="443"/>
      <c r="BB379" s="443"/>
      <c r="BC379" s="443"/>
      <c r="BD379" s="443"/>
      <c r="BE379" s="443"/>
    </row>
    <row r="380" hidden="1">
      <c r="A380" s="445">
        <f t="shared" si="5"/>
        <v>45670</v>
      </c>
      <c r="B380" s="449">
        <v>540.0</v>
      </c>
      <c r="C380" s="462">
        <v>0.6</v>
      </c>
      <c r="D380" s="462">
        <v>1.1458333333333333</v>
      </c>
      <c r="E380" s="436">
        <f t="array" ref="E380">IF(B380=0,"",(J380+K380)/60)</f>
        <v>2.35</v>
      </c>
      <c r="F380" s="437">
        <f t="shared" si="1"/>
        <v>13.1</v>
      </c>
      <c r="G380" s="438">
        <f t="shared" si="8"/>
        <v>41.22137405</v>
      </c>
      <c r="H380" s="438">
        <f t="shared" si="3"/>
        <v>50.23255814</v>
      </c>
      <c r="I380" s="436">
        <f t="shared" si="6"/>
        <v>0.8244274809</v>
      </c>
      <c r="J380" s="460">
        <v>75.0</v>
      </c>
      <c r="K380" s="460">
        <v>66.0</v>
      </c>
      <c r="L380" s="443"/>
      <c r="M380" s="447">
        <f>IFERROR(__xludf.DUMMYFUNCTION("""COMPUTED_VALUE"""),57.0)</f>
        <v>57</v>
      </c>
      <c r="N380" s="447">
        <f>IFERROR(__xludf.DUMMYFUNCTION("""COMPUTED_VALUE"""),57.0)</f>
        <v>57</v>
      </c>
      <c r="O380" s="447">
        <f>IFERROR(__xludf.DUMMYFUNCTION("""COMPUTED_VALUE"""),0.0)</f>
        <v>0</v>
      </c>
      <c r="P380" s="447">
        <f>IFERROR(__xludf.DUMMYFUNCTION("""COMPUTED_VALUE"""),0.0)</f>
        <v>0</v>
      </c>
      <c r="Q380" s="447">
        <f>IFERROR(__xludf.DUMMYFUNCTION("""COMPUTED_VALUE"""),1.0)</f>
        <v>1</v>
      </c>
      <c r="R380" s="447">
        <f>IFERROR(__xludf.DUMMYFUNCTION("""COMPUTED_VALUE"""),0.0)</f>
        <v>0</v>
      </c>
      <c r="S380" s="447">
        <f>IFERROR(__xludf.DUMMYFUNCTION("""COMPUTED_VALUE"""),1.0)</f>
        <v>1</v>
      </c>
      <c r="T380" s="447">
        <f>IFERROR(__xludf.DUMMYFUNCTION("""COMPUTED_VALUE"""),0.0)</f>
        <v>0</v>
      </c>
      <c r="U380" s="447">
        <f>IFERROR(__xludf.DUMMYFUNCTION("""COMPUTED_VALUE"""),0.0)</f>
        <v>0</v>
      </c>
      <c r="V380" s="447">
        <f>IFERROR(__xludf.DUMMYFUNCTION("""COMPUTED_VALUE"""),2.0)</f>
        <v>2</v>
      </c>
      <c r="W380" s="447">
        <f>IFERROR(__xludf.DUMMYFUNCTION("""COMPUTED_VALUE"""),0.0)</f>
        <v>0</v>
      </c>
      <c r="X380" s="447">
        <f>IFERROR(__xludf.DUMMYFUNCTION("""COMPUTED_VALUE"""),0.0)</f>
        <v>0</v>
      </c>
      <c r="Y380" s="447">
        <f>IFERROR(__xludf.DUMMYFUNCTION("""COMPUTED_VALUE"""),0.0)</f>
        <v>0</v>
      </c>
      <c r="Z380" s="447">
        <f>IFERROR(__xludf.DUMMYFUNCTION("""COMPUTED_VALUE"""),0.0)</f>
        <v>0</v>
      </c>
      <c r="AA380" s="447">
        <f>IFERROR(__xludf.DUMMYFUNCTION("""COMPUTED_VALUE"""),0.0)</f>
        <v>0</v>
      </c>
      <c r="AB380" s="447">
        <f>IFERROR(__xludf.DUMMYFUNCTION("""COMPUTED_VALUE"""),0.0)</f>
        <v>0</v>
      </c>
      <c r="AC380" s="447">
        <f>IFERROR(__xludf.DUMMYFUNCTION("""COMPUTED_VALUE"""),0.0)</f>
        <v>0</v>
      </c>
      <c r="AD380" s="447">
        <f>IFERROR(__xludf.DUMMYFUNCTION("""COMPUTED_VALUE"""),50.0)</f>
        <v>50</v>
      </c>
      <c r="AE380" s="447">
        <f>IFERROR(__xludf.DUMMYFUNCTION("""COMPUTED_VALUE"""),4.0)</f>
        <v>4</v>
      </c>
      <c r="AF380" s="447">
        <f>IFERROR(__xludf.DUMMYFUNCTION("""COMPUTED_VALUE"""),0.0)</f>
        <v>0</v>
      </c>
      <c r="AG380" s="443" t="s">
        <v>83</v>
      </c>
      <c r="AH380" s="443" t="s">
        <v>961</v>
      </c>
      <c r="AI380" s="443"/>
      <c r="AJ380" s="443"/>
      <c r="AK380" s="443"/>
      <c r="AL380" s="443"/>
      <c r="AM380" s="443"/>
      <c r="AN380" s="443"/>
      <c r="AO380" s="443"/>
      <c r="AP380" s="443"/>
      <c r="AQ380" s="443"/>
      <c r="AR380" s="443"/>
      <c r="AS380" s="443"/>
      <c r="AT380" s="443"/>
      <c r="AU380" s="443"/>
      <c r="AV380" s="443"/>
      <c r="AW380" s="443"/>
      <c r="AX380" s="443"/>
      <c r="AY380" s="443"/>
      <c r="AZ380" s="443"/>
      <c r="BA380" s="443"/>
      <c r="BB380" s="443"/>
      <c r="BC380" s="443"/>
      <c r="BD380" s="443"/>
      <c r="BE380" s="443"/>
    </row>
    <row r="381" hidden="1">
      <c r="A381" s="445">
        <f t="shared" si="5"/>
        <v>45671</v>
      </c>
      <c r="B381" s="449">
        <v>319.0</v>
      </c>
      <c r="C381" s="462">
        <v>0.6138888888888889</v>
      </c>
      <c r="D381" s="462">
        <v>0.9354166666666667</v>
      </c>
      <c r="E381" s="436">
        <f t="array" ref="E381">IF(B381=0,"",(J381+K381)/60)</f>
        <v>0.5</v>
      </c>
      <c r="F381" s="437">
        <f t="shared" si="1"/>
        <v>7.716666667</v>
      </c>
      <c r="G381" s="438">
        <f t="shared" si="8"/>
        <v>41.33909287</v>
      </c>
      <c r="H381" s="438">
        <f t="shared" si="3"/>
        <v>44.20323326</v>
      </c>
      <c r="I381" s="436">
        <f t="shared" si="6"/>
        <v>0.8795551675</v>
      </c>
      <c r="J381" s="460">
        <v>30.0</v>
      </c>
      <c r="K381" s="464"/>
      <c r="L381" s="443"/>
      <c r="M381" s="447">
        <f>IFERROR(__xludf.DUMMYFUNCTION("""COMPUTED_VALUE"""),57.0)</f>
        <v>57</v>
      </c>
      <c r="N381" s="447">
        <f>IFERROR(__xludf.DUMMYFUNCTION("""COMPUTED_VALUE"""),57.0)</f>
        <v>57</v>
      </c>
      <c r="O381" s="447">
        <f>IFERROR(__xludf.DUMMYFUNCTION("""COMPUTED_VALUE"""),0.0)</f>
        <v>0</v>
      </c>
      <c r="P381" s="447">
        <f>IFERROR(__xludf.DUMMYFUNCTION("""COMPUTED_VALUE"""),0.0)</f>
        <v>0</v>
      </c>
      <c r="Q381" s="447">
        <f>IFERROR(__xludf.DUMMYFUNCTION("""COMPUTED_VALUE"""),2.0)</f>
        <v>2</v>
      </c>
      <c r="R381" s="447">
        <f>IFERROR(__xludf.DUMMYFUNCTION("""COMPUTED_VALUE"""),0.0)</f>
        <v>0</v>
      </c>
      <c r="S381" s="447">
        <f>IFERROR(__xludf.DUMMYFUNCTION("""COMPUTED_VALUE"""),2.0)</f>
        <v>2</v>
      </c>
      <c r="T381" s="447">
        <f>IFERROR(__xludf.DUMMYFUNCTION("""COMPUTED_VALUE"""),0.0)</f>
        <v>0</v>
      </c>
      <c r="U381" s="447">
        <f>IFERROR(__xludf.DUMMYFUNCTION("""COMPUTED_VALUE"""),0.0)</f>
        <v>0</v>
      </c>
      <c r="V381" s="447">
        <f>IFERROR(__xludf.DUMMYFUNCTION("""COMPUTED_VALUE"""),2.0)</f>
        <v>2</v>
      </c>
      <c r="W381" s="447">
        <f>IFERROR(__xludf.DUMMYFUNCTION("""COMPUTED_VALUE"""),1.0)</f>
        <v>1</v>
      </c>
      <c r="X381" s="447">
        <f>IFERROR(__xludf.DUMMYFUNCTION("""COMPUTED_VALUE"""),0.0)</f>
        <v>0</v>
      </c>
      <c r="Y381" s="447">
        <f>IFERROR(__xludf.DUMMYFUNCTION("""COMPUTED_VALUE"""),0.0)</f>
        <v>0</v>
      </c>
      <c r="Z381" s="447">
        <f>IFERROR(__xludf.DUMMYFUNCTION("""COMPUTED_VALUE"""),0.0)</f>
        <v>0</v>
      </c>
      <c r="AA381" s="447">
        <f>IFERROR(__xludf.DUMMYFUNCTION("""COMPUTED_VALUE"""),0.0)</f>
        <v>0</v>
      </c>
      <c r="AB381" s="447">
        <f>IFERROR(__xludf.DUMMYFUNCTION("""COMPUTED_VALUE"""),0.0)</f>
        <v>0</v>
      </c>
      <c r="AC381" s="447">
        <f>IFERROR(__xludf.DUMMYFUNCTION("""COMPUTED_VALUE"""),0.0)</f>
        <v>0</v>
      </c>
      <c r="AD381" s="447">
        <f>IFERROR(__xludf.DUMMYFUNCTION("""COMPUTED_VALUE"""),47.0)</f>
        <v>47</v>
      </c>
      <c r="AE381" s="447">
        <f>IFERROR(__xludf.DUMMYFUNCTION("""COMPUTED_VALUE"""),7.0)</f>
        <v>7</v>
      </c>
      <c r="AF381" s="447">
        <f>IFERROR(__xludf.DUMMYFUNCTION("""COMPUTED_VALUE"""),0.0)</f>
        <v>0</v>
      </c>
      <c r="AG381" s="443" t="s">
        <v>83</v>
      </c>
      <c r="AH381" s="443" t="s">
        <v>961</v>
      </c>
      <c r="AI381" s="443"/>
      <c r="AJ381" s="443"/>
      <c r="AK381" s="443"/>
      <c r="AL381" s="443"/>
      <c r="AM381" s="443"/>
      <c r="AN381" s="443"/>
      <c r="AO381" s="443"/>
      <c r="AP381" s="443"/>
      <c r="AQ381" s="443"/>
      <c r="AR381" s="443"/>
      <c r="AS381" s="443"/>
      <c r="AT381" s="443"/>
      <c r="AU381" s="443"/>
      <c r="AV381" s="443"/>
      <c r="AW381" s="443"/>
      <c r="AX381" s="443"/>
      <c r="AY381" s="443"/>
      <c r="AZ381" s="443"/>
      <c r="BA381" s="443"/>
      <c r="BB381" s="443"/>
      <c r="BC381" s="443"/>
      <c r="BD381" s="443"/>
      <c r="BE381" s="443"/>
    </row>
    <row r="382" hidden="1">
      <c r="A382" s="445">
        <f t="shared" si="5"/>
        <v>45672</v>
      </c>
      <c r="B382" s="449">
        <v>567.0</v>
      </c>
      <c r="C382" s="462">
        <v>0.6416666666666667</v>
      </c>
      <c r="D382" s="462">
        <v>1.0972222222222223</v>
      </c>
      <c r="E382" s="436">
        <f t="array" ref="E382">IF(B382=0,"",(J382+K382)/60)</f>
        <v>1.783333333</v>
      </c>
      <c r="F382" s="437">
        <f t="shared" si="1"/>
        <v>10.93333333</v>
      </c>
      <c r="G382" s="438">
        <f t="shared" si="8"/>
        <v>51.8597561</v>
      </c>
      <c r="H382" s="438">
        <f t="shared" si="3"/>
        <v>61.96721311</v>
      </c>
      <c r="I382" s="436">
        <f t="shared" si="6"/>
        <v>1.127386002</v>
      </c>
      <c r="J382" s="460">
        <v>65.0</v>
      </c>
      <c r="K382" s="464">
        <f>23+19</f>
        <v>42</v>
      </c>
      <c r="L382" s="443"/>
      <c r="M382" s="447">
        <f>IFERROR(__xludf.DUMMYFUNCTION("""COMPUTED_VALUE"""),57.0)</f>
        <v>57</v>
      </c>
      <c r="N382" s="447">
        <f>IFERROR(__xludf.DUMMYFUNCTION("""COMPUTED_VALUE"""),57.0)</f>
        <v>57</v>
      </c>
      <c r="O382" s="447">
        <f>IFERROR(__xludf.DUMMYFUNCTION("""COMPUTED_VALUE"""),0.0)</f>
        <v>0</v>
      </c>
      <c r="P382" s="447">
        <f>IFERROR(__xludf.DUMMYFUNCTION("""COMPUTED_VALUE"""),0.0)</f>
        <v>0</v>
      </c>
      <c r="Q382" s="447">
        <f>IFERROR(__xludf.DUMMYFUNCTION("""COMPUTED_VALUE"""),2.0)</f>
        <v>2</v>
      </c>
      <c r="R382" s="447">
        <f>IFERROR(__xludf.DUMMYFUNCTION("""COMPUTED_VALUE"""),0.0)</f>
        <v>0</v>
      </c>
      <c r="S382" s="447">
        <f>IFERROR(__xludf.DUMMYFUNCTION("""COMPUTED_VALUE"""),3.0)</f>
        <v>3</v>
      </c>
      <c r="T382" s="447">
        <f>IFERROR(__xludf.DUMMYFUNCTION("""COMPUTED_VALUE"""),0.0)</f>
        <v>0</v>
      </c>
      <c r="U382" s="447">
        <f>IFERROR(__xludf.DUMMYFUNCTION("""COMPUTED_VALUE"""),0.0)</f>
        <v>0</v>
      </c>
      <c r="V382" s="447">
        <f>IFERROR(__xludf.DUMMYFUNCTION("""COMPUTED_VALUE"""),2.0)</f>
        <v>2</v>
      </c>
      <c r="W382" s="447">
        <f>IFERROR(__xludf.DUMMYFUNCTION("""COMPUTED_VALUE"""),1.0)</f>
        <v>1</v>
      </c>
      <c r="X382" s="447">
        <f>IFERROR(__xludf.DUMMYFUNCTION("""COMPUTED_VALUE"""),0.0)</f>
        <v>0</v>
      </c>
      <c r="Y382" s="447">
        <f>IFERROR(__xludf.DUMMYFUNCTION("""COMPUTED_VALUE"""),0.0)</f>
        <v>0</v>
      </c>
      <c r="Z382" s="447">
        <f>IFERROR(__xludf.DUMMYFUNCTION("""COMPUTED_VALUE"""),0.0)</f>
        <v>0</v>
      </c>
      <c r="AA382" s="447">
        <f>IFERROR(__xludf.DUMMYFUNCTION("""COMPUTED_VALUE"""),0.0)</f>
        <v>0</v>
      </c>
      <c r="AB382" s="447">
        <f>IFERROR(__xludf.DUMMYFUNCTION("""COMPUTED_VALUE"""),0.0)</f>
        <v>0</v>
      </c>
      <c r="AC382" s="447">
        <f>IFERROR(__xludf.DUMMYFUNCTION("""COMPUTED_VALUE"""),0.0)</f>
        <v>0</v>
      </c>
      <c r="AD382" s="447">
        <f>IFERROR(__xludf.DUMMYFUNCTION("""COMPUTED_VALUE"""),46.0)</f>
        <v>46</v>
      </c>
      <c r="AE382" s="447">
        <f>IFERROR(__xludf.DUMMYFUNCTION("""COMPUTED_VALUE"""),8.0)</f>
        <v>8</v>
      </c>
      <c r="AF382" s="447">
        <f>IFERROR(__xludf.DUMMYFUNCTION("""COMPUTED_VALUE"""),0.0)</f>
        <v>0</v>
      </c>
      <c r="AG382" s="443" t="s">
        <v>83</v>
      </c>
      <c r="AH382" s="443" t="s">
        <v>961</v>
      </c>
      <c r="AI382" s="443"/>
      <c r="AJ382" s="443"/>
      <c r="AK382" s="443"/>
      <c r="AL382" s="443"/>
      <c r="AM382" s="443"/>
      <c r="AN382" s="443"/>
      <c r="AO382" s="443"/>
      <c r="AP382" s="443"/>
      <c r="AQ382" s="443"/>
      <c r="AR382" s="443"/>
      <c r="AS382" s="443"/>
      <c r="AT382" s="443"/>
      <c r="AU382" s="443"/>
      <c r="AV382" s="443"/>
      <c r="AW382" s="443"/>
      <c r="AX382" s="443"/>
      <c r="AY382" s="443"/>
      <c r="AZ382" s="443"/>
      <c r="BA382" s="443"/>
      <c r="BB382" s="443"/>
      <c r="BC382" s="443"/>
      <c r="BD382" s="443"/>
      <c r="BE382" s="443"/>
    </row>
    <row r="383" hidden="1">
      <c r="A383" s="445">
        <f t="shared" si="5"/>
        <v>45673</v>
      </c>
      <c r="B383" s="449">
        <v>481.0</v>
      </c>
      <c r="C383" s="462">
        <v>0.6416666666666667</v>
      </c>
      <c r="D383" s="462">
        <v>0.9986111111111111</v>
      </c>
      <c r="E383" s="436">
        <f t="array" ref="E383">IF(B383=0,"",(J383+K383)/60)</f>
        <v>0.5</v>
      </c>
      <c r="F383" s="437">
        <f t="shared" si="1"/>
        <v>8.566666667</v>
      </c>
      <c r="G383" s="438">
        <f t="shared" si="8"/>
        <v>56.14785992</v>
      </c>
      <c r="H383" s="438">
        <f t="shared" si="3"/>
        <v>59.62809917</v>
      </c>
      <c r="I383" s="436">
        <f t="shared" si="6"/>
        <v>1.145874692</v>
      </c>
      <c r="J383" s="460">
        <v>30.0</v>
      </c>
      <c r="K383" s="464"/>
      <c r="L383" s="443"/>
      <c r="M383" s="447">
        <f>IFERROR(__xludf.DUMMYFUNCTION("""COMPUTED_VALUE"""),57.0)</f>
        <v>57</v>
      </c>
      <c r="N383" s="447">
        <f>IFERROR(__xludf.DUMMYFUNCTION("""COMPUTED_VALUE"""),56.0)</f>
        <v>56</v>
      </c>
      <c r="O383" s="447">
        <f>IFERROR(__xludf.DUMMYFUNCTION("""COMPUTED_VALUE"""),0.0)</f>
        <v>0</v>
      </c>
      <c r="P383" s="447">
        <f>IFERROR(__xludf.DUMMYFUNCTION("""COMPUTED_VALUE"""),0.0)</f>
        <v>0</v>
      </c>
      <c r="Q383" s="447">
        <f>IFERROR(__xludf.DUMMYFUNCTION("""COMPUTED_VALUE"""),0.0)</f>
        <v>0</v>
      </c>
      <c r="R383" s="447">
        <f>IFERROR(__xludf.DUMMYFUNCTION("""COMPUTED_VALUE"""),0.0)</f>
        <v>0</v>
      </c>
      <c r="S383" s="447">
        <f>IFERROR(__xludf.DUMMYFUNCTION("""COMPUTED_VALUE"""),2.0)</f>
        <v>2</v>
      </c>
      <c r="T383" s="447">
        <f>IFERROR(__xludf.DUMMYFUNCTION("""COMPUTED_VALUE"""),0.0)</f>
        <v>0</v>
      </c>
      <c r="U383" s="447">
        <f>IFERROR(__xludf.DUMMYFUNCTION("""COMPUTED_VALUE"""),1.0)</f>
        <v>1</v>
      </c>
      <c r="V383" s="447">
        <f>IFERROR(__xludf.DUMMYFUNCTION("""COMPUTED_VALUE"""),2.0)</f>
        <v>2</v>
      </c>
      <c r="W383" s="447">
        <f>IFERROR(__xludf.DUMMYFUNCTION("""COMPUTED_VALUE"""),0.0)</f>
        <v>0</v>
      </c>
      <c r="X383" s="447">
        <f>IFERROR(__xludf.DUMMYFUNCTION("""COMPUTED_VALUE"""),0.0)</f>
        <v>0</v>
      </c>
      <c r="Y383" s="447">
        <f>IFERROR(__xludf.DUMMYFUNCTION("""COMPUTED_VALUE"""),0.0)</f>
        <v>0</v>
      </c>
      <c r="Z383" s="447">
        <f>IFERROR(__xludf.DUMMYFUNCTION("""COMPUTED_VALUE"""),0.0)</f>
        <v>0</v>
      </c>
      <c r="AA383" s="447">
        <f>IFERROR(__xludf.DUMMYFUNCTION("""COMPUTED_VALUE"""),0.0)</f>
        <v>0</v>
      </c>
      <c r="AB383" s="447">
        <f>IFERROR(__xludf.DUMMYFUNCTION("""COMPUTED_VALUE"""),0.0)</f>
        <v>0</v>
      </c>
      <c r="AC383" s="447">
        <f>IFERROR(__xludf.DUMMYFUNCTION("""COMPUTED_VALUE"""),0.0)</f>
        <v>0</v>
      </c>
      <c r="AD383" s="447">
        <f>IFERROR(__xludf.DUMMYFUNCTION("""COMPUTED_VALUE"""),49.0)</f>
        <v>49</v>
      </c>
      <c r="AE383" s="447">
        <f>IFERROR(__xludf.DUMMYFUNCTION("""COMPUTED_VALUE"""),5.0)</f>
        <v>5</v>
      </c>
      <c r="AF383" s="447">
        <f>IFERROR(__xludf.DUMMYFUNCTION("""COMPUTED_VALUE"""),1.0)</f>
        <v>1</v>
      </c>
      <c r="AG383" s="443" t="s">
        <v>83</v>
      </c>
      <c r="AH383" s="443" t="s">
        <v>961</v>
      </c>
      <c r="AI383" s="443"/>
      <c r="AJ383" s="443"/>
      <c r="AK383" s="443"/>
      <c r="AL383" s="443"/>
      <c r="AM383" s="443"/>
      <c r="AN383" s="443"/>
      <c r="AO383" s="443"/>
      <c r="AP383" s="443"/>
      <c r="AQ383" s="443"/>
      <c r="AR383" s="443"/>
      <c r="AS383" s="443"/>
      <c r="AT383" s="443"/>
      <c r="AU383" s="443"/>
      <c r="AV383" s="443"/>
      <c r="AW383" s="443"/>
      <c r="AX383" s="443"/>
      <c r="AY383" s="443"/>
      <c r="AZ383" s="443"/>
      <c r="BA383" s="443"/>
      <c r="BB383" s="443"/>
      <c r="BC383" s="443"/>
      <c r="BD383" s="443"/>
      <c r="BE383" s="443"/>
    </row>
    <row r="384" hidden="1">
      <c r="A384" s="445">
        <f t="shared" si="5"/>
        <v>45674</v>
      </c>
      <c r="B384" s="449">
        <v>438.0</v>
      </c>
      <c r="C384" s="462">
        <v>0.6416666666666667</v>
      </c>
      <c r="D384" s="462">
        <v>0.9805555555555555</v>
      </c>
      <c r="E384" s="436">
        <f t="array" ref="E384">IF(B384=0,"",(J384+K384)/60)</f>
        <v>0.5</v>
      </c>
      <c r="F384" s="437">
        <f t="shared" si="1"/>
        <v>8.133333333</v>
      </c>
      <c r="G384" s="438">
        <f t="shared" si="8"/>
        <v>53.85245902</v>
      </c>
      <c r="H384" s="438">
        <f t="shared" si="3"/>
        <v>57.37991266</v>
      </c>
      <c r="I384" s="436">
        <f t="shared" si="6"/>
        <v>1.12192623</v>
      </c>
      <c r="J384" s="460">
        <v>30.0</v>
      </c>
      <c r="K384" s="464"/>
      <c r="L384" s="443"/>
      <c r="M384" s="447">
        <f>IFERROR(__xludf.DUMMYFUNCTION("""COMPUTED_VALUE"""),57.0)</f>
        <v>57</v>
      </c>
      <c r="N384" s="447">
        <f>IFERROR(__xludf.DUMMYFUNCTION("""COMPUTED_VALUE"""),56.0)</f>
        <v>56</v>
      </c>
      <c r="O384" s="447">
        <f>IFERROR(__xludf.DUMMYFUNCTION("""COMPUTED_VALUE"""),0.0)</f>
        <v>0</v>
      </c>
      <c r="P384" s="447">
        <f>IFERROR(__xludf.DUMMYFUNCTION("""COMPUTED_VALUE"""),0.0)</f>
        <v>0</v>
      </c>
      <c r="Q384" s="447">
        <f>IFERROR(__xludf.DUMMYFUNCTION("""COMPUTED_VALUE"""),0.0)</f>
        <v>0</v>
      </c>
      <c r="R384" s="447">
        <f>IFERROR(__xludf.DUMMYFUNCTION("""COMPUTED_VALUE"""),0.0)</f>
        <v>0</v>
      </c>
      <c r="S384" s="447">
        <f>IFERROR(__xludf.DUMMYFUNCTION("""COMPUTED_VALUE"""),3.0)</f>
        <v>3</v>
      </c>
      <c r="T384" s="447">
        <f>IFERROR(__xludf.DUMMYFUNCTION("""COMPUTED_VALUE"""),0.0)</f>
        <v>0</v>
      </c>
      <c r="U384" s="447">
        <f>IFERROR(__xludf.DUMMYFUNCTION("""COMPUTED_VALUE"""),1.0)</f>
        <v>1</v>
      </c>
      <c r="V384" s="447">
        <f>IFERROR(__xludf.DUMMYFUNCTION("""COMPUTED_VALUE"""),2.0)</f>
        <v>2</v>
      </c>
      <c r="W384" s="447">
        <f>IFERROR(__xludf.DUMMYFUNCTION("""COMPUTED_VALUE"""),0.0)</f>
        <v>0</v>
      </c>
      <c r="X384" s="447">
        <f>IFERROR(__xludf.DUMMYFUNCTION("""COMPUTED_VALUE"""),0.0)</f>
        <v>0</v>
      </c>
      <c r="Y384" s="447">
        <f>IFERROR(__xludf.DUMMYFUNCTION("""COMPUTED_VALUE"""),0.0)</f>
        <v>0</v>
      </c>
      <c r="Z384" s="447">
        <f>IFERROR(__xludf.DUMMYFUNCTION("""COMPUTED_VALUE"""),0.0)</f>
        <v>0</v>
      </c>
      <c r="AA384" s="447">
        <f>IFERROR(__xludf.DUMMYFUNCTION("""COMPUTED_VALUE"""),0.0)</f>
        <v>0</v>
      </c>
      <c r="AB384" s="447">
        <f>IFERROR(__xludf.DUMMYFUNCTION("""COMPUTED_VALUE"""),0.0)</f>
        <v>0</v>
      </c>
      <c r="AC384" s="447">
        <f>IFERROR(__xludf.DUMMYFUNCTION("""COMPUTED_VALUE"""),0.0)</f>
        <v>0</v>
      </c>
      <c r="AD384" s="447">
        <f>IFERROR(__xludf.DUMMYFUNCTION("""COMPUTED_VALUE"""),48.0)</f>
        <v>48</v>
      </c>
      <c r="AE384" s="447">
        <f>IFERROR(__xludf.DUMMYFUNCTION("""COMPUTED_VALUE"""),6.0)</f>
        <v>6</v>
      </c>
      <c r="AF384" s="447">
        <f>IFERROR(__xludf.DUMMYFUNCTION("""COMPUTED_VALUE"""),1.0)</f>
        <v>1</v>
      </c>
      <c r="AG384" s="443" t="s">
        <v>83</v>
      </c>
      <c r="AH384" s="443" t="s">
        <v>961</v>
      </c>
      <c r="AI384" s="443"/>
      <c r="AJ384" s="443"/>
      <c r="AK384" s="443"/>
      <c r="AL384" s="443"/>
      <c r="AM384" s="443"/>
      <c r="AN384" s="443"/>
      <c r="AO384" s="443"/>
      <c r="AP384" s="443"/>
      <c r="AQ384" s="443"/>
      <c r="AR384" s="443"/>
      <c r="AS384" s="443"/>
      <c r="AT384" s="443"/>
      <c r="AU384" s="443"/>
      <c r="AV384" s="443"/>
      <c r="AW384" s="443"/>
      <c r="AX384" s="443"/>
      <c r="AY384" s="443"/>
      <c r="AZ384" s="443"/>
      <c r="BA384" s="443"/>
      <c r="BB384" s="443"/>
      <c r="BC384" s="443"/>
      <c r="BD384" s="443"/>
      <c r="BE384" s="443"/>
    </row>
    <row r="385" hidden="1">
      <c r="A385" s="445">
        <f t="shared" si="5"/>
        <v>45675</v>
      </c>
      <c r="B385" s="449">
        <v>407.0</v>
      </c>
      <c r="C385" s="462">
        <v>0.6</v>
      </c>
      <c r="D385" s="462">
        <v>0.9027777777777778</v>
      </c>
      <c r="E385" s="436">
        <f t="array" ref="E385">IF(B385=0,"",(J385+K385)/60)</f>
        <v>0.5</v>
      </c>
      <c r="F385" s="437">
        <f t="shared" si="1"/>
        <v>7.266666667</v>
      </c>
      <c r="G385" s="438">
        <f t="shared" si="8"/>
        <v>56.00917431</v>
      </c>
      <c r="H385" s="438">
        <f t="shared" si="3"/>
        <v>60.14778325</v>
      </c>
      <c r="I385" s="436">
        <f t="shared" si="6"/>
        <v>1.19168456</v>
      </c>
      <c r="J385" s="460">
        <v>30.0</v>
      </c>
      <c r="K385" s="464"/>
      <c r="L385" s="443"/>
      <c r="M385" s="447">
        <f>IFERROR(__xludf.DUMMYFUNCTION("""COMPUTED_VALUE"""),57.0)</f>
        <v>57</v>
      </c>
      <c r="N385" s="447">
        <f>IFERROR(__xludf.DUMMYFUNCTION("""COMPUTED_VALUE"""),56.0)</f>
        <v>56</v>
      </c>
      <c r="O385" s="447">
        <f>IFERROR(__xludf.DUMMYFUNCTION("""COMPUTED_VALUE"""),0.0)</f>
        <v>0</v>
      </c>
      <c r="P385" s="447">
        <f>IFERROR(__xludf.DUMMYFUNCTION("""COMPUTED_VALUE"""),0.0)</f>
        <v>0</v>
      </c>
      <c r="Q385" s="447">
        <f>IFERROR(__xludf.DUMMYFUNCTION("""COMPUTED_VALUE"""),0.0)</f>
        <v>0</v>
      </c>
      <c r="R385" s="447">
        <f>IFERROR(__xludf.DUMMYFUNCTION("""COMPUTED_VALUE"""),0.0)</f>
        <v>0</v>
      </c>
      <c r="S385" s="447">
        <f>IFERROR(__xludf.DUMMYFUNCTION("""COMPUTED_VALUE"""),4.0)</f>
        <v>4</v>
      </c>
      <c r="T385" s="447">
        <f>IFERROR(__xludf.DUMMYFUNCTION("""COMPUTED_VALUE"""),0.0)</f>
        <v>0</v>
      </c>
      <c r="U385" s="447">
        <f>IFERROR(__xludf.DUMMYFUNCTION("""COMPUTED_VALUE"""),1.0)</f>
        <v>1</v>
      </c>
      <c r="V385" s="447">
        <f>IFERROR(__xludf.DUMMYFUNCTION("""COMPUTED_VALUE"""),2.0)</f>
        <v>2</v>
      </c>
      <c r="W385" s="447">
        <f>IFERROR(__xludf.DUMMYFUNCTION("""COMPUTED_VALUE"""),0.0)</f>
        <v>0</v>
      </c>
      <c r="X385" s="447">
        <f>IFERROR(__xludf.DUMMYFUNCTION("""COMPUTED_VALUE"""),0.0)</f>
        <v>0</v>
      </c>
      <c r="Y385" s="447">
        <f>IFERROR(__xludf.DUMMYFUNCTION("""COMPUTED_VALUE"""),0.0)</f>
        <v>0</v>
      </c>
      <c r="Z385" s="447">
        <f>IFERROR(__xludf.DUMMYFUNCTION("""COMPUTED_VALUE"""),0.0)</f>
        <v>0</v>
      </c>
      <c r="AA385" s="447">
        <f>IFERROR(__xludf.DUMMYFUNCTION("""COMPUTED_VALUE"""),0.0)</f>
        <v>0</v>
      </c>
      <c r="AB385" s="447">
        <f>IFERROR(__xludf.DUMMYFUNCTION("""COMPUTED_VALUE"""),0.0)</f>
        <v>0</v>
      </c>
      <c r="AC385" s="447">
        <f>IFERROR(__xludf.DUMMYFUNCTION("""COMPUTED_VALUE"""),0.0)</f>
        <v>0</v>
      </c>
      <c r="AD385" s="447">
        <f>IFERROR(__xludf.DUMMYFUNCTION("""COMPUTED_VALUE"""),47.0)</f>
        <v>47</v>
      </c>
      <c r="AE385" s="447">
        <f>IFERROR(__xludf.DUMMYFUNCTION("""COMPUTED_VALUE"""),7.0)</f>
        <v>7</v>
      </c>
      <c r="AF385" s="447">
        <f>IFERROR(__xludf.DUMMYFUNCTION("""COMPUTED_VALUE"""),1.0)</f>
        <v>1</v>
      </c>
      <c r="AG385" s="443" t="s">
        <v>83</v>
      </c>
      <c r="AH385" s="443" t="s">
        <v>961</v>
      </c>
      <c r="AI385" s="443"/>
      <c r="AJ385" s="443"/>
      <c r="AK385" s="443"/>
      <c r="AL385" s="443"/>
      <c r="AM385" s="443"/>
      <c r="AN385" s="443"/>
      <c r="AO385" s="443"/>
      <c r="AP385" s="443"/>
      <c r="AQ385" s="443"/>
      <c r="AR385" s="443"/>
      <c r="AS385" s="443"/>
      <c r="AT385" s="443"/>
      <c r="AU385" s="443"/>
      <c r="AV385" s="443"/>
      <c r="AW385" s="443"/>
      <c r="AX385" s="443"/>
      <c r="AY385" s="443"/>
      <c r="AZ385" s="443"/>
      <c r="BA385" s="443"/>
      <c r="BB385" s="443"/>
      <c r="BC385" s="443"/>
      <c r="BD385" s="443"/>
      <c r="BE385" s="443"/>
    </row>
    <row r="386" hidden="1">
      <c r="A386" s="445">
        <f t="shared" si="5"/>
        <v>45676</v>
      </c>
      <c r="B386" s="449">
        <v>0.0</v>
      </c>
      <c r="C386" s="443"/>
      <c r="D386" s="462"/>
      <c r="E386" s="436" t="str">
        <f t="array" ref="E386">IF(B386=0,"",(J386+K386)/60)</f>
        <v/>
      </c>
      <c r="F386" s="437" t="str">
        <f t="shared" si="1"/>
        <v/>
      </c>
      <c r="G386" s="438" t="str">
        <f t="shared" si="8"/>
        <v>#DIV/0!</v>
      </c>
      <c r="H386" s="438" t="str">
        <f t="shared" si="3"/>
        <v/>
      </c>
      <c r="I386" s="436" t="str">
        <f t="shared" si="6"/>
        <v/>
      </c>
      <c r="J386" s="464"/>
      <c r="K386" s="464"/>
      <c r="L386" s="443"/>
      <c r="M386" s="447">
        <f>IFERROR(__xludf.DUMMYFUNCTION("""COMPUTED_VALUE"""),57.0)</f>
        <v>57</v>
      </c>
      <c r="N386" s="447">
        <f>IFERROR(__xludf.DUMMYFUNCTION("""COMPUTED_VALUE"""),57.0)</f>
        <v>57</v>
      </c>
      <c r="O386" s="447">
        <f>IFERROR(__xludf.DUMMYFUNCTION("""COMPUTED_VALUE"""),0.0)</f>
        <v>0</v>
      </c>
      <c r="P386" s="447">
        <f>IFERROR(__xludf.DUMMYFUNCTION("""COMPUTED_VALUE"""),0.0)</f>
        <v>0</v>
      </c>
      <c r="Q386" s="447">
        <f>IFERROR(__xludf.DUMMYFUNCTION("""COMPUTED_VALUE"""),0.0)</f>
        <v>0</v>
      </c>
      <c r="R386" s="447">
        <f>IFERROR(__xludf.DUMMYFUNCTION("""COMPUTED_VALUE"""),0.0)</f>
        <v>0</v>
      </c>
      <c r="S386" s="447">
        <f>IFERROR(__xludf.DUMMYFUNCTION("""COMPUTED_VALUE"""),0.0)</f>
        <v>0</v>
      </c>
      <c r="T386" s="447">
        <f>IFERROR(__xludf.DUMMYFUNCTION("""COMPUTED_VALUE"""),0.0)</f>
        <v>0</v>
      </c>
      <c r="U386" s="447">
        <f>IFERROR(__xludf.DUMMYFUNCTION("""COMPUTED_VALUE"""),0.0)</f>
        <v>0</v>
      </c>
      <c r="V386" s="447">
        <f>IFERROR(__xludf.DUMMYFUNCTION("""COMPUTED_VALUE"""),0.0)</f>
        <v>0</v>
      </c>
      <c r="W386" s="447">
        <f>IFERROR(__xludf.DUMMYFUNCTION("""COMPUTED_VALUE"""),0.0)</f>
        <v>0</v>
      </c>
      <c r="X386" s="447">
        <f>IFERROR(__xludf.DUMMYFUNCTION("""COMPUTED_VALUE"""),0.0)</f>
        <v>0</v>
      </c>
      <c r="Y386" s="447">
        <f>IFERROR(__xludf.DUMMYFUNCTION("""COMPUTED_VALUE"""),0.0)</f>
        <v>0</v>
      </c>
      <c r="Z386" s="447">
        <f>IFERROR(__xludf.DUMMYFUNCTION("""COMPUTED_VALUE"""),0.0)</f>
        <v>0</v>
      </c>
      <c r="AA386" s="447">
        <f>IFERROR(__xludf.DUMMYFUNCTION("""COMPUTED_VALUE"""),0.0)</f>
        <v>0</v>
      </c>
      <c r="AB386" s="447">
        <f>IFERROR(__xludf.DUMMYFUNCTION("""COMPUTED_VALUE"""),0.0)</f>
        <v>0</v>
      </c>
      <c r="AC386" s="447">
        <f>IFERROR(__xludf.DUMMYFUNCTION("""COMPUTED_VALUE"""),0.0)</f>
        <v>0</v>
      </c>
      <c r="AD386" s="447">
        <f>IFERROR(__xludf.DUMMYFUNCTION("""COMPUTED_VALUE"""),0.0)</f>
        <v>0</v>
      </c>
      <c r="AE386" s="447">
        <f>IFERROR(__xludf.DUMMYFUNCTION("""COMPUTED_VALUE"""),0.0)</f>
        <v>0</v>
      </c>
      <c r="AF386" s="447">
        <f>IFERROR(__xludf.DUMMYFUNCTION("""COMPUTED_VALUE"""),0.0)</f>
        <v>0</v>
      </c>
      <c r="AG386" s="443" t="s">
        <v>83</v>
      </c>
      <c r="AH386" s="443" t="s">
        <v>961</v>
      </c>
      <c r="AI386" s="443"/>
      <c r="AJ386" s="443"/>
      <c r="AK386" s="443"/>
      <c r="AL386" s="443"/>
      <c r="AM386" s="443"/>
      <c r="AN386" s="443"/>
      <c r="AO386" s="443"/>
      <c r="AP386" s="443"/>
      <c r="AQ386" s="443"/>
      <c r="AR386" s="443"/>
      <c r="AS386" s="443"/>
      <c r="AT386" s="443"/>
      <c r="AU386" s="443"/>
      <c r="AV386" s="443"/>
      <c r="AW386" s="443"/>
      <c r="AX386" s="443"/>
      <c r="AY386" s="443"/>
      <c r="AZ386" s="443"/>
      <c r="BA386" s="443"/>
      <c r="BB386" s="443"/>
      <c r="BC386" s="443"/>
      <c r="BD386" s="443"/>
      <c r="BE386" s="443"/>
    </row>
    <row r="387" hidden="1">
      <c r="A387" s="445">
        <f t="shared" si="5"/>
        <v>45677</v>
      </c>
      <c r="B387" s="449">
        <v>630.0</v>
      </c>
      <c r="C387" s="462">
        <v>0.625</v>
      </c>
      <c r="D387" s="462">
        <v>1.14375</v>
      </c>
      <c r="E387" s="436">
        <f t="array" ref="E387">IF(B387=0,"",(J387+K387)/60)</f>
        <v>1.083333333</v>
      </c>
      <c r="F387" s="437">
        <f t="shared" si="1"/>
        <v>12.45</v>
      </c>
      <c r="G387" s="438">
        <f t="shared" si="8"/>
        <v>50.60240964</v>
      </c>
      <c r="H387" s="438">
        <f t="shared" si="3"/>
        <v>55.42521994</v>
      </c>
      <c r="I387" s="436">
        <f t="shared" si="6"/>
        <v>1.032702238</v>
      </c>
      <c r="J387" s="460">
        <v>65.0</v>
      </c>
      <c r="K387" s="464"/>
      <c r="L387" s="443"/>
      <c r="M387" s="447">
        <f>IFERROR(__xludf.DUMMYFUNCTION("""COMPUTED_VALUE"""),57.0)</f>
        <v>57</v>
      </c>
      <c r="N387" s="447">
        <f>IFERROR(__xludf.DUMMYFUNCTION("""COMPUTED_VALUE"""),56.0)</f>
        <v>56</v>
      </c>
      <c r="O387" s="447">
        <f>IFERROR(__xludf.DUMMYFUNCTION("""COMPUTED_VALUE"""),0.0)</f>
        <v>0</v>
      </c>
      <c r="P387" s="447">
        <f>IFERROR(__xludf.DUMMYFUNCTION("""COMPUTED_VALUE"""),0.0)</f>
        <v>0</v>
      </c>
      <c r="Q387" s="447">
        <f>IFERROR(__xludf.DUMMYFUNCTION("""COMPUTED_VALUE"""),0.0)</f>
        <v>0</v>
      </c>
      <c r="R387" s="447">
        <f>IFERROR(__xludf.DUMMYFUNCTION("""COMPUTED_VALUE"""),0.0)</f>
        <v>0</v>
      </c>
      <c r="S387" s="447">
        <f>IFERROR(__xludf.DUMMYFUNCTION("""COMPUTED_VALUE"""),1.0)</f>
        <v>1</v>
      </c>
      <c r="T387" s="447">
        <f>IFERROR(__xludf.DUMMYFUNCTION("""COMPUTED_VALUE"""),0.0)</f>
        <v>0</v>
      </c>
      <c r="U387" s="447">
        <f>IFERROR(__xludf.DUMMYFUNCTION("""COMPUTED_VALUE"""),1.0)</f>
        <v>1</v>
      </c>
      <c r="V387" s="447">
        <f>IFERROR(__xludf.DUMMYFUNCTION("""COMPUTED_VALUE"""),2.0)</f>
        <v>2</v>
      </c>
      <c r="W387" s="447">
        <f>IFERROR(__xludf.DUMMYFUNCTION("""COMPUTED_VALUE"""),0.0)</f>
        <v>0</v>
      </c>
      <c r="X387" s="447">
        <f>IFERROR(__xludf.DUMMYFUNCTION("""COMPUTED_VALUE"""),0.0)</f>
        <v>0</v>
      </c>
      <c r="Y387" s="447">
        <f>IFERROR(__xludf.DUMMYFUNCTION("""COMPUTED_VALUE"""),0.0)</f>
        <v>0</v>
      </c>
      <c r="Z387" s="447">
        <f>IFERROR(__xludf.DUMMYFUNCTION("""COMPUTED_VALUE"""),0.0)</f>
        <v>0</v>
      </c>
      <c r="AA387" s="447">
        <f>IFERROR(__xludf.DUMMYFUNCTION("""COMPUTED_VALUE"""),0.0)</f>
        <v>0</v>
      </c>
      <c r="AB387" s="447">
        <f>IFERROR(__xludf.DUMMYFUNCTION("""COMPUTED_VALUE"""),1.0)</f>
        <v>1</v>
      </c>
      <c r="AC387" s="447">
        <f>IFERROR(__xludf.DUMMYFUNCTION("""COMPUTED_VALUE"""),0.0)</f>
        <v>0</v>
      </c>
      <c r="AD387" s="447">
        <f>IFERROR(__xludf.DUMMYFUNCTION("""COMPUTED_VALUE"""),49.0)</f>
        <v>49</v>
      </c>
      <c r="AE387" s="447">
        <f>IFERROR(__xludf.DUMMYFUNCTION("""COMPUTED_VALUE"""),4.0)</f>
        <v>4</v>
      </c>
      <c r="AF387" s="447">
        <f>IFERROR(__xludf.DUMMYFUNCTION("""COMPUTED_VALUE"""),1.0)</f>
        <v>1</v>
      </c>
      <c r="AG387" s="443" t="s">
        <v>83</v>
      </c>
      <c r="AH387" s="443" t="s">
        <v>961</v>
      </c>
      <c r="AI387" s="443"/>
      <c r="AJ387" s="443"/>
      <c r="AK387" s="443"/>
      <c r="AL387" s="443"/>
      <c r="AM387" s="443"/>
      <c r="AN387" s="443"/>
      <c r="AO387" s="443"/>
      <c r="AP387" s="443"/>
      <c r="AQ387" s="443"/>
      <c r="AR387" s="443"/>
      <c r="AS387" s="443"/>
      <c r="AT387" s="443"/>
      <c r="AU387" s="443"/>
      <c r="AV387" s="443"/>
      <c r="AW387" s="443"/>
      <c r="AX387" s="443"/>
      <c r="AY387" s="443"/>
      <c r="AZ387" s="443"/>
      <c r="BA387" s="443"/>
      <c r="BB387" s="443"/>
      <c r="BC387" s="443"/>
      <c r="BD387" s="443"/>
      <c r="BE387" s="443"/>
    </row>
    <row r="388" hidden="1">
      <c r="A388" s="445">
        <f t="shared" si="5"/>
        <v>45678</v>
      </c>
      <c r="B388" s="449">
        <v>326.0</v>
      </c>
      <c r="C388" s="462">
        <v>0.6416666666666667</v>
      </c>
      <c r="D388" s="462">
        <v>0.8923611111111112</v>
      </c>
      <c r="E388" s="436">
        <f t="array" ref="E388">IF(B388=0,"",(J388+K388)/60)</f>
        <v>0.3333333333</v>
      </c>
      <c r="F388" s="437">
        <f t="shared" si="1"/>
        <v>6.016666667</v>
      </c>
      <c r="G388" s="438">
        <f t="shared" si="8"/>
        <v>54.18282548</v>
      </c>
      <c r="H388" s="438">
        <f t="shared" si="3"/>
        <v>57.36070381</v>
      </c>
      <c r="I388" s="436">
        <f t="shared" si="6"/>
        <v>1.105771949</v>
      </c>
      <c r="J388" s="460">
        <v>20.0</v>
      </c>
      <c r="K388" s="464"/>
      <c r="L388" s="443"/>
      <c r="M388" s="447">
        <f>IFERROR(__xludf.DUMMYFUNCTION("""COMPUTED_VALUE"""),57.0)</f>
        <v>57</v>
      </c>
      <c r="N388" s="447">
        <f>IFERROR(__xludf.DUMMYFUNCTION("""COMPUTED_VALUE"""),54.0)</f>
        <v>54</v>
      </c>
      <c r="O388" s="447">
        <f>IFERROR(__xludf.DUMMYFUNCTION("""COMPUTED_VALUE"""),0.0)</f>
        <v>0</v>
      </c>
      <c r="P388" s="447">
        <f>IFERROR(__xludf.DUMMYFUNCTION("""COMPUTED_VALUE"""),0.0)</f>
        <v>0</v>
      </c>
      <c r="Q388" s="447">
        <f>IFERROR(__xludf.DUMMYFUNCTION("""COMPUTED_VALUE"""),0.0)</f>
        <v>0</v>
      </c>
      <c r="R388" s="447">
        <f>IFERROR(__xludf.DUMMYFUNCTION("""COMPUTED_VALUE"""),0.0)</f>
        <v>0</v>
      </c>
      <c r="S388" s="447">
        <f>IFERROR(__xludf.DUMMYFUNCTION("""COMPUTED_VALUE"""),1.0)</f>
        <v>1</v>
      </c>
      <c r="T388" s="447">
        <f>IFERROR(__xludf.DUMMYFUNCTION("""COMPUTED_VALUE"""),0.0)</f>
        <v>0</v>
      </c>
      <c r="U388" s="447">
        <f>IFERROR(__xludf.DUMMYFUNCTION("""COMPUTED_VALUE"""),3.0)</f>
        <v>3</v>
      </c>
      <c r="V388" s="447">
        <f>IFERROR(__xludf.DUMMYFUNCTION("""COMPUTED_VALUE"""),1.0)</f>
        <v>1</v>
      </c>
      <c r="W388" s="447">
        <f>IFERROR(__xludf.DUMMYFUNCTION("""COMPUTED_VALUE"""),0.0)</f>
        <v>0</v>
      </c>
      <c r="X388" s="447">
        <f>IFERROR(__xludf.DUMMYFUNCTION("""COMPUTED_VALUE"""),0.0)</f>
        <v>0</v>
      </c>
      <c r="Y388" s="447">
        <f>IFERROR(__xludf.DUMMYFUNCTION("""COMPUTED_VALUE"""),0.0)</f>
        <v>0</v>
      </c>
      <c r="Z388" s="447">
        <f>IFERROR(__xludf.DUMMYFUNCTION("""COMPUTED_VALUE"""),0.0)</f>
        <v>0</v>
      </c>
      <c r="AA388" s="447">
        <f>IFERROR(__xludf.DUMMYFUNCTION("""COMPUTED_VALUE"""),0.0)</f>
        <v>0</v>
      </c>
      <c r="AB388" s="447">
        <f>IFERROR(__xludf.DUMMYFUNCTION("""COMPUTED_VALUE"""),0.0)</f>
        <v>0</v>
      </c>
      <c r="AC388" s="447">
        <f>IFERROR(__xludf.DUMMYFUNCTION("""COMPUTED_VALUE"""),0.0)</f>
        <v>0</v>
      </c>
      <c r="AD388" s="447">
        <f>IFERROR(__xludf.DUMMYFUNCTION("""COMPUTED_VALUE"""),49.0)</f>
        <v>49</v>
      </c>
      <c r="AE388" s="447">
        <f>IFERROR(__xludf.DUMMYFUNCTION("""COMPUTED_VALUE"""),5.0)</f>
        <v>5</v>
      </c>
      <c r="AF388" s="447">
        <f>IFERROR(__xludf.DUMMYFUNCTION("""COMPUTED_VALUE"""),3.0)</f>
        <v>3</v>
      </c>
      <c r="AG388" s="443" t="s">
        <v>83</v>
      </c>
      <c r="AH388" s="443" t="s">
        <v>961</v>
      </c>
      <c r="AI388" s="443"/>
      <c r="AJ388" s="443"/>
      <c r="AK388" s="443"/>
      <c r="AL388" s="443"/>
      <c r="AM388" s="443"/>
      <c r="AN388" s="443"/>
      <c r="AO388" s="443"/>
      <c r="AP388" s="443"/>
      <c r="AQ388" s="443"/>
      <c r="AR388" s="443"/>
      <c r="AS388" s="443"/>
      <c r="AT388" s="443"/>
      <c r="AU388" s="443"/>
      <c r="AV388" s="443"/>
      <c r="AW388" s="443"/>
      <c r="AX388" s="443"/>
      <c r="AY388" s="443"/>
      <c r="AZ388" s="443"/>
      <c r="BA388" s="443"/>
      <c r="BB388" s="443"/>
      <c r="BC388" s="443"/>
      <c r="BD388" s="443"/>
      <c r="BE388" s="443"/>
    </row>
    <row r="389" hidden="1">
      <c r="A389" s="445">
        <f t="shared" si="5"/>
        <v>45679</v>
      </c>
      <c r="B389" s="449">
        <v>528.0</v>
      </c>
      <c r="C389" s="462">
        <v>0.6416666666666667</v>
      </c>
      <c r="D389" s="462">
        <v>1.0416666666666667</v>
      </c>
      <c r="E389" s="436">
        <f t="array" ref="E389">IF(B389=0,"",(J389+K389)/60)</f>
        <v>1.5</v>
      </c>
      <c r="F389" s="437">
        <f t="shared" si="1"/>
        <v>9.6</v>
      </c>
      <c r="G389" s="438">
        <f t="shared" si="8"/>
        <v>55</v>
      </c>
      <c r="H389" s="438">
        <f t="shared" si="3"/>
        <v>65.18518519</v>
      </c>
      <c r="I389" s="436">
        <f t="shared" si="6"/>
        <v>1.25</v>
      </c>
      <c r="J389" s="460">
        <v>30.0</v>
      </c>
      <c r="K389" s="460">
        <v>60.0</v>
      </c>
      <c r="L389" s="443"/>
      <c r="M389" s="447">
        <f>IFERROR(__xludf.DUMMYFUNCTION("""COMPUTED_VALUE"""),57.0)</f>
        <v>57</v>
      </c>
      <c r="N389" s="447">
        <f>IFERROR(__xludf.DUMMYFUNCTION("""COMPUTED_VALUE"""),54.0)</f>
        <v>54</v>
      </c>
      <c r="O389" s="447">
        <f>IFERROR(__xludf.DUMMYFUNCTION("""COMPUTED_VALUE"""),0.0)</f>
        <v>0</v>
      </c>
      <c r="P389" s="447">
        <f>IFERROR(__xludf.DUMMYFUNCTION("""COMPUTED_VALUE"""),0.0)</f>
        <v>0</v>
      </c>
      <c r="Q389" s="447">
        <f>IFERROR(__xludf.DUMMYFUNCTION("""COMPUTED_VALUE"""),1.0)</f>
        <v>1</v>
      </c>
      <c r="R389" s="447">
        <f>IFERROR(__xludf.DUMMYFUNCTION("""COMPUTED_VALUE"""),0.0)</f>
        <v>0</v>
      </c>
      <c r="S389" s="447">
        <f>IFERROR(__xludf.DUMMYFUNCTION("""COMPUTED_VALUE"""),3.0)</f>
        <v>3</v>
      </c>
      <c r="T389" s="447">
        <f>IFERROR(__xludf.DUMMYFUNCTION("""COMPUTED_VALUE"""),0.0)</f>
        <v>0</v>
      </c>
      <c r="U389" s="447">
        <f>IFERROR(__xludf.DUMMYFUNCTION("""COMPUTED_VALUE"""),3.0)</f>
        <v>3</v>
      </c>
      <c r="V389" s="447">
        <f>IFERROR(__xludf.DUMMYFUNCTION("""COMPUTED_VALUE"""),3.0)</f>
        <v>3</v>
      </c>
      <c r="W389" s="447">
        <f>IFERROR(__xludf.DUMMYFUNCTION("""COMPUTED_VALUE"""),0.0)</f>
        <v>0</v>
      </c>
      <c r="X389" s="447">
        <f>IFERROR(__xludf.DUMMYFUNCTION("""COMPUTED_VALUE"""),0.0)</f>
        <v>0</v>
      </c>
      <c r="Y389" s="447">
        <f>IFERROR(__xludf.DUMMYFUNCTION("""COMPUTED_VALUE"""),0.0)</f>
        <v>0</v>
      </c>
      <c r="Z389" s="447">
        <f>IFERROR(__xludf.DUMMYFUNCTION("""COMPUTED_VALUE"""),0.0)</f>
        <v>0</v>
      </c>
      <c r="AA389" s="447">
        <f>IFERROR(__xludf.DUMMYFUNCTION("""COMPUTED_VALUE"""),0.0)</f>
        <v>0</v>
      </c>
      <c r="AB389" s="447">
        <f>IFERROR(__xludf.DUMMYFUNCTION("""COMPUTED_VALUE"""),0.0)</f>
        <v>0</v>
      </c>
      <c r="AC389" s="447">
        <f>IFERROR(__xludf.DUMMYFUNCTION("""COMPUTED_VALUE"""),0.0)</f>
        <v>0</v>
      </c>
      <c r="AD389" s="447">
        <f>IFERROR(__xludf.DUMMYFUNCTION("""COMPUTED_VALUE"""),44.0)</f>
        <v>44</v>
      </c>
      <c r="AE389" s="447">
        <f>IFERROR(__xludf.DUMMYFUNCTION("""COMPUTED_VALUE"""),10.0)</f>
        <v>10</v>
      </c>
      <c r="AF389" s="447">
        <f>IFERROR(__xludf.DUMMYFUNCTION("""COMPUTED_VALUE"""),3.0)</f>
        <v>3</v>
      </c>
      <c r="AG389" s="443" t="s">
        <v>83</v>
      </c>
      <c r="AH389" s="443" t="s">
        <v>961</v>
      </c>
      <c r="AI389" s="443"/>
      <c r="AJ389" s="443"/>
      <c r="AK389" s="443"/>
      <c r="AL389" s="443"/>
      <c r="AM389" s="443"/>
      <c r="AN389" s="443"/>
      <c r="AO389" s="443"/>
      <c r="AP389" s="443"/>
      <c r="AQ389" s="443"/>
      <c r="AR389" s="443"/>
      <c r="AS389" s="443"/>
      <c r="AT389" s="443"/>
      <c r="AU389" s="443"/>
      <c r="AV389" s="443"/>
      <c r="AW389" s="443"/>
      <c r="AX389" s="443"/>
      <c r="AY389" s="443"/>
      <c r="AZ389" s="443"/>
      <c r="BA389" s="443"/>
      <c r="BB389" s="443"/>
      <c r="BC389" s="443"/>
      <c r="BD389" s="443"/>
      <c r="BE389" s="443"/>
    </row>
    <row r="390" hidden="1">
      <c r="A390" s="445">
        <f t="shared" si="5"/>
        <v>45680</v>
      </c>
      <c r="B390" s="449">
        <v>419.0</v>
      </c>
      <c r="C390" s="462">
        <v>0.6416666666666667</v>
      </c>
      <c r="D390" s="462">
        <v>0.9930555555555556</v>
      </c>
      <c r="E390" s="436">
        <f t="array" ref="E390">IF(B390=0,"",(J390+K390)/60)</f>
        <v>1.316666667</v>
      </c>
      <c r="F390" s="437">
        <f t="shared" si="1"/>
        <v>8.433333333</v>
      </c>
      <c r="G390" s="438">
        <f t="shared" si="8"/>
        <v>49.68379447</v>
      </c>
      <c r="H390" s="438">
        <f t="shared" si="3"/>
        <v>58.87587822</v>
      </c>
      <c r="I390" s="436">
        <f t="shared" si="6"/>
        <v>1.155437081</v>
      </c>
      <c r="J390" s="460">
        <v>30.0</v>
      </c>
      <c r="K390" s="460">
        <v>49.0</v>
      </c>
      <c r="L390" s="449" t="s">
        <v>964</v>
      </c>
      <c r="M390" s="447">
        <f>IFERROR(__xludf.DUMMYFUNCTION("""COMPUTED_VALUE"""),57.0)</f>
        <v>57</v>
      </c>
      <c r="N390" s="447">
        <f>IFERROR(__xludf.DUMMYFUNCTION("""COMPUTED_VALUE"""),55.0)</f>
        <v>55</v>
      </c>
      <c r="O390" s="447">
        <f>IFERROR(__xludf.DUMMYFUNCTION("""COMPUTED_VALUE"""),0.0)</f>
        <v>0</v>
      </c>
      <c r="P390" s="447">
        <f>IFERROR(__xludf.DUMMYFUNCTION("""COMPUTED_VALUE"""),0.0)</f>
        <v>0</v>
      </c>
      <c r="Q390" s="447">
        <f>IFERROR(__xludf.DUMMYFUNCTION("""COMPUTED_VALUE"""),0.0)</f>
        <v>0</v>
      </c>
      <c r="R390" s="447">
        <f>IFERROR(__xludf.DUMMYFUNCTION("""COMPUTED_VALUE"""),0.0)</f>
        <v>0</v>
      </c>
      <c r="S390" s="447">
        <f>IFERROR(__xludf.DUMMYFUNCTION("""COMPUTED_VALUE"""),5.0)</f>
        <v>5</v>
      </c>
      <c r="T390" s="447">
        <f>IFERROR(__xludf.DUMMYFUNCTION("""COMPUTED_VALUE"""),0.0)</f>
        <v>0</v>
      </c>
      <c r="U390" s="447">
        <f>IFERROR(__xludf.DUMMYFUNCTION("""COMPUTED_VALUE"""),2.0)</f>
        <v>2</v>
      </c>
      <c r="V390" s="447">
        <f>IFERROR(__xludf.DUMMYFUNCTION("""COMPUTED_VALUE"""),3.0)</f>
        <v>3</v>
      </c>
      <c r="W390" s="447">
        <f>IFERROR(__xludf.DUMMYFUNCTION("""COMPUTED_VALUE"""),0.0)</f>
        <v>0</v>
      </c>
      <c r="X390" s="447">
        <f>IFERROR(__xludf.DUMMYFUNCTION("""COMPUTED_VALUE"""),0.0)</f>
        <v>0</v>
      </c>
      <c r="Y390" s="447">
        <f>IFERROR(__xludf.DUMMYFUNCTION("""COMPUTED_VALUE"""),0.0)</f>
        <v>0</v>
      </c>
      <c r="Z390" s="447">
        <f>IFERROR(__xludf.DUMMYFUNCTION("""COMPUTED_VALUE"""),0.0)</f>
        <v>0</v>
      </c>
      <c r="AA390" s="447">
        <f>IFERROR(__xludf.DUMMYFUNCTION("""COMPUTED_VALUE"""),0.0)</f>
        <v>0</v>
      </c>
      <c r="AB390" s="447">
        <f>IFERROR(__xludf.DUMMYFUNCTION("""COMPUTED_VALUE"""),1.0)</f>
        <v>1</v>
      </c>
      <c r="AC390" s="447">
        <f>IFERROR(__xludf.DUMMYFUNCTION("""COMPUTED_VALUE"""),0.0)</f>
        <v>0</v>
      </c>
      <c r="AD390" s="447">
        <f>IFERROR(__xludf.DUMMYFUNCTION("""COMPUTED_VALUE"""),43.0)</f>
        <v>43</v>
      </c>
      <c r="AE390" s="447">
        <f>IFERROR(__xludf.DUMMYFUNCTION("""COMPUTED_VALUE"""),10.0)</f>
        <v>10</v>
      </c>
      <c r="AF390" s="447">
        <f>IFERROR(__xludf.DUMMYFUNCTION("""COMPUTED_VALUE"""),2.0)</f>
        <v>2</v>
      </c>
      <c r="AG390" s="443" t="s">
        <v>83</v>
      </c>
      <c r="AH390" s="443" t="s">
        <v>961</v>
      </c>
      <c r="AI390" s="443"/>
      <c r="AJ390" s="443"/>
      <c r="AK390" s="443"/>
      <c r="AL390" s="443"/>
      <c r="AM390" s="443"/>
      <c r="AN390" s="443"/>
      <c r="AO390" s="443"/>
      <c r="AP390" s="443"/>
      <c r="AQ390" s="443"/>
      <c r="AR390" s="443"/>
      <c r="AS390" s="443"/>
      <c r="AT390" s="443"/>
      <c r="AU390" s="443"/>
      <c r="AV390" s="443"/>
      <c r="AW390" s="443"/>
      <c r="AX390" s="443"/>
      <c r="AY390" s="443"/>
      <c r="AZ390" s="443"/>
      <c r="BA390" s="443"/>
      <c r="BB390" s="443"/>
      <c r="BC390" s="443"/>
      <c r="BD390" s="443"/>
      <c r="BE390" s="443"/>
    </row>
    <row r="391" hidden="1">
      <c r="A391" s="445">
        <f t="shared" si="5"/>
        <v>45681</v>
      </c>
      <c r="B391" s="449">
        <v>381.0</v>
      </c>
      <c r="C391" s="462">
        <v>0.6416666666666667</v>
      </c>
      <c r="D391" s="462">
        <v>0.9305555555555556</v>
      </c>
      <c r="E391" s="436">
        <f t="array" ref="E391">IF(B391=0,"",(J391+K391)/60)</f>
        <v>0.5</v>
      </c>
      <c r="F391" s="437">
        <f t="shared" si="1"/>
        <v>6.933333333</v>
      </c>
      <c r="G391" s="438">
        <f t="shared" si="8"/>
        <v>54.95192308</v>
      </c>
      <c r="H391" s="438">
        <f t="shared" si="3"/>
        <v>59.22279793</v>
      </c>
      <c r="I391" s="436">
        <f t="shared" si="6"/>
        <v>1.277951699</v>
      </c>
      <c r="J391" s="460">
        <v>30.0</v>
      </c>
      <c r="K391" s="464"/>
      <c r="L391" s="443"/>
      <c r="M391" s="447">
        <f>IFERROR(__xludf.DUMMYFUNCTION("""COMPUTED_VALUE"""),57.0)</f>
        <v>57</v>
      </c>
      <c r="N391" s="447">
        <f>IFERROR(__xludf.DUMMYFUNCTION("""COMPUTED_VALUE"""),54.0)</f>
        <v>54</v>
      </c>
      <c r="O391" s="447">
        <f>IFERROR(__xludf.DUMMYFUNCTION("""COMPUTED_VALUE"""),0.0)</f>
        <v>0</v>
      </c>
      <c r="P391" s="447">
        <f>IFERROR(__xludf.DUMMYFUNCTION("""COMPUTED_VALUE"""),0.0)</f>
        <v>0</v>
      </c>
      <c r="Q391" s="447">
        <f>IFERROR(__xludf.DUMMYFUNCTION("""COMPUTED_VALUE"""),1.0)</f>
        <v>1</v>
      </c>
      <c r="R391" s="447">
        <f>IFERROR(__xludf.DUMMYFUNCTION("""COMPUTED_VALUE"""),0.0)</f>
        <v>0</v>
      </c>
      <c r="S391" s="447">
        <f>IFERROR(__xludf.DUMMYFUNCTION("""COMPUTED_VALUE"""),4.0)</f>
        <v>4</v>
      </c>
      <c r="T391" s="447">
        <f>IFERROR(__xludf.DUMMYFUNCTION("""COMPUTED_VALUE"""),0.0)</f>
        <v>0</v>
      </c>
      <c r="U391" s="447">
        <f>IFERROR(__xludf.DUMMYFUNCTION("""COMPUTED_VALUE"""),3.0)</f>
        <v>3</v>
      </c>
      <c r="V391" s="447">
        <f>IFERROR(__xludf.DUMMYFUNCTION("""COMPUTED_VALUE"""),3.0)</f>
        <v>3</v>
      </c>
      <c r="W391" s="447">
        <f>IFERROR(__xludf.DUMMYFUNCTION("""COMPUTED_VALUE"""),0.0)</f>
        <v>0</v>
      </c>
      <c r="X391" s="447">
        <f>IFERROR(__xludf.DUMMYFUNCTION("""COMPUTED_VALUE"""),0.0)</f>
        <v>0</v>
      </c>
      <c r="Y391" s="447">
        <f>IFERROR(__xludf.DUMMYFUNCTION("""COMPUTED_VALUE"""),0.0)</f>
        <v>0</v>
      </c>
      <c r="Z391" s="447">
        <f>IFERROR(__xludf.DUMMYFUNCTION("""COMPUTED_VALUE"""),0.0)</f>
        <v>0</v>
      </c>
      <c r="AA391" s="447">
        <f>IFERROR(__xludf.DUMMYFUNCTION("""COMPUTED_VALUE"""),0.0)</f>
        <v>0</v>
      </c>
      <c r="AB391" s="447">
        <f>IFERROR(__xludf.DUMMYFUNCTION("""COMPUTED_VALUE"""),0.0)</f>
        <v>0</v>
      </c>
      <c r="AC391" s="447">
        <f>IFERROR(__xludf.DUMMYFUNCTION("""COMPUTED_VALUE"""),0.0)</f>
        <v>0</v>
      </c>
      <c r="AD391" s="447">
        <f>IFERROR(__xludf.DUMMYFUNCTION("""COMPUTED_VALUE"""),43.0)</f>
        <v>43</v>
      </c>
      <c r="AE391" s="447">
        <f>IFERROR(__xludf.DUMMYFUNCTION("""COMPUTED_VALUE"""),11.0)</f>
        <v>11</v>
      </c>
      <c r="AF391" s="447">
        <f>IFERROR(__xludf.DUMMYFUNCTION("""COMPUTED_VALUE"""),3.0)</f>
        <v>3</v>
      </c>
      <c r="AG391" s="443" t="s">
        <v>83</v>
      </c>
      <c r="AH391" s="443" t="s">
        <v>961</v>
      </c>
      <c r="AI391" s="443"/>
      <c r="AJ391" s="443"/>
      <c r="AK391" s="443"/>
      <c r="AL391" s="443"/>
      <c r="AM391" s="443"/>
      <c r="AN391" s="443"/>
      <c r="AO391" s="443"/>
      <c r="AP391" s="443"/>
      <c r="AQ391" s="443"/>
      <c r="AR391" s="443"/>
      <c r="AS391" s="443"/>
      <c r="AT391" s="443"/>
      <c r="AU391" s="443"/>
      <c r="AV391" s="443"/>
      <c r="AW391" s="443"/>
      <c r="AX391" s="443"/>
      <c r="AY391" s="443"/>
      <c r="AZ391" s="443"/>
      <c r="BA391" s="443"/>
      <c r="BB391" s="443"/>
      <c r="BC391" s="443"/>
      <c r="BD391" s="443"/>
      <c r="BE391" s="443"/>
    </row>
    <row r="392" hidden="1">
      <c r="A392" s="445">
        <f t="shared" si="5"/>
        <v>45682</v>
      </c>
      <c r="B392" s="449">
        <v>368.0</v>
      </c>
      <c r="C392" s="462">
        <v>0.6</v>
      </c>
      <c r="D392" s="462">
        <v>0.8631944444444445</v>
      </c>
      <c r="E392" s="436">
        <f t="array" ref="E392">IF(B392=0,"",(J392+K392)/60)</f>
        <v>0.75</v>
      </c>
      <c r="F392" s="437">
        <f t="shared" si="1"/>
        <v>6.316666667</v>
      </c>
      <c r="G392" s="438">
        <f t="shared" si="8"/>
        <v>58.2585752</v>
      </c>
      <c r="H392" s="438">
        <f t="shared" si="3"/>
        <v>66.10778443</v>
      </c>
      <c r="I392" s="436">
        <f t="shared" si="6"/>
        <v>1.294635004</v>
      </c>
      <c r="J392" s="460">
        <v>30.0</v>
      </c>
      <c r="K392" s="460">
        <v>15.0</v>
      </c>
      <c r="L392" s="443"/>
      <c r="M392" s="447">
        <f>IFERROR(__xludf.DUMMYFUNCTION("""COMPUTED_VALUE"""),57.0)</f>
        <v>57</v>
      </c>
      <c r="N392" s="447">
        <f>IFERROR(__xludf.DUMMYFUNCTION("""COMPUTED_VALUE"""),54.0)</f>
        <v>54</v>
      </c>
      <c r="O392" s="447">
        <f>IFERROR(__xludf.DUMMYFUNCTION("""COMPUTED_VALUE"""),0.0)</f>
        <v>0</v>
      </c>
      <c r="P392" s="447">
        <f>IFERROR(__xludf.DUMMYFUNCTION("""COMPUTED_VALUE"""),0.0)</f>
        <v>0</v>
      </c>
      <c r="Q392" s="447">
        <f>IFERROR(__xludf.DUMMYFUNCTION("""COMPUTED_VALUE"""),0.0)</f>
        <v>0</v>
      </c>
      <c r="R392" s="447">
        <f>IFERROR(__xludf.DUMMYFUNCTION("""COMPUTED_VALUE"""),0.0)</f>
        <v>0</v>
      </c>
      <c r="S392" s="447">
        <f>IFERROR(__xludf.DUMMYFUNCTION("""COMPUTED_VALUE"""),3.0)</f>
        <v>3</v>
      </c>
      <c r="T392" s="447">
        <f>IFERROR(__xludf.DUMMYFUNCTION("""COMPUTED_VALUE"""),0.0)</f>
        <v>0</v>
      </c>
      <c r="U392" s="447">
        <f>IFERROR(__xludf.DUMMYFUNCTION("""COMPUTED_VALUE"""),3.0)</f>
        <v>3</v>
      </c>
      <c r="V392" s="447">
        <f>IFERROR(__xludf.DUMMYFUNCTION("""COMPUTED_VALUE"""),3.0)</f>
        <v>3</v>
      </c>
      <c r="W392" s="447">
        <f>IFERROR(__xludf.DUMMYFUNCTION("""COMPUTED_VALUE"""),0.0)</f>
        <v>0</v>
      </c>
      <c r="X392" s="447">
        <f>IFERROR(__xludf.DUMMYFUNCTION("""COMPUTED_VALUE"""),0.0)</f>
        <v>0</v>
      </c>
      <c r="Y392" s="447">
        <f>IFERROR(__xludf.DUMMYFUNCTION("""COMPUTED_VALUE"""),0.0)</f>
        <v>0</v>
      </c>
      <c r="Z392" s="447">
        <f>IFERROR(__xludf.DUMMYFUNCTION("""COMPUTED_VALUE"""),0.0)</f>
        <v>0</v>
      </c>
      <c r="AA392" s="447">
        <f>IFERROR(__xludf.DUMMYFUNCTION("""COMPUTED_VALUE"""),0.0)</f>
        <v>0</v>
      </c>
      <c r="AB392" s="447">
        <f>IFERROR(__xludf.DUMMYFUNCTION("""COMPUTED_VALUE"""),0.0)</f>
        <v>0</v>
      </c>
      <c r="AC392" s="447">
        <f>IFERROR(__xludf.DUMMYFUNCTION("""COMPUTED_VALUE"""),0.0)</f>
        <v>0</v>
      </c>
      <c r="AD392" s="447">
        <f>IFERROR(__xludf.DUMMYFUNCTION("""COMPUTED_VALUE"""),45.0)</f>
        <v>45</v>
      </c>
      <c r="AE392" s="447">
        <f>IFERROR(__xludf.DUMMYFUNCTION("""COMPUTED_VALUE"""),9.0)</f>
        <v>9</v>
      </c>
      <c r="AF392" s="447">
        <f>IFERROR(__xludf.DUMMYFUNCTION("""COMPUTED_VALUE"""),3.0)</f>
        <v>3</v>
      </c>
      <c r="AG392" s="443" t="s">
        <v>83</v>
      </c>
      <c r="AH392" s="443" t="s">
        <v>961</v>
      </c>
      <c r="AI392" s="443"/>
      <c r="AJ392" s="443"/>
      <c r="AK392" s="443"/>
      <c r="AL392" s="443"/>
      <c r="AM392" s="443"/>
      <c r="AN392" s="443"/>
      <c r="AO392" s="443"/>
      <c r="AP392" s="443"/>
      <c r="AQ392" s="443"/>
      <c r="AR392" s="443"/>
      <c r="AS392" s="443"/>
      <c r="AT392" s="443"/>
      <c r="AU392" s="443"/>
      <c r="AV392" s="443"/>
      <c r="AW392" s="443"/>
      <c r="AX392" s="443"/>
      <c r="AY392" s="443"/>
      <c r="AZ392" s="443"/>
      <c r="BA392" s="443"/>
      <c r="BB392" s="443"/>
      <c r="BC392" s="443"/>
      <c r="BD392" s="443"/>
      <c r="BE392" s="443"/>
    </row>
    <row r="393" hidden="1">
      <c r="A393" s="445">
        <f t="shared" si="5"/>
        <v>45683</v>
      </c>
      <c r="B393" s="449">
        <v>0.0</v>
      </c>
      <c r="C393" s="462"/>
      <c r="D393" s="462"/>
      <c r="E393" s="436" t="str">
        <f t="array" ref="E393">IF(B393=0,"",(J393+K393)/60)</f>
        <v/>
      </c>
      <c r="F393" s="437" t="str">
        <f t="shared" si="1"/>
        <v/>
      </c>
      <c r="G393" s="438" t="str">
        <f t="shared" si="8"/>
        <v>#DIV/0!</v>
      </c>
      <c r="H393" s="438" t="str">
        <f t="shared" si="3"/>
        <v/>
      </c>
      <c r="I393" s="436" t="str">
        <f t="shared" si="6"/>
        <v/>
      </c>
      <c r="J393" s="460"/>
      <c r="K393" s="464"/>
      <c r="L393" s="443"/>
      <c r="M393" s="447">
        <f>IFERROR(__xludf.DUMMYFUNCTION("""COMPUTED_VALUE"""),57.0)</f>
        <v>57</v>
      </c>
      <c r="N393" s="447">
        <f>IFERROR(__xludf.DUMMYFUNCTION("""COMPUTED_VALUE"""),57.0)</f>
        <v>57</v>
      </c>
      <c r="O393" s="447">
        <f>IFERROR(__xludf.DUMMYFUNCTION("""COMPUTED_VALUE"""),0.0)</f>
        <v>0</v>
      </c>
      <c r="P393" s="447">
        <f>IFERROR(__xludf.DUMMYFUNCTION("""COMPUTED_VALUE"""),0.0)</f>
        <v>0</v>
      </c>
      <c r="Q393" s="447">
        <f>IFERROR(__xludf.DUMMYFUNCTION("""COMPUTED_VALUE"""),0.0)</f>
        <v>0</v>
      </c>
      <c r="R393" s="447">
        <f>IFERROR(__xludf.DUMMYFUNCTION("""COMPUTED_VALUE"""),0.0)</f>
        <v>0</v>
      </c>
      <c r="S393" s="447">
        <f>IFERROR(__xludf.DUMMYFUNCTION("""COMPUTED_VALUE"""),1.0)</f>
        <v>1</v>
      </c>
      <c r="T393" s="447">
        <f>IFERROR(__xludf.DUMMYFUNCTION("""COMPUTED_VALUE"""),0.0)</f>
        <v>0</v>
      </c>
      <c r="U393" s="447">
        <f>IFERROR(__xludf.DUMMYFUNCTION("""COMPUTED_VALUE"""),0.0)</f>
        <v>0</v>
      </c>
      <c r="V393" s="447">
        <f>IFERROR(__xludf.DUMMYFUNCTION("""COMPUTED_VALUE"""),3.0)</f>
        <v>3</v>
      </c>
      <c r="W393" s="447">
        <f>IFERROR(__xludf.DUMMYFUNCTION("""COMPUTED_VALUE"""),0.0)</f>
        <v>0</v>
      </c>
      <c r="X393" s="447">
        <f>IFERROR(__xludf.DUMMYFUNCTION("""COMPUTED_VALUE"""),0.0)</f>
        <v>0</v>
      </c>
      <c r="Y393" s="447">
        <f>IFERROR(__xludf.DUMMYFUNCTION("""COMPUTED_VALUE"""),0.0)</f>
        <v>0</v>
      </c>
      <c r="Z393" s="447">
        <f>IFERROR(__xludf.DUMMYFUNCTION("""COMPUTED_VALUE"""),0.0)</f>
        <v>0</v>
      </c>
      <c r="AA393" s="447">
        <f>IFERROR(__xludf.DUMMYFUNCTION("""COMPUTED_VALUE"""),0.0)</f>
        <v>0</v>
      </c>
      <c r="AB393" s="447">
        <f>IFERROR(__xludf.DUMMYFUNCTION("""COMPUTED_VALUE"""),0.0)</f>
        <v>0</v>
      </c>
      <c r="AC393" s="447">
        <f>IFERROR(__xludf.DUMMYFUNCTION("""COMPUTED_VALUE"""),0.0)</f>
        <v>0</v>
      </c>
      <c r="AD393" s="447">
        <f>IFERROR(__xludf.DUMMYFUNCTION("""COMPUTED_VALUE"""),0.0)</f>
        <v>0</v>
      </c>
      <c r="AE393" s="447">
        <f>IFERROR(__xludf.DUMMYFUNCTION("""COMPUTED_VALUE"""),4.0)</f>
        <v>4</v>
      </c>
      <c r="AF393" s="447">
        <f>IFERROR(__xludf.DUMMYFUNCTION("""COMPUTED_VALUE"""),0.0)</f>
        <v>0</v>
      </c>
      <c r="AG393" s="443" t="s">
        <v>83</v>
      </c>
      <c r="AH393" s="443" t="s">
        <v>961</v>
      </c>
      <c r="AI393" s="443"/>
      <c r="AJ393" s="443"/>
      <c r="AK393" s="443"/>
      <c r="AL393" s="443"/>
      <c r="AM393" s="443"/>
      <c r="AN393" s="443"/>
      <c r="AO393" s="443"/>
      <c r="AP393" s="443"/>
      <c r="AQ393" s="443"/>
      <c r="AR393" s="443"/>
      <c r="AS393" s="443"/>
      <c r="AT393" s="443"/>
      <c r="AU393" s="443"/>
      <c r="AV393" s="443"/>
      <c r="AW393" s="443"/>
      <c r="AX393" s="443"/>
      <c r="AY393" s="443"/>
      <c r="AZ393" s="443"/>
      <c r="BA393" s="443"/>
      <c r="BB393" s="443"/>
      <c r="BC393" s="443"/>
      <c r="BD393" s="443"/>
      <c r="BE393" s="443"/>
    </row>
    <row r="394" hidden="1">
      <c r="A394" s="445">
        <f t="shared" si="5"/>
        <v>45684</v>
      </c>
      <c r="B394" s="449">
        <v>571.0</v>
      </c>
      <c r="C394" s="462">
        <v>0.6416666666666667</v>
      </c>
      <c r="D394" s="462">
        <v>1.0402777777777779</v>
      </c>
      <c r="E394" s="436">
        <f t="array" ref="E394">IF(B394=0,"",(J394+K394)/60)</f>
        <v>1</v>
      </c>
      <c r="F394" s="437">
        <f t="shared" si="1"/>
        <v>9.566666667</v>
      </c>
      <c r="G394" s="438">
        <f t="shared" si="8"/>
        <v>59.68641115</v>
      </c>
      <c r="H394" s="438">
        <f t="shared" si="3"/>
        <v>66.6536965</v>
      </c>
      <c r="I394" s="436">
        <f t="shared" si="6"/>
        <v>1.243466899</v>
      </c>
      <c r="J394" s="460">
        <v>60.0</v>
      </c>
      <c r="K394" s="464"/>
      <c r="L394" s="443"/>
      <c r="M394" s="447">
        <f>IFERROR(__xludf.DUMMYFUNCTION("""COMPUTED_VALUE"""),57.0)</f>
        <v>57</v>
      </c>
      <c r="N394" s="447">
        <f>IFERROR(__xludf.DUMMYFUNCTION("""COMPUTED_VALUE"""),57.0)</f>
        <v>57</v>
      </c>
      <c r="O394" s="447">
        <f>IFERROR(__xludf.DUMMYFUNCTION("""COMPUTED_VALUE"""),0.0)</f>
        <v>0</v>
      </c>
      <c r="P394" s="447">
        <f>IFERROR(__xludf.DUMMYFUNCTION("""COMPUTED_VALUE"""),0.0)</f>
        <v>0</v>
      </c>
      <c r="Q394" s="447">
        <f>IFERROR(__xludf.DUMMYFUNCTION("""COMPUTED_VALUE"""),0.0)</f>
        <v>0</v>
      </c>
      <c r="R394" s="447">
        <f>IFERROR(__xludf.DUMMYFUNCTION("""COMPUTED_VALUE"""),0.0)</f>
        <v>0</v>
      </c>
      <c r="S394" s="447">
        <f>IFERROR(__xludf.DUMMYFUNCTION("""COMPUTED_VALUE"""),1.0)</f>
        <v>1</v>
      </c>
      <c r="T394" s="447">
        <f>IFERROR(__xludf.DUMMYFUNCTION("""COMPUTED_VALUE"""),0.0)</f>
        <v>0</v>
      </c>
      <c r="U394" s="447">
        <f>IFERROR(__xludf.DUMMYFUNCTION("""COMPUTED_VALUE"""),0.0)</f>
        <v>0</v>
      </c>
      <c r="V394" s="447">
        <f>IFERROR(__xludf.DUMMYFUNCTION("""COMPUTED_VALUE"""),3.0)</f>
        <v>3</v>
      </c>
      <c r="W394" s="447">
        <f>IFERROR(__xludf.DUMMYFUNCTION("""COMPUTED_VALUE"""),0.0)</f>
        <v>0</v>
      </c>
      <c r="X394" s="447">
        <f>IFERROR(__xludf.DUMMYFUNCTION("""COMPUTED_VALUE"""),0.0)</f>
        <v>0</v>
      </c>
      <c r="Y394" s="447">
        <f>IFERROR(__xludf.DUMMYFUNCTION("""COMPUTED_VALUE"""),0.0)</f>
        <v>0</v>
      </c>
      <c r="Z394" s="447">
        <f>IFERROR(__xludf.DUMMYFUNCTION("""COMPUTED_VALUE"""),0.0)</f>
        <v>0</v>
      </c>
      <c r="AA394" s="447">
        <f>IFERROR(__xludf.DUMMYFUNCTION("""COMPUTED_VALUE"""),0.0)</f>
        <v>0</v>
      </c>
      <c r="AB394" s="447">
        <f>IFERROR(__xludf.DUMMYFUNCTION("""COMPUTED_VALUE"""),2.0)</f>
        <v>2</v>
      </c>
      <c r="AC394" s="447">
        <f>IFERROR(__xludf.DUMMYFUNCTION("""COMPUTED_VALUE"""),0.0)</f>
        <v>0</v>
      </c>
      <c r="AD394" s="447">
        <f>IFERROR(__xludf.DUMMYFUNCTION("""COMPUTED_VALUE"""),48.0)</f>
        <v>48</v>
      </c>
      <c r="AE394" s="447">
        <f>IFERROR(__xludf.DUMMYFUNCTION("""COMPUTED_VALUE"""),4.0)</f>
        <v>4</v>
      </c>
      <c r="AF394" s="447">
        <f>IFERROR(__xludf.DUMMYFUNCTION("""COMPUTED_VALUE"""),0.0)</f>
        <v>0</v>
      </c>
      <c r="AG394" s="443" t="s">
        <v>83</v>
      </c>
      <c r="AH394" s="443" t="s">
        <v>961</v>
      </c>
      <c r="AI394" s="443"/>
      <c r="AJ394" s="443"/>
      <c r="AK394" s="443"/>
      <c r="AL394" s="443"/>
      <c r="AM394" s="443"/>
      <c r="AN394" s="443"/>
      <c r="AO394" s="443"/>
      <c r="AP394" s="443"/>
      <c r="AQ394" s="443"/>
      <c r="AR394" s="443"/>
      <c r="AS394" s="443"/>
      <c r="AT394" s="443"/>
      <c r="AU394" s="443"/>
      <c r="AV394" s="443"/>
      <c r="AW394" s="443"/>
      <c r="AX394" s="443"/>
      <c r="AY394" s="443"/>
      <c r="AZ394" s="443"/>
      <c r="BA394" s="443"/>
      <c r="BB394" s="443"/>
      <c r="BC394" s="443"/>
      <c r="BD394" s="443"/>
      <c r="BE394" s="443"/>
    </row>
    <row r="395" hidden="1">
      <c r="A395" s="445">
        <f t="shared" si="5"/>
        <v>45685</v>
      </c>
      <c r="B395" s="449">
        <v>411.0</v>
      </c>
      <c r="C395" s="462">
        <v>0.6416666666666667</v>
      </c>
      <c r="D395" s="462">
        <v>0.9222222222222223</v>
      </c>
      <c r="E395" s="436">
        <f t="array" ref="E395">IF(B395=0,"",(J395+K395)/60)</f>
        <v>0.5</v>
      </c>
      <c r="F395" s="437">
        <f t="shared" si="1"/>
        <v>6.733333333</v>
      </c>
      <c r="G395" s="438">
        <f t="shared" si="8"/>
        <v>61.03960396</v>
      </c>
      <c r="H395" s="438">
        <f t="shared" si="3"/>
        <v>65.93582888</v>
      </c>
      <c r="I395" s="436">
        <f t="shared" si="6"/>
        <v>1.220792079</v>
      </c>
      <c r="J395" s="460">
        <v>30.0</v>
      </c>
      <c r="K395" s="464"/>
      <c r="L395" s="443"/>
      <c r="M395" s="447">
        <f>IFERROR(__xludf.DUMMYFUNCTION("""COMPUTED_VALUE"""),57.0)</f>
        <v>57</v>
      </c>
      <c r="N395" s="447">
        <f>IFERROR(__xludf.DUMMYFUNCTION("""COMPUTED_VALUE"""),57.0)</f>
        <v>57</v>
      </c>
      <c r="O395" s="447">
        <f>IFERROR(__xludf.DUMMYFUNCTION("""COMPUTED_VALUE"""),0.0)</f>
        <v>0</v>
      </c>
      <c r="P395" s="447">
        <f>IFERROR(__xludf.DUMMYFUNCTION("""COMPUTED_VALUE"""),0.0)</f>
        <v>0</v>
      </c>
      <c r="Q395" s="447">
        <f>IFERROR(__xludf.DUMMYFUNCTION("""COMPUTED_VALUE"""),0.0)</f>
        <v>0</v>
      </c>
      <c r="R395" s="447">
        <f>IFERROR(__xludf.DUMMYFUNCTION("""COMPUTED_VALUE"""),0.0)</f>
        <v>0</v>
      </c>
      <c r="S395" s="447">
        <f>IFERROR(__xludf.DUMMYFUNCTION("""COMPUTED_VALUE"""),1.0)</f>
        <v>1</v>
      </c>
      <c r="T395" s="447">
        <f>IFERROR(__xludf.DUMMYFUNCTION("""COMPUTED_VALUE"""),0.0)</f>
        <v>0</v>
      </c>
      <c r="U395" s="447">
        <f>IFERROR(__xludf.DUMMYFUNCTION("""COMPUTED_VALUE"""),0.0)</f>
        <v>0</v>
      </c>
      <c r="V395" s="447">
        <f>IFERROR(__xludf.DUMMYFUNCTION("""COMPUTED_VALUE"""),3.0)</f>
        <v>3</v>
      </c>
      <c r="W395" s="447">
        <f>IFERROR(__xludf.DUMMYFUNCTION("""COMPUTED_VALUE"""),0.0)</f>
        <v>0</v>
      </c>
      <c r="X395" s="447">
        <f>IFERROR(__xludf.DUMMYFUNCTION("""COMPUTED_VALUE"""),0.0)</f>
        <v>0</v>
      </c>
      <c r="Y395" s="447">
        <f>IFERROR(__xludf.DUMMYFUNCTION("""COMPUTED_VALUE"""),0.0)</f>
        <v>0</v>
      </c>
      <c r="Z395" s="447">
        <f>IFERROR(__xludf.DUMMYFUNCTION("""COMPUTED_VALUE"""),0.0)</f>
        <v>0</v>
      </c>
      <c r="AA395" s="447">
        <f>IFERROR(__xludf.DUMMYFUNCTION("""COMPUTED_VALUE"""),0.0)</f>
        <v>0</v>
      </c>
      <c r="AB395" s="447">
        <f>IFERROR(__xludf.DUMMYFUNCTION("""COMPUTED_VALUE"""),0.0)</f>
        <v>0</v>
      </c>
      <c r="AC395" s="447">
        <f>IFERROR(__xludf.DUMMYFUNCTION("""COMPUTED_VALUE"""),0.0)</f>
        <v>0</v>
      </c>
      <c r="AD395" s="447">
        <f>IFERROR(__xludf.DUMMYFUNCTION("""COMPUTED_VALUE"""),50.0)</f>
        <v>50</v>
      </c>
      <c r="AE395" s="447">
        <f>IFERROR(__xludf.DUMMYFUNCTION("""COMPUTED_VALUE"""),4.0)</f>
        <v>4</v>
      </c>
      <c r="AF395" s="447">
        <f>IFERROR(__xludf.DUMMYFUNCTION("""COMPUTED_VALUE"""),0.0)</f>
        <v>0</v>
      </c>
      <c r="AG395" s="443" t="s">
        <v>83</v>
      </c>
      <c r="AH395" s="443" t="s">
        <v>961</v>
      </c>
      <c r="AI395" s="443"/>
      <c r="AJ395" s="443"/>
      <c r="AK395" s="443"/>
      <c r="AL395" s="443"/>
      <c r="AM395" s="443"/>
      <c r="AN395" s="443"/>
      <c r="AO395" s="443"/>
      <c r="AP395" s="443"/>
      <c r="AQ395" s="443"/>
      <c r="AR395" s="443"/>
      <c r="AS395" s="443"/>
      <c r="AT395" s="443"/>
      <c r="AU395" s="443"/>
      <c r="AV395" s="443"/>
      <c r="AW395" s="443"/>
      <c r="AX395" s="443"/>
      <c r="AY395" s="443"/>
      <c r="AZ395" s="443"/>
      <c r="BA395" s="443"/>
      <c r="BB395" s="443"/>
      <c r="BC395" s="443"/>
      <c r="BD395" s="443"/>
      <c r="BE395" s="443"/>
    </row>
    <row r="396" hidden="1">
      <c r="A396" s="445">
        <f t="shared" si="5"/>
        <v>45686</v>
      </c>
      <c r="B396" s="449">
        <v>458.0</v>
      </c>
      <c r="C396" s="462">
        <v>0.6416666666666667</v>
      </c>
      <c r="D396" s="462">
        <v>0.9909722222222223</v>
      </c>
      <c r="E396" s="436">
        <f t="array" ref="E396">IF(B396=0,"",(J396+K396)/60)</f>
        <v>0.5</v>
      </c>
      <c r="F396" s="437">
        <f t="shared" si="1"/>
        <v>8.383333333</v>
      </c>
      <c r="G396" s="438">
        <f t="shared" si="8"/>
        <v>54.63220676</v>
      </c>
      <c r="H396" s="438">
        <f t="shared" si="3"/>
        <v>58.09725159</v>
      </c>
      <c r="I396" s="436">
        <f t="shared" si="6"/>
        <v>1.138170974</v>
      </c>
      <c r="J396" s="460">
        <v>30.0</v>
      </c>
      <c r="K396" s="464"/>
      <c r="L396" s="443"/>
      <c r="M396" s="447">
        <f>IFERROR(__xludf.DUMMYFUNCTION("""COMPUTED_VALUE"""),57.0)</f>
        <v>57</v>
      </c>
      <c r="N396" s="447">
        <f>IFERROR(__xludf.DUMMYFUNCTION("""COMPUTED_VALUE"""),57.0)</f>
        <v>57</v>
      </c>
      <c r="O396" s="447">
        <f>IFERROR(__xludf.DUMMYFUNCTION("""COMPUTED_VALUE"""),0.0)</f>
        <v>0</v>
      </c>
      <c r="P396" s="447">
        <f>IFERROR(__xludf.DUMMYFUNCTION("""COMPUTED_VALUE"""),0.0)</f>
        <v>0</v>
      </c>
      <c r="Q396" s="447">
        <f>IFERROR(__xludf.DUMMYFUNCTION("""COMPUTED_VALUE"""),0.0)</f>
        <v>0</v>
      </c>
      <c r="R396" s="447">
        <f>IFERROR(__xludf.DUMMYFUNCTION("""COMPUTED_VALUE"""),0.0)</f>
        <v>0</v>
      </c>
      <c r="S396" s="447">
        <f>IFERROR(__xludf.DUMMYFUNCTION("""COMPUTED_VALUE"""),3.0)</f>
        <v>3</v>
      </c>
      <c r="T396" s="447">
        <f>IFERROR(__xludf.DUMMYFUNCTION("""COMPUTED_VALUE"""),0.0)</f>
        <v>0</v>
      </c>
      <c r="U396" s="447">
        <f>IFERROR(__xludf.DUMMYFUNCTION("""COMPUTED_VALUE"""),0.0)</f>
        <v>0</v>
      </c>
      <c r="V396" s="447">
        <f>IFERROR(__xludf.DUMMYFUNCTION("""COMPUTED_VALUE"""),3.0)</f>
        <v>3</v>
      </c>
      <c r="W396" s="447">
        <f>IFERROR(__xludf.DUMMYFUNCTION("""COMPUTED_VALUE"""),0.0)</f>
        <v>0</v>
      </c>
      <c r="X396" s="447">
        <f>IFERROR(__xludf.DUMMYFUNCTION("""COMPUTED_VALUE"""),0.0)</f>
        <v>0</v>
      </c>
      <c r="Y396" s="447">
        <f>IFERROR(__xludf.DUMMYFUNCTION("""COMPUTED_VALUE"""),0.0)</f>
        <v>0</v>
      </c>
      <c r="Z396" s="447">
        <f>IFERROR(__xludf.DUMMYFUNCTION("""COMPUTED_VALUE"""),0.0)</f>
        <v>0</v>
      </c>
      <c r="AA396" s="447">
        <f>IFERROR(__xludf.DUMMYFUNCTION("""COMPUTED_VALUE"""),0.0)</f>
        <v>0</v>
      </c>
      <c r="AB396" s="447">
        <f>IFERROR(__xludf.DUMMYFUNCTION("""COMPUTED_VALUE"""),0.0)</f>
        <v>0</v>
      </c>
      <c r="AC396" s="447">
        <f>IFERROR(__xludf.DUMMYFUNCTION("""COMPUTED_VALUE"""),0.0)</f>
        <v>0</v>
      </c>
      <c r="AD396" s="447">
        <f>IFERROR(__xludf.DUMMYFUNCTION("""COMPUTED_VALUE"""),48.0)</f>
        <v>48</v>
      </c>
      <c r="AE396" s="447">
        <f>IFERROR(__xludf.DUMMYFUNCTION("""COMPUTED_VALUE"""),6.0)</f>
        <v>6</v>
      </c>
      <c r="AF396" s="447">
        <f>IFERROR(__xludf.DUMMYFUNCTION("""COMPUTED_VALUE"""),0.0)</f>
        <v>0</v>
      </c>
      <c r="AG396" s="443" t="s">
        <v>83</v>
      </c>
      <c r="AH396" s="443" t="s">
        <v>961</v>
      </c>
      <c r="AI396" s="443"/>
      <c r="AJ396" s="443"/>
      <c r="AK396" s="443"/>
      <c r="AL396" s="443"/>
      <c r="AM396" s="443"/>
      <c r="AN396" s="443"/>
      <c r="AO396" s="443"/>
      <c r="AP396" s="443"/>
      <c r="AQ396" s="443"/>
      <c r="AR396" s="443"/>
      <c r="AS396" s="443"/>
      <c r="AT396" s="443"/>
      <c r="AU396" s="443"/>
      <c r="AV396" s="443"/>
      <c r="AW396" s="443"/>
      <c r="AX396" s="443"/>
      <c r="AY396" s="443"/>
      <c r="AZ396" s="443"/>
      <c r="BA396" s="443"/>
      <c r="BB396" s="443"/>
      <c r="BC396" s="443"/>
      <c r="BD396" s="443"/>
      <c r="BE396" s="443"/>
    </row>
    <row r="397" hidden="1">
      <c r="A397" s="445">
        <f t="shared" si="5"/>
        <v>45687</v>
      </c>
      <c r="B397" s="449">
        <v>377.0</v>
      </c>
      <c r="C397" s="462">
        <v>0.725</v>
      </c>
      <c r="D397" s="462">
        <v>1.025</v>
      </c>
      <c r="E397" s="436">
        <f t="array" ref="E397">IF(B397=0,"",(J397+K397)/60)</f>
        <v>0.6666666667</v>
      </c>
      <c r="F397" s="437">
        <f t="shared" si="1"/>
        <v>7.2</v>
      </c>
      <c r="G397" s="438">
        <f t="shared" si="8"/>
        <v>52.36111111</v>
      </c>
      <c r="H397" s="438">
        <f t="shared" si="3"/>
        <v>57.70408163</v>
      </c>
      <c r="I397" s="436">
        <f t="shared" si="6"/>
        <v>1.138285024</v>
      </c>
      <c r="J397" s="460">
        <v>30.0</v>
      </c>
      <c r="K397" s="460">
        <v>10.0</v>
      </c>
      <c r="L397" s="443"/>
      <c r="M397" s="447">
        <f>IFERROR(__xludf.DUMMYFUNCTION("""COMPUTED_VALUE"""),57.0)</f>
        <v>57</v>
      </c>
      <c r="N397" s="447">
        <f>IFERROR(__xludf.DUMMYFUNCTION("""COMPUTED_VALUE"""),56.0)</f>
        <v>56</v>
      </c>
      <c r="O397" s="447">
        <f>IFERROR(__xludf.DUMMYFUNCTION("""COMPUTED_VALUE"""),0.0)</f>
        <v>0</v>
      </c>
      <c r="P397" s="447">
        <f>IFERROR(__xludf.DUMMYFUNCTION("""COMPUTED_VALUE"""),0.0)</f>
        <v>0</v>
      </c>
      <c r="Q397" s="447">
        <f>IFERROR(__xludf.DUMMYFUNCTION("""COMPUTED_VALUE"""),0.0)</f>
        <v>0</v>
      </c>
      <c r="R397" s="447">
        <f>IFERROR(__xludf.DUMMYFUNCTION("""COMPUTED_VALUE"""),0.0)</f>
        <v>0</v>
      </c>
      <c r="S397" s="447">
        <f>IFERROR(__xludf.DUMMYFUNCTION("""COMPUTED_VALUE"""),3.0)</f>
        <v>3</v>
      </c>
      <c r="T397" s="447">
        <f>IFERROR(__xludf.DUMMYFUNCTION("""COMPUTED_VALUE"""),0.0)</f>
        <v>0</v>
      </c>
      <c r="U397" s="447">
        <f>IFERROR(__xludf.DUMMYFUNCTION("""COMPUTED_VALUE"""),1.0)</f>
        <v>1</v>
      </c>
      <c r="V397" s="447">
        <f>IFERROR(__xludf.DUMMYFUNCTION("""COMPUTED_VALUE"""),3.0)</f>
        <v>3</v>
      </c>
      <c r="W397" s="447">
        <f>IFERROR(__xludf.DUMMYFUNCTION("""COMPUTED_VALUE"""),0.0)</f>
        <v>0</v>
      </c>
      <c r="X397" s="447">
        <f>IFERROR(__xludf.DUMMYFUNCTION("""COMPUTED_VALUE"""),0.0)</f>
        <v>0</v>
      </c>
      <c r="Y397" s="447">
        <f>IFERROR(__xludf.DUMMYFUNCTION("""COMPUTED_VALUE"""),0.0)</f>
        <v>0</v>
      </c>
      <c r="Z397" s="447">
        <f>IFERROR(__xludf.DUMMYFUNCTION("""COMPUTED_VALUE"""),0.0)</f>
        <v>0</v>
      </c>
      <c r="AA397" s="447">
        <f>IFERROR(__xludf.DUMMYFUNCTION("""COMPUTED_VALUE"""),0.0)</f>
        <v>0</v>
      </c>
      <c r="AB397" s="447">
        <f>IFERROR(__xludf.DUMMYFUNCTION("""COMPUTED_VALUE"""),0.0)</f>
        <v>0</v>
      </c>
      <c r="AC397" s="447">
        <f>IFERROR(__xludf.DUMMYFUNCTION("""COMPUTED_VALUE"""),1.0)</f>
        <v>1</v>
      </c>
      <c r="AD397" s="447">
        <f>IFERROR(__xludf.DUMMYFUNCTION("""COMPUTED_VALUE"""),46.0)</f>
        <v>46</v>
      </c>
      <c r="AE397" s="447">
        <f>IFERROR(__xludf.DUMMYFUNCTION("""COMPUTED_VALUE"""),8.0)</f>
        <v>8</v>
      </c>
      <c r="AF397" s="447">
        <f>IFERROR(__xludf.DUMMYFUNCTION("""COMPUTED_VALUE"""),1.0)</f>
        <v>1</v>
      </c>
      <c r="AG397" s="443" t="s">
        <v>83</v>
      </c>
      <c r="AH397" s="443" t="s">
        <v>961</v>
      </c>
      <c r="AI397" s="443"/>
      <c r="AJ397" s="443"/>
      <c r="AK397" s="443"/>
      <c r="AL397" s="443"/>
      <c r="AM397" s="443"/>
      <c r="AN397" s="443"/>
      <c r="AO397" s="443"/>
      <c r="AP397" s="443"/>
      <c r="AQ397" s="443"/>
      <c r="AR397" s="443"/>
      <c r="AS397" s="443"/>
      <c r="AT397" s="443"/>
      <c r="AU397" s="443"/>
      <c r="AV397" s="443"/>
      <c r="AW397" s="443"/>
      <c r="AX397" s="443"/>
      <c r="AY397" s="443"/>
      <c r="AZ397" s="443"/>
      <c r="BA397" s="443"/>
      <c r="BB397" s="443"/>
      <c r="BC397" s="443"/>
      <c r="BD397" s="443"/>
      <c r="BE397" s="443"/>
    </row>
    <row r="398" hidden="1">
      <c r="A398" s="445">
        <f t="shared" si="5"/>
        <v>45688</v>
      </c>
      <c r="B398" s="449">
        <v>396.0</v>
      </c>
      <c r="C398" s="462">
        <v>0.6416666666666667</v>
      </c>
      <c r="D398" s="462">
        <v>0.9375</v>
      </c>
      <c r="E398" s="436">
        <f t="array" ref="E398">IF(B398=0,"",(J398+K398)/60)</f>
        <v>0.5</v>
      </c>
      <c r="F398" s="437">
        <f t="shared" si="1"/>
        <v>7.1</v>
      </c>
      <c r="G398" s="438">
        <f t="shared" si="8"/>
        <v>55.77464789</v>
      </c>
      <c r="H398" s="438">
        <f t="shared" si="3"/>
        <v>60</v>
      </c>
      <c r="I398" s="436">
        <f t="shared" si="6"/>
        <v>1.23943662</v>
      </c>
      <c r="J398" s="460">
        <v>30.0</v>
      </c>
      <c r="K398" s="464"/>
      <c r="L398" s="443"/>
      <c r="M398" s="447">
        <f>IFERROR(__xludf.DUMMYFUNCTION("""COMPUTED_VALUE"""),57.0)</f>
        <v>57</v>
      </c>
      <c r="N398" s="447">
        <f>IFERROR(__xludf.DUMMYFUNCTION("""COMPUTED_VALUE"""),56.0)</f>
        <v>56</v>
      </c>
      <c r="O398" s="447">
        <f>IFERROR(__xludf.DUMMYFUNCTION("""COMPUTED_VALUE"""),0.0)</f>
        <v>0</v>
      </c>
      <c r="P398" s="447">
        <f>IFERROR(__xludf.DUMMYFUNCTION("""COMPUTED_VALUE"""),0.0)</f>
        <v>0</v>
      </c>
      <c r="Q398" s="447">
        <f>IFERROR(__xludf.DUMMYFUNCTION("""COMPUTED_VALUE"""),0.0)</f>
        <v>0</v>
      </c>
      <c r="R398" s="447">
        <f>IFERROR(__xludf.DUMMYFUNCTION("""COMPUTED_VALUE"""),0.0)</f>
        <v>0</v>
      </c>
      <c r="S398" s="447">
        <f>IFERROR(__xludf.DUMMYFUNCTION("""COMPUTED_VALUE"""),5.0)</f>
        <v>5</v>
      </c>
      <c r="T398" s="447">
        <f>IFERROR(__xludf.DUMMYFUNCTION("""COMPUTED_VALUE"""),0.0)</f>
        <v>0</v>
      </c>
      <c r="U398" s="447">
        <f>IFERROR(__xludf.DUMMYFUNCTION("""COMPUTED_VALUE"""),1.0)</f>
        <v>1</v>
      </c>
      <c r="V398" s="447">
        <f>IFERROR(__xludf.DUMMYFUNCTION("""COMPUTED_VALUE"""),3.0)</f>
        <v>3</v>
      </c>
      <c r="W398" s="447">
        <f>IFERROR(__xludf.DUMMYFUNCTION("""COMPUTED_VALUE"""),0.0)</f>
        <v>0</v>
      </c>
      <c r="X398" s="447">
        <f>IFERROR(__xludf.DUMMYFUNCTION("""COMPUTED_VALUE"""),0.0)</f>
        <v>0</v>
      </c>
      <c r="Y398" s="447">
        <f>IFERROR(__xludf.DUMMYFUNCTION("""COMPUTED_VALUE"""),0.0)</f>
        <v>0</v>
      </c>
      <c r="Z398" s="447">
        <f>IFERROR(__xludf.DUMMYFUNCTION("""COMPUTED_VALUE"""),0.0)</f>
        <v>0</v>
      </c>
      <c r="AA398" s="447">
        <f>IFERROR(__xludf.DUMMYFUNCTION("""COMPUTED_VALUE"""),0.0)</f>
        <v>0</v>
      </c>
      <c r="AB398" s="447">
        <f>IFERROR(__xludf.DUMMYFUNCTION("""COMPUTED_VALUE"""),0.0)</f>
        <v>0</v>
      </c>
      <c r="AC398" s="447">
        <f>IFERROR(__xludf.DUMMYFUNCTION("""COMPUTED_VALUE"""),0.0)</f>
        <v>0</v>
      </c>
      <c r="AD398" s="447">
        <f>IFERROR(__xludf.DUMMYFUNCTION("""COMPUTED_VALUE"""),45.0)</f>
        <v>45</v>
      </c>
      <c r="AE398" s="447">
        <f>IFERROR(__xludf.DUMMYFUNCTION("""COMPUTED_VALUE"""),9.0)</f>
        <v>9</v>
      </c>
      <c r="AF398" s="447">
        <f>IFERROR(__xludf.DUMMYFUNCTION("""COMPUTED_VALUE"""),1.0)</f>
        <v>1</v>
      </c>
      <c r="AG398" s="443" t="s">
        <v>83</v>
      </c>
      <c r="AH398" s="443" t="s">
        <v>961</v>
      </c>
      <c r="AI398" s="443"/>
      <c r="AJ398" s="443"/>
      <c r="AK398" s="443"/>
      <c r="AL398" s="443"/>
      <c r="AM398" s="443"/>
      <c r="AN398" s="443"/>
      <c r="AO398" s="443"/>
      <c r="AP398" s="443"/>
      <c r="AQ398" s="443"/>
      <c r="AR398" s="443"/>
      <c r="AS398" s="443"/>
      <c r="AT398" s="443"/>
      <c r="AU398" s="443"/>
      <c r="AV398" s="443"/>
      <c r="AW398" s="443"/>
      <c r="AX398" s="443"/>
      <c r="AY398" s="443"/>
      <c r="AZ398" s="443"/>
      <c r="BA398" s="443"/>
      <c r="BB398" s="443"/>
      <c r="BC398" s="443"/>
      <c r="BD398" s="443"/>
      <c r="BE398" s="443"/>
    </row>
    <row r="399" hidden="1">
      <c r="A399" s="445">
        <f t="shared" si="5"/>
        <v>45689</v>
      </c>
      <c r="B399" s="449">
        <v>312.0</v>
      </c>
      <c r="C399" s="462">
        <v>0.5583333333333333</v>
      </c>
      <c r="D399" s="462">
        <v>0.7833333333333333</v>
      </c>
      <c r="E399" s="436">
        <f t="array" ref="E399">IF(B399=0,"",(J399+K399)/60)</f>
        <v>0</v>
      </c>
      <c r="F399" s="437">
        <f t="shared" si="1"/>
        <v>5.4</v>
      </c>
      <c r="G399" s="438">
        <f t="shared" si="8"/>
        <v>57.77777778</v>
      </c>
      <c r="H399" s="438">
        <f t="shared" si="3"/>
        <v>57.77777778</v>
      </c>
      <c r="I399" s="436">
        <f t="shared" si="6"/>
        <v>1.313131313</v>
      </c>
      <c r="J399" s="460">
        <v>0.0</v>
      </c>
      <c r="K399" s="464"/>
      <c r="L399" s="443"/>
      <c r="M399" s="525">
        <f>IFERROR(__xludf.DUMMYFUNCTION("TRANSPOSE(IMPORTRANGE(""https://docs.google.com/spreadsheets/d/1CNeKSHTeNNJnfn5EymHwGg5Mkuk6EcepW7_9QkJxalc/edit#gid=1218471306"",""FEBRERO 2025!F2:AG21""))"),57.0)</f>
        <v>57</v>
      </c>
      <c r="N399" s="447">
        <f>IFERROR(__xludf.DUMMYFUNCTION("""COMPUTED_VALUE"""),52.0)</f>
        <v>52</v>
      </c>
      <c r="O399" s="447">
        <f>IFERROR(__xludf.DUMMYFUNCTION("""COMPUTED_VALUE"""),0.0)</f>
        <v>0</v>
      </c>
      <c r="P399" s="447">
        <f>IFERROR(__xludf.DUMMYFUNCTION("""COMPUTED_VALUE"""),0.0)</f>
        <v>0</v>
      </c>
      <c r="Q399" s="447">
        <f>IFERROR(__xludf.DUMMYFUNCTION("""COMPUTED_VALUE"""),0.0)</f>
        <v>0</v>
      </c>
      <c r="R399" s="447">
        <f>IFERROR(__xludf.DUMMYFUNCTION("""COMPUTED_VALUE"""),0.0)</f>
        <v>0</v>
      </c>
      <c r="S399" s="447">
        <f>IFERROR(__xludf.DUMMYFUNCTION("""COMPUTED_VALUE"""),4.0)</f>
        <v>4</v>
      </c>
      <c r="T399" s="447">
        <f>IFERROR(__xludf.DUMMYFUNCTION("""COMPUTED_VALUE"""),0.0)</f>
        <v>0</v>
      </c>
      <c r="U399" s="447">
        <f>IFERROR(__xludf.DUMMYFUNCTION("""COMPUTED_VALUE"""),4.0)</f>
        <v>4</v>
      </c>
      <c r="V399" s="447">
        <f>IFERROR(__xludf.DUMMYFUNCTION("""COMPUTED_VALUE"""),3.0)</f>
        <v>3</v>
      </c>
      <c r="W399" s="447">
        <f>IFERROR(__xludf.DUMMYFUNCTION("""COMPUTED_VALUE"""),0.0)</f>
        <v>0</v>
      </c>
      <c r="X399" s="447">
        <f>IFERROR(__xludf.DUMMYFUNCTION("""COMPUTED_VALUE"""),0.0)</f>
        <v>0</v>
      </c>
      <c r="Y399" s="447">
        <f>IFERROR(__xludf.DUMMYFUNCTION("""COMPUTED_VALUE"""),0.0)</f>
        <v>0</v>
      </c>
      <c r="Z399" s="447">
        <f>IFERROR(__xludf.DUMMYFUNCTION("""COMPUTED_VALUE"""),0.0)</f>
        <v>0</v>
      </c>
      <c r="AA399" s="447">
        <f>IFERROR(__xludf.DUMMYFUNCTION("""COMPUTED_VALUE"""),0.0)</f>
        <v>0</v>
      </c>
      <c r="AB399" s="447">
        <f>IFERROR(__xludf.DUMMYFUNCTION("""COMPUTED_VALUE"""),0.0)</f>
        <v>0</v>
      </c>
      <c r="AC399" s="447">
        <f>IFERROR(__xludf.DUMMYFUNCTION("""COMPUTED_VALUE"""),1.0)</f>
        <v>1</v>
      </c>
      <c r="AD399" s="447">
        <f>IFERROR(__xludf.DUMMYFUNCTION("""COMPUTED_VALUE"""),44.0)</f>
        <v>44</v>
      </c>
      <c r="AE399" s="447">
        <f>IFERROR(__xludf.DUMMYFUNCTION("""COMPUTED_VALUE"""),13.0)</f>
        <v>13</v>
      </c>
      <c r="AF399" s="447">
        <f>IFERROR(__xludf.DUMMYFUNCTION("""COMPUTED_VALUE"""),5.0)</f>
        <v>5</v>
      </c>
      <c r="AG399" s="443" t="s">
        <v>91</v>
      </c>
      <c r="AH399" s="443" t="s">
        <v>961</v>
      </c>
      <c r="AI399" s="443"/>
      <c r="AJ399" s="443"/>
      <c r="AK399" s="443"/>
      <c r="AL399" s="443"/>
      <c r="AM399" s="443"/>
      <c r="AN399" s="443"/>
      <c r="AO399" s="443"/>
      <c r="AP399" s="443"/>
      <c r="AQ399" s="443"/>
      <c r="AR399" s="443"/>
      <c r="AS399" s="443"/>
      <c r="AT399" s="443"/>
      <c r="AU399" s="443"/>
      <c r="AV399" s="443"/>
      <c r="AW399" s="443"/>
      <c r="AX399" s="443"/>
      <c r="AY399" s="443"/>
      <c r="AZ399" s="443"/>
      <c r="BA399" s="443"/>
      <c r="BB399" s="443"/>
      <c r="BC399" s="443"/>
      <c r="BD399" s="443"/>
      <c r="BE399" s="443"/>
    </row>
    <row r="400" hidden="1">
      <c r="A400" s="445">
        <f t="shared" si="5"/>
        <v>45690</v>
      </c>
      <c r="B400" s="449">
        <v>0.0</v>
      </c>
      <c r="C400" s="443"/>
      <c r="D400" s="462"/>
      <c r="E400" s="436"/>
      <c r="F400" s="437" t="str">
        <f t="shared" si="1"/>
        <v/>
      </c>
      <c r="G400" s="438" t="str">
        <f t="shared" si="8"/>
        <v>#DIV/0!</v>
      </c>
      <c r="H400" s="438" t="str">
        <f t="shared" si="3"/>
        <v/>
      </c>
      <c r="I400" s="436" t="str">
        <f t="shared" si="6"/>
        <v/>
      </c>
      <c r="J400" s="464"/>
      <c r="K400" s="464"/>
      <c r="L400" s="443"/>
      <c r="M400" s="447">
        <f>IFERROR(__xludf.DUMMYFUNCTION("""COMPUTED_VALUE"""),57.0)</f>
        <v>57</v>
      </c>
      <c r="N400" s="447">
        <f>IFERROR(__xludf.DUMMYFUNCTION("""COMPUTED_VALUE"""),57.0)</f>
        <v>57</v>
      </c>
      <c r="O400" s="447">
        <f>IFERROR(__xludf.DUMMYFUNCTION("""COMPUTED_VALUE"""),0.0)</f>
        <v>0</v>
      </c>
      <c r="P400" s="447">
        <f>IFERROR(__xludf.DUMMYFUNCTION("""COMPUTED_VALUE"""),0.0)</f>
        <v>0</v>
      </c>
      <c r="Q400" s="447">
        <f>IFERROR(__xludf.DUMMYFUNCTION("""COMPUTED_VALUE"""),0.0)</f>
        <v>0</v>
      </c>
      <c r="R400" s="447">
        <f>IFERROR(__xludf.DUMMYFUNCTION("""COMPUTED_VALUE"""),0.0)</f>
        <v>0</v>
      </c>
      <c r="S400" s="447">
        <f>IFERROR(__xludf.DUMMYFUNCTION("""COMPUTED_VALUE"""),0.0)</f>
        <v>0</v>
      </c>
      <c r="T400" s="447">
        <f>IFERROR(__xludf.DUMMYFUNCTION("""COMPUTED_VALUE"""),0.0)</f>
        <v>0</v>
      </c>
      <c r="U400" s="447">
        <f>IFERROR(__xludf.DUMMYFUNCTION("""COMPUTED_VALUE"""),0.0)</f>
        <v>0</v>
      </c>
      <c r="V400" s="447">
        <f>IFERROR(__xludf.DUMMYFUNCTION("""COMPUTED_VALUE"""),0.0)</f>
        <v>0</v>
      </c>
      <c r="W400" s="447">
        <f>IFERROR(__xludf.DUMMYFUNCTION("""COMPUTED_VALUE"""),0.0)</f>
        <v>0</v>
      </c>
      <c r="X400" s="447">
        <f>IFERROR(__xludf.DUMMYFUNCTION("""COMPUTED_VALUE"""),0.0)</f>
        <v>0</v>
      </c>
      <c r="Y400" s="447">
        <f>IFERROR(__xludf.DUMMYFUNCTION("""COMPUTED_VALUE"""),0.0)</f>
        <v>0</v>
      </c>
      <c r="Z400" s="447">
        <f>IFERROR(__xludf.DUMMYFUNCTION("""COMPUTED_VALUE"""),0.0)</f>
        <v>0</v>
      </c>
      <c r="AA400" s="447">
        <f>IFERROR(__xludf.DUMMYFUNCTION("""COMPUTED_VALUE"""),0.0)</f>
        <v>0</v>
      </c>
      <c r="AB400" s="447">
        <f>IFERROR(__xludf.DUMMYFUNCTION("""COMPUTED_VALUE"""),0.0)</f>
        <v>0</v>
      </c>
      <c r="AC400" s="447">
        <f>IFERROR(__xludf.DUMMYFUNCTION("""COMPUTED_VALUE"""),0.0)</f>
        <v>0</v>
      </c>
      <c r="AD400" s="447">
        <f>IFERROR(__xludf.DUMMYFUNCTION("""COMPUTED_VALUE"""),0.0)</f>
        <v>0</v>
      </c>
      <c r="AE400" s="447">
        <f>IFERROR(__xludf.DUMMYFUNCTION("""COMPUTED_VALUE"""),0.0)</f>
        <v>0</v>
      </c>
      <c r="AF400" s="447">
        <f>IFERROR(__xludf.DUMMYFUNCTION("""COMPUTED_VALUE"""),0.0)</f>
        <v>0</v>
      </c>
      <c r="AG400" s="443" t="s">
        <v>91</v>
      </c>
      <c r="AH400" s="443" t="s">
        <v>961</v>
      </c>
      <c r="AI400" s="443"/>
      <c r="AJ400" s="443"/>
      <c r="AK400" s="443"/>
      <c r="AL400" s="443"/>
      <c r="AM400" s="443"/>
      <c r="AN400" s="443"/>
      <c r="AO400" s="443"/>
      <c r="AP400" s="443"/>
      <c r="AQ400" s="443"/>
      <c r="AR400" s="443"/>
      <c r="AS400" s="443"/>
      <c r="AT400" s="443"/>
      <c r="AU400" s="443"/>
      <c r="AV400" s="443"/>
      <c r="AW400" s="443"/>
      <c r="AX400" s="443"/>
      <c r="AY400" s="443"/>
      <c r="AZ400" s="443"/>
      <c r="BA400" s="443"/>
      <c r="BB400" s="443"/>
      <c r="BC400" s="443"/>
      <c r="BD400" s="443"/>
      <c r="BE400" s="443"/>
    </row>
    <row r="401" hidden="1">
      <c r="A401" s="445">
        <f t="shared" si="5"/>
        <v>45691</v>
      </c>
      <c r="B401" s="449">
        <v>733.0</v>
      </c>
      <c r="C401" s="462">
        <v>0.5583333333333333</v>
      </c>
      <c r="D401" s="462">
        <v>1.1576388888888889</v>
      </c>
      <c r="E401" s="436">
        <f t="array" ref="E401">IF(B401=0,"",(J401+K401)/60)</f>
        <v>2.066666667</v>
      </c>
      <c r="F401" s="437">
        <f t="shared" si="1"/>
        <v>14.38333333</v>
      </c>
      <c r="G401" s="438">
        <f t="shared" si="8"/>
        <v>50.9617613</v>
      </c>
      <c r="H401" s="438">
        <f t="shared" si="3"/>
        <v>59.51285521</v>
      </c>
      <c r="I401" s="436">
        <f t="shared" si="6"/>
        <v>1.06170336</v>
      </c>
      <c r="J401" s="460">
        <v>60.0</v>
      </c>
      <c r="K401" s="464">
        <f>33+16+15</f>
        <v>64</v>
      </c>
      <c r="L401" s="443"/>
      <c r="M401" s="447">
        <f>IFERROR(__xludf.DUMMYFUNCTION("""COMPUTED_VALUE"""),57.0)</f>
        <v>57</v>
      </c>
      <c r="N401" s="447">
        <f>IFERROR(__xludf.DUMMYFUNCTION("""COMPUTED_VALUE"""),52.0)</f>
        <v>52</v>
      </c>
      <c r="O401" s="447">
        <f>IFERROR(__xludf.DUMMYFUNCTION("""COMPUTED_VALUE"""),0.0)</f>
        <v>0</v>
      </c>
      <c r="P401" s="447">
        <f>IFERROR(__xludf.DUMMYFUNCTION("""COMPUTED_VALUE"""),0.0)</f>
        <v>0</v>
      </c>
      <c r="Q401" s="447">
        <f>IFERROR(__xludf.DUMMYFUNCTION("""COMPUTED_VALUE"""),0.0)</f>
        <v>0</v>
      </c>
      <c r="R401" s="447">
        <f>IFERROR(__xludf.DUMMYFUNCTION("""COMPUTED_VALUE"""),0.0)</f>
        <v>0</v>
      </c>
      <c r="S401" s="447">
        <f>IFERROR(__xludf.DUMMYFUNCTION("""COMPUTED_VALUE"""),1.0)</f>
        <v>1</v>
      </c>
      <c r="T401" s="447">
        <f>IFERROR(__xludf.DUMMYFUNCTION("""COMPUTED_VALUE"""),0.0)</f>
        <v>0</v>
      </c>
      <c r="U401" s="447">
        <f>IFERROR(__xludf.DUMMYFUNCTION("""COMPUTED_VALUE"""),4.0)</f>
        <v>4</v>
      </c>
      <c r="V401" s="447">
        <f>IFERROR(__xludf.DUMMYFUNCTION("""COMPUTED_VALUE"""),3.0)</f>
        <v>3</v>
      </c>
      <c r="W401" s="447">
        <f>IFERROR(__xludf.DUMMYFUNCTION("""COMPUTED_VALUE"""),0.0)</f>
        <v>0</v>
      </c>
      <c r="X401" s="447">
        <f>IFERROR(__xludf.DUMMYFUNCTION("""COMPUTED_VALUE"""),0.0)</f>
        <v>0</v>
      </c>
      <c r="Y401" s="447">
        <f>IFERROR(__xludf.DUMMYFUNCTION("""COMPUTED_VALUE"""),0.0)</f>
        <v>0</v>
      </c>
      <c r="Z401" s="447">
        <f>IFERROR(__xludf.DUMMYFUNCTION("""COMPUTED_VALUE"""),0.0)</f>
        <v>0</v>
      </c>
      <c r="AA401" s="447">
        <f>IFERROR(__xludf.DUMMYFUNCTION("""COMPUTED_VALUE"""),0.0)</f>
        <v>0</v>
      </c>
      <c r="AB401" s="447">
        <f>IFERROR(__xludf.DUMMYFUNCTION("""COMPUTED_VALUE"""),0.0)</f>
        <v>0</v>
      </c>
      <c r="AC401" s="447">
        <f>IFERROR(__xludf.DUMMYFUNCTION("""COMPUTED_VALUE"""),0.0)</f>
        <v>0</v>
      </c>
      <c r="AD401" s="447">
        <f>IFERROR(__xludf.DUMMYFUNCTION("""COMPUTED_VALUE"""),48.0)</f>
        <v>48</v>
      </c>
      <c r="AE401" s="447">
        <f>IFERROR(__xludf.DUMMYFUNCTION("""COMPUTED_VALUE"""),9.0)</f>
        <v>9</v>
      </c>
      <c r="AF401" s="447">
        <f>IFERROR(__xludf.DUMMYFUNCTION("""COMPUTED_VALUE"""),5.0)</f>
        <v>5</v>
      </c>
      <c r="AG401" s="443" t="s">
        <v>91</v>
      </c>
      <c r="AH401" s="443" t="s">
        <v>961</v>
      </c>
      <c r="AI401" s="443"/>
      <c r="AJ401" s="443"/>
      <c r="AK401" s="443"/>
      <c r="AL401" s="443"/>
      <c r="AM401" s="443"/>
      <c r="AN401" s="443"/>
      <c r="AO401" s="443"/>
      <c r="AP401" s="443"/>
      <c r="AQ401" s="443"/>
      <c r="AR401" s="443"/>
      <c r="AS401" s="443"/>
      <c r="AT401" s="443"/>
      <c r="AU401" s="443"/>
      <c r="AV401" s="443"/>
      <c r="AW401" s="443"/>
      <c r="AX401" s="443"/>
      <c r="AY401" s="443"/>
      <c r="AZ401" s="443"/>
      <c r="BA401" s="443"/>
      <c r="BB401" s="443"/>
      <c r="BC401" s="443"/>
      <c r="BD401" s="443"/>
      <c r="BE401" s="443"/>
    </row>
    <row r="402" hidden="1">
      <c r="A402" s="445">
        <f t="shared" si="5"/>
        <v>45692</v>
      </c>
      <c r="B402" s="449">
        <v>370.0</v>
      </c>
      <c r="C402" s="462">
        <v>0.6</v>
      </c>
      <c r="D402" s="462">
        <v>0.9013888888888889</v>
      </c>
      <c r="E402" s="436">
        <f t="array" ref="E402">IF(B402=0,"",(J402+K402)/60)</f>
        <v>0.5</v>
      </c>
      <c r="F402" s="437">
        <f t="shared" si="1"/>
        <v>7.233333333</v>
      </c>
      <c r="G402" s="438">
        <f t="shared" si="8"/>
        <v>51.15207373</v>
      </c>
      <c r="H402" s="438">
        <f t="shared" si="3"/>
        <v>54.95049505</v>
      </c>
      <c r="I402" s="436">
        <f t="shared" si="6"/>
        <v>1.088341994</v>
      </c>
      <c r="J402" s="460">
        <v>30.0</v>
      </c>
      <c r="K402" s="464"/>
      <c r="L402" s="443"/>
      <c r="M402" s="447">
        <f>IFERROR(__xludf.DUMMYFUNCTION("""COMPUTED_VALUE"""),57.0)</f>
        <v>57</v>
      </c>
      <c r="N402" s="447">
        <f>IFERROR(__xludf.DUMMYFUNCTION("""COMPUTED_VALUE"""),53.0)</f>
        <v>53</v>
      </c>
      <c r="O402" s="447">
        <f>IFERROR(__xludf.DUMMYFUNCTION("""COMPUTED_VALUE"""),0.0)</f>
        <v>0</v>
      </c>
      <c r="P402" s="447">
        <f>IFERROR(__xludf.DUMMYFUNCTION("""COMPUTED_VALUE"""),0.0)</f>
        <v>0</v>
      </c>
      <c r="Q402" s="447">
        <f>IFERROR(__xludf.DUMMYFUNCTION("""COMPUTED_VALUE"""),0.0)</f>
        <v>0</v>
      </c>
      <c r="R402" s="447">
        <f>IFERROR(__xludf.DUMMYFUNCTION("""COMPUTED_VALUE"""),0.0)</f>
        <v>0</v>
      </c>
      <c r="S402" s="447">
        <f>IFERROR(__xludf.DUMMYFUNCTION("""COMPUTED_VALUE"""),3.0)</f>
        <v>3</v>
      </c>
      <c r="T402" s="447">
        <f>IFERROR(__xludf.DUMMYFUNCTION("""COMPUTED_VALUE"""),0.0)</f>
        <v>0</v>
      </c>
      <c r="U402" s="447">
        <f>IFERROR(__xludf.DUMMYFUNCTION("""COMPUTED_VALUE"""),3.0)</f>
        <v>3</v>
      </c>
      <c r="V402" s="447">
        <f>IFERROR(__xludf.DUMMYFUNCTION("""COMPUTED_VALUE"""),3.0)</f>
        <v>3</v>
      </c>
      <c r="W402" s="447">
        <f>IFERROR(__xludf.DUMMYFUNCTION("""COMPUTED_VALUE"""),0.0)</f>
        <v>0</v>
      </c>
      <c r="X402" s="447">
        <f>IFERROR(__xludf.DUMMYFUNCTION("""COMPUTED_VALUE"""),0.0)</f>
        <v>0</v>
      </c>
      <c r="Y402" s="447">
        <f>IFERROR(__xludf.DUMMYFUNCTION("""COMPUTED_VALUE"""),0.0)</f>
        <v>0</v>
      </c>
      <c r="Z402" s="447">
        <f>IFERROR(__xludf.DUMMYFUNCTION("""COMPUTED_VALUE"""),0.0)</f>
        <v>0</v>
      </c>
      <c r="AA402" s="447">
        <f>IFERROR(__xludf.DUMMYFUNCTION("""COMPUTED_VALUE"""),0.0)</f>
        <v>0</v>
      </c>
      <c r="AB402" s="447">
        <f>IFERROR(__xludf.DUMMYFUNCTION("""COMPUTED_VALUE"""),0.0)</f>
        <v>0</v>
      </c>
      <c r="AC402" s="447">
        <f>IFERROR(__xludf.DUMMYFUNCTION("""COMPUTED_VALUE"""),0.0)</f>
        <v>0</v>
      </c>
      <c r="AD402" s="447">
        <f>IFERROR(__xludf.DUMMYFUNCTION("""COMPUTED_VALUE"""),47.0)</f>
        <v>47</v>
      </c>
      <c r="AE402" s="447">
        <f>IFERROR(__xludf.DUMMYFUNCTION("""COMPUTED_VALUE"""),10.0)</f>
        <v>10</v>
      </c>
      <c r="AF402" s="447">
        <f>IFERROR(__xludf.DUMMYFUNCTION("""COMPUTED_VALUE"""),4.0)</f>
        <v>4</v>
      </c>
      <c r="AG402" s="443" t="s">
        <v>91</v>
      </c>
      <c r="AH402" s="443" t="s">
        <v>961</v>
      </c>
      <c r="AI402" s="443"/>
      <c r="AJ402" s="443"/>
      <c r="AK402" s="443"/>
      <c r="AL402" s="443"/>
      <c r="AM402" s="443"/>
      <c r="AN402" s="443"/>
      <c r="AO402" s="443"/>
      <c r="AP402" s="443"/>
      <c r="AQ402" s="443"/>
      <c r="AR402" s="443"/>
      <c r="AS402" s="443"/>
      <c r="AT402" s="443"/>
      <c r="AU402" s="443"/>
      <c r="AV402" s="443"/>
      <c r="AW402" s="443"/>
      <c r="AX402" s="443"/>
      <c r="AY402" s="443"/>
      <c r="AZ402" s="443"/>
      <c r="BA402" s="443"/>
      <c r="BB402" s="443"/>
      <c r="BC402" s="443"/>
      <c r="BD402" s="443"/>
      <c r="BE402" s="443"/>
    </row>
    <row r="403" hidden="1">
      <c r="A403" s="445">
        <f t="shared" si="5"/>
        <v>45693</v>
      </c>
      <c r="B403" s="449">
        <v>394.0</v>
      </c>
      <c r="C403" s="462">
        <v>0.6</v>
      </c>
      <c r="D403" s="462">
        <v>0.9104166666666667</v>
      </c>
      <c r="E403" s="436">
        <f t="array" ref="E403">IF(B403=0,"",(J403+K403)/60)</f>
        <v>0.5</v>
      </c>
      <c r="F403" s="437">
        <f t="shared" si="1"/>
        <v>7.45</v>
      </c>
      <c r="G403" s="438">
        <f t="shared" si="8"/>
        <v>52.88590604</v>
      </c>
      <c r="H403" s="438">
        <f t="shared" si="3"/>
        <v>56.69064748</v>
      </c>
      <c r="I403" s="436">
        <f t="shared" si="6"/>
        <v>1.175242356</v>
      </c>
      <c r="J403" s="460">
        <v>30.0</v>
      </c>
      <c r="K403" s="464"/>
      <c r="L403" s="443"/>
      <c r="M403" s="447">
        <f>IFERROR(__xludf.DUMMYFUNCTION("""COMPUTED_VALUE"""),57.0)</f>
        <v>57</v>
      </c>
      <c r="N403" s="447">
        <f>IFERROR(__xludf.DUMMYFUNCTION("""COMPUTED_VALUE"""),52.0)</f>
        <v>52</v>
      </c>
      <c r="O403" s="447">
        <f>IFERROR(__xludf.DUMMYFUNCTION("""COMPUTED_VALUE"""),0.0)</f>
        <v>0</v>
      </c>
      <c r="P403" s="447">
        <f>IFERROR(__xludf.DUMMYFUNCTION("""COMPUTED_VALUE"""),0.0)</f>
        <v>0</v>
      </c>
      <c r="Q403" s="447">
        <f>IFERROR(__xludf.DUMMYFUNCTION("""COMPUTED_VALUE"""),0.0)</f>
        <v>0</v>
      </c>
      <c r="R403" s="447">
        <f>IFERROR(__xludf.DUMMYFUNCTION("""COMPUTED_VALUE"""),0.0)</f>
        <v>0</v>
      </c>
      <c r="S403" s="447">
        <f>IFERROR(__xludf.DUMMYFUNCTION("""COMPUTED_VALUE"""),3.0)</f>
        <v>3</v>
      </c>
      <c r="T403" s="447">
        <f>IFERROR(__xludf.DUMMYFUNCTION("""COMPUTED_VALUE"""),0.0)</f>
        <v>0</v>
      </c>
      <c r="U403" s="447">
        <f>IFERROR(__xludf.DUMMYFUNCTION("""COMPUTED_VALUE"""),4.0)</f>
        <v>4</v>
      </c>
      <c r="V403" s="447">
        <f>IFERROR(__xludf.DUMMYFUNCTION("""COMPUTED_VALUE"""),3.0)</f>
        <v>3</v>
      </c>
      <c r="W403" s="447">
        <f>IFERROR(__xludf.DUMMYFUNCTION("""COMPUTED_VALUE"""),0.0)</f>
        <v>0</v>
      </c>
      <c r="X403" s="447">
        <f>IFERROR(__xludf.DUMMYFUNCTION("""COMPUTED_VALUE"""),0.0)</f>
        <v>0</v>
      </c>
      <c r="Y403" s="447">
        <f>IFERROR(__xludf.DUMMYFUNCTION("""COMPUTED_VALUE"""),0.0)</f>
        <v>0</v>
      </c>
      <c r="Z403" s="447">
        <f>IFERROR(__xludf.DUMMYFUNCTION("""COMPUTED_VALUE"""),0.0)</f>
        <v>0</v>
      </c>
      <c r="AA403" s="447">
        <f>IFERROR(__xludf.DUMMYFUNCTION("""COMPUTED_VALUE"""),0.0)</f>
        <v>0</v>
      </c>
      <c r="AB403" s="447">
        <f>IFERROR(__xludf.DUMMYFUNCTION("""COMPUTED_VALUE"""),0.0)</f>
        <v>0</v>
      </c>
      <c r="AC403" s="447">
        <f>IFERROR(__xludf.DUMMYFUNCTION("""COMPUTED_VALUE"""),1.0)</f>
        <v>1</v>
      </c>
      <c r="AD403" s="447">
        <f>IFERROR(__xludf.DUMMYFUNCTION("""COMPUTED_VALUE"""),45.0)</f>
        <v>45</v>
      </c>
      <c r="AE403" s="447">
        <f>IFERROR(__xludf.DUMMYFUNCTION("""COMPUTED_VALUE"""),12.0)</f>
        <v>12</v>
      </c>
      <c r="AF403" s="447">
        <f>IFERROR(__xludf.DUMMYFUNCTION("""COMPUTED_VALUE"""),5.0)</f>
        <v>5</v>
      </c>
      <c r="AG403" s="443" t="s">
        <v>91</v>
      </c>
      <c r="AH403" s="443" t="s">
        <v>961</v>
      </c>
      <c r="AI403" s="443"/>
      <c r="AJ403" s="443"/>
      <c r="AK403" s="443"/>
      <c r="AL403" s="443"/>
      <c r="AM403" s="443"/>
      <c r="AN403" s="443"/>
      <c r="AO403" s="443"/>
      <c r="AP403" s="443"/>
      <c r="AQ403" s="443"/>
      <c r="AR403" s="443"/>
      <c r="AS403" s="443"/>
      <c r="AT403" s="443"/>
      <c r="AU403" s="443"/>
      <c r="AV403" s="443"/>
      <c r="AW403" s="443"/>
      <c r="AX403" s="443"/>
      <c r="AY403" s="443"/>
      <c r="AZ403" s="443"/>
      <c r="BA403" s="443"/>
      <c r="BB403" s="443"/>
      <c r="BC403" s="443"/>
      <c r="BD403" s="443"/>
      <c r="BE403" s="443"/>
    </row>
    <row r="404" hidden="1">
      <c r="A404" s="445">
        <f t="shared" si="5"/>
        <v>45694</v>
      </c>
      <c r="B404" s="449">
        <v>617.0</v>
      </c>
      <c r="C404" s="462">
        <v>0.6833333333333333</v>
      </c>
      <c r="D404" s="462">
        <v>1.1236111111111111</v>
      </c>
      <c r="E404" s="436">
        <f t="array" ref="E404">IF(B404=0,"",(J404+K404)/60)</f>
        <v>0.7166666667</v>
      </c>
      <c r="F404" s="437">
        <f t="shared" si="1"/>
        <v>10.56666667</v>
      </c>
      <c r="G404" s="438">
        <f t="shared" si="8"/>
        <v>58.39116719</v>
      </c>
      <c r="H404" s="438">
        <f t="shared" si="3"/>
        <v>62.63959391</v>
      </c>
      <c r="I404" s="436">
        <f t="shared" si="6"/>
        <v>1.327071982</v>
      </c>
      <c r="J404" s="460">
        <v>30.0</v>
      </c>
      <c r="K404" s="460">
        <v>13.0</v>
      </c>
      <c r="L404" s="443"/>
      <c r="M404" s="447">
        <f>IFERROR(__xludf.DUMMYFUNCTION("""COMPUTED_VALUE"""),57.0)</f>
        <v>57</v>
      </c>
      <c r="N404" s="447">
        <f>IFERROR(__xludf.DUMMYFUNCTION("""COMPUTED_VALUE"""),52.0)</f>
        <v>52</v>
      </c>
      <c r="O404" s="447">
        <f>IFERROR(__xludf.DUMMYFUNCTION("""COMPUTED_VALUE"""),0.0)</f>
        <v>0</v>
      </c>
      <c r="P404" s="447">
        <f>IFERROR(__xludf.DUMMYFUNCTION("""COMPUTED_VALUE"""),0.0)</f>
        <v>0</v>
      </c>
      <c r="Q404" s="447">
        <f>IFERROR(__xludf.DUMMYFUNCTION("""COMPUTED_VALUE"""),0.0)</f>
        <v>0</v>
      </c>
      <c r="R404" s="447">
        <f>IFERROR(__xludf.DUMMYFUNCTION("""COMPUTED_VALUE"""),0.0)</f>
        <v>0</v>
      </c>
      <c r="S404" s="447">
        <f>IFERROR(__xludf.DUMMYFUNCTION("""COMPUTED_VALUE"""),4.0)</f>
        <v>4</v>
      </c>
      <c r="T404" s="447">
        <f>IFERROR(__xludf.DUMMYFUNCTION("""COMPUTED_VALUE"""),0.0)</f>
        <v>0</v>
      </c>
      <c r="U404" s="447">
        <f>IFERROR(__xludf.DUMMYFUNCTION("""COMPUTED_VALUE"""),4.0)</f>
        <v>4</v>
      </c>
      <c r="V404" s="447">
        <f>IFERROR(__xludf.DUMMYFUNCTION("""COMPUTED_VALUE"""),3.0)</f>
        <v>3</v>
      </c>
      <c r="W404" s="447">
        <f>IFERROR(__xludf.DUMMYFUNCTION("""COMPUTED_VALUE"""),0.0)</f>
        <v>0</v>
      </c>
      <c r="X404" s="447">
        <f>IFERROR(__xludf.DUMMYFUNCTION("""COMPUTED_VALUE"""),0.0)</f>
        <v>0</v>
      </c>
      <c r="Y404" s="447">
        <f>IFERROR(__xludf.DUMMYFUNCTION("""COMPUTED_VALUE"""),0.0)</f>
        <v>0</v>
      </c>
      <c r="Z404" s="447">
        <f>IFERROR(__xludf.DUMMYFUNCTION("""COMPUTED_VALUE"""),0.0)</f>
        <v>0</v>
      </c>
      <c r="AA404" s="447">
        <f>IFERROR(__xludf.DUMMYFUNCTION("""COMPUTED_VALUE"""),0.0)</f>
        <v>0</v>
      </c>
      <c r="AB404" s="447">
        <f>IFERROR(__xludf.DUMMYFUNCTION("""COMPUTED_VALUE"""),0.0)</f>
        <v>0</v>
      </c>
      <c r="AC404" s="447">
        <f>IFERROR(__xludf.DUMMYFUNCTION("""COMPUTED_VALUE"""),1.0)</f>
        <v>1</v>
      </c>
      <c r="AD404" s="447">
        <f>IFERROR(__xludf.DUMMYFUNCTION("""COMPUTED_VALUE"""),44.0)</f>
        <v>44</v>
      </c>
      <c r="AE404" s="447">
        <f>IFERROR(__xludf.DUMMYFUNCTION("""COMPUTED_VALUE"""),13.0)</f>
        <v>13</v>
      </c>
      <c r="AF404" s="447">
        <f>IFERROR(__xludf.DUMMYFUNCTION("""COMPUTED_VALUE"""),5.0)</f>
        <v>5</v>
      </c>
      <c r="AG404" s="443" t="s">
        <v>91</v>
      </c>
      <c r="AH404" s="443" t="s">
        <v>961</v>
      </c>
      <c r="AI404" s="443"/>
      <c r="AJ404" s="443"/>
      <c r="AK404" s="443"/>
      <c r="AL404" s="443"/>
      <c r="AM404" s="443"/>
      <c r="AN404" s="443"/>
      <c r="AO404" s="443"/>
      <c r="AP404" s="443"/>
      <c r="AQ404" s="443"/>
      <c r="AR404" s="443"/>
      <c r="AS404" s="443"/>
      <c r="AT404" s="443"/>
      <c r="AU404" s="443"/>
      <c r="AV404" s="443"/>
      <c r="AW404" s="443"/>
      <c r="AX404" s="443"/>
      <c r="AY404" s="443"/>
      <c r="AZ404" s="443"/>
      <c r="BA404" s="443"/>
      <c r="BB404" s="443"/>
      <c r="BC404" s="443"/>
      <c r="BD404" s="443"/>
      <c r="BE404" s="443"/>
    </row>
    <row r="405" hidden="1">
      <c r="A405" s="445">
        <f t="shared" si="5"/>
        <v>45695</v>
      </c>
      <c r="B405" s="449">
        <v>496.0</v>
      </c>
      <c r="C405" s="462">
        <v>0.6416666666666667</v>
      </c>
      <c r="D405" s="462">
        <v>1.0256944444444445</v>
      </c>
      <c r="E405" s="436">
        <f t="array" ref="E405">IF(B405=0,"",(J405+K405)/60)</f>
        <v>0.6666666667</v>
      </c>
      <c r="F405" s="437">
        <f t="shared" si="1"/>
        <v>9.216666667</v>
      </c>
      <c r="G405" s="438">
        <f t="shared" si="8"/>
        <v>53.81555154</v>
      </c>
      <c r="H405" s="438">
        <f t="shared" si="3"/>
        <v>58.01169591</v>
      </c>
      <c r="I405" s="436">
        <f t="shared" si="6"/>
        <v>1.251524454</v>
      </c>
      <c r="J405" s="460">
        <v>30.0</v>
      </c>
      <c r="K405" s="460">
        <v>10.0</v>
      </c>
      <c r="L405" s="443"/>
      <c r="M405" s="447">
        <f>IFERROR(__xludf.DUMMYFUNCTION("""COMPUTED_VALUE"""),57.0)</f>
        <v>57</v>
      </c>
      <c r="N405" s="447">
        <f>IFERROR(__xludf.DUMMYFUNCTION("""COMPUTED_VALUE"""),52.0)</f>
        <v>52</v>
      </c>
      <c r="O405" s="447">
        <f>IFERROR(__xludf.DUMMYFUNCTION("""COMPUTED_VALUE"""),0.0)</f>
        <v>0</v>
      </c>
      <c r="P405" s="447">
        <f>IFERROR(__xludf.DUMMYFUNCTION("""COMPUTED_VALUE"""),0.0)</f>
        <v>0</v>
      </c>
      <c r="Q405" s="447">
        <f>IFERROR(__xludf.DUMMYFUNCTION("""COMPUTED_VALUE"""),0.0)</f>
        <v>0</v>
      </c>
      <c r="R405" s="447">
        <f>IFERROR(__xludf.DUMMYFUNCTION("""COMPUTED_VALUE"""),0.0)</f>
        <v>0</v>
      </c>
      <c r="S405" s="447">
        <f>IFERROR(__xludf.DUMMYFUNCTION("""COMPUTED_VALUE"""),4.0)</f>
        <v>4</v>
      </c>
      <c r="T405" s="447">
        <f>IFERROR(__xludf.DUMMYFUNCTION("""COMPUTED_VALUE"""),1.0)</f>
        <v>1</v>
      </c>
      <c r="U405" s="447">
        <f>IFERROR(__xludf.DUMMYFUNCTION("""COMPUTED_VALUE"""),4.0)</f>
        <v>4</v>
      </c>
      <c r="V405" s="447">
        <f>IFERROR(__xludf.DUMMYFUNCTION("""COMPUTED_VALUE"""),3.0)</f>
        <v>3</v>
      </c>
      <c r="W405" s="447">
        <f>IFERROR(__xludf.DUMMYFUNCTION("""COMPUTED_VALUE"""),0.0)</f>
        <v>0</v>
      </c>
      <c r="X405" s="447">
        <f>IFERROR(__xludf.DUMMYFUNCTION("""COMPUTED_VALUE"""),0.0)</f>
        <v>0</v>
      </c>
      <c r="Y405" s="447">
        <f>IFERROR(__xludf.DUMMYFUNCTION("""COMPUTED_VALUE"""),0.0)</f>
        <v>0</v>
      </c>
      <c r="Z405" s="447">
        <f>IFERROR(__xludf.DUMMYFUNCTION("""COMPUTED_VALUE"""),0.0)</f>
        <v>0</v>
      </c>
      <c r="AA405" s="447">
        <f>IFERROR(__xludf.DUMMYFUNCTION("""COMPUTED_VALUE"""),0.0)</f>
        <v>0</v>
      </c>
      <c r="AB405" s="447">
        <f>IFERROR(__xludf.DUMMYFUNCTION("""COMPUTED_VALUE"""),0.0)</f>
        <v>0</v>
      </c>
      <c r="AC405" s="447">
        <f>IFERROR(__xludf.DUMMYFUNCTION("""COMPUTED_VALUE"""),1.0)</f>
        <v>1</v>
      </c>
      <c r="AD405" s="447">
        <f>IFERROR(__xludf.DUMMYFUNCTION("""COMPUTED_VALUE"""),43.0)</f>
        <v>43</v>
      </c>
      <c r="AE405" s="447">
        <f>IFERROR(__xludf.DUMMYFUNCTION("""COMPUTED_VALUE"""),14.0)</f>
        <v>14</v>
      </c>
      <c r="AF405" s="447">
        <f>IFERROR(__xludf.DUMMYFUNCTION("""COMPUTED_VALUE"""),5.0)</f>
        <v>5</v>
      </c>
      <c r="AG405" s="443" t="s">
        <v>91</v>
      </c>
      <c r="AH405" s="443" t="s">
        <v>961</v>
      </c>
      <c r="AI405" s="443"/>
      <c r="AJ405" s="443"/>
      <c r="AK405" s="443"/>
      <c r="AL405" s="443"/>
      <c r="AM405" s="443"/>
      <c r="AN405" s="443"/>
      <c r="AO405" s="443"/>
      <c r="AP405" s="443"/>
      <c r="AQ405" s="443"/>
      <c r="AR405" s="443"/>
      <c r="AS405" s="443"/>
      <c r="AT405" s="443"/>
      <c r="AU405" s="443"/>
      <c r="AV405" s="443"/>
      <c r="AW405" s="443"/>
      <c r="AX405" s="443"/>
      <c r="AY405" s="443"/>
      <c r="AZ405" s="443"/>
      <c r="BA405" s="443"/>
      <c r="BB405" s="443"/>
      <c r="BC405" s="443"/>
      <c r="BD405" s="443"/>
      <c r="BE405" s="443"/>
    </row>
    <row r="406" hidden="1">
      <c r="A406" s="445">
        <f t="shared" si="5"/>
        <v>45696</v>
      </c>
      <c r="B406" s="449">
        <v>384.0</v>
      </c>
      <c r="C406" s="462">
        <v>0.6</v>
      </c>
      <c r="D406" s="462">
        <v>0.9069444444444444</v>
      </c>
      <c r="E406" s="436">
        <f t="array" ref="E406">IF(B406=0,"",(J406+K406)/60)</f>
        <v>0.5</v>
      </c>
      <c r="F406" s="437">
        <f t="shared" si="1"/>
        <v>7.366666667</v>
      </c>
      <c r="G406" s="438">
        <f t="shared" si="8"/>
        <v>52.12669683</v>
      </c>
      <c r="H406" s="438">
        <f t="shared" si="3"/>
        <v>55.9223301</v>
      </c>
      <c r="I406" s="436">
        <f t="shared" si="6"/>
        <v>1.133189062</v>
      </c>
      <c r="J406" s="460">
        <v>30.0</v>
      </c>
      <c r="K406" s="464"/>
      <c r="L406" s="443"/>
      <c r="M406" s="447">
        <f>IFERROR(__xludf.DUMMYFUNCTION("""COMPUTED_VALUE"""),57.0)</f>
        <v>57</v>
      </c>
      <c r="N406" s="447">
        <f>IFERROR(__xludf.DUMMYFUNCTION("""COMPUTED_VALUE"""),52.0)</f>
        <v>52</v>
      </c>
      <c r="O406" s="447">
        <f>IFERROR(__xludf.DUMMYFUNCTION("""COMPUTED_VALUE"""),0.0)</f>
        <v>0</v>
      </c>
      <c r="P406" s="447">
        <f>IFERROR(__xludf.DUMMYFUNCTION("""COMPUTED_VALUE"""),0.0)</f>
        <v>0</v>
      </c>
      <c r="Q406" s="447">
        <f>IFERROR(__xludf.DUMMYFUNCTION("""COMPUTED_VALUE"""),0.0)</f>
        <v>0</v>
      </c>
      <c r="R406" s="447">
        <f>IFERROR(__xludf.DUMMYFUNCTION("""COMPUTED_VALUE"""),0.0)</f>
        <v>0</v>
      </c>
      <c r="S406" s="447">
        <f>IFERROR(__xludf.DUMMYFUNCTION("""COMPUTED_VALUE"""),3.0)</f>
        <v>3</v>
      </c>
      <c r="T406" s="447">
        <f>IFERROR(__xludf.DUMMYFUNCTION("""COMPUTED_VALUE"""),0.0)</f>
        <v>0</v>
      </c>
      <c r="U406" s="447">
        <f>IFERROR(__xludf.DUMMYFUNCTION("""COMPUTED_VALUE"""),4.0)</f>
        <v>4</v>
      </c>
      <c r="V406" s="447">
        <f>IFERROR(__xludf.DUMMYFUNCTION("""COMPUTED_VALUE"""),2.0)</f>
        <v>2</v>
      </c>
      <c r="W406" s="447">
        <f>IFERROR(__xludf.DUMMYFUNCTION("""COMPUTED_VALUE"""),0.0)</f>
        <v>0</v>
      </c>
      <c r="X406" s="447">
        <f>IFERROR(__xludf.DUMMYFUNCTION("""COMPUTED_VALUE"""),0.0)</f>
        <v>0</v>
      </c>
      <c r="Y406" s="447">
        <f>IFERROR(__xludf.DUMMYFUNCTION("""COMPUTED_VALUE"""),0.0)</f>
        <v>0</v>
      </c>
      <c r="Z406" s="447">
        <f>IFERROR(__xludf.DUMMYFUNCTION("""COMPUTED_VALUE"""),0.0)</f>
        <v>0</v>
      </c>
      <c r="AA406" s="447">
        <f>IFERROR(__xludf.DUMMYFUNCTION("""COMPUTED_VALUE"""),0.0)</f>
        <v>0</v>
      </c>
      <c r="AB406" s="447">
        <f>IFERROR(__xludf.DUMMYFUNCTION("""COMPUTED_VALUE"""),0.0)</f>
        <v>0</v>
      </c>
      <c r="AC406" s="447">
        <f>IFERROR(__xludf.DUMMYFUNCTION("""COMPUTED_VALUE"""),1.0)</f>
        <v>1</v>
      </c>
      <c r="AD406" s="447">
        <f>IFERROR(__xludf.DUMMYFUNCTION("""COMPUTED_VALUE"""),46.0)</f>
        <v>46</v>
      </c>
      <c r="AE406" s="447">
        <f>IFERROR(__xludf.DUMMYFUNCTION("""COMPUTED_VALUE"""),11.0)</f>
        <v>11</v>
      </c>
      <c r="AF406" s="447">
        <f>IFERROR(__xludf.DUMMYFUNCTION("""COMPUTED_VALUE"""),5.0)</f>
        <v>5</v>
      </c>
      <c r="AG406" s="443" t="s">
        <v>91</v>
      </c>
      <c r="AH406" s="443" t="s">
        <v>961</v>
      </c>
      <c r="AI406" s="443"/>
      <c r="AJ406" s="443"/>
      <c r="AK406" s="443"/>
      <c r="AL406" s="443"/>
      <c r="AM406" s="443"/>
      <c r="AN406" s="443"/>
      <c r="AO406" s="443"/>
      <c r="AP406" s="443"/>
      <c r="AQ406" s="443"/>
      <c r="AR406" s="443"/>
      <c r="AS406" s="443"/>
      <c r="AT406" s="443"/>
      <c r="AU406" s="443"/>
      <c r="AV406" s="443"/>
      <c r="AW406" s="443"/>
      <c r="AX406" s="443"/>
      <c r="AY406" s="443"/>
      <c r="AZ406" s="443"/>
      <c r="BA406" s="443"/>
      <c r="BB406" s="443"/>
      <c r="BC406" s="443"/>
      <c r="BD406" s="443"/>
      <c r="BE406" s="443"/>
    </row>
    <row r="407" hidden="1">
      <c r="A407" s="445">
        <f t="shared" si="5"/>
        <v>45697</v>
      </c>
      <c r="B407" s="449">
        <v>0.0</v>
      </c>
      <c r="C407" s="443"/>
      <c r="D407" s="462"/>
      <c r="E407" s="436" t="str">
        <f t="array" ref="E407">IF(B407=0,"",(J407+K407)/60)</f>
        <v/>
      </c>
      <c r="F407" s="437" t="str">
        <f t="shared" si="1"/>
        <v/>
      </c>
      <c r="G407" s="438" t="str">
        <f t="shared" si="8"/>
        <v>#DIV/0!</v>
      </c>
      <c r="H407" s="438" t="str">
        <f t="shared" si="3"/>
        <v/>
      </c>
      <c r="I407" s="436" t="str">
        <f t="shared" si="6"/>
        <v/>
      </c>
      <c r="J407" s="464"/>
      <c r="K407" s="464"/>
      <c r="L407" s="443"/>
      <c r="M407" s="447">
        <f>IFERROR(__xludf.DUMMYFUNCTION("""COMPUTED_VALUE"""),57.0)</f>
        <v>57</v>
      </c>
      <c r="N407" s="447">
        <f>IFERROR(__xludf.DUMMYFUNCTION("""COMPUTED_VALUE"""),57.0)</f>
        <v>57</v>
      </c>
      <c r="O407" s="447">
        <f>IFERROR(__xludf.DUMMYFUNCTION("""COMPUTED_VALUE"""),0.0)</f>
        <v>0</v>
      </c>
      <c r="P407" s="447">
        <f>IFERROR(__xludf.DUMMYFUNCTION("""COMPUTED_VALUE"""),0.0)</f>
        <v>0</v>
      </c>
      <c r="Q407" s="447">
        <f>IFERROR(__xludf.DUMMYFUNCTION("""COMPUTED_VALUE"""),0.0)</f>
        <v>0</v>
      </c>
      <c r="R407" s="447">
        <f>IFERROR(__xludf.DUMMYFUNCTION("""COMPUTED_VALUE"""),0.0)</f>
        <v>0</v>
      </c>
      <c r="S407" s="447">
        <f>IFERROR(__xludf.DUMMYFUNCTION("""COMPUTED_VALUE"""),0.0)</f>
        <v>0</v>
      </c>
      <c r="T407" s="447">
        <f>IFERROR(__xludf.DUMMYFUNCTION("""COMPUTED_VALUE"""),0.0)</f>
        <v>0</v>
      </c>
      <c r="U407" s="447">
        <f>IFERROR(__xludf.DUMMYFUNCTION("""COMPUTED_VALUE"""),0.0)</f>
        <v>0</v>
      </c>
      <c r="V407" s="447">
        <f>IFERROR(__xludf.DUMMYFUNCTION("""COMPUTED_VALUE"""),0.0)</f>
        <v>0</v>
      </c>
      <c r="W407" s="447">
        <f>IFERROR(__xludf.DUMMYFUNCTION("""COMPUTED_VALUE"""),0.0)</f>
        <v>0</v>
      </c>
      <c r="X407" s="447">
        <f>IFERROR(__xludf.DUMMYFUNCTION("""COMPUTED_VALUE"""),0.0)</f>
        <v>0</v>
      </c>
      <c r="Y407" s="447">
        <f>IFERROR(__xludf.DUMMYFUNCTION("""COMPUTED_VALUE"""),0.0)</f>
        <v>0</v>
      </c>
      <c r="Z407" s="447">
        <f>IFERROR(__xludf.DUMMYFUNCTION("""COMPUTED_VALUE"""),0.0)</f>
        <v>0</v>
      </c>
      <c r="AA407" s="447">
        <f>IFERROR(__xludf.DUMMYFUNCTION("""COMPUTED_VALUE"""),0.0)</f>
        <v>0</v>
      </c>
      <c r="AB407" s="447">
        <f>IFERROR(__xludf.DUMMYFUNCTION("""COMPUTED_VALUE"""),0.0)</f>
        <v>0</v>
      </c>
      <c r="AC407" s="447">
        <f>IFERROR(__xludf.DUMMYFUNCTION("""COMPUTED_VALUE"""),0.0)</f>
        <v>0</v>
      </c>
      <c r="AD407" s="447">
        <f>IFERROR(__xludf.DUMMYFUNCTION("""COMPUTED_VALUE"""),0.0)</f>
        <v>0</v>
      </c>
      <c r="AE407" s="447">
        <f>IFERROR(__xludf.DUMMYFUNCTION("""COMPUTED_VALUE"""),0.0)</f>
        <v>0</v>
      </c>
      <c r="AF407" s="447">
        <f>IFERROR(__xludf.DUMMYFUNCTION("""COMPUTED_VALUE"""),0.0)</f>
        <v>0</v>
      </c>
      <c r="AG407" s="443" t="s">
        <v>91</v>
      </c>
      <c r="AH407" s="443" t="s">
        <v>961</v>
      </c>
      <c r="AI407" s="443"/>
      <c r="AJ407" s="443"/>
      <c r="AK407" s="443"/>
      <c r="AL407" s="443"/>
      <c r="AM407" s="443"/>
      <c r="AN407" s="443"/>
      <c r="AO407" s="443"/>
      <c r="AP407" s="443"/>
      <c r="AQ407" s="443"/>
      <c r="AR407" s="443"/>
      <c r="AS407" s="443"/>
      <c r="AT407" s="443"/>
      <c r="AU407" s="443"/>
      <c r="AV407" s="443"/>
      <c r="AW407" s="443"/>
      <c r="AX407" s="443"/>
      <c r="AY407" s="443"/>
      <c r="AZ407" s="443"/>
      <c r="BA407" s="443"/>
      <c r="BB407" s="443"/>
      <c r="BC407" s="443"/>
      <c r="BD407" s="443"/>
      <c r="BE407" s="443"/>
    </row>
    <row r="408" hidden="1">
      <c r="A408" s="445">
        <f t="shared" si="5"/>
        <v>45698</v>
      </c>
      <c r="B408" s="449">
        <v>484.0</v>
      </c>
      <c r="C408" s="462">
        <v>0.6416666666666667</v>
      </c>
      <c r="D408" s="462">
        <v>0.9861111111111112</v>
      </c>
      <c r="E408" s="436">
        <f t="array" ref="E408">IF(B408=0,"",(J408+K408)/60)</f>
        <v>0.6666666667</v>
      </c>
      <c r="F408" s="437">
        <f t="shared" si="1"/>
        <v>8.266666667</v>
      </c>
      <c r="G408" s="438">
        <f t="shared" si="8"/>
        <v>58.5483871</v>
      </c>
      <c r="H408" s="438">
        <f t="shared" si="3"/>
        <v>63.68421053</v>
      </c>
      <c r="I408" s="436">
        <f t="shared" si="6"/>
        <v>1.301075269</v>
      </c>
      <c r="J408" s="460">
        <v>30.0</v>
      </c>
      <c r="K408" s="460">
        <v>10.0</v>
      </c>
      <c r="L408" s="443"/>
      <c r="M408" s="447">
        <f>IFERROR(__xludf.DUMMYFUNCTION("""COMPUTED_VALUE"""),57.0)</f>
        <v>57</v>
      </c>
      <c r="N408" s="447">
        <f>IFERROR(__xludf.DUMMYFUNCTION("""COMPUTED_VALUE"""),52.0)</f>
        <v>52</v>
      </c>
      <c r="O408" s="447">
        <f>IFERROR(__xludf.DUMMYFUNCTION("""COMPUTED_VALUE"""),0.0)</f>
        <v>0</v>
      </c>
      <c r="P408" s="447">
        <f>IFERROR(__xludf.DUMMYFUNCTION("""COMPUTED_VALUE"""),0.0)</f>
        <v>0</v>
      </c>
      <c r="Q408" s="447">
        <f>IFERROR(__xludf.DUMMYFUNCTION("""COMPUTED_VALUE"""),1.0)</f>
        <v>1</v>
      </c>
      <c r="R408" s="447">
        <f>IFERROR(__xludf.DUMMYFUNCTION("""COMPUTED_VALUE"""),1.0)</f>
        <v>1</v>
      </c>
      <c r="S408" s="447">
        <f>IFERROR(__xludf.DUMMYFUNCTION("""COMPUTED_VALUE"""),3.0)</f>
        <v>3</v>
      </c>
      <c r="T408" s="447">
        <f>IFERROR(__xludf.DUMMYFUNCTION("""COMPUTED_VALUE"""),0.0)</f>
        <v>0</v>
      </c>
      <c r="U408" s="447">
        <f>IFERROR(__xludf.DUMMYFUNCTION("""COMPUTED_VALUE"""),4.0)</f>
        <v>4</v>
      </c>
      <c r="V408" s="447">
        <f>IFERROR(__xludf.DUMMYFUNCTION("""COMPUTED_VALUE"""),2.0)</f>
        <v>2</v>
      </c>
      <c r="W408" s="447">
        <f>IFERROR(__xludf.DUMMYFUNCTION("""COMPUTED_VALUE"""),0.0)</f>
        <v>0</v>
      </c>
      <c r="X408" s="447">
        <f>IFERROR(__xludf.DUMMYFUNCTION("""COMPUTED_VALUE"""),0.0)</f>
        <v>0</v>
      </c>
      <c r="Y408" s="447">
        <f>IFERROR(__xludf.DUMMYFUNCTION("""COMPUTED_VALUE"""),0.0)</f>
        <v>0</v>
      </c>
      <c r="Z408" s="447">
        <f>IFERROR(__xludf.DUMMYFUNCTION("""COMPUTED_VALUE"""),0.0)</f>
        <v>0</v>
      </c>
      <c r="AA408" s="447">
        <f>IFERROR(__xludf.DUMMYFUNCTION("""COMPUTED_VALUE"""),0.0)</f>
        <v>0</v>
      </c>
      <c r="AB408" s="447">
        <f>IFERROR(__xludf.DUMMYFUNCTION("""COMPUTED_VALUE"""),0.0)</f>
        <v>0</v>
      </c>
      <c r="AC408" s="447">
        <f>IFERROR(__xludf.DUMMYFUNCTION("""COMPUTED_VALUE"""),0.0)</f>
        <v>0</v>
      </c>
      <c r="AD408" s="447">
        <f>IFERROR(__xludf.DUMMYFUNCTION("""COMPUTED_VALUE"""),45.0)</f>
        <v>45</v>
      </c>
      <c r="AE408" s="447">
        <f>IFERROR(__xludf.DUMMYFUNCTION("""COMPUTED_VALUE"""),11.0)</f>
        <v>11</v>
      </c>
      <c r="AF408" s="447">
        <f>IFERROR(__xludf.DUMMYFUNCTION("""COMPUTED_VALUE"""),5.0)</f>
        <v>5</v>
      </c>
      <c r="AG408" s="443" t="s">
        <v>91</v>
      </c>
      <c r="AH408" s="443" t="s">
        <v>961</v>
      </c>
      <c r="AI408" s="443"/>
      <c r="AJ408" s="443"/>
      <c r="AK408" s="443"/>
      <c r="AL408" s="443"/>
      <c r="AM408" s="443"/>
      <c r="AN408" s="443"/>
      <c r="AO408" s="443"/>
      <c r="AP408" s="443"/>
      <c r="AQ408" s="443"/>
      <c r="AR408" s="443"/>
      <c r="AS408" s="443"/>
      <c r="AT408" s="443"/>
      <c r="AU408" s="443"/>
      <c r="AV408" s="443"/>
      <c r="AW408" s="443"/>
      <c r="AX408" s="443"/>
      <c r="AY408" s="443"/>
      <c r="AZ408" s="443"/>
      <c r="BA408" s="443"/>
      <c r="BB408" s="443"/>
      <c r="BC408" s="443"/>
      <c r="BD408" s="443"/>
      <c r="BE408" s="443"/>
    </row>
    <row r="409" hidden="1">
      <c r="A409" s="445">
        <f t="shared" si="5"/>
        <v>45699</v>
      </c>
      <c r="B409" s="449">
        <v>324.0</v>
      </c>
      <c r="C409" s="462">
        <v>0.6</v>
      </c>
      <c r="D409" s="462">
        <v>0.86875</v>
      </c>
      <c r="E409" s="436">
        <f t="array" ref="E409">IF(B409=0,"",(J409+K409)/60)</f>
        <v>1.25</v>
      </c>
      <c r="F409" s="437">
        <f t="shared" si="1"/>
        <v>6.45</v>
      </c>
      <c r="G409" s="438">
        <f t="shared" si="8"/>
        <v>50.23255814</v>
      </c>
      <c r="H409" s="438">
        <f t="shared" si="3"/>
        <v>62.30769231</v>
      </c>
      <c r="I409" s="436">
        <f t="shared" si="6"/>
        <v>1.141649049</v>
      </c>
      <c r="J409" s="460">
        <v>30.0</v>
      </c>
      <c r="K409" s="460">
        <v>45.0</v>
      </c>
      <c r="L409" s="443"/>
      <c r="M409" s="447">
        <f>IFERROR(__xludf.DUMMYFUNCTION("""COMPUTED_VALUE"""),57.0)</f>
        <v>57</v>
      </c>
      <c r="N409" s="447">
        <f>IFERROR(__xludf.DUMMYFUNCTION("""COMPUTED_VALUE"""),51.0)</f>
        <v>51</v>
      </c>
      <c r="O409" s="447">
        <f>IFERROR(__xludf.DUMMYFUNCTION("""COMPUTED_VALUE"""),0.0)</f>
        <v>0</v>
      </c>
      <c r="P409" s="447">
        <f>IFERROR(__xludf.DUMMYFUNCTION("""COMPUTED_VALUE"""),0.0)</f>
        <v>0</v>
      </c>
      <c r="Q409" s="447">
        <f>IFERROR(__xludf.DUMMYFUNCTION("""COMPUTED_VALUE"""),0.0)</f>
        <v>0</v>
      </c>
      <c r="R409" s="447">
        <f>IFERROR(__xludf.DUMMYFUNCTION("""COMPUTED_VALUE"""),1.0)</f>
        <v>1</v>
      </c>
      <c r="S409" s="447">
        <f>IFERROR(__xludf.DUMMYFUNCTION("""COMPUTED_VALUE"""),4.0)</f>
        <v>4</v>
      </c>
      <c r="T409" s="447">
        <f>IFERROR(__xludf.DUMMYFUNCTION("""COMPUTED_VALUE"""),0.0)</f>
        <v>0</v>
      </c>
      <c r="U409" s="447">
        <f>IFERROR(__xludf.DUMMYFUNCTION("""COMPUTED_VALUE"""),5.0)</f>
        <v>5</v>
      </c>
      <c r="V409" s="447">
        <f>IFERROR(__xludf.DUMMYFUNCTION("""COMPUTED_VALUE"""),2.0)</f>
        <v>2</v>
      </c>
      <c r="W409" s="447">
        <f>IFERROR(__xludf.DUMMYFUNCTION("""COMPUTED_VALUE"""),0.0)</f>
        <v>0</v>
      </c>
      <c r="X409" s="447">
        <f>IFERROR(__xludf.DUMMYFUNCTION("""COMPUTED_VALUE"""),0.0)</f>
        <v>0</v>
      </c>
      <c r="Y409" s="447">
        <f>IFERROR(__xludf.DUMMYFUNCTION("""COMPUTED_VALUE"""),0.0)</f>
        <v>0</v>
      </c>
      <c r="Z409" s="447">
        <f>IFERROR(__xludf.DUMMYFUNCTION("""COMPUTED_VALUE"""),0.0)</f>
        <v>0</v>
      </c>
      <c r="AA409" s="447">
        <f>IFERROR(__xludf.DUMMYFUNCTION("""COMPUTED_VALUE"""),0.0)</f>
        <v>0</v>
      </c>
      <c r="AB409" s="447">
        <f>IFERROR(__xludf.DUMMYFUNCTION("""COMPUTED_VALUE"""),0.0)</f>
        <v>0</v>
      </c>
      <c r="AC409" s="447">
        <f>IFERROR(__xludf.DUMMYFUNCTION("""COMPUTED_VALUE"""),0.0)</f>
        <v>0</v>
      </c>
      <c r="AD409" s="447">
        <f>IFERROR(__xludf.DUMMYFUNCTION("""COMPUTED_VALUE"""),44.0)</f>
        <v>44</v>
      </c>
      <c r="AE409" s="447">
        <f>IFERROR(__xludf.DUMMYFUNCTION("""COMPUTED_VALUE"""),12.0)</f>
        <v>12</v>
      </c>
      <c r="AF409" s="447">
        <f>IFERROR(__xludf.DUMMYFUNCTION("""COMPUTED_VALUE"""),6.0)</f>
        <v>6</v>
      </c>
      <c r="AG409" s="443" t="s">
        <v>91</v>
      </c>
      <c r="AH409" s="443" t="s">
        <v>961</v>
      </c>
      <c r="AI409" s="443"/>
      <c r="AJ409" s="443"/>
      <c r="AK409" s="443"/>
      <c r="AL409" s="443"/>
      <c r="AM409" s="443"/>
      <c r="AN409" s="443"/>
      <c r="AO409" s="443"/>
      <c r="AP409" s="443"/>
      <c r="AQ409" s="443"/>
      <c r="AR409" s="443"/>
      <c r="AS409" s="443"/>
      <c r="AT409" s="443"/>
      <c r="AU409" s="443"/>
      <c r="AV409" s="443"/>
      <c r="AW409" s="443"/>
      <c r="AX409" s="443"/>
      <c r="AY409" s="443"/>
      <c r="AZ409" s="443"/>
      <c r="BA409" s="443"/>
      <c r="BB409" s="443"/>
      <c r="BC409" s="443"/>
      <c r="BD409" s="443"/>
      <c r="BE409" s="443"/>
    </row>
    <row r="410" hidden="1">
      <c r="A410" s="445">
        <f t="shared" si="5"/>
        <v>45700</v>
      </c>
      <c r="B410" s="449">
        <v>559.0</v>
      </c>
      <c r="C410" s="462">
        <v>0.6</v>
      </c>
      <c r="D410" s="462">
        <v>1.0298611111111111</v>
      </c>
      <c r="E410" s="436">
        <f t="array" ref="E410">IF(B410=0,"",(J410+K410)/60)</f>
        <v>1</v>
      </c>
      <c r="F410" s="437">
        <f t="shared" si="1"/>
        <v>10.31666667</v>
      </c>
      <c r="G410" s="438">
        <f t="shared" si="8"/>
        <v>54.18416801</v>
      </c>
      <c r="H410" s="438">
        <f t="shared" si="3"/>
        <v>60</v>
      </c>
      <c r="I410" s="436">
        <f t="shared" si="6"/>
        <v>1.260096931</v>
      </c>
      <c r="J410" s="460">
        <v>60.0</v>
      </c>
      <c r="K410" s="464"/>
      <c r="L410" s="443"/>
      <c r="M410" s="447">
        <f>IFERROR(__xludf.DUMMYFUNCTION("""COMPUTED_VALUE"""),57.0)</f>
        <v>57</v>
      </c>
      <c r="N410" s="447">
        <f>IFERROR(__xludf.DUMMYFUNCTION("""COMPUTED_VALUE"""),51.0)</f>
        <v>51</v>
      </c>
      <c r="O410" s="447">
        <f>IFERROR(__xludf.DUMMYFUNCTION("""COMPUTED_VALUE"""),0.0)</f>
        <v>0</v>
      </c>
      <c r="P410" s="447">
        <f>IFERROR(__xludf.DUMMYFUNCTION("""COMPUTED_VALUE"""),0.0)</f>
        <v>0</v>
      </c>
      <c r="Q410" s="447">
        <f>IFERROR(__xludf.DUMMYFUNCTION("""COMPUTED_VALUE"""),0.0)</f>
        <v>0</v>
      </c>
      <c r="R410" s="447">
        <f>IFERROR(__xludf.DUMMYFUNCTION("""COMPUTED_VALUE"""),0.0)</f>
        <v>0</v>
      </c>
      <c r="S410" s="447">
        <f>IFERROR(__xludf.DUMMYFUNCTION("""COMPUTED_VALUE"""),6.0)</f>
        <v>6</v>
      </c>
      <c r="T410" s="447">
        <f>IFERROR(__xludf.DUMMYFUNCTION("""COMPUTED_VALUE"""),0.0)</f>
        <v>0</v>
      </c>
      <c r="U410" s="447">
        <f>IFERROR(__xludf.DUMMYFUNCTION("""COMPUTED_VALUE"""),5.0)</f>
        <v>5</v>
      </c>
      <c r="V410" s="447">
        <f>IFERROR(__xludf.DUMMYFUNCTION("""COMPUTED_VALUE"""),2.0)</f>
        <v>2</v>
      </c>
      <c r="W410" s="447">
        <f>IFERROR(__xludf.DUMMYFUNCTION("""COMPUTED_VALUE"""),0.0)</f>
        <v>0</v>
      </c>
      <c r="X410" s="447">
        <f>IFERROR(__xludf.DUMMYFUNCTION("""COMPUTED_VALUE"""),0.0)</f>
        <v>0</v>
      </c>
      <c r="Y410" s="447">
        <f>IFERROR(__xludf.DUMMYFUNCTION("""COMPUTED_VALUE"""),0.0)</f>
        <v>0</v>
      </c>
      <c r="Z410" s="447">
        <f>IFERROR(__xludf.DUMMYFUNCTION("""COMPUTED_VALUE"""),0.0)</f>
        <v>0</v>
      </c>
      <c r="AA410" s="447">
        <f>IFERROR(__xludf.DUMMYFUNCTION("""COMPUTED_VALUE"""),0.0)</f>
        <v>0</v>
      </c>
      <c r="AB410" s="447">
        <f>IFERROR(__xludf.DUMMYFUNCTION("""COMPUTED_VALUE"""),0.0)</f>
        <v>0</v>
      </c>
      <c r="AC410" s="447">
        <f>IFERROR(__xludf.DUMMYFUNCTION("""COMPUTED_VALUE"""),0.0)</f>
        <v>0</v>
      </c>
      <c r="AD410" s="447">
        <f>IFERROR(__xludf.DUMMYFUNCTION("""COMPUTED_VALUE"""),43.0)</f>
        <v>43</v>
      </c>
      <c r="AE410" s="447">
        <f>IFERROR(__xludf.DUMMYFUNCTION("""COMPUTED_VALUE"""),14.0)</f>
        <v>14</v>
      </c>
      <c r="AF410" s="447">
        <f>IFERROR(__xludf.DUMMYFUNCTION("""COMPUTED_VALUE"""),6.0)</f>
        <v>6</v>
      </c>
      <c r="AG410" s="443" t="s">
        <v>91</v>
      </c>
      <c r="AH410" s="443" t="s">
        <v>961</v>
      </c>
      <c r="AI410" s="443"/>
      <c r="AJ410" s="443"/>
      <c r="AK410" s="443"/>
      <c r="AL410" s="443"/>
      <c r="AM410" s="443"/>
      <c r="AN410" s="443"/>
      <c r="AO410" s="443"/>
      <c r="AP410" s="443"/>
      <c r="AQ410" s="443"/>
      <c r="AR410" s="443"/>
      <c r="AS410" s="443"/>
      <c r="AT410" s="443"/>
      <c r="AU410" s="443"/>
      <c r="AV410" s="443"/>
      <c r="AW410" s="443"/>
      <c r="AX410" s="443"/>
      <c r="AY410" s="443"/>
      <c r="AZ410" s="443"/>
      <c r="BA410" s="443"/>
      <c r="BB410" s="443"/>
      <c r="BC410" s="443"/>
      <c r="BD410" s="443"/>
      <c r="BE410" s="443"/>
    </row>
    <row r="411" hidden="1">
      <c r="A411" s="445">
        <f t="shared" si="5"/>
        <v>45701</v>
      </c>
      <c r="B411" s="449">
        <v>453.0</v>
      </c>
      <c r="C411" s="462">
        <v>0.6</v>
      </c>
      <c r="D411" s="462">
        <v>0.9256944444444445</v>
      </c>
      <c r="E411" s="436">
        <f t="array" ref="E411">IF(B411=0,"",(J411+K411)/60)</f>
        <v>0.5</v>
      </c>
      <c r="F411" s="437">
        <f t="shared" si="1"/>
        <v>7.816666667</v>
      </c>
      <c r="G411" s="438">
        <f t="shared" si="8"/>
        <v>57.95309168</v>
      </c>
      <c r="H411" s="438">
        <f t="shared" si="3"/>
        <v>61.91343964</v>
      </c>
      <c r="I411" s="436">
        <f t="shared" si="6"/>
        <v>1.413490041</v>
      </c>
      <c r="J411" s="460">
        <v>30.0</v>
      </c>
      <c r="K411" s="464"/>
      <c r="L411" s="443"/>
      <c r="M411" s="447">
        <f>IFERROR(__xludf.DUMMYFUNCTION("""COMPUTED_VALUE"""),57.0)</f>
        <v>57</v>
      </c>
      <c r="N411" s="447">
        <f>IFERROR(__xludf.DUMMYFUNCTION("""COMPUTED_VALUE"""),51.0)</f>
        <v>51</v>
      </c>
      <c r="O411" s="447">
        <f>IFERROR(__xludf.DUMMYFUNCTION("""COMPUTED_VALUE"""),0.0)</f>
        <v>0</v>
      </c>
      <c r="P411" s="447">
        <f>IFERROR(__xludf.DUMMYFUNCTION("""COMPUTED_VALUE"""),0.0)</f>
        <v>0</v>
      </c>
      <c r="Q411" s="447">
        <f>IFERROR(__xludf.DUMMYFUNCTION("""COMPUTED_VALUE"""),0.0)</f>
        <v>0</v>
      </c>
      <c r="R411" s="447">
        <f>IFERROR(__xludf.DUMMYFUNCTION("""COMPUTED_VALUE"""),0.0)</f>
        <v>0</v>
      </c>
      <c r="S411" s="447">
        <f>IFERROR(__xludf.DUMMYFUNCTION("""COMPUTED_VALUE"""),7.0)</f>
        <v>7</v>
      </c>
      <c r="T411" s="447">
        <f>IFERROR(__xludf.DUMMYFUNCTION("""COMPUTED_VALUE"""),0.0)</f>
        <v>0</v>
      </c>
      <c r="U411" s="447">
        <f>IFERROR(__xludf.DUMMYFUNCTION("""COMPUTED_VALUE"""),5.0)</f>
        <v>5</v>
      </c>
      <c r="V411" s="447">
        <f>IFERROR(__xludf.DUMMYFUNCTION("""COMPUTED_VALUE"""),2.0)</f>
        <v>2</v>
      </c>
      <c r="W411" s="447">
        <f>IFERROR(__xludf.DUMMYFUNCTION("""COMPUTED_VALUE"""),0.0)</f>
        <v>0</v>
      </c>
      <c r="X411" s="447">
        <f>IFERROR(__xludf.DUMMYFUNCTION("""COMPUTED_VALUE"""),0.0)</f>
        <v>0</v>
      </c>
      <c r="Y411" s="447">
        <f>IFERROR(__xludf.DUMMYFUNCTION("""COMPUTED_VALUE"""),0.0)</f>
        <v>0</v>
      </c>
      <c r="Z411" s="447">
        <f>IFERROR(__xludf.DUMMYFUNCTION("""COMPUTED_VALUE"""),0.0)</f>
        <v>0</v>
      </c>
      <c r="AA411" s="447">
        <f>IFERROR(__xludf.DUMMYFUNCTION("""COMPUTED_VALUE"""),0.0)</f>
        <v>0</v>
      </c>
      <c r="AB411" s="447">
        <f>IFERROR(__xludf.DUMMYFUNCTION("""COMPUTED_VALUE"""),0.0)</f>
        <v>0</v>
      </c>
      <c r="AC411" s="447">
        <f>IFERROR(__xludf.DUMMYFUNCTION("""COMPUTED_VALUE"""),1.0)</f>
        <v>1</v>
      </c>
      <c r="AD411" s="447">
        <f>IFERROR(__xludf.DUMMYFUNCTION("""COMPUTED_VALUE"""),41.0)</f>
        <v>41</v>
      </c>
      <c r="AE411" s="447">
        <f>IFERROR(__xludf.DUMMYFUNCTION("""COMPUTED_VALUE"""),16.0)</f>
        <v>16</v>
      </c>
      <c r="AF411" s="447">
        <f>IFERROR(__xludf.DUMMYFUNCTION("""COMPUTED_VALUE"""),6.0)</f>
        <v>6</v>
      </c>
      <c r="AG411" s="443" t="s">
        <v>91</v>
      </c>
      <c r="AH411" s="443" t="s">
        <v>961</v>
      </c>
      <c r="AI411" s="443"/>
      <c r="AJ411" s="443"/>
      <c r="AK411" s="443"/>
      <c r="AL411" s="443"/>
      <c r="AM411" s="443"/>
      <c r="AN411" s="443"/>
      <c r="AO411" s="443"/>
      <c r="AP411" s="443"/>
      <c r="AQ411" s="443"/>
      <c r="AR411" s="443"/>
      <c r="AS411" s="443"/>
      <c r="AT411" s="443"/>
      <c r="AU411" s="443"/>
      <c r="AV411" s="443"/>
      <c r="AW411" s="443"/>
      <c r="AX411" s="443"/>
      <c r="AY411" s="443"/>
      <c r="AZ411" s="443"/>
      <c r="BA411" s="443"/>
      <c r="BB411" s="443"/>
      <c r="BC411" s="443"/>
      <c r="BD411" s="443"/>
      <c r="BE411" s="443"/>
    </row>
    <row r="412" hidden="1">
      <c r="A412" s="445">
        <f t="shared" si="5"/>
        <v>45702</v>
      </c>
      <c r="B412" s="449">
        <v>400.0</v>
      </c>
      <c r="C412" s="462">
        <v>0.6</v>
      </c>
      <c r="D412" s="462">
        <v>0.9027777777777778</v>
      </c>
      <c r="E412" s="436">
        <f t="array" ref="E412">IF(B412=0,"",(J412+K412)/60)</f>
        <v>0.5</v>
      </c>
      <c r="F412" s="437">
        <f t="shared" si="1"/>
        <v>7.266666667</v>
      </c>
      <c r="G412" s="438">
        <f t="shared" si="8"/>
        <v>55.04587156</v>
      </c>
      <c r="H412" s="438">
        <f t="shared" si="3"/>
        <v>59.11330049</v>
      </c>
      <c r="I412" s="436">
        <f t="shared" si="6"/>
        <v>1.280136548</v>
      </c>
      <c r="J412" s="460">
        <v>30.0</v>
      </c>
      <c r="K412" s="464"/>
      <c r="L412" s="443"/>
      <c r="M412" s="447">
        <f>IFERROR(__xludf.DUMMYFUNCTION("""COMPUTED_VALUE"""),57.0)</f>
        <v>57</v>
      </c>
      <c r="N412" s="447">
        <f>IFERROR(__xludf.DUMMYFUNCTION("""COMPUTED_VALUE"""),51.0)</f>
        <v>51</v>
      </c>
      <c r="O412" s="447">
        <f>IFERROR(__xludf.DUMMYFUNCTION("""COMPUTED_VALUE"""),0.0)</f>
        <v>0</v>
      </c>
      <c r="P412" s="447">
        <f>IFERROR(__xludf.DUMMYFUNCTION("""COMPUTED_VALUE"""),0.0)</f>
        <v>0</v>
      </c>
      <c r="Q412" s="447">
        <f>IFERROR(__xludf.DUMMYFUNCTION("""COMPUTED_VALUE"""),0.0)</f>
        <v>0</v>
      </c>
      <c r="R412" s="447">
        <f>IFERROR(__xludf.DUMMYFUNCTION("""COMPUTED_VALUE"""),0.0)</f>
        <v>0</v>
      </c>
      <c r="S412" s="447">
        <f>IFERROR(__xludf.DUMMYFUNCTION("""COMPUTED_VALUE"""),5.0)</f>
        <v>5</v>
      </c>
      <c r="T412" s="447">
        <f>IFERROR(__xludf.DUMMYFUNCTION("""COMPUTED_VALUE"""),0.0)</f>
        <v>0</v>
      </c>
      <c r="U412" s="447">
        <f>IFERROR(__xludf.DUMMYFUNCTION("""COMPUTED_VALUE"""),5.0)</f>
        <v>5</v>
      </c>
      <c r="V412" s="447">
        <f>IFERROR(__xludf.DUMMYFUNCTION("""COMPUTED_VALUE"""),2.0)</f>
        <v>2</v>
      </c>
      <c r="W412" s="447">
        <f>IFERROR(__xludf.DUMMYFUNCTION("""COMPUTED_VALUE"""),0.0)</f>
        <v>0</v>
      </c>
      <c r="X412" s="447">
        <f>IFERROR(__xludf.DUMMYFUNCTION("""COMPUTED_VALUE"""),0.0)</f>
        <v>0</v>
      </c>
      <c r="Y412" s="447">
        <f>IFERROR(__xludf.DUMMYFUNCTION("""COMPUTED_VALUE"""),0.0)</f>
        <v>0</v>
      </c>
      <c r="Z412" s="447">
        <f>IFERROR(__xludf.DUMMYFUNCTION("""COMPUTED_VALUE"""),0.0)</f>
        <v>0</v>
      </c>
      <c r="AA412" s="447">
        <f>IFERROR(__xludf.DUMMYFUNCTION("""COMPUTED_VALUE"""),0.0)</f>
        <v>0</v>
      </c>
      <c r="AB412" s="447">
        <f>IFERROR(__xludf.DUMMYFUNCTION("""COMPUTED_VALUE"""),0.0)</f>
        <v>0</v>
      </c>
      <c r="AC412" s="447">
        <f>IFERROR(__xludf.DUMMYFUNCTION("""COMPUTED_VALUE"""),1.0)</f>
        <v>1</v>
      </c>
      <c r="AD412" s="447">
        <f>IFERROR(__xludf.DUMMYFUNCTION("""COMPUTED_VALUE"""),43.0)</f>
        <v>43</v>
      </c>
      <c r="AE412" s="447">
        <f>IFERROR(__xludf.DUMMYFUNCTION("""COMPUTED_VALUE"""),14.0)</f>
        <v>14</v>
      </c>
      <c r="AF412" s="447">
        <f>IFERROR(__xludf.DUMMYFUNCTION("""COMPUTED_VALUE"""),6.0)</f>
        <v>6</v>
      </c>
      <c r="AG412" s="443" t="s">
        <v>91</v>
      </c>
      <c r="AH412" s="443" t="s">
        <v>961</v>
      </c>
      <c r="AI412" s="443"/>
      <c r="AJ412" s="443"/>
      <c r="AK412" s="443"/>
      <c r="AL412" s="443"/>
      <c r="AM412" s="443"/>
      <c r="AN412" s="443"/>
      <c r="AO412" s="443"/>
      <c r="AP412" s="443"/>
      <c r="AQ412" s="443"/>
      <c r="AR412" s="443"/>
      <c r="AS412" s="443"/>
      <c r="AT412" s="443"/>
      <c r="AU412" s="443"/>
      <c r="AV412" s="443"/>
      <c r="AW412" s="443"/>
      <c r="AX412" s="443"/>
      <c r="AY412" s="443"/>
      <c r="AZ412" s="443"/>
      <c r="BA412" s="443"/>
      <c r="BB412" s="443"/>
      <c r="BC412" s="443"/>
      <c r="BD412" s="443"/>
      <c r="BE412" s="443"/>
    </row>
    <row r="413" hidden="1">
      <c r="A413" s="445">
        <f t="shared" si="5"/>
        <v>45703</v>
      </c>
      <c r="B413" s="449">
        <v>455.0</v>
      </c>
      <c r="C413" s="462">
        <v>0.5583333333333333</v>
      </c>
      <c r="D413" s="462">
        <v>0.8888888888888888</v>
      </c>
      <c r="E413" s="436">
        <f t="array" ref="E413">IF(B413=0,"",(J413+K413)/60)</f>
        <v>1.1</v>
      </c>
      <c r="F413" s="437">
        <f t="shared" si="1"/>
        <v>7.933333333</v>
      </c>
      <c r="G413" s="438">
        <f t="shared" si="8"/>
        <v>57.35294118</v>
      </c>
      <c r="H413" s="438">
        <f t="shared" si="3"/>
        <v>66.58536585</v>
      </c>
      <c r="I413" s="436">
        <f t="shared" si="6"/>
        <v>1.365546218</v>
      </c>
      <c r="J413" s="460">
        <v>30.0</v>
      </c>
      <c r="K413" s="464">
        <f>12+18+6</f>
        <v>36</v>
      </c>
      <c r="L413" s="443"/>
      <c r="M413" s="447">
        <f>IFERROR(__xludf.DUMMYFUNCTION("""COMPUTED_VALUE"""),57.0)</f>
        <v>57</v>
      </c>
      <c r="N413" s="447">
        <f>IFERROR(__xludf.DUMMYFUNCTION("""COMPUTED_VALUE"""),51.0)</f>
        <v>51</v>
      </c>
      <c r="O413" s="447">
        <f>IFERROR(__xludf.DUMMYFUNCTION("""COMPUTED_VALUE"""),0.0)</f>
        <v>0</v>
      </c>
      <c r="P413" s="447">
        <f>IFERROR(__xludf.DUMMYFUNCTION("""COMPUTED_VALUE"""),0.0)</f>
        <v>0</v>
      </c>
      <c r="Q413" s="447">
        <f>IFERROR(__xludf.DUMMYFUNCTION("""COMPUTED_VALUE"""),0.0)</f>
        <v>0</v>
      </c>
      <c r="R413" s="447">
        <f>IFERROR(__xludf.DUMMYFUNCTION("""COMPUTED_VALUE"""),0.0)</f>
        <v>0</v>
      </c>
      <c r="S413" s="447">
        <f>IFERROR(__xludf.DUMMYFUNCTION("""COMPUTED_VALUE"""),6.0)</f>
        <v>6</v>
      </c>
      <c r="T413" s="447">
        <f>IFERROR(__xludf.DUMMYFUNCTION("""COMPUTED_VALUE"""),0.0)</f>
        <v>0</v>
      </c>
      <c r="U413" s="447">
        <f>IFERROR(__xludf.DUMMYFUNCTION("""COMPUTED_VALUE"""),5.0)</f>
        <v>5</v>
      </c>
      <c r="V413" s="447">
        <f>IFERROR(__xludf.DUMMYFUNCTION("""COMPUTED_VALUE"""),2.0)</f>
        <v>2</v>
      </c>
      <c r="W413" s="447">
        <f>IFERROR(__xludf.DUMMYFUNCTION("""COMPUTED_VALUE"""),0.0)</f>
        <v>0</v>
      </c>
      <c r="X413" s="447">
        <f>IFERROR(__xludf.DUMMYFUNCTION("""COMPUTED_VALUE"""),0.0)</f>
        <v>0</v>
      </c>
      <c r="Y413" s="447">
        <f>IFERROR(__xludf.DUMMYFUNCTION("""COMPUTED_VALUE"""),0.0)</f>
        <v>0</v>
      </c>
      <c r="Z413" s="447">
        <f>IFERROR(__xludf.DUMMYFUNCTION("""COMPUTED_VALUE"""),0.0)</f>
        <v>0</v>
      </c>
      <c r="AA413" s="447">
        <f>IFERROR(__xludf.DUMMYFUNCTION("""COMPUTED_VALUE"""),0.0)</f>
        <v>0</v>
      </c>
      <c r="AB413" s="447">
        <f>IFERROR(__xludf.DUMMYFUNCTION("""COMPUTED_VALUE"""),0.0)</f>
        <v>0</v>
      </c>
      <c r="AC413" s="447">
        <f>IFERROR(__xludf.DUMMYFUNCTION("""COMPUTED_VALUE"""),1.0)</f>
        <v>1</v>
      </c>
      <c r="AD413" s="447">
        <f>IFERROR(__xludf.DUMMYFUNCTION("""COMPUTED_VALUE"""),42.0)</f>
        <v>42</v>
      </c>
      <c r="AE413" s="447">
        <f>IFERROR(__xludf.DUMMYFUNCTION("""COMPUTED_VALUE"""),15.0)</f>
        <v>15</v>
      </c>
      <c r="AF413" s="447">
        <f>IFERROR(__xludf.DUMMYFUNCTION("""COMPUTED_VALUE"""),6.0)</f>
        <v>6</v>
      </c>
      <c r="AG413" s="443" t="s">
        <v>91</v>
      </c>
      <c r="AH413" s="443" t="s">
        <v>961</v>
      </c>
      <c r="AI413" s="443"/>
      <c r="AJ413" s="443"/>
      <c r="AK413" s="443"/>
      <c r="AL413" s="443"/>
      <c r="AM413" s="443"/>
      <c r="AN413" s="443"/>
      <c r="AO413" s="443"/>
      <c r="AP413" s="443"/>
      <c r="AQ413" s="443"/>
      <c r="AR413" s="443"/>
      <c r="AS413" s="443"/>
      <c r="AT413" s="443"/>
      <c r="AU413" s="443"/>
      <c r="AV413" s="443"/>
      <c r="AW413" s="443"/>
      <c r="AX413" s="443"/>
      <c r="AY413" s="443"/>
      <c r="AZ413" s="443"/>
      <c r="BA413" s="443"/>
      <c r="BB413" s="443"/>
      <c r="BC413" s="443"/>
      <c r="BD413" s="443"/>
      <c r="BE413" s="443"/>
    </row>
    <row r="414" hidden="1">
      <c r="A414" s="445">
        <f t="shared" si="5"/>
        <v>45704</v>
      </c>
      <c r="B414" s="449">
        <v>0.0</v>
      </c>
      <c r="C414" s="443"/>
      <c r="D414" s="462"/>
      <c r="E414" s="436" t="str">
        <f t="array" ref="E414">IF(B414=0,"",(J414+K414)/60)</f>
        <v/>
      </c>
      <c r="F414" s="437" t="str">
        <f t="shared" si="1"/>
        <v/>
      </c>
      <c r="G414" s="438" t="str">
        <f t="shared" si="8"/>
        <v>#DIV/0!</v>
      </c>
      <c r="H414" s="438" t="str">
        <f t="shared" si="3"/>
        <v/>
      </c>
      <c r="I414" s="436" t="str">
        <f t="shared" si="6"/>
        <v/>
      </c>
      <c r="J414" s="464"/>
      <c r="K414" s="464"/>
      <c r="L414" s="443"/>
      <c r="M414" s="447">
        <f>IFERROR(__xludf.DUMMYFUNCTION("""COMPUTED_VALUE"""),57.0)</f>
        <v>57</v>
      </c>
      <c r="N414" s="447">
        <f>IFERROR(__xludf.DUMMYFUNCTION("""COMPUTED_VALUE"""),57.0)</f>
        <v>57</v>
      </c>
      <c r="O414" s="447">
        <f>IFERROR(__xludf.DUMMYFUNCTION("""COMPUTED_VALUE"""),0.0)</f>
        <v>0</v>
      </c>
      <c r="P414" s="447">
        <f>IFERROR(__xludf.DUMMYFUNCTION("""COMPUTED_VALUE"""),0.0)</f>
        <v>0</v>
      </c>
      <c r="Q414" s="447">
        <f>IFERROR(__xludf.DUMMYFUNCTION("""COMPUTED_VALUE"""),0.0)</f>
        <v>0</v>
      </c>
      <c r="R414" s="447">
        <f>IFERROR(__xludf.DUMMYFUNCTION("""COMPUTED_VALUE"""),0.0)</f>
        <v>0</v>
      </c>
      <c r="S414" s="447">
        <f>IFERROR(__xludf.DUMMYFUNCTION("""COMPUTED_VALUE"""),0.0)</f>
        <v>0</v>
      </c>
      <c r="T414" s="447">
        <f>IFERROR(__xludf.DUMMYFUNCTION("""COMPUTED_VALUE"""),0.0)</f>
        <v>0</v>
      </c>
      <c r="U414" s="447">
        <f>IFERROR(__xludf.DUMMYFUNCTION("""COMPUTED_VALUE"""),0.0)</f>
        <v>0</v>
      </c>
      <c r="V414" s="447">
        <f>IFERROR(__xludf.DUMMYFUNCTION("""COMPUTED_VALUE"""),0.0)</f>
        <v>0</v>
      </c>
      <c r="W414" s="447">
        <f>IFERROR(__xludf.DUMMYFUNCTION("""COMPUTED_VALUE"""),0.0)</f>
        <v>0</v>
      </c>
      <c r="X414" s="447">
        <f>IFERROR(__xludf.DUMMYFUNCTION("""COMPUTED_VALUE"""),0.0)</f>
        <v>0</v>
      </c>
      <c r="Y414" s="447">
        <f>IFERROR(__xludf.DUMMYFUNCTION("""COMPUTED_VALUE"""),0.0)</f>
        <v>0</v>
      </c>
      <c r="Z414" s="447">
        <f>IFERROR(__xludf.DUMMYFUNCTION("""COMPUTED_VALUE"""),0.0)</f>
        <v>0</v>
      </c>
      <c r="AA414" s="447">
        <f>IFERROR(__xludf.DUMMYFUNCTION("""COMPUTED_VALUE"""),0.0)</f>
        <v>0</v>
      </c>
      <c r="AB414" s="447">
        <f>IFERROR(__xludf.DUMMYFUNCTION("""COMPUTED_VALUE"""),0.0)</f>
        <v>0</v>
      </c>
      <c r="AC414" s="447">
        <f>IFERROR(__xludf.DUMMYFUNCTION("""COMPUTED_VALUE"""),0.0)</f>
        <v>0</v>
      </c>
      <c r="AD414" s="447">
        <f>IFERROR(__xludf.DUMMYFUNCTION("""COMPUTED_VALUE"""),0.0)</f>
        <v>0</v>
      </c>
      <c r="AE414" s="447">
        <f>IFERROR(__xludf.DUMMYFUNCTION("""COMPUTED_VALUE"""),0.0)</f>
        <v>0</v>
      </c>
      <c r="AF414" s="447">
        <f>IFERROR(__xludf.DUMMYFUNCTION("""COMPUTED_VALUE"""),0.0)</f>
        <v>0</v>
      </c>
      <c r="AG414" s="443" t="s">
        <v>91</v>
      </c>
      <c r="AH414" s="443" t="s">
        <v>961</v>
      </c>
      <c r="AI414" s="443"/>
      <c r="AJ414" s="443"/>
      <c r="AK414" s="443"/>
      <c r="AL414" s="443"/>
      <c r="AM414" s="443"/>
      <c r="AN414" s="443"/>
      <c r="AO414" s="443"/>
      <c r="AP414" s="443"/>
      <c r="AQ414" s="443"/>
      <c r="AR414" s="443"/>
      <c r="AS414" s="443"/>
      <c r="AT414" s="443"/>
      <c r="AU414" s="443"/>
      <c r="AV414" s="443"/>
      <c r="AW414" s="443"/>
      <c r="AX414" s="443"/>
      <c r="AY414" s="443"/>
      <c r="AZ414" s="443"/>
      <c r="BA414" s="443"/>
      <c r="BB414" s="443"/>
      <c r="BC414" s="443"/>
      <c r="BD414" s="443"/>
      <c r="BE414" s="443"/>
    </row>
    <row r="415" hidden="1">
      <c r="A415" s="445">
        <f t="shared" si="5"/>
        <v>45705</v>
      </c>
      <c r="B415" s="449">
        <v>430.0</v>
      </c>
      <c r="C415" s="462">
        <v>0.6</v>
      </c>
      <c r="D415" s="462">
        <v>0.9291666666666667</v>
      </c>
      <c r="E415" s="436">
        <f t="array" ref="E415">IF(B415=0,"",(J415+K415)/60)</f>
        <v>1.083333333</v>
      </c>
      <c r="F415" s="437">
        <f t="shared" si="1"/>
        <v>7.9</v>
      </c>
      <c r="G415" s="438">
        <f t="shared" si="8"/>
        <v>54.43037975</v>
      </c>
      <c r="H415" s="438">
        <f t="shared" si="3"/>
        <v>63.0806846</v>
      </c>
      <c r="I415" s="436">
        <f t="shared" si="6"/>
        <v>1.265822785</v>
      </c>
      <c r="J415" s="460">
        <v>30.0</v>
      </c>
      <c r="K415" s="464">
        <f>7+15+5+8</f>
        <v>35</v>
      </c>
      <c r="L415" s="443"/>
      <c r="M415" s="447">
        <f>IFERROR(__xludf.DUMMYFUNCTION("""COMPUTED_VALUE"""),57.0)</f>
        <v>57</v>
      </c>
      <c r="N415" s="447">
        <f>IFERROR(__xludf.DUMMYFUNCTION("""COMPUTED_VALUE"""),51.0)</f>
        <v>51</v>
      </c>
      <c r="O415" s="447">
        <f>IFERROR(__xludf.DUMMYFUNCTION("""COMPUTED_VALUE"""),0.0)</f>
        <v>0</v>
      </c>
      <c r="P415" s="447">
        <f>IFERROR(__xludf.DUMMYFUNCTION("""COMPUTED_VALUE"""),0.0)</f>
        <v>0</v>
      </c>
      <c r="Q415" s="447">
        <f>IFERROR(__xludf.DUMMYFUNCTION("""COMPUTED_VALUE"""),1.0)</f>
        <v>1</v>
      </c>
      <c r="R415" s="447">
        <f>IFERROR(__xludf.DUMMYFUNCTION("""COMPUTED_VALUE"""),0.0)</f>
        <v>0</v>
      </c>
      <c r="S415" s="447">
        <f>IFERROR(__xludf.DUMMYFUNCTION("""COMPUTED_VALUE"""),4.0)</f>
        <v>4</v>
      </c>
      <c r="T415" s="447">
        <f>IFERROR(__xludf.DUMMYFUNCTION("""COMPUTED_VALUE"""),0.0)</f>
        <v>0</v>
      </c>
      <c r="U415" s="447">
        <f>IFERROR(__xludf.DUMMYFUNCTION("""COMPUTED_VALUE"""),5.0)</f>
        <v>5</v>
      </c>
      <c r="V415" s="447">
        <f>IFERROR(__xludf.DUMMYFUNCTION("""COMPUTED_VALUE"""),2.0)</f>
        <v>2</v>
      </c>
      <c r="W415" s="447">
        <f>IFERROR(__xludf.DUMMYFUNCTION("""COMPUTED_VALUE"""),0.0)</f>
        <v>0</v>
      </c>
      <c r="X415" s="447">
        <f>IFERROR(__xludf.DUMMYFUNCTION("""COMPUTED_VALUE"""),0.0)</f>
        <v>0</v>
      </c>
      <c r="Y415" s="447">
        <f>IFERROR(__xludf.DUMMYFUNCTION("""COMPUTED_VALUE"""),0.0)</f>
        <v>0</v>
      </c>
      <c r="Z415" s="447">
        <f>IFERROR(__xludf.DUMMYFUNCTION("""COMPUTED_VALUE"""),0.0)</f>
        <v>0</v>
      </c>
      <c r="AA415" s="447">
        <f>IFERROR(__xludf.DUMMYFUNCTION("""COMPUTED_VALUE"""),0.0)</f>
        <v>0</v>
      </c>
      <c r="AB415" s="447">
        <f>IFERROR(__xludf.DUMMYFUNCTION("""COMPUTED_VALUE"""),0.0)</f>
        <v>0</v>
      </c>
      <c r="AC415" s="447">
        <f>IFERROR(__xludf.DUMMYFUNCTION("""COMPUTED_VALUE"""),1.0)</f>
        <v>1</v>
      </c>
      <c r="AD415" s="447">
        <f>IFERROR(__xludf.DUMMYFUNCTION("""COMPUTED_VALUE"""),43.0)</f>
        <v>43</v>
      </c>
      <c r="AE415" s="447">
        <f>IFERROR(__xludf.DUMMYFUNCTION("""COMPUTED_VALUE"""),14.0)</f>
        <v>14</v>
      </c>
      <c r="AF415" s="447">
        <f>IFERROR(__xludf.DUMMYFUNCTION("""COMPUTED_VALUE"""),6.0)</f>
        <v>6</v>
      </c>
      <c r="AG415" s="443" t="s">
        <v>91</v>
      </c>
      <c r="AH415" s="443" t="s">
        <v>961</v>
      </c>
      <c r="AI415" s="443"/>
      <c r="AJ415" s="443"/>
      <c r="AK415" s="443"/>
      <c r="AL415" s="443"/>
      <c r="AM415" s="443"/>
      <c r="AN415" s="443"/>
      <c r="AO415" s="443"/>
      <c r="AP415" s="443"/>
      <c r="AQ415" s="443"/>
      <c r="AR415" s="443"/>
      <c r="AS415" s="443"/>
      <c r="AT415" s="443"/>
      <c r="AU415" s="443"/>
      <c r="AV415" s="443"/>
      <c r="AW415" s="443"/>
      <c r="AX415" s="443"/>
      <c r="AY415" s="443"/>
      <c r="AZ415" s="443"/>
      <c r="BA415" s="443"/>
      <c r="BB415" s="443"/>
      <c r="BC415" s="443"/>
      <c r="BD415" s="443"/>
      <c r="BE415" s="443"/>
    </row>
    <row r="416" hidden="1">
      <c r="A416" s="445">
        <f t="shared" si="5"/>
        <v>45706</v>
      </c>
      <c r="B416" s="449">
        <v>610.0</v>
      </c>
      <c r="C416" s="462">
        <v>0.6</v>
      </c>
      <c r="D416" s="462">
        <v>1.1027777777777779</v>
      </c>
      <c r="E416" s="436">
        <f t="array" ref="E416">IF(B416=0,"",(J416+K416)/60)</f>
        <v>2.283333333</v>
      </c>
      <c r="F416" s="437">
        <f t="shared" si="1"/>
        <v>12.06666667</v>
      </c>
      <c r="G416" s="438">
        <f t="shared" si="8"/>
        <v>50.55248619</v>
      </c>
      <c r="H416" s="438">
        <f t="shared" si="3"/>
        <v>62.35093697</v>
      </c>
      <c r="I416" s="436">
        <f t="shared" si="6"/>
        <v>1.031683392</v>
      </c>
      <c r="J416" s="460">
        <v>60.0</v>
      </c>
      <c r="K416" s="460">
        <v>77.0</v>
      </c>
      <c r="L416" s="449" t="s">
        <v>965</v>
      </c>
      <c r="M416" s="447">
        <f>IFERROR(__xludf.DUMMYFUNCTION("""COMPUTED_VALUE"""),57.0)</f>
        <v>57</v>
      </c>
      <c r="N416" s="447">
        <f>IFERROR(__xludf.DUMMYFUNCTION("""COMPUTED_VALUE"""),54.0)</f>
        <v>54</v>
      </c>
      <c r="O416" s="447">
        <f>IFERROR(__xludf.DUMMYFUNCTION("""COMPUTED_VALUE"""),0.0)</f>
        <v>0</v>
      </c>
      <c r="P416" s="447">
        <f>IFERROR(__xludf.DUMMYFUNCTION("""COMPUTED_VALUE"""),0.0)</f>
        <v>0</v>
      </c>
      <c r="Q416" s="447">
        <f>IFERROR(__xludf.DUMMYFUNCTION("""COMPUTED_VALUE"""),0.0)</f>
        <v>0</v>
      </c>
      <c r="R416" s="447">
        <f>IFERROR(__xludf.DUMMYFUNCTION("""COMPUTED_VALUE"""),0.0)</f>
        <v>0</v>
      </c>
      <c r="S416" s="447">
        <f>IFERROR(__xludf.DUMMYFUNCTION("""COMPUTED_VALUE"""),3.0)</f>
        <v>3</v>
      </c>
      <c r="T416" s="447">
        <f>IFERROR(__xludf.DUMMYFUNCTION("""COMPUTED_VALUE"""),0.0)</f>
        <v>0</v>
      </c>
      <c r="U416" s="447">
        <f>IFERROR(__xludf.DUMMYFUNCTION("""COMPUTED_VALUE"""),2.0)</f>
        <v>2</v>
      </c>
      <c r="V416" s="447">
        <f>IFERROR(__xludf.DUMMYFUNCTION("""COMPUTED_VALUE"""),2.0)</f>
        <v>2</v>
      </c>
      <c r="W416" s="447">
        <f>IFERROR(__xludf.DUMMYFUNCTION("""COMPUTED_VALUE"""),0.0)</f>
        <v>0</v>
      </c>
      <c r="X416" s="447">
        <f>IFERROR(__xludf.DUMMYFUNCTION("""COMPUTED_VALUE"""),0.0)</f>
        <v>0</v>
      </c>
      <c r="Y416" s="447">
        <f>IFERROR(__xludf.DUMMYFUNCTION("""COMPUTED_VALUE"""),0.0)</f>
        <v>0</v>
      </c>
      <c r="Z416" s="447">
        <f>IFERROR(__xludf.DUMMYFUNCTION("""COMPUTED_VALUE"""),0.0)</f>
        <v>0</v>
      </c>
      <c r="AA416" s="447">
        <f>IFERROR(__xludf.DUMMYFUNCTION("""COMPUTED_VALUE"""),0.0)</f>
        <v>0</v>
      </c>
      <c r="AB416" s="447">
        <f>IFERROR(__xludf.DUMMYFUNCTION("""COMPUTED_VALUE"""),0.0)</f>
        <v>0</v>
      </c>
      <c r="AC416" s="447">
        <f>IFERROR(__xludf.DUMMYFUNCTION("""COMPUTED_VALUE"""),0.0)</f>
        <v>0</v>
      </c>
      <c r="AD416" s="447">
        <f>IFERROR(__xludf.DUMMYFUNCTION("""COMPUTED_VALUE"""),49.0)</f>
        <v>49</v>
      </c>
      <c r="AE416" s="447">
        <f>IFERROR(__xludf.DUMMYFUNCTION("""COMPUTED_VALUE"""),8.0)</f>
        <v>8</v>
      </c>
      <c r="AF416" s="447">
        <f>IFERROR(__xludf.DUMMYFUNCTION("""COMPUTED_VALUE"""),3.0)</f>
        <v>3</v>
      </c>
      <c r="AG416" s="443" t="s">
        <v>91</v>
      </c>
      <c r="AH416" s="443" t="s">
        <v>961</v>
      </c>
      <c r="AI416" s="443"/>
      <c r="AJ416" s="443"/>
      <c r="AK416" s="443"/>
      <c r="AL416" s="443"/>
      <c r="AM416" s="443"/>
      <c r="AN416" s="443"/>
      <c r="AO416" s="443"/>
      <c r="AP416" s="443"/>
      <c r="AQ416" s="443"/>
      <c r="AR416" s="443"/>
      <c r="AS416" s="443"/>
      <c r="AT416" s="443"/>
      <c r="AU416" s="443"/>
      <c r="AV416" s="443"/>
      <c r="AW416" s="443"/>
      <c r="AX416" s="443"/>
      <c r="AY416" s="443"/>
      <c r="AZ416" s="443"/>
      <c r="BA416" s="443"/>
      <c r="BB416" s="443"/>
      <c r="BC416" s="443"/>
      <c r="BD416" s="443"/>
      <c r="BE416" s="443"/>
    </row>
    <row r="417" hidden="1">
      <c r="A417" s="445">
        <f t="shared" si="5"/>
        <v>45707</v>
      </c>
      <c r="B417" s="449">
        <v>448.0</v>
      </c>
      <c r="C417" s="462">
        <v>0.6</v>
      </c>
      <c r="D417" s="462">
        <v>0.95</v>
      </c>
      <c r="E417" s="436">
        <f t="array" ref="E417">IF(B417=0,"",(J417+K417)/60)</f>
        <v>0.5</v>
      </c>
      <c r="F417" s="437">
        <f t="shared" si="1"/>
        <v>8.4</v>
      </c>
      <c r="G417" s="438">
        <f t="shared" si="8"/>
        <v>53.33333333</v>
      </c>
      <c r="H417" s="438">
        <f t="shared" si="3"/>
        <v>56.70886076</v>
      </c>
      <c r="I417" s="436">
        <f t="shared" si="6"/>
        <v>1.111111111</v>
      </c>
      <c r="J417" s="460">
        <v>30.0</v>
      </c>
      <c r="K417" s="464"/>
      <c r="L417" s="443"/>
      <c r="M417" s="447">
        <f>IFERROR(__xludf.DUMMYFUNCTION("""COMPUTED_VALUE"""),57.0)</f>
        <v>57</v>
      </c>
      <c r="N417" s="447">
        <f>IFERROR(__xludf.DUMMYFUNCTION("""COMPUTED_VALUE"""),54.0)</f>
        <v>54</v>
      </c>
      <c r="O417" s="447">
        <f>IFERROR(__xludf.DUMMYFUNCTION("""COMPUTED_VALUE"""),0.0)</f>
        <v>0</v>
      </c>
      <c r="P417" s="447">
        <f>IFERROR(__xludf.DUMMYFUNCTION("""COMPUTED_VALUE"""),0.0)</f>
        <v>0</v>
      </c>
      <c r="Q417" s="447">
        <f>IFERROR(__xludf.DUMMYFUNCTION("""COMPUTED_VALUE"""),0.0)</f>
        <v>0</v>
      </c>
      <c r="R417" s="447">
        <f>IFERROR(__xludf.DUMMYFUNCTION("""COMPUTED_VALUE"""),0.0)</f>
        <v>0</v>
      </c>
      <c r="S417" s="447">
        <f>IFERROR(__xludf.DUMMYFUNCTION("""COMPUTED_VALUE"""),4.0)</f>
        <v>4</v>
      </c>
      <c r="T417" s="447">
        <f>IFERROR(__xludf.DUMMYFUNCTION("""COMPUTED_VALUE"""),0.0)</f>
        <v>0</v>
      </c>
      <c r="U417" s="447">
        <f>IFERROR(__xludf.DUMMYFUNCTION("""COMPUTED_VALUE"""),2.0)</f>
        <v>2</v>
      </c>
      <c r="V417" s="447">
        <f>IFERROR(__xludf.DUMMYFUNCTION("""COMPUTED_VALUE"""),2.0)</f>
        <v>2</v>
      </c>
      <c r="W417" s="447">
        <f>IFERROR(__xludf.DUMMYFUNCTION("""COMPUTED_VALUE"""),0.0)</f>
        <v>0</v>
      </c>
      <c r="X417" s="447">
        <f>IFERROR(__xludf.DUMMYFUNCTION("""COMPUTED_VALUE"""),0.0)</f>
        <v>0</v>
      </c>
      <c r="Y417" s="447">
        <f>IFERROR(__xludf.DUMMYFUNCTION("""COMPUTED_VALUE"""),0.0)</f>
        <v>0</v>
      </c>
      <c r="Z417" s="447">
        <f>IFERROR(__xludf.DUMMYFUNCTION("""COMPUTED_VALUE"""),0.0)</f>
        <v>0</v>
      </c>
      <c r="AA417" s="447">
        <f>IFERROR(__xludf.DUMMYFUNCTION("""COMPUTED_VALUE"""),0.0)</f>
        <v>0</v>
      </c>
      <c r="AB417" s="447">
        <f>IFERROR(__xludf.DUMMYFUNCTION("""COMPUTED_VALUE"""),0.0)</f>
        <v>0</v>
      </c>
      <c r="AC417" s="447">
        <f>IFERROR(__xludf.DUMMYFUNCTION("""COMPUTED_VALUE"""),0.0)</f>
        <v>0</v>
      </c>
      <c r="AD417" s="447">
        <f>IFERROR(__xludf.DUMMYFUNCTION("""COMPUTED_VALUE"""),48.0)</f>
        <v>48</v>
      </c>
      <c r="AE417" s="447">
        <f>IFERROR(__xludf.DUMMYFUNCTION("""COMPUTED_VALUE"""),9.0)</f>
        <v>9</v>
      </c>
      <c r="AF417" s="447">
        <f>IFERROR(__xludf.DUMMYFUNCTION("""COMPUTED_VALUE"""),3.0)</f>
        <v>3</v>
      </c>
      <c r="AG417" s="443" t="s">
        <v>91</v>
      </c>
      <c r="AH417" s="443" t="s">
        <v>961</v>
      </c>
      <c r="AI417" s="443"/>
      <c r="AJ417" s="443"/>
      <c r="AK417" s="443"/>
      <c r="AL417" s="443"/>
      <c r="AM417" s="443"/>
      <c r="AN417" s="443"/>
      <c r="AO417" s="443"/>
      <c r="AP417" s="443"/>
      <c r="AQ417" s="443"/>
      <c r="AR417" s="443"/>
      <c r="AS417" s="443"/>
      <c r="AT417" s="443"/>
      <c r="AU417" s="443"/>
      <c r="AV417" s="443"/>
      <c r="AW417" s="443"/>
      <c r="AX417" s="443"/>
      <c r="AY417" s="443"/>
      <c r="AZ417" s="443"/>
      <c r="BA417" s="443"/>
      <c r="BB417" s="443"/>
      <c r="BC417" s="443"/>
      <c r="BD417" s="443"/>
      <c r="BE417" s="443"/>
    </row>
    <row r="418" hidden="1">
      <c r="A418" s="445">
        <f t="shared" si="5"/>
        <v>45708</v>
      </c>
      <c r="B418" s="449">
        <v>460.0</v>
      </c>
      <c r="C418" s="462">
        <v>0.6</v>
      </c>
      <c r="D418" s="462">
        <v>0.9444444444444444</v>
      </c>
      <c r="E418" s="436">
        <f t="array" ref="E418">IF(B418=0,"",(J418+K418)/60)</f>
        <v>1.2</v>
      </c>
      <c r="F418" s="437">
        <f t="shared" si="1"/>
        <v>8.266666667</v>
      </c>
      <c r="G418" s="438">
        <f t="shared" si="8"/>
        <v>55.64516129</v>
      </c>
      <c r="H418" s="438">
        <f t="shared" si="3"/>
        <v>65.09433962</v>
      </c>
      <c r="I418" s="436">
        <f t="shared" si="6"/>
        <v>1.135615537</v>
      </c>
      <c r="J418" s="460">
        <v>0.0</v>
      </c>
      <c r="K418" s="460">
        <v>72.0</v>
      </c>
      <c r="L418" s="443"/>
      <c r="M418" s="447">
        <f>IFERROR(__xludf.DUMMYFUNCTION("""COMPUTED_VALUE"""),57.0)</f>
        <v>57</v>
      </c>
      <c r="N418" s="447">
        <f>IFERROR(__xludf.DUMMYFUNCTION("""COMPUTED_VALUE"""),54.0)</f>
        <v>54</v>
      </c>
      <c r="O418" s="447">
        <f>IFERROR(__xludf.DUMMYFUNCTION("""COMPUTED_VALUE"""),0.0)</f>
        <v>0</v>
      </c>
      <c r="P418" s="447">
        <f>IFERROR(__xludf.DUMMYFUNCTION("""COMPUTED_VALUE"""),0.0)</f>
        <v>0</v>
      </c>
      <c r="Q418" s="447">
        <f>IFERROR(__xludf.DUMMYFUNCTION("""COMPUTED_VALUE"""),0.0)</f>
        <v>0</v>
      </c>
      <c r="R418" s="447">
        <f>IFERROR(__xludf.DUMMYFUNCTION("""COMPUTED_VALUE"""),0.0)</f>
        <v>0</v>
      </c>
      <c r="S418" s="447">
        <f>IFERROR(__xludf.DUMMYFUNCTION("""COMPUTED_VALUE"""),3.0)</f>
        <v>3</v>
      </c>
      <c r="T418" s="447">
        <f>IFERROR(__xludf.DUMMYFUNCTION("""COMPUTED_VALUE"""),0.0)</f>
        <v>0</v>
      </c>
      <c r="U418" s="447">
        <f>IFERROR(__xludf.DUMMYFUNCTION("""COMPUTED_VALUE"""),2.0)</f>
        <v>2</v>
      </c>
      <c r="V418" s="447">
        <f>IFERROR(__xludf.DUMMYFUNCTION("""COMPUTED_VALUE"""),2.0)</f>
        <v>2</v>
      </c>
      <c r="W418" s="447">
        <f>IFERROR(__xludf.DUMMYFUNCTION("""COMPUTED_VALUE"""),0.0)</f>
        <v>0</v>
      </c>
      <c r="X418" s="447">
        <f>IFERROR(__xludf.DUMMYFUNCTION("""COMPUTED_VALUE"""),0.0)</f>
        <v>0</v>
      </c>
      <c r="Y418" s="447">
        <f>IFERROR(__xludf.DUMMYFUNCTION("""COMPUTED_VALUE"""),0.0)</f>
        <v>0</v>
      </c>
      <c r="Z418" s="447">
        <f>IFERROR(__xludf.DUMMYFUNCTION("""COMPUTED_VALUE"""),0.0)</f>
        <v>0</v>
      </c>
      <c r="AA418" s="447">
        <f>IFERROR(__xludf.DUMMYFUNCTION("""COMPUTED_VALUE"""),0.0)</f>
        <v>0</v>
      </c>
      <c r="AB418" s="447">
        <f>IFERROR(__xludf.DUMMYFUNCTION("""COMPUTED_VALUE"""),0.0)</f>
        <v>0</v>
      </c>
      <c r="AC418" s="447">
        <f>IFERROR(__xludf.DUMMYFUNCTION("""COMPUTED_VALUE"""),0.0)</f>
        <v>0</v>
      </c>
      <c r="AD418" s="447">
        <f>IFERROR(__xludf.DUMMYFUNCTION("""COMPUTED_VALUE"""),49.0)</f>
        <v>49</v>
      </c>
      <c r="AE418" s="447">
        <f>IFERROR(__xludf.DUMMYFUNCTION("""COMPUTED_VALUE"""),8.0)</f>
        <v>8</v>
      </c>
      <c r="AF418" s="447">
        <f>IFERROR(__xludf.DUMMYFUNCTION("""COMPUTED_VALUE"""),3.0)</f>
        <v>3</v>
      </c>
      <c r="AG418" s="443" t="s">
        <v>91</v>
      </c>
      <c r="AH418" s="443" t="s">
        <v>961</v>
      </c>
      <c r="AI418" s="443"/>
      <c r="AJ418" s="443"/>
      <c r="AK418" s="443"/>
      <c r="AL418" s="443"/>
      <c r="AM418" s="443"/>
      <c r="AN418" s="443"/>
      <c r="AO418" s="443"/>
      <c r="AP418" s="443"/>
      <c r="AQ418" s="443"/>
      <c r="AR418" s="443"/>
      <c r="AS418" s="443"/>
      <c r="AT418" s="443"/>
      <c r="AU418" s="443"/>
      <c r="AV418" s="443"/>
      <c r="AW418" s="443"/>
      <c r="AX418" s="443"/>
      <c r="AY418" s="443"/>
      <c r="AZ418" s="443"/>
      <c r="BA418" s="443"/>
      <c r="BB418" s="443"/>
      <c r="BC418" s="443"/>
      <c r="BD418" s="443"/>
      <c r="BE418" s="443"/>
    </row>
    <row r="419" hidden="1">
      <c r="A419" s="445">
        <f t="shared" si="5"/>
        <v>45709</v>
      </c>
      <c r="B419" s="449">
        <v>416.0</v>
      </c>
      <c r="C419" s="462">
        <v>0.6</v>
      </c>
      <c r="D419" s="462">
        <v>0.9145833333333333</v>
      </c>
      <c r="E419" s="436">
        <f t="array" ref="E419">IF(B419=0,"",(J419+K419)/60)</f>
        <v>0.5</v>
      </c>
      <c r="F419" s="437">
        <f t="shared" si="1"/>
        <v>7.55</v>
      </c>
      <c r="G419" s="438">
        <f t="shared" si="8"/>
        <v>55.09933775</v>
      </c>
      <c r="H419" s="438">
        <f t="shared" si="3"/>
        <v>59.0070922</v>
      </c>
      <c r="I419" s="436">
        <f t="shared" si="6"/>
        <v>1.172326335</v>
      </c>
      <c r="J419" s="460">
        <v>30.0</v>
      </c>
      <c r="K419" s="464"/>
      <c r="L419" s="443"/>
      <c r="M419" s="447">
        <f>IFERROR(__xludf.DUMMYFUNCTION("""COMPUTED_VALUE"""),57.0)</f>
        <v>57</v>
      </c>
      <c r="N419" s="447">
        <f>IFERROR(__xludf.DUMMYFUNCTION("""COMPUTED_VALUE"""),54.0)</f>
        <v>54</v>
      </c>
      <c r="O419" s="447">
        <f>IFERROR(__xludf.DUMMYFUNCTION("""COMPUTED_VALUE"""),0.0)</f>
        <v>0</v>
      </c>
      <c r="P419" s="447">
        <f>IFERROR(__xludf.DUMMYFUNCTION("""COMPUTED_VALUE"""),0.0)</f>
        <v>0</v>
      </c>
      <c r="Q419" s="447">
        <f>IFERROR(__xludf.DUMMYFUNCTION("""COMPUTED_VALUE"""),1.0)</f>
        <v>1</v>
      </c>
      <c r="R419" s="447">
        <f>IFERROR(__xludf.DUMMYFUNCTION("""COMPUTED_VALUE"""),0.0)</f>
        <v>0</v>
      </c>
      <c r="S419" s="447">
        <f>IFERROR(__xludf.DUMMYFUNCTION("""COMPUTED_VALUE"""),4.0)</f>
        <v>4</v>
      </c>
      <c r="T419" s="447">
        <f>IFERROR(__xludf.DUMMYFUNCTION("""COMPUTED_VALUE"""),0.0)</f>
        <v>0</v>
      </c>
      <c r="U419" s="447">
        <f>IFERROR(__xludf.DUMMYFUNCTION("""COMPUTED_VALUE"""),2.0)</f>
        <v>2</v>
      </c>
      <c r="V419" s="447">
        <f>IFERROR(__xludf.DUMMYFUNCTION("""COMPUTED_VALUE"""),2.0)</f>
        <v>2</v>
      </c>
      <c r="W419" s="447">
        <f>IFERROR(__xludf.DUMMYFUNCTION("""COMPUTED_VALUE"""),0.0)</f>
        <v>0</v>
      </c>
      <c r="X419" s="447">
        <f>IFERROR(__xludf.DUMMYFUNCTION("""COMPUTED_VALUE"""),0.0)</f>
        <v>0</v>
      </c>
      <c r="Y419" s="447">
        <f>IFERROR(__xludf.DUMMYFUNCTION("""COMPUTED_VALUE"""),0.0)</f>
        <v>0</v>
      </c>
      <c r="Z419" s="447">
        <f>IFERROR(__xludf.DUMMYFUNCTION("""COMPUTED_VALUE"""),0.0)</f>
        <v>0</v>
      </c>
      <c r="AA419" s="447">
        <f>IFERROR(__xludf.DUMMYFUNCTION("""COMPUTED_VALUE"""),0.0)</f>
        <v>0</v>
      </c>
      <c r="AB419" s="447">
        <f>IFERROR(__xludf.DUMMYFUNCTION("""COMPUTED_VALUE"""),0.0)</f>
        <v>0</v>
      </c>
      <c r="AC419" s="447">
        <f>IFERROR(__xludf.DUMMYFUNCTION("""COMPUTED_VALUE"""),0.0)</f>
        <v>0</v>
      </c>
      <c r="AD419" s="447">
        <f>IFERROR(__xludf.DUMMYFUNCTION("""COMPUTED_VALUE"""),47.0)</f>
        <v>47</v>
      </c>
      <c r="AE419" s="447">
        <f>IFERROR(__xludf.DUMMYFUNCTION("""COMPUTED_VALUE"""),10.0)</f>
        <v>10</v>
      </c>
      <c r="AF419" s="447">
        <f>IFERROR(__xludf.DUMMYFUNCTION("""COMPUTED_VALUE"""),3.0)</f>
        <v>3</v>
      </c>
      <c r="AG419" s="443" t="s">
        <v>91</v>
      </c>
      <c r="AH419" s="443" t="s">
        <v>961</v>
      </c>
      <c r="AI419" s="443"/>
      <c r="AJ419" s="443"/>
      <c r="AK419" s="443"/>
      <c r="AL419" s="443"/>
      <c r="AM419" s="443"/>
      <c r="AN419" s="443"/>
      <c r="AO419" s="443"/>
      <c r="AP419" s="443"/>
      <c r="AQ419" s="443"/>
      <c r="AR419" s="443"/>
      <c r="AS419" s="443"/>
      <c r="AT419" s="443"/>
      <c r="AU419" s="443"/>
      <c r="AV419" s="443"/>
      <c r="AW419" s="443"/>
      <c r="AX419" s="443"/>
      <c r="AY419" s="443"/>
      <c r="AZ419" s="443"/>
      <c r="BA419" s="443"/>
      <c r="BB419" s="443"/>
      <c r="BC419" s="443"/>
      <c r="BD419" s="443"/>
      <c r="BE419" s="443"/>
    </row>
    <row r="420" hidden="1">
      <c r="A420" s="445">
        <f t="shared" si="5"/>
        <v>45710</v>
      </c>
      <c r="B420" s="449">
        <v>425.0</v>
      </c>
      <c r="C420" s="462">
        <v>0.6</v>
      </c>
      <c r="D420" s="462">
        <v>0.9354166666666667</v>
      </c>
      <c r="E420" s="436">
        <f t="array" ref="E420">IF(B420=0,"",(J420+K420)/60)</f>
        <v>0.5</v>
      </c>
      <c r="F420" s="437">
        <f t="shared" si="1"/>
        <v>8.05</v>
      </c>
      <c r="G420" s="438">
        <f t="shared" si="8"/>
        <v>52.79503106</v>
      </c>
      <c r="H420" s="438">
        <f t="shared" si="3"/>
        <v>56.29139073</v>
      </c>
      <c r="I420" s="436">
        <f t="shared" si="6"/>
        <v>1.09989648</v>
      </c>
      <c r="J420" s="460">
        <v>30.0</v>
      </c>
      <c r="K420" s="464"/>
      <c r="L420" s="443"/>
      <c r="M420" s="447">
        <f>IFERROR(__xludf.DUMMYFUNCTION("""COMPUTED_VALUE"""),57.0)</f>
        <v>57</v>
      </c>
      <c r="N420" s="447">
        <f>IFERROR(__xludf.DUMMYFUNCTION("""COMPUTED_VALUE"""),54.0)</f>
        <v>54</v>
      </c>
      <c r="O420" s="447">
        <f>IFERROR(__xludf.DUMMYFUNCTION("""COMPUTED_VALUE"""),0.0)</f>
        <v>0</v>
      </c>
      <c r="P420" s="447">
        <f>IFERROR(__xludf.DUMMYFUNCTION("""COMPUTED_VALUE"""),0.0)</f>
        <v>0</v>
      </c>
      <c r="Q420" s="447">
        <f>IFERROR(__xludf.DUMMYFUNCTION("""COMPUTED_VALUE"""),0.0)</f>
        <v>0</v>
      </c>
      <c r="R420" s="447">
        <f>IFERROR(__xludf.DUMMYFUNCTION("""COMPUTED_VALUE"""),0.0)</f>
        <v>0</v>
      </c>
      <c r="S420" s="447">
        <f>IFERROR(__xludf.DUMMYFUNCTION("""COMPUTED_VALUE"""),3.0)</f>
        <v>3</v>
      </c>
      <c r="T420" s="447">
        <f>IFERROR(__xludf.DUMMYFUNCTION("""COMPUTED_VALUE"""),0.0)</f>
        <v>0</v>
      </c>
      <c r="U420" s="447">
        <f>IFERROR(__xludf.DUMMYFUNCTION("""COMPUTED_VALUE"""),2.0)</f>
        <v>2</v>
      </c>
      <c r="V420" s="447">
        <f>IFERROR(__xludf.DUMMYFUNCTION("""COMPUTED_VALUE"""),2.0)</f>
        <v>2</v>
      </c>
      <c r="W420" s="447">
        <f>IFERROR(__xludf.DUMMYFUNCTION("""COMPUTED_VALUE"""),0.0)</f>
        <v>0</v>
      </c>
      <c r="X420" s="447">
        <f>IFERROR(__xludf.DUMMYFUNCTION("""COMPUTED_VALUE"""),0.0)</f>
        <v>0</v>
      </c>
      <c r="Y420" s="447">
        <f>IFERROR(__xludf.DUMMYFUNCTION("""COMPUTED_VALUE"""),0.0)</f>
        <v>0</v>
      </c>
      <c r="Z420" s="447">
        <f>IFERROR(__xludf.DUMMYFUNCTION("""COMPUTED_VALUE"""),0.0)</f>
        <v>0</v>
      </c>
      <c r="AA420" s="447">
        <f>IFERROR(__xludf.DUMMYFUNCTION("""COMPUTED_VALUE"""),0.0)</f>
        <v>0</v>
      </c>
      <c r="AB420" s="447">
        <f>IFERROR(__xludf.DUMMYFUNCTION("""COMPUTED_VALUE"""),0.0)</f>
        <v>0</v>
      </c>
      <c r="AC420" s="447">
        <f>IFERROR(__xludf.DUMMYFUNCTION("""COMPUTED_VALUE"""),1.0)</f>
        <v>1</v>
      </c>
      <c r="AD420" s="447">
        <f>IFERROR(__xludf.DUMMYFUNCTION("""COMPUTED_VALUE"""),48.0)</f>
        <v>48</v>
      </c>
      <c r="AE420" s="447">
        <f>IFERROR(__xludf.DUMMYFUNCTION("""COMPUTED_VALUE"""),9.0)</f>
        <v>9</v>
      </c>
      <c r="AF420" s="447">
        <f>IFERROR(__xludf.DUMMYFUNCTION("""COMPUTED_VALUE"""),3.0)</f>
        <v>3</v>
      </c>
      <c r="AG420" s="443" t="s">
        <v>91</v>
      </c>
      <c r="AH420" s="443" t="s">
        <v>961</v>
      </c>
      <c r="AI420" s="443"/>
      <c r="AJ420" s="443"/>
      <c r="AK420" s="443"/>
      <c r="AL420" s="443"/>
      <c r="AM420" s="443"/>
      <c r="AN420" s="443"/>
      <c r="AO420" s="443"/>
      <c r="AP420" s="443"/>
      <c r="AQ420" s="443"/>
      <c r="AR420" s="443"/>
      <c r="AS420" s="443"/>
      <c r="AT420" s="443"/>
      <c r="AU420" s="443"/>
      <c r="AV420" s="443"/>
      <c r="AW420" s="443"/>
      <c r="AX420" s="443"/>
      <c r="AY420" s="443"/>
      <c r="AZ420" s="443"/>
      <c r="BA420" s="443"/>
      <c r="BB420" s="443"/>
      <c r="BC420" s="443"/>
      <c r="BD420" s="443"/>
      <c r="BE420" s="443"/>
    </row>
    <row r="421" hidden="1">
      <c r="A421" s="445">
        <f t="shared" si="5"/>
        <v>45711</v>
      </c>
      <c r="B421" s="449">
        <v>0.0</v>
      </c>
      <c r="C421" s="443"/>
      <c r="D421" s="462"/>
      <c r="E421" s="436" t="str">
        <f t="array" ref="E421">IF(B421=0,"",(J421+K421)/60)</f>
        <v/>
      </c>
      <c r="F421" s="437" t="str">
        <f t="shared" si="1"/>
        <v/>
      </c>
      <c r="G421" s="438" t="str">
        <f t="shared" si="8"/>
        <v>#DIV/0!</v>
      </c>
      <c r="H421" s="438" t="str">
        <f t="shared" si="3"/>
        <v/>
      </c>
      <c r="I421" s="436" t="str">
        <f t="shared" si="6"/>
        <v/>
      </c>
      <c r="J421" s="464"/>
      <c r="K421" s="464"/>
      <c r="L421" s="443"/>
      <c r="M421" s="447">
        <f>IFERROR(__xludf.DUMMYFUNCTION("""COMPUTED_VALUE"""),57.0)</f>
        <v>57</v>
      </c>
      <c r="N421" s="447">
        <f>IFERROR(__xludf.DUMMYFUNCTION("""COMPUTED_VALUE"""),57.0)</f>
        <v>57</v>
      </c>
      <c r="O421" s="447">
        <f>IFERROR(__xludf.DUMMYFUNCTION("""COMPUTED_VALUE"""),0.0)</f>
        <v>0</v>
      </c>
      <c r="P421" s="447">
        <f>IFERROR(__xludf.DUMMYFUNCTION("""COMPUTED_VALUE"""),0.0)</f>
        <v>0</v>
      </c>
      <c r="Q421" s="447">
        <f>IFERROR(__xludf.DUMMYFUNCTION("""COMPUTED_VALUE"""),0.0)</f>
        <v>0</v>
      </c>
      <c r="R421" s="447">
        <f>IFERROR(__xludf.DUMMYFUNCTION("""COMPUTED_VALUE"""),0.0)</f>
        <v>0</v>
      </c>
      <c r="S421" s="447">
        <f>IFERROR(__xludf.DUMMYFUNCTION("""COMPUTED_VALUE"""),1.0)</f>
        <v>1</v>
      </c>
      <c r="T421" s="447">
        <f>IFERROR(__xludf.DUMMYFUNCTION("""COMPUTED_VALUE"""),0.0)</f>
        <v>0</v>
      </c>
      <c r="U421" s="447">
        <f>IFERROR(__xludf.DUMMYFUNCTION("""COMPUTED_VALUE"""),0.0)</f>
        <v>0</v>
      </c>
      <c r="V421" s="447">
        <f>IFERROR(__xludf.DUMMYFUNCTION("""COMPUTED_VALUE"""),2.0)</f>
        <v>2</v>
      </c>
      <c r="W421" s="447">
        <f>IFERROR(__xludf.DUMMYFUNCTION("""COMPUTED_VALUE"""),0.0)</f>
        <v>0</v>
      </c>
      <c r="X421" s="447">
        <f>IFERROR(__xludf.DUMMYFUNCTION("""COMPUTED_VALUE"""),0.0)</f>
        <v>0</v>
      </c>
      <c r="Y421" s="447">
        <f>IFERROR(__xludf.DUMMYFUNCTION("""COMPUTED_VALUE"""),0.0)</f>
        <v>0</v>
      </c>
      <c r="Z421" s="447">
        <f>IFERROR(__xludf.DUMMYFUNCTION("""COMPUTED_VALUE"""),0.0)</f>
        <v>0</v>
      </c>
      <c r="AA421" s="447">
        <f>IFERROR(__xludf.DUMMYFUNCTION("""COMPUTED_VALUE"""),0.0)</f>
        <v>0</v>
      </c>
      <c r="AB421" s="447">
        <f>IFERROR(__xludf.DUMMYFUNCTION("""COMPUTED_VALUE"""),0.0)</f>
        <v>0</v>
      </c>
      <c r="AC421" s="447">
        <f>IFERROR(__xludf.DUMMYFUNCTION("""COMPUTED_VALUE"""),0.0)</f>
        <v>0</v>
      </c>
      <c r="AD421" s="447">
        <f>IFERROR(__xludf.DUMMYFUNCTION("""COMPUTED_VALUE"""),0.0)</f>
        <v>0</v>
      </c>
      <c r="AE421" s="447">
        <f>IFERROR(__xludf.DUMMYFUNCTION("""COMPUTED_VALUE"""),3.0)</f>
        <v>3</v>
      </c>
      <c r="AF421" s="447">
        <f>IFERROR(__xludf.DUMMYFUNCTION("""COMPUTED_VALUE"""),0.0)</f>
        <v>0</v>
      </c>
      <c r="AG421" s="443" t="s">
        <v>91</v>
      </c>
      <c r="AH421" s="443" t="s">
        <v>961</v>
      </c>
      <c r="AI421" s="443"/>
      <c r="AJ421" s="443"/>
      <c r="AK421" s="443"/>
      <c r="AL421" s="443"/>
      <c r="AM421" s="443"/>
      <c r="AN421" s="443"/>
      <c r="AO421" s="443"/>
      <c r="AP421" s="443"/>
      <c r="AQ421" s="443"/>
      <c r="AR421" s="443"/>
      <c r="AS421" s="443"/>
      <c r="AT421" s="443"/>
      <c r="AU421" s="443"/>
      <c r="AV421" s="443"/>
      <c r="AW421" s="443"/>
      <c r="AX421" s="443"/>
      <c r="AY421" s="443"/>
      <c r="AZ421" s="443"/>
      <c r="BA421" s="443"/>
      <c r="BB421" s="443"/>
      <c r="BC421" s="443"/>
      <c r="BD421" s="443"/>
      <c r="BE421" s="443"/>
    </row>
    <row r="422" hidden="1">
      <c r="A422" s="445">
        <f t="shared" si="5"/>
        <v>45712</v>
      </c>
      <c r="B422" s="449">
        <v>442.0</v>
      </c>
      <c r="C422" s="462">
        <v>0.6</v>
      </c>
      <c r="D422" s="462">
        <v>0.9756944444444444</v>
      </c>
      <c r="E422" s="436">
        <f t="array" ref="E422">IF(B422=0,"",(J422+K422)/60)</f>
        <v>0.5</v>
      </c>
      <c r="F422" s="437">
        <f t="shared" si="1"/>
        <v>9.016666667</v>
      </c>
      <c r="G422" s="438">
        <f t="shared" si="8"/>
        <v>49.02033272</v>
      </c>
      <c r="H422" s="438">
        <f t="shared" si="3"/>
        <v>51.89823875</v>
      </c>
      <c r="I422" s="436">
        <f t="shared" si="6"/>
        <v>1.000414953</v>
      </c>
      <c r="J422" s="460">
        <v>30.0</v>
      </c>
      <c r="K422" s="464"/>
      <c r="L422" s="443"/>
      <c r="M422" s="447">
        <f>IFERROR(__xludf.DUMMYFUNCTION("""COMPUTED_VALUE"""),57.0)</f>
        <v>57</v>
      </c>
      <c r="N422" s="447">
        <f>IFERROR(__xludf.DUMMYFUNCTION("""COMPUTED_VALUE"""),57.0)</f>
        <v>57</v>
      </c>
      <c r="O422" s="447">
        <f>IFERROR(__xludf.DUMMYFUNCTION("""COMPUTED_VALUE"""),0.0)</f>
        <v>0</v>
      </c>
      <c r="P422" s="447">
        <f>IFERROR(__xludf.DUMMYFUNCTION("""COMPUTED_VALUE"""),0.0)</f>
        <v>0</v>
      </c>
      <c r="Q422" s="447">
        <f>IFERROR(__xludf.DUMMYFUNCTION("""COMPUTED_VALUE"""),1.0)</f>
        <v>1</v>
      </c>
      <c r="R422" s="447">
        <f>IFERROR(__xludf.DUMMYFUNCTION("""COMPUTED_VALUE"""),0.0)</f>
        <v>0</v>
      </c>
      <c r="S422" s="447">
        <f>IFERROR(__xludf.DUMMYFUNCTION("""COMPUTED_VALUE"""),0.0)</f>
        <v>0</v>
      </c>
      <c r="T422" s="447">
        <f>IFERROR(__xludf.DUMMYFUNCTION("""COMPUTED_VALUE"""),0.0)</f>
        <v>0</v>
      </c>
      <c r="U422" s="447">
        <f>IFERROR(__xludf.DUMMYFUNCTION("""COMPUTED_VALUE"""),0.0)</f>
        <v>0</v>
      </c>
      <c r="V422" s="447">
        <f>IFERROR(__xludf.DUMMYFUNCTION("""COMPUTED_VALUE"""),2.0)</f>
        <v>2</v>
      </c>
      <c r="W422" s="447">
        <f>IFERROR(__xludf.DUMMYFUNCTION("""COMPUTED_VALUE"""),0.0)</f>
        <v>0</v>
      </c>
      <c r="X422" s="447">
        <f>IFERROR(__xludf.DUMMYFUNCTION("""COMPUTED_VALUE"""),0.0)</f>
        <v>0</v>
      </c>
      <c r="Y422" s="447">
        <f>IFERROR(__xludf.DUMMYFUNCTION("""COMPUTED_VALUE"""),0.0)</f>
        <v>0</v>
      </c>
      <c r="Z422" s="447">
        <f>IFERROR(__xludf.DUMMYFUNCTION("""COMPUTED_VALUE"""),0.0)</f>
        <v>0</v>
      </c>
      <c r="AA422" s="447">
        <f>IFERROR(__xludf.DUMMYFUNCTION("""COMPUTED_VALUE"""),0.0)</f>
        <v>0</v>
      </c>
      <c r="AB422" s="447">
        <f>IFERROR(__xludf.DUMMYFUNCTION("""COMPUTED_VALUE"""),2.0)</f>
        <v>2</v>
      </c>
      <c r="AC422" s="447">
        <f>IFERROR(__xludf.DUMMYFUNCTION("""COMPUTED_VALUE"""),0.0)</f>
        <v>0</v>
      </c>
      <c r="AD422" s="447">
        <f>IFERROR(__xludf.DUMMYFUNCTION("""COMPUTED_VALUE"""),49.0)</f>
        <v>49</v>
      </c>
      <c r="AE422" s="447">
        <f>IFERROR(__xludf.DUMMYFUNCTION("""COMPUTED_VALUE"""),3.0)</f>
        <v>3</v>
      </c>
      <c r="AF422" s="447">
        <f>IFERROR(__xludf.DUMMYFUNCTION("""COMPUTED_VALUE"""),0.0)</f>
        <v>0</v>
      </c>
      <c r="AG422" s="443" t="s">
        <v>91</v>
      </c>
      <c r="AH422" s="443" t="s">
        <v>961</v>
      </c>
      <c r="AI422" s="443"/>
      <c r="AJ422" s="443"/>
      <c r="AK422" s="443"/>
      <c r="AL422" s="443"/>
      <c r="AM422" s="443"/>
      <c r="AN422" s="443"/>
      <c r="AO422" s="443"/>
      <c r="AP422" s="443"/>
      <c r="AQ422" s="443"/>
      <c r="AR422" s="443"/>
      <c r="AS422" s="443"/>
      <c r="AT422" s="443"/>
      <c r="AU422" s="443"/>
      <c r="AV422" s="443"/>
      <c r="AW422" s="443"/>
      <c r="AX422" s="443"/>
      <c r="AY422" s="443"/>
      <c r="AZ422" s="443"/>
      <c r="BA422" s="443"/>
      <c r="BB422" s="443"/>
      <c r="BC422" s="443"/>
      <c r="BD422" s="443"/>
      <c r="BE422" s="443"/>
    </row>
    <row r="423" hidden="1">
      <c r="A423" s="445">
        <f t="shared" si="5"/>
        <v>45713</v>
      </c>
      <c r="B423" s="449">
        <v>429.0</v>
      </c>
      <c r="C423" s="462">
        <v>0.6</v>
      </c>
      <c r="D423" s="462">
        <v>0.9159722222222222</v>
      </c>
      <c r="E423" s="436">
        <f t="array" ref="E423">IF(B423=0,"",(J423+K423)/60)</f>
        <v>0.5</v>
      </c>
      <c r="F423" s="437">
        <f t="shared" si="1"/>
        <v>7.583333333</v>
      </c>
      <c r="G423" s="438">
        <f t="shared" si="8"/>
        <v>56.57142857</v>
      </c>
      <c r="H423" s="438">
        <f t="shared" si="3"/>
        <v>60.56470588</v>
      </c>
      <c r="I423" s="436">
        <f t="shared" si="6"/>
        <v>1.131428571</v>
      </c>
      <c r="J423" s="460">
        <v>30.0</v>
      </c>
      <c r="K423" s="464"/>
      <c r="L423" s="443"/>
      <c r="M423" s="447">
        <f>IFERROR(__xludf.DUMMYFUNCTION("""COMPUTED_VALUE"""),57.0)</f>
        <v>57</v>
      </c>
      <c r="N423" s="447">
        <f>IFERROR(__xludf.DUMMYFUNCTION("""COMPUTED_VALUE"""),57.0)</f>
        <v>57</v>
      </c>
      <c r="O423" s="447">
        <f>IFERROR(__xludf.DUMMYFUNCTION("""COMPUTED_VALUE"""),0.0)</f>
        <v>0</v>
      </c>
      <c r="P423" s="447">
        <f>IFERROR(__xludf.DUMMYFUNCTION("""COMPUTED_VALUE"""),0.0)</f>
        <v>0</v>
      </c>
      <c r="Q423" s="447">
        <f>IFERROR(__xludf.DUMMYFUNCTION("""COMPUTED_VALUE"""),1.0)</f>
        <v>1</v>
      </c>
      <c r="R423" s="447">
        <f>IFERROR(__xludf.DUMMYFUNCTION("""COMPUTED_VALUE"""),0.0)</f>
        <v>0</v>
      </c>
      <c r="S423" s="447">
        <f>IFERROR(__xludf.DUMMYFUNCTION("""COMPUTED_VALUE"""),2.0)</f>
        <v>2</v>
      </c>
      <c r="T423" s="447">
        <f>IFERROR(__xludf.DUMMYFUNCTION("""COMPUTED_VALUE"""),0.0)</f>
        <v>0</v>
      </c>
      <c r="U423" s="447">
        <f>IFERROR(__xludf.DUMMYFUNCTION("""COMPUTED_VALUE"""),0.0)</f>
        <v>0</v>
      </c>
      <c r="V423" s="447">
        <f>IFERROR(__xludf.DUMMYFUNCTION("""COMPUTED_VALUE"""),2.0)</f>
        <v>2</v>
      </c>
      <c r="W423" s="447">
        <f>IFERROR(__xludf.DUMMYFUNCTION("""COMPUTED_VALUE"""),0.0)</f>
        <v>0</v>
      </c>
      <c r="X423" s="447">
        <f>IFERROR(__xludf.DUMMYFUNCTION("""COMPUTED_VALUE"""),0.0)</f>
        <v>0</v>
      </c>
      <c r="Y423" s="447">
        <f>IFERROR(__xludf.DUMMYFUNCTION("""COMPUTED_VALUE"""),0.0)</f>
        <v>0</v>
      </c>
      <c r="Z423" s="447">
        <f>IFERROR(__xludf.DUMMYFUNCTION("""COMPUTED_VALUE"""),0.0)</f>
        <v>0</v>
      </c>
      <c r="AA423" s="447">
        <f>IFERROR(__xludf.DUMMYFUNCTION("""COMPUTED_VALUE"""),0.0)</f>
        <v>0</v>
      </c>
      <c r="AB423" s="447">
        <f>IFERROR(__xludf.DUMMYFUNCTION("""COMPUTED_VALUE"""),0.0)</f>
        <v>0</v>
      </c>
      <c r="AC423" s="447">
        <f>IFERROR(__xludf.DUMMYFUNCTION("""COMPUTED_VALUE"""),0.0)</f>
        <v>0</v>
      </c>
      <c r="AD423" s="447">
        <f>IFERROR(__xludf.DUMMYFUNCTION("""COMPUTED_VALUE"""),50.0)</f>
        <v>50</v>
      </c>
      <c r="AE423" s="447">
        <f>IFERROR(__xludf.DUMMYFUNCTION("""COMPUTED_VALUE"""),5.0)</f>
        <v>5</v>
      </c>
      <c r="AF423" s="447">
        <f>IFERROR(__xludf.DUMMYFUNCTION("""COMPUTED_VALUE"""),0.0)</f>
        <v>0</v>
      </c>
      <c r="AG423" s="443" t="s">
        <v>91</v>
      </c>
      <c r="AH423" s="443" t="s">
        <v>961</v>
      </c>
      <c r="AI423" s="443"/>
      <c r="AJ423" s="443"/>
      <c r="AK423" s="443"/>
      <c r="AL423" s="443"/>
      <c r="AM423" s="443"/>
      <c r="AN423" s="443"/>
      <c r="AO423" s="443"/>
      <c r="AP423" s="443"/>
      <c r="AQ423" s="443"/>
      <c r="AR423" s="443"/>
      <c r="AS423" s="443"/>
      <c r="AT423" s="443"/>
      <c r="AU423" s="443"/>
      <c r="AV423" s="443"/>
      <c r="AW423" s="443"/>
      <c r="AX423" s="443"/>
      <c r="AY423" s="443"/>
      <c r="AZ423" s="443"/>
      <c r="BA423" s="443"/>
      <c r="BB423" s="443"/>
      <c r="BC423" s="443"/>
      <c r="BD423" s="443"/>
      <c r="BE423" s="443"/>
    </row>
    <row r="424" hidden="1">
      <c r="A424" s="445">
        <f t="shared" si="5"/>
        <v>45714</v>
      </c>
      <c r="B424" s="449">
        <v>429.0</v>
      </c>
      <c r="C424" s="462">
        <v>0.6</v>
      </c>
      <c r="D424" s="462">
        <v>0.9104166666666667</v>
      </c>
      <c r="E424" s="436">
        <f t="array" ref="E424">IF(B424=0,"",(J424+K424)/60)</f>
        <v>0.5</v>
      </c>
      <c r="F424" s="437">
        <f t="shared" si="1"/>
        <v>7.45</v>
      </c>
      <c r="G424" s="438">
        <f t="shared" si="8"/>
        <v>57.58389262</v>
      </c>
      <c r="H424" s="438">
        <f t="shared" si="3"/>
        <v>61.72661871</v>
      </c>
      <c r="I424" s="436">
        <f t="shared" si="6"/>
        <v>1.129095934</v>
      </c>
      <c r="J424" s="460">
        <v>30.0</v>
      </c>
      <c r="K424" s="464"/>
      <c r="L424" s="443"/>
      <c r="M424" s="447">
        <f>IFERROR(__xludf.DUMMYFUNCTION("""COMPUTED_VALUE"""),57.0)</f>
        <v>57</v>
      </c>
      <c r="N424" s="447">
        <f>IFERROR(__xludf.DUMMYFUNCTION("""COMPUTED_VALUE"""),57.0)</f>
        <v>57</v>
      </c>
      <c r="O424" s="447">
        <f>IFERROR(__xludf.DUMMYFUNCTION("""COMPUTED_VALUE"""),0.0)</f>
        <v>0</v>
      </c>
      <c r="P424" s="447">
        <f>IFERROR(__xludf.DUMMYFUNCTION("""COMPUTED_VALUE"""),0.0)</f>
        <v>0</v>
      </c>
      <c r="Q424" s="447">
        <f>IFERROR(__xludf.DUMMYFUNCTION("""COMPUTED_VALUE"""),0.0)</f>
        <v>0</v>
      </c>
      <c r="R424" s="447">
        <f>IFERROR(__xludf.DUMMYFUNCTION("""COMPUTED_VALUE"""),0.0)</f>
        <v>0</v>
      </c>
      <c r="S424" s="447">
        <f>IFERROR(__xludf.DUMMYFUNCTION("""COMPUTED_VALUE"""),1.0)</f>
        <v>1</v>
      </c>
      <c r="T424" s="447">
        <f>IFERROR(__xludf.DUMMYFUNCTION("""COMPUTED_VALUE"""),0.0)</f>
        <v>0</v>
      </c>
      <c r="U424" s="447">
        <f>IFERROR(__xludf.DUMMYFUNCTION("""COMPUTED_VALUE"""),0.0)</f>
        <v>0</v>
      </c>
      <c r="V424" s="447">
        <f>IFERROR(__xludf.DUMMYFUNCTION("""COMPUTED_VALUE"""),2.0)</f>
        <v>2</v>
      </c>
      <c r="W424" s="447">
        <f>IFERROR(__xludf.DUMMYFUNCTION("""COMPUTED_VALUE"""),0.0)</f>
        <v>0</v>
      </c>
      <c r="X424" s="447">
        <f>IFERROR(__xludf.DUMMYFUNCTION("""COMPUTED_VALUE"""),0.0)</f>
        <v>0</v>
      </c>
      <c r="Y424" s="447">
        <f>IFERROR(__xludf.DUMMYFUNCTION("""COMPUTED_VALUE"""),0.0)</f>
        <v>0</v>
      </c>
      <c r="Z424" s="447">
        <f>IFERROR(__xludf.DUMMYFUNCTION("""COMPUTED_VALUE"""),0.0)</f>
        <v>0</v>
      </c>
      <c r="AA424" s="447">
        <f>IFERROR(__xludf.DUMMYFUNCTION("""COMPUTED_VALUE"""),0.0)</f>
        <v>0</v>
      </c>
      <c r="AB424" s="447">
        <f>IFERROR(__xludf.DUMMYFUNCTION("""COMPUTED_VALUE"""),0.0)</f>
        <v>0</v>
      </c>
      <c r="AC424" s="447">
        <f>IFERROR(__xludf.DUMMYFUNCTION("""COMPUTED_VALUE"""),1.0)</f>
        <v>1</v>
      </c>
      <c r="AD424" s="447">
        <f>IFERROR(__xludf.DUMMYFUNCTION("""COMPUTED_VALUE"""),51.0)</f>
        <v>51</v>
      </c>
      <c r="AE424" s="447">
        <f>IFERROR(__xludf.DUMMYFUNCTION("""COMPUTED_VALUE"""),4.0)</f>
        <v>4</v>
      </c>
      <c r="AF424" s="447">
        <f>IFERROR(__xludf.DUMMYFUNCTION("""COMPUTED_VALUE"""),0.0)</f>
        <v>0</v>
      </c>
      <c r="AG424" s="443" t="s">
        <v>91</v>
      </c>
      <c r="AH424" s="443" t="s">
        <v>961</v>
      </c>
      <c r="AI424" s="443"/>
      <c r="AJ424" s="443"/>
      <c r="AK424" s="443"/>
      <c r="AL424" s="443"/>
      <c r="AM424" s="443"/>
      <c r="AN424" s="443"/>
      <c r="AO424" s="443"/>
      <c r="AP424" s="443"/>
      <c r="AQ424" s="443"/>
      <c r="AR424" s="443"/>
      <c r="AS424" s="443"/>
      <c r="AT424" s="443"/>
      <c r="AU424" s="443"/>
      <c r="AV424" s="443"/>
      <c r="AW424" s="443"/>
      <c r="AX424" s="443"/>
      <c r="AY424" s="443"/>
      <c r="AZ424" s="443"/>
      <c r="BA424" s="443"/>
      <c r="BB424" s="443"/>
      <c r="BC424" s="443"/>
      <c r="BD424" s="443"/>
      <c r="BE424" s="443"/>
    </row>
    <row r="425" hidden="1">
      <c r="A425" s="445">
        <f t="shared" si="5"/>
        <v>45715</v>
      </c>
      <c r="B425" s="449">
        <v>511.0</v>
      </c>
      <c r="C425" s="462">
        <v>0.6208333333333333</v>
      </c>
      <c r="D425" s="462">
        <v>0.9909722222222223</v>
      </c>
      <c r="E425" s="436">
        <f t="array" ref="E425">IF(B425=0,"",(J425+K425)/60)</f>
        <v>0.5</v>
      </c>
      <c r="F425" s="437">
        <f t="shared" si="1"/>
        <v>8.883333333</v>
      </c>
      <c r="G425" s="438">
        <f t="shared" si="8"/>
        <v>57.52345216</v>
      </c>
      <c r="H425" s="438">
        <f t="shared" si="3"/>
        <v>60.95427435</v>
      </c>
      <c r="I425" s="436">
        <f t="shared" si="6"/>
        <v>1.173948003</v>
      </c>
      <c r="J425" s="460">
        <v>30.0</v>
      </c>
      <c r="K425" s="464"/>
      <c r="L425" s="443"/>
      <c r="M425" s="447">
        <f>IFERROR(__xludf.DUMMYFUNCTION("""COMPUTED_VALUE"""),57.0)</f>
        <v>57</v>
      </c>
      <c r="N425" s="447">
        <f>IFERROR(__xludf.DUMMYFUNCTION("""COMPUTED_VALUE"""),57.0)</f>
        <v>57</v>
      </c>
      <c r="O425" s="447">
        <f>IFERROR(__xludf.DUMMYFUNCTION("""COMPUTED_VALUE"""),0.0)</f>
        <v>0</v>
      </c>
      <c r="P425" s="447">
        <f>IFERROR(__xludf.DUMMYFUNCTION("""COMPUTED_VALUE"""),0.0)</f>
        <v>0</v>
      </c>
      <c r="Q425" s="447">
        <f>IFERROR(__xludf.DUMMYFUNCTION("""COMPUTED_VALUE"""),1.0)</f>
        <v>1</v>
      </c>
      <c r="R425" s="447">
        <f>IFERROR(__xludf.DUMMYFUNCTION("""COMPUTED_VALUE"""),0.0)</f>
        <v>0</v>
      </c>
      <c r="S425" s="447">
        <f>IFERROR(__xludf.DUMMYFUNCTION("""COMPUTED_VALUE"""),3.0)</f>
        <v>3</v>
      </c>
      <c r="T425" s="447">
        <f>IFERROR(__xludf.DUMMYFUNCTION("""COMPUTED_VALUE"""),0.0)</f>
        <v>0</v>
      </c>
      <c r="U425" s="447">
        <f>IFERROR(__xludf.DUMMYFUNCTION("""COMPUTED_VALUE"""),0.0)</f>
        <v>0</v>
      </c>
      <c r="V425" s="447">
        <f>IFERROR(__xludf.DUMMYFUNCTION("""COMPUTED_VALUE"""),0.0)</f>
        <v>0</v>
      </c>
      <c r="W425" s="447">
        <f>IFERROR(__xludf.DUMMYFUNCTION("""COMPUTED_VALUE"""),0.0)</f>
        <v>0</v>
      </c>
      <c r="X425" s="447">
        <f>IFERROR(__xludf.DUMMYFUNCTION("""COMPUTED_VALUE"""),0.0)</f>
        <v>0</v>
      </c>
      <c r="Y425" s="447">
        <f>IFERROR(__xludf.DUMMYFUNCTION("""COMPUTED_VALUE"""),0.0)</f>
        <v>0</v>
      </c>
      <c r="Z425" s="447">
        <f>IFERROR(__xludf.DUMMYFUNCTION("""COMPUTED_VALUE"""),0.0)</f>
        <v>0</v>
      </c>
      <c r="AA425" s="447">
        <f>IFERROR(__xludf.DUMMYFUNCTION("""COMPUTED_VALUE"""),1.0)</f>
        <v>1</v>
      </c>
      <c r="AB425" s="447">
        <f>IFERROR(__xludf.DUMMYFUNCTION("""COMPUTED_VALUE"""),0.0)</f>
        <v>0</v>
      </c>
      <c r="AC425" s="447">
        <f>IFERROR(__xludf.DUMMYFUNCTION("""COMPUTED_VALUE"""),1.0)</f>
        <v>1</v>
      </c>
      <c r="AD425" s="447">
        <f>IFERROR(__xludf.DUMMYFUNCTION("""COMPUTED_VALUE"""),49.0)</f>
        <v>49</v>
      </c>
      <c r="AE425" s="447">
        <f>IFERROR(__xludf.DUMMYFUNCTION("""COMPUTED_VALUE"""),6.0)</f>
        <v>6</v>
      </c>
      <c r="AF425" s="447">
        <f>IFERROR(__xludf.DUMMYFUNCTION("""COMPUTED_VALUE"""),0.0)</f>
        <v>0</v>
      </c>
      <c r="AG425" s="443" t="s">
        <v>91</v>
      </c>
      <c r="AH425" s="443" t="s">
        <v>961</v>
      </c>
      <c r="AI425" s="443"/>
      <c r="AJ425" s="443"/>
      <c r="AK425" s="443"/>
      <c r="AL425" s="443"/>
      <c r="AM425" s="443"/>
      <c r="AN425" s="443"/>
      <c r="AO425" s="443"/>
      <c r="AP425" s="443"/>
      <c r="AQ425" s="443"/>
      <c r="AR425" s="443"/>
      <c r="AS425" s="443"/>
      <c r="AT425" s="443"/>
      <c r="AU425" s="443"/>
      <c r="AV425" s="443"/>
      <c r="AW425" s="443"/>
      <c r="AX425" s="443"/>
      <c r="AY425" s="443"/>
      <c r="AZ425" s="443"/>
      <c r="BA425" s="443"/>
      <c r="BB425" s="443"/>
      <c r="BC425" s="443"/>
      <c r="BD425" s="443"/>
      <c r="BE425" s="443"/>
    </row>
    <row r="426" hidden="1">
      <c r="A426" s="445">
        <f t="shared" si="5"/>
        <v>45716</v>
      </c>
      <c r="B426" s="449">
        <v>383.0</v>
      </c>
      <c r="C426" s="462">
        <v>0.6</v>
      </c>
      <c r="D426" s="462">
        <v>0.9048611111111111</v>
      </c>
      <c r="E426" s="436">
        <f t="array" ref="E426">IF(B426=0,"",(J426+K426)/60)</f>
        <v>0.5</v>
      </c>
      <c r="F426" s="437">
        <f t="shared" si="1"/>
        <v>7.316666667</v>
      </c>
      <c r="G426" s="438">
        <f t="shared" si="8"/>
        <v>52.34624146</v>
      </c>
      <c r="H426" s="438">
        <f t="shared" si="3"/>
        <v>56.18581907</v>
      </c>
      <c r="I426" s="436">
        <f t="shared" si="6"/>
        <v>1.068290642</v>
      </c>
      <c r="J426" s="460">
        <v>30.0</v>
      </c>
      <c r="K426" s="464"/>
      <c r="L426" s="443"/>
      <c r="M426" s="447">
        <f>IFERROR(__xludf.DUMMYFUNCTION("""COMPUTED_VALUE"""),57.0)</f>
        <v>57</v>
      </c>
      <c r="N426" s="447">
        <f>IFERROR(__xludf.DUMMYFUNCTION("""COMPUTED_VALUE"""),56.0)</f>
        <v>56</v>
      </c>
      <c r="O426" s="447">
        <f>IFERROR(__xludf.DUMMYFUNCTION("""COMPUTED_VALUE"""),0.0)</f>
        <v>0</v>
      </c>
      <c r="P426" s="447">
        <f>IFERROR(__xludf.DUMMYFUNCTION("""COMPUTED_VALUE"""),0.0)</f>
        <v>0</v>
      </c>
      <c r="Q426" s="447">
        <f>IFERROR(__xludf.DUMMYFUNCTION("""COMPUTED_VALUE"""),0.0)</f>
        <v>0</v>
      </c>
      <c r="R426" s="447">
        <f>IFERROR(__xludf.DUMMYFUNCTION("""COMPUTED_VALUE"""),0.0)</f>
        <v>0</v>
      </c>
      <c r="S426" s="447">
        <f>IFERROR(__xludf.DUMMYFUNCTION("""COMPUTED_VALUE"""),2.0)</f>
        <v>2</v>
      </c>
      <c r="T426" s="447">
        <f>IFERROR(__xludf.DUMMYFUNCTION("""COMPUTED_VALUE"""),0.0)</f>
        <v>0</v>
      </c>
      <c r="U426" s="447">
        <f>IFERROR(__xludf.DUMMYFUNCTION("""COMPUTED_VALUE"""),1.0)</f>
        <v>1</v>
      </c>
      <c r="V426" s="447">
        <f>IFERROR(__xludf.DUMMYFUNCTION("""COMPUTED_VALUE"""),3.0)</f>
        <v>3</v>
      </c>
      <c r="W426" s="447">
        <f>IFERROR(__xludf.DUMMYFUNCTION("""COMPUTED_VALUE"""),0.0)</f>
        <v>0</v>
      </c>
      <c r="X426" s="447">
        <f>IFERROR(__xludf.DUMMYFUNCTION("""COMPUTED_VALUE"""),0.0)</f>
        <v>0</v>
      </c>
      <c r="Y426" s="447">
        <f>IFERROR(__xludf.DUMMYFUNCTION("""COMPUTED_VALUE"""),0.0)</f>
        <v>0</v>
      </c>
      <c r="Z426" s="447">
        <f>IFERROR(__xludf.DUMMYFUNCTION("""COMPUTED_VALUE"""),0.0)</f>
        <v>0</v>
      </c>
      <c r="AA426" s="447">
        <f>IFERROR(__xludf.DUMMYFUNCTION("""COMPUTED_VALUE"""),0.0)</f>
        <v>0</v>
      </c>
      <c r="AB426" s="447">
        <f>IFERROR(__xludf.DUMMYFUNCTION("""COMPUTED_VALUE"""),0.0)</f>
        <v>0</v>
      </c>
      <c r="AC426" s="447">
        <f>IFERROR(__xludf.DUMMYFUNCTION("""COMPUTED_VALUE"""),0.0)</f>
        <v>0</v>
      </c>
      <c r="AD426" s="447">
        <f>IFERROR(__xludf.DUMMYFUNCTION("""COMPUTED_VALUE"""),49.0)</f>
        <v>49</v>
      </c>
      <c r="AE426" s="447">
        <f>IFERROR(__xludf.DUMMYFUNCTION("""COMPUTED_VALUE"""),6.0)</f>
        <v>6</v>
      </c>
      <c r="AF426" s="447">
        <f>IFERROR(__xludf.DUMMYFUNCTION("""COMPUTED_VALUE"""),1.0)</f>
        <v>1</v>
      </c>
      <c r="AG426" s="443" t="s">
        <v>91</v>
      </c>
      <c r="AH426" s="443" t="s">
        <v>961</v>
      </c>
      <c r="AI426" s="443"/>
      <c r="AJ426" s="443"/>
      <c r="AK426" s="443"/>
      <c r="AL426" s="443"/>
      <c r="AM426" s="443"/>
      <c r="AN426" s="443"/>
      <c r="AO426" s="443"/>
      <c r="AP426" s="443"/>
      <c r="AQ426" s="443"/>
      <c r="AR426" s="443"/>
      <c r="AS426" s="443"/>
      <c r="AT426" s="443"/>
      <c r="AU426" s="443"/>
      <c r="AV426" s="443"/>
      <c r="AW426" s="443"/>
      <c r="AX426" s="443"/>
      <c r="AY426" s="443"/>
      <c r="AZ426" s="443"/>
      <c r="BA426" s="443"/>
      <c r="BB426" s="443"/>
      <c r="BC426" s="443"/>
      <c r="BD426" s="443"/>
      <c r="BE426" s="443"/>
    </row>
    <row r="427" hidden="1">
      <c r="A427" s="445">
        <f t="shared" si="5"/>
        <v>45717</v>
      </c>
      <c r="B427" s="449">
        <v>391.0</v>
      </c>
      <c r="C427" s="462">
        <v>0.6</v>
      </c>
      <c r="D427" s="462">
        <v>0.8645833333333334</v>
      </c>
      <c r="E427" s="436">
        <f t="array" ref="E427">IF(B427=0,"",(J427+K427)/60)</f>
        <v>0.5</v>
      </c>
      <c r="F427" s="437">
        <f t="shared" si="1"/>
        <v>6.35</v>
      </c>
      <c r="G427" s="438">
        <f t="shared" si="8"/>
        <v>61.57480315</v>
      </c>
      <c r="H427" s="438">
        <f t="shared" si="3"/>
        <v>66.83760684</v>
      </c>
      <c r="I427" s="436">
        <f t="shared" si="6"/>
        <v>1.310102195</v>
      </c>
      <c r="J427" s="460">
        <v>30.0</v>
      </c>
      <c r="K427" s="464"/>
      <c r="L427" s="443"/>
      <c r="M427" s="525">
        <f>IFERROR(__xludf.DUMMYFUNCTION("TRANSPOSE(IMPORTRANGE(""https://docs.google.com/spreadsheets/d/1CNeKSHTeNNJnfn5EymHwGg5Mkuk6EcepW7_9QkJxalc/edit#gid=1218471306"",""MARZO 2025!F2:AJ21""))"),57.0)</f>
        <v>57</v>
      </c>
      <c r="N427" s="447">
        <f>IFERROR(__xludf.DUMMYFUNCTION("""COMPUTED_VALUE"""),56.0)</f>
        <v>56</v>
      </c>
      <c r="O427" s="447">
        <f>IFERROR(__xludf.DUMMYFUNCTION("""COMPUTED_VALUE"""),0.0)</f>
        <v>0</v>
      </c>
      <c r="P427" s="447">
        <f>IFERROR(__xludf.DUMMYFUNCTION("""COMPUTED_VALUE"""),0.0)</f>
        <v>0</v>
      </c>
      <c r="Q427" s="447">
        <f>IFERROR(__xludf.DUMMYFUNCTION("""COMPUTED_VALUE"""),1.0)</f>
        <v>1</v>
      </c>
      <c r="R427" s="447">
        <f>IFERROR(__xludf.DUMMYFUNCTION("""COMPUTED_VALUE"""),0.0)</f>
        <v>0</v>
      </c>
      <c r="S427" s="447">
        <f>IFERROR(__xludf.DUMMYFUNCTION("""COMPUTED_VALUE"""),2.0)</f>
        <v>2</v>
      </c>
      <c r="T427" s="447">
        <f>IFERROR(__xludf.DUMMYFUNCTION("""COMPUTED_VALUE"""),0.0)</f>
        <v>0</v>
      </c>
      <c r="U427" s="447">
        <f>IFERROR(__xludf.DUMMYFUNCTION("""COMPUTED_VALUE"""),1.0)</f>
        <v>1</v>
      </c>
      <c r="V427" s="447">
        <f>IFERROR(__xludf.DUMMYFUNCTION("""COMPUTED_VALUE"""),3.0)</f>
        <v>3</v>
      </c>
      <c r="W427" s="447">
        <f>IFERROR(__xludf.DUMMYFUNCTION("""COMPUTED_VALUE"""),0.0)</f>
        <v>0</v>
      </c>
      <c r="X427" s="447">
        <f>IFERROR(__xludf.DUMMYFUNCTION("""COMPUTED_VALUE"""),0.0)</f>
        <v>0</v>
      </c>
      <c r="Y427" s="447">
        <f>IFERROR(__xludf.DUMMYFUNCTION("""COMPUTED_VALUE"""),0.0)</f>
        <v>0</v>
      </c>
      <c r="Z427" s="447">
        <f>IFERROR(__xludf.DUMMYFUNCTION("""COMPUTED_VALUE"""),0.0)</f>
        <v>0</v>
      </c>
      <c r="AA427" s="447">
        <f>IFERROR(__xludf.DUMMYFUNCTION("""COMPUTED_VALUE"""),0.0)</f>
        <v>0</v>
      </c>
      <c r="AB427" s="447">
        <f>IFERROR(__xludf.DUMMYFUNCTION("""COMPUTED_VALUE"""),0.0)</f>
        <v>0</v>
      </c>
      <c r="AC427" s="447">
        <f>IFERROR(__xludf.DUMMYFUNCTION("""COMPUTED_VALUE"""),1.0)</f>
        <v>1</v>
      </c>
      <c r="AD427" s="447">
        <f>IFERROR(__xludf.DUMMYFUNCTION("""COMPUTED_VALUE"""),47.0)</f>
        <v>47</v>
      </c>
      <c r="AE427" s="447">
        <f>IFERROR(__xludf.DUMMYFUNCTION("""COMPUTED_VALUE"""),8.0)</f>
        <v>8</v>
      </c>
      <c r="AF427" s="447">
        <f>IFERROR(__xludf.DUMMYFUNCTION("""COMPUTED_VALUE"""),1.0)</f>
        <v>1</v>
      </c>
      <c r="AG427" s="443" t="s">
        <v>98</v>
      </c>
      <c r="AH427" s="443" t="s">
        <v>961</v>
      </c>
      <c r="AI427" s="443"/>
      <c r="AJ427" s="443"/>
      <c r="AK427" s="443"/>
      <c r="AL427" s="443"/>
      <c r="AM427" s="443"/>
      <c r="AN427" s="443"/>
      <c r="AO427" s="443"/>
      <c r="AP427" s="443"/>
      <c r="AQ427" s="443"/>
      <c r="AR427" s="443"/>
      <c r="AS427" s="443"/>
      <c r="AT427" s="443"/>
      <c r="AU427" s="443"/>
      <c r="AV427" s="443"/>
      <c r="AW427" s="443"/>
      <c r="AX427" s="443"/>
      <c r="AY427" s="443"/>
      <c r="AZ427" s="443"/>
      <c r="BA427" s="443"/>
      <c r="BB427" s="443"/>
      <c r="BC427" s="443"/>
      <c r="BD427" s="443"/>
      <c r="BE427" s="443"/>
    </row>
    <row r="428" hidden="1">
      <c r="A428" s="445">
        <f t="shared" si="5"/>
        <v>45718</v>
      </c>
      <c r="B428" s="449">
        <v>0.0</v>
      </c>
      <c r="C428" s="443"/>
      <c r="D428" s="462"/>
      <c r="E428" s="436" t="str">
        <f t="array" ref="E428">IF(B428=0,"",(J428+K428)/60)</f>
        <v/>
      </c>
      <c r="F428" s="437" t="str">
        <f t="shared" si="1"/>
        <v/>
      </c>
      <c r="G428" s="438" t="str">
        <f t="shared" si="8"/>
        <v>#DIV/0!</v>
      </c>
      <c r="H428" s="438" t="str">
        <f t="shared" si="3"/>
        <v/>
      </c>
      <c r="I428" s="436" t="str">
        <f t="shared" si="6"/>
        <v/>
      </c>
      <c r="J428" s="464"/>
      <c r="K428" s="464"/>
      <c r="L428" s="443"/>
      <c r="M428" s="447">
        <f>IFERROR(__xludf.DUMMYFUNCTION("""COMPUTED_VALUE"""),57.0)</f>
        <v>57</v>
      </c>
      <c r="N428" s="447">
        <f>IFERROR(__xludf.DUMMYFUNCTION("""COMPUTED_VALUE"""),57.0)</f>
        <v>57</v>
      </c>
      <c r="O428" s="447">
        <f>IFERROR(__xludf.DUMMYFUNCTION("""COMPUTED_VALUE"""),0.0)</f>
        <v>0</v>
      </c>
      <c r="P428" s="447">
        <f>IFERROR(__xludf.DUMMYFUNCTION("""COMPUTED_VALUE"""),0.0)</f>
        <v>0</v>
      </c>
      <c r="Q428" s="447">
        <f>IFERROR(__xludf.DUMMYFUNCTION("""COMPUTED_VALUE"""),0.0)</f>
        <v>0</v>
      </c>
      <c r="R428" s="447">
        <f>IFERROR(__xludf.DUMMYFUNCTION("""COMPUTED_VALUE"""),0.0)</f>
        <v>0</v>
      </c>
      <c r="S428" s="447">
        <f>IFERROR(__xludf.DUMMYFUNCTION("""COMPUTED_VALUE"""),0.0)</f>
        <v>0</v>
      </c>
      <c r="T428" s="447">
        <f>IFERROR(__xludf.DUMMYFUNCTION("""COMPUTED_VALUE"""),0.0)</f>
        <v>0</v>
      </c>
      <c r="U428" s="447">
        <f>IFERROR(__xludf.DUMMYFUNCTION("""COMPUTED_VALUE"""),0.0)</f>
        <v>0</v>
      </c>
      <c r="V428" s="447">
        <f>IFERROR(__xludf.DUMMYFUNCTION("""COMPUTED_VALUE"""),3.0)</f>
        <v>3</v>
      </c>
      <c r="W428" s="447">
        <f>IFERROR(__xludf.DUMMYFUNCTION("""COMPUTED_VALUE"""),0.0)</f>
        <v>0</v>
      </c>
      <c r="X428" s="447">
        <f>IFERROR(__xludf.DUMMYFUNCTION("""COMPUTED_VALUE"""),0.0)</f>
        <v>0</v>
      </c>
      <c r="Y428" s="447">
        <f>IFERROR(__xludf.DUMMYFUNCTION("""COMPUTED_VALUE"""),0.0)</f>
        <v>0</v>
      </c>
      <c r="Z428" s="447">
        <f>IFERROR(__xludf.DUMMYFUNCTION("""COMPUTED_VALUE"""),0.0)</f>
        <v>0</v>
      </c>
      <c r="AA428" s="447">
        <f>IFERROR(__xludf.DUMMYFUNCTION("""COMPUTED_VALUE"""),0.0)</f>
        <v>0</v>
      </c>
      <c r="AB428" s="447">
        <f>IFERROR(__xludf.DUMMYFUNCTION("""COMPUTED_VALUE"""),0.0)</f>
        <v>0</v>
      </c>
      <c r="AC428" s="447">
        <f>IFERROR(__xludf.DUMMYFUNCTION("""COMPUTED_VALUE"""),0.0)</f>
        <v>0</v>
      </c>
      <c r="AD428" s="447">
        <f>IFERROR(__xludf.DUMMYFUNCTION("""COMPUTED_VALUE"""),0.0)</f>
        <v>0</v>
      </c>
      <c r="AE428" s="447">
        <f>IFERROR(__xludf.DUMMYFUNCTION("""COMPUTED_VALUE"""),3.0)</f>
        <v>3</v>
      </c>
      <c r="AF428" s="447">
        <f>IFERROR(__xludf.DUMMYFUNCTION("""COMPUTED_VALUE"""),0.0)</f>
        <v>0</v>
      </c>
      <c r="AG428" s="443" t="s">
        <v>98</v>
      </c>
      <c r="AH428" s="443" t="s">
        <v>961</v>
      </c>
      <c r="AI428" s="443"/>
      <c r="AJ428" s="443"/>
      <c r="AK428" s="443"/>
      <c r="AL428" s="443"/>
      <c r="AM428" s="443"/>
      <c r="AN428" s="443"/>
      <c r="AO428" s="443"/>
      <c r="AP428" s="443"/>
      <c r="AQ428" s="443"/>
      <c r="AR428" s="443"/>
      <c r="AS428" s="443"/>
      <c r="AT428" s="443"/>
      <c r="AU428" s="443"/>
      <c r="AV428" s="443"/>
      <c r="AW428" s="443"/>
      <c r="AX428" s="443"/>
      <c r="AY428" s="443"/>
      <c r="AZ428" s="443"/>
      <c r="BA428" s="443"/>
      <c r="BB428" s="443"/>
      <c r="BC428" s="443"/>
      <c r="BD428" s="443"/>
      <c r="BE428" s="443"/>
    </row>
    <row r="429" hidden="1">
      <c r="A429" s="445">
        <f t="shared" si="5"/>
        <v>45719</v>
      </c>
      <c r="B429" s="449">
        <v>604.0</v>
      </c>
      <c r="C429" s="462">
        <v>0.6</v>
      </c>
      <c r="D429" s="462">
        <v>1.0590277777777777</v>
      </c>
      <c r="E429" s="436">
        <f t="array" ref="E429">IF(B429=0,"",(J429+K429)/60)</f>
        <v>2.683333333</v>
      </c>
      <c r="F429" s="437">
        <f t="shared" si="1"/>
        <v>11.01666667</v>
      </c>
      <c r="G429" s="438">
        <f t="shared" si="8"/>
        <v>54.82602118</v>
      </c>
      <c r="H429" s="438">
        <f t="shared" si="3"/>
        <v>72.48</v>
      </c>
      <c r="I429" s="436">
        <f t="shared" si="6"/>
        <v>1.142208775</v>
      </c>
      <c r="J429" s="460">
        <v>60.0</v>
      </c>
      <c r="K429" s="464">
        <f>11+70+20</f>
        <v>101</v>
      </c>
      <c r="L429" s="443"/>
      <c r="M429" s="447">
        <f>IFERROR(__xludf.DUMMYFUNCTION("""COMPUTED_VALUE"""),57.0)</f>
        <v>57</v>
      </c>
      <c r="N429" s="447">
        <f>IFERROR(__xludf.DUMMYFUNCTION("""COMPUTED_VALUE"""),56.0)</f>
        <v>56</v>
      </c>
      <c r="O429" s="447">
        <f>IFERROR(__xludf.DUMMYFUNCTION("""COMPUTED_VALUE"""),0.0)</f>
        <v>0</v>
      </c>
      <c r="P429" s="447">
        <f>IFERROR(__xludf.DUMMYFUNCTION("""COMPUTED_VALUE"""),0.0)</f>
        <v>0</v>
      </c>
      <c r="Q429" s="447">
        <f>IFERROR(__xludf.DUMMYFUNCTION("""COMPUTED_VALUE"""),2.0)</f>
        <v>2</v>
      </c>
      <c r="R429" s="447">
        <f>IFERROR(__xludf.DUMMYFUNCTION("""COMPUTED_VALUE"""),0.0)</f>
        <v>0</v>
      </c>
      <c r="S429" s="447">
        <f>IFERROR(__xludf.DUMMYFUNCTION("""COMPUTED_VALUE"""),0.0)</f>
        <v>0</v>
      </c>
      <c r="T429" s="447">
        <f>IFERROR(__xludf.DUMMYFUNCTION("""COMPUTED_VALUE"""),0.0)</f>
        <v>0</v>
      </c>
      <c r="U429" s="447">
        <f>IFERROR(__xludf.DUMMYFUNCTION("""COMPUTED_VALUE"""),1.0)</f>
        <v>1</v>
      </c>
      <c r="V429" s="447">
        <f>IFERROR(__xludf.DUMMYFUNCTION("""COMPUTED_VALUE"""),3.0)</f>
        <v>3</v>
      </c>
      <c r="W429" s="447">
        <f>IFERROR(__xludf.DUMMYFUNCTION("""COMPUTED_VALUE"""),0.0)</f>
        <v>0</v>
      </c>
      <c r="X429" s="447">
        <f>IFERROR(__xludf.DUMMYFUNCTION("""COMPUTED_VALUE"""),0.0)</f>
        <v>0</v>
      </c>
      <c r="Y429" s="447">
        <f>IFERROR(__xludf.DUMMYFUNCTION("""COMPUTED_VALUE"""),0.0)</f>
        <v>0</v>
      </c>
      <c r="Z429" s="447">
        <f>IFERROR(__xludf.DUMMYFUNCTION("""COMPUTED_VALUE"""),0.0)</f>
        <v>0</v>
      </c>
      <c r="AA429" s="447">
        <f>IFERROR(__xludf.DUMMYFUNCTION("""COMPUTED_VALUE"""),0.0)</f>
        <v>0</v>
      </c>
      <c r="AB429" s="447">
        <f>IFERROR(__xludf.DUMMYFUNCTION("""COMPUTED_VALUE"""),0.0)</f>
        <v>0</v>
      </c>
      <c r="AC429" s="447">
        <f>IFERROR(__xludf.DUMMYFUNCTION("""COMPUTED_VALUE"""),1.0)</f>
        <v>1</v>
      </c>
      <c r="AD429" s="447">
        <f>IFERROR(__xludf.DUMMYFUNCTION("""COMPUTED_VALUE"""),48.0)</f>
        <v>48</v>
      </c>
      <c r="AE429" s="447">
        <f>IFERROR(__xludf.DUMMYFUNCTION("""COMPUTED_VALUE"""),7.0)</f>
        <v>7</v>
      </c>
      <c r="AF429" s="447">
        <f>IFERROR(__xludf.DUMMYFUNCTION("""COMPUTED_VALUE"""),1.0)</f>
        <v>1</v>
      </c>
      <c r="AG429" s="443" t="s">
        <v>98</v>
      </c>
      <c r="AH429" s="443" t="s">
        <v>961</v>
      </c>
      <c r="AI429" s="443"/>
      <c r="AJ429" s="443"/>
      <c r="AK429" s="443"/>
      <c r="AL429" s="443"/>
      <c r="AM429" s="443"/>
      <c r="AN429" s="443"/>
      <c r="AO429" s="443"/>
      <c r="AP429" s="443"/>
      <c r="AQ429" s="443"/>
      <c r="AR429" s="443"/>
      <c r="AS429" s="443"/>
      <c r="AT429" s="443"/>
      <c r="AU429" s="443"/>
      <c r="AV429" s="443"/>
      <c r="AW429" s="443"/>
      <c r="AX429" s="443"/>
      <c r="AY429" s="443"/>
      <c r="AZ429" s="443"/>
      <c r="BA429" s="443"/>
      <c r="BB429" s="443"/>
      <c r="BC429" s="443"/>
      <c r="BD429" s="443"/>
      <c r="BE429" s="443"/>
    </row>
    <row r="430" hidden="1">
      <c r="A430" s="445">
        <f t="shared" si="5"/>
        <v>45720</v>
      </c>
      <c r="B430" s="449">
        <v>428.0</v>
      </c>
      <c r="C430" s="462">
        <v>0.6</v>
      </c>
      <c r="D430" s="462">
        <v>0.9576388888888889</v>
      </c>
      <c r="E430" s="436">
        <f t="array" ref="E430">IF(B430=0,"",(J430+K430)/60)</f>
        <v>1.35</v>
      </c>
      <c r="F430" s="437">
        <f t="shared" si="1"/>
        <v>8.583333333</v>
      </c>
      <c r="G430" s="438">
        <f t="shared" si="8"/>
        <v>49.86407767</v>
      </c>
      <c r="H430" s="438">
        <f t="shared" si="3"/>
        <v>59.17050691</v>
      </c>
      <c r="I430" s="436">
        <f t="shared" si="6"/>
        <v>1.038834951</v>
      </c>
      <c r="J430" s="460">
        <v>30.0</v>
      </c>
      <c r="K430" s="464">
        <f>5+7+7+12+20</f>
        <v>51</v>
      </c>
      <c r="L430" s="443"/>
      <c r="M430" s="447">
        <f>IFERROR(__xludf.DUMMYFUNCTION("""COMPUTED_VALUE"""),57.0)</f>
        <v>57</v>
      </c>
      <c r="N430" s="447">
        <f>IFERROR(__xludf.DUMMYFUNCTION("""COMPUTED_VALUE"""),57.0)</f>
        <v>57</v>
      </c>
      <c r="O430" s="447">
        <f>IFERROR(__xludf.DUMMYFUNCTION("""COMPUTED_VALUE"""),0.0)</f>
        <v>0</v>
      </c>
      <c r="P430" s="447">
        <f>IFERROR(__xludf.DUMMYFUNCTION("""COMPUTED_VALUE"""),0.0)</f>
        <v>0</v>
      </c>
      <c r="Q430" s="447">
        <f>IFERROR(__xludf.DUMMYFUNCTION("""COMPUTED_VALUE"""),2.0)</f>
        <v>2</v>
      </c>
      <c r="R430" s="447">
        <f>IFERROR(__xludf.DUMMYFUNCTION("""COMPUTED_VALUE"""),0.0)</f>
        <v>0</v>
      </c>
      <c r="S430" s="447">
        <f>IFERROR(__xludf.DUMMYFUNCTION("""COMPUTED_VALUE"""),1.0)</f>
        <v>1</v>
      </c>
      <c r="T430" s="447">
        <f>IFERROR(__xludf.DUMMYFUNCTION("""COMPUTED_VALUE"""),0.0)</f>
        <v>0</v>
      </c>
      <c r="U430" s="447">
        <f>IFERROR(__xludf.DUMMYFUNCTION("""COMPUTED_VALUE"""),0.0)</f>
        <v>0</v>
      </c>
      <c r="V430" s="447">
        <f>IFERROR(__xludf.DUMMYFUNCTION("""COMPUTED_VALUE"""),3.0)</f>
        <v>3</v>
      </c>
      <c r="W430" s="447">
        <f>IFERROR(__xludf.DUMMYFUNCTION("""COMPUTED_VALUE"""),0.0)</f>
        <v>0</v>
      </c>
      <c r="X430" s="447">
        <f>IFERROR(__xludf.DUMMYFUNCTION("""COMPUTED_VALUE"""),0.0)</f>
        <v>0</v>
      </c>
      <c r="Y430" s="447">
        <f>IFERROR(__xludf.DUMMYFUNCTION("""COMPUTED_VALUE"""),0.0)</f>
        <v>0</v>
      </c>
      <c r="Z430" s="447">
        <f>IFERROR(__xludf.DUMMYFUNCTION("""COMPUTED_VALUE"""),0.0)</f>
        <v>0</v>
      </c>
      <c r="AA430" s="447">
        <f>IFERROR(__xludf.DUMMYFUNCTION("""COMPUTED_VALUE"""),0.0)</f>
        <v>0</v>
      </c>
      <c r="AB430" s="447">
        <f>IFERROR(__xludf.DUMMYFUNCTION("""COMPUTED_VALUE"""),0.0)</f>
        <v>0</v>
      </c>
      <c r="AC430" s="447">
        <f>IFERROR(__xludf.DUMMYFUNCTION("""COMPUTED_VALUE"""),1.0)</f>
        <v>1</v>
      </c>
      <c r="AD430" s="447">
        <f>IFERROR(__xludf.DUMMYFUNCTION("""COMPUTED_VALUE"""),48.0)</f>
        <v>48</v>
      </c>
      <c r="AE430" s="447">
        <f>IFERROR(__xludf.DUMMYFUNCTION("""COMPUTED_VALUE"""),7.0)</f>
        <v>7</v>
      </c>
      <c r="AF430" s="447">
        <f>IFERROR(__xludf.DUMMYFUNCTION("""COMPUTED_VALUE"""),0.0)</f>
        <v>0</v>
      </c>
      <c r="AG430" s="443" t="s">
        <v>98</v>
      </c>
      <c r="AH430" s="443" t="s">
        <v>961</v>
      </c>
      <c r="AI430" s="443"/>
      <c r="AJ430" s="443"/>
      <c r="AK430" s="443"/>
      <c r="AL430" s="443"/>
      <c r="AM430" s="443"/>
      <c r="AN430" s="443"/>
      <c r="AO430" s="443"/>
      <c r="AP430" s="443"/>
      <c r="AQ430" s="443"/>
      <c r="AR430" s="443"/>
      <c r="AS430" s="443"/>
      <c r="AT430" s="443"/>
      <c r="AU430" s="443"/>
      <c r="AV430" s="443"/>
      <c r="AW430" s="443"/>
      <c r="AX430" s="443"/>
      <c r="AY430" s="443"/>
      <c r="AZ430" s="443"/>
      <c r="BA430" s="443"/>
      <c r="BB430" s="443"/>
      <c r="BC430" s="443"/>
      <c r="BD430" s="443"/>
      <c r="BE430" s="443"/>
    </row>
    <row r="431" hidden="1">
      <c r="A431" s="445">
        <f t="shared" si="5"/>
        <v>45721</v>
      </c>
      <c r="B431" s="449">
        <v>410.0</v>
      </c>
      <c r="C431" s="462">
        <v>0.6</v>
      </c>
      <c r="D431" s="462">
        <v>0.8972222222222223</v>
      </c>
      <c r="E431" s="436">
        <f t="array" ref="E431">IF(B431=0,"",(J431+K431)/60)</f>
        <v>0.5</v>
      </c>
      <c r="F431" s="437">
        <f t="shared" si="1"/>
        <v>7.133333333</v>
      </c>
      <c r="G431" s="438">
        <f t="shared" si="8"/>
        <v>57.47663551</v>
      </c>
      <c r="H431" s="438">
        <f t="shared" si="3"/>
        <v>61.80904523</v>
      </c>
      <c r="I431" s="436">
        <f t="shared" si="6"/>
        <v>1.222907139</v>
      </c>
      <c r="J431" s="460">
        <v>30.0</v>
      </c>
      <c r="K431" s="464"/>
      <c r="L431" s="443"/>
      <c r="M431" s="447">
        <f>IFERROR(__xludf.DUMMYFUNCTION("""COMPUTED_VALUE"""),57.0)</f>
        <v>57</v>
      </c>
      <c r="N431" s="447">
        <f>IFERROR(__xludf.DUMMYFUNCTION("""COMPUTED_VALUE"""),57.0)</f>
        <v>57</v>
      </c>
      <c r="O431" s="447">
        <f>IFERROR(__xludf.DUMMYFUNCTION("""COMPUTED_VALUE"""),0.0)</f>
        <v>0</v>
      </c>
      <c r="P431" s="447">
        <f>IFERROR(__xludf.DUMMYFUNCTION("""COMPUTED_VALUE"""),0.0)</f>
        <v>0</v>
      </c>
      <c r="Q431" s="447">
        <f>IFERROR(__xludf.DUMMYFUNCTION("""COMPUTED_VALUE"""),3.0)</f>
        <v>3</v>
      </c>
      <c r="R431" s="447">
        <f>IFERROR(__xludf.DUMMYFUNCTION("""COMPUTED_VALUE"""),0.0)</f>
        <v>0</v>
      </c>
      <c r="S431" s="447">
        <f>IFERROR(__xludf.DUMMYFUNCTION("""COMPUTED_VALUE"""),2.0)</f>
        <v>2</v>
      </c>
      <c r="T431" s="447">
        <f>IFERROR(__xludf.DUMMYFUNCTION("""COMPUTED_VALUE"""),0.0)</f>
        <v>0</v>
      </c>
      <c r="U431" s="447">
        <f>IFERROR(__xludf.DUMMYFUNCTION("""COMPUTED_VALUE"""),0.0)</f>
        <v>0</v>
      </c>
      <c r="V431" s="447">
        <f>IFERROR(__xludf.DUMMYFUNCTION("""COMPUTED_VALUE"""),3.0)</f>
        <v>3</v>
      </c>
      <c r="W431" s="447">
        <f>IFERROR(__xludf.DUMMYFUNCTION("""COMPUTED_VALUE"""),0.0)</f>
        <v>0</v>
      </c>
      <c r="X431" s="447">
        <f>IFERROR(__xludf.DUMMYFUNCTION("""COMPUTED_VALUE"""),0.0)</f>
        <v>0</v>
      </c>
      <c r="Y431" s="447">
        <f>IFERROR(__xludf.DUMMYFUNCTION("""COMPUTED_VALUE"""),0.0)</f>
        <v>0</v>
      </c>
      <c r="Z431" s="447">
        <f>IFERROR(__xludf.DUMMYFUNCTION("""COMPUTED_VALUE"""),0.0)</f>
        <v>0</v>
      </c>
      <c r="AA431" s="447">
        <f>IFERROR(__xludf.DUMMYFUNCTION("""COMPUTED_VALUE"""),0.0)</f>
        <v>0</v>
      </c>
      <c r="AB431" s="447">
        <f>IFERROR(__xludf.DUMMYFUNCTION("""COMPUTED_VALUE"""),0.0)</f>
        <v>0</v>
      </c>
      <c r="AC431" s="447">
        <f>IFERROR(__xludf.DUMMYFUNCTION("""COMPUTED_VALUE"""),0.0)</f>
        <v>0</v>
      </c>
      <c r="AD431" s="447">
        <f>IFERROR(__xludf.DUMMYFUNCTION("""COMPUTED_VALUE"""),47.0)</f>
        <v>47</v>
      </c>
      <c r="AE431" s="447">
        <f>IFERROR(__xludf.DUMMYFUNCTION("""COMPUTED_VALUE"""),8.0)</f>
        <v>8</v>
      </c>
      <c r="AF431" s="447">
        <f>IFERROR(__xludf.DUMMYFUNCTION("""COMPUTED_VALUE"""),0.0)</f>
        <v>0</v>
      </c>
      <c r="AG431" s="443" t="s">
        <v>98</v>
      </c>
      <c r="AH431" s="443" t="s">
        <v>961</v>
      </c>
      <c r="AI431" s="443"/>
      <c r="AJ431" s="443"/>
      <c r="AK431" s="443"/>
      <c r="AL431" s="443"/>
      <c r="AM431" s="443"/>
      <c r="AN431" s="443"/>
      <c r="AO431" s="443"/>
      <c r="AP431" s="443"/>
      <c r="AQ431" s="443"/>
      <c r="AR431" s="443"/>
      <c r="AS431" s="443"/>
      <c r="AT431" s="443"/>
      <c r="AU431" s="443"/>
      <c r="AV431" s="443"/>
      <c r="AW431" s="443"/>
      <c r="AX431" s="443"/>
      <c r="AY431" s="443"/>
      <c r="AZ431" s="443"/>
      <c r="BA431" s="443"/>
      <c r="BB431" s="443"/>
      <c r="BC431" s="443"/>
      <c r="BD431" s="443"/>
      <c r="BE431" s="443"/>
    </row>
    <row r="432" hidden="1">
      <c r="A432" s="445">
        <f t="shared" si="5"/>
        <v>45722</v>
      </c>
      <c r="B432" s="449">
        <v>459.0</v>
      </c>
      <c r="C432" s="462">
        <v>0.6</v>
      </c>
      <c r="D432" s="462">
        <v>0.9375</v>
      </c>
      <c r="E432" s="436">
        <f t="array" ref="E432">IF(B432=0,"",(J432+K432)/60)</f>
        <v>0.5</v>
      </c>
      <c r="F432" s="437">
        <f t="shared" si="1"/>
        <v>8.1</v>
      </c>
      <c r="G432" s="438">
        <f t="shared" si="8"/>
        <v>56.66666667</v>
      </c>
      <c r="H432" s="438">
        <f t="shared" si="3"/>
        <v>60.39473684</v>
      </c>
      <c r="I432" s="436">
        <f t="shared" si="6"/>
        <v>1.180555556</v>
      </c>
      <c r="J432" s="460">
        <v>30.0</v>
      </c>
      <c r="K432" s="464"/>
      <c r="L432" s="443"/>
      <c r="M432" s="447">
        <f>IFERROR(__xludf.DUMMYFUNCTION("""COMPUTED_VALUE"""),57.0)</f>
        <v>57</v>
      </c>
      <c r="N432" s="447">
        <f>IFERROR(__xludf.DUMMYFUNCTION("""COMPUTED_VALUE"""),57.0)</f>
        <v>57</v>
      </c>
      <c r="O432" s="447">
        <f>IFERROR(__xludf.DUMMYFUNCTION("""COMPUTED_VALUE"""),0.0)</f>
        <v>0</v>
      </c>
      <c r="P432" s="447">
        <f>IFERROR(__xludf.DUMMYFUNCTION("""COMPUTED_VALUE"""),0.0)</f>
        <v>0</v>
      </c>
      <c r="Q432" s="447">
        <f>IFERROR(__xludf.DUMMYFUNCTION("""COMPUTED_VALUE"""),2.0)</f>
        <v>2</v>
      </c>
      <c r="R432" s="447">
        <f>IFERROR(__xludf.DUMMYFUNCTION("""COMPUTED_VALUE"""),1.0)</f>
        <v>1</v>
      </c>
      <c r="S432" s="447">
        <f>IFERROR(__xludf.DUMMYFUNCTION("""COMPUTED_VALUE"""),1.0)</f>
        <v>1</v>
      </c>
      <c r="T432" s="447">
        <f>IFERROR(__xludf.DUMMYFUNCTION("""COMPUTED_VALUE"""),0.0)</f>
        <v>0</v>
      </c>
      <c r="U432" s="447">
        <f>IFERROR(__xludf.DUMMYFUNCTION("""COMPUTED_VALUE"""),0.0)</f>
        <v>0</v>
      </c>
      <c r="V432" s="447">
        <f>IFERROR(__xludf.DUMMYFUNCTION("""COMPUTED_VALUE"""),3.0)</f>
        <v>3</v>
      </c>
      <c r="W432" s="447">
        <f>IFERROR(__xludf.DUMMYFUNCTION("""COMPUTED_VALUE"""),0.0)</f>
        <v>0</v>
      </c>
      <c r="X432" s="447">
        <f>IFERROR(__xludf.DUMMYFUNCTION("""COMPUTED_VALUE"""),0.0)</f>
        <v>0</v>
      </c>
      <c r="Y432" s="447">
        <f>IFERROR(__xludf.DUMMYFUNCTION("""COMPUTED_VALUE"""),0.0)</f>
        <v>0</v>
      </c>
      <c r="Z432" s="447">
        <f>IFERROR(__xludf.DUMMYFUNCTION("""COMPUTED_VALUE"""),0.0)</f>
        <v>0</v>
      </c>
      <c r="AA432" s="447">
        <f>IFERROR(__xludf.DUMMYFUNCTION("""COMPUTED_VALUE"""),0.0)</f>
        <v>0</v>
      </c>
      <c r="AB432" s="447">
        <f>IFERROR(__xludf.DUMMYFUNCTION("""COMPUTED_VALUE"""),0.0)</f>
        <v>0</v>
      </c>
      <c r="AC432" s="447">
        <f>IFERROR(__xludf.DUMMYFUNCTION("""COMPUTED_VALUE"""),0.0)</f>
        <v>0</v>
      </c>
      <c r="AD432" s="447">
        <f>IFERROR(__xludf.DUMMYFUNCTION("""COMPUTED_VALUE"""),48.0)</f>
        <v>48</v>
      </c>
      <c r="AE432" s="447">
        <f>IFERROR(__xludf.DUMMYFUNCTION("""COMPUTED_VALUE"""),6.0)</f>
        <v>6</v>
      </c>
      <c r="AF432" s="447">
        <f>IFERROR(__xludf.DUMMYFUNCTION("""COMPUTED_VALUE"""),0.0)</f>
        <v>0</v>
      </c>
      <c r="AG432" s="443" t="s">
        <v>98</v>
      </c>
      <c r="AH432" s="443" t="s">
        <v>961</v>
      </c>
      <c r="AI432" s="443"/>
      <c r="AJ432" s="443"/>
      <c r="AK432" s="443"/>
      <c r="AL432" s="443"/>
      <c r="AM432" s="443"/>
      <c r="AN432" s="443"/>
      <c r="AO432" s="443"/>
      <c r="AP432" s="443"/>
      <c r="AQ432" s="443"/>
      <c r="AR432" s="443"/>
      <c r="AS432" s="443"/>
      <c r="AT432" s="443"/>
      <c r="AU432" s="443"/>
      <c r="AV432" s="443"/>
      <c r="AW432" s="443"/>
      <c r="AX432" s="443"/>
      <c r="AY432" s="443"/>
      <c r="AZ432" s="443"/>
      <c r="BA432" s="443"/>
      <c r="BB432" s="443"/>
      <c r="BC432" s="443"/>
      <c r="BD432" s="443"/>
      <c r="BE432" s="443"/>
    </row>
    <row r="433" hidden="1">
      <c r="A433" s="445">
        <f t="shared" si="5"/>
        <v>45723</v>
      </c>
      <c r="B433" s="449">
        <v>348.0</v>
      </c>
      <c r="C433" s="462">
        <v>0.6833333333333333</v>
      </c>
      <c r="D433" s="462">
        <v>0.9444444444444444</v>
      </c>
      <c r="E433" s="436">
        <f t="array" ref="E433">IF(B433=0,"",(J433+K433)/60)</f>
        <v>0.5</v>
      </c>
      <c r="F433" s="437">
        <f t="shared" si="1"/>
        <v>6.266666667</v>
      </c>
      <c r="G433" s="438">
        <f t="shared" si="8"/>
        <v>55.53191489</v>
      </c>
      <c r="H433" s="438">
        <f t="shared" si="3"/>
        <v>60.34682081</v>
      </c>
      <c r="I433" s="436">
        <f t="shared" si="6"/>
        <v>1.156914894</v>
      </c>
      <c r="J433" s="460">
        <v>30.0</v>
      </c>
      <c r="K433" s="464"/>
      <c r="L433" s="443"/>
      <c r="M433" s="447">
        <f>IFERROR(__xludf.DUMMYFUNCTION("""COMPUTED_VALUE"""),57.0)</f>
        <v>57</v>
      </c>
      <c r="N433" s="447">
        <f>IFERROR(__xludf.DUMMYFUNCTION("""COMPUTED_VALUE"""),55.0)</f>
        <v>55</v>
      </c>
      <c r="O433" s="447">
        <f>IFERROR(__xludf.DUMMYFUNCTION("""COMPUTED_VALUE"""),0.0)</f>
        <v>0</v>
      </c>
      <c r="P433" s="447">
        <f>IFERROR(__xludf.DUMMYFUNCTION("""COMPUTED_VALUE"""),0.0)</f>
        <v>0</v>
      </c>
      <c r="Q433" s="447">
        <f>IFERROR(__xludf.DUMMYFUNCTION("""COMPUTED_VALUE"""),0.0)</f>
        <v>0</v>
      </c>
      <c r="R433" s="447">
        <f>IFERROR(__xludf.DUMMYFUNCTION("""COMPUTED_VALUE"""),0.0)</f>
        <v>0</v>
      </c>
      <c r="S433" s="447">
        <f>IFERROR(__xludf.DUMMYFUNCTION("""COMPUTED_VALUE"""),2.0)</f>
        <v>2</v>
      </c>
      <c r="T433" s="447">
        <f>IFERROR(__xludf.DUMMYFUNCTION("""COMPUTED_VALUE"""),0.0)</f>
        <v>0</v>
      </c>
      <c r="U433" s="447">
        <f>IFERROR(__xludf.DUMMYFUNCTION("""COMPUTED_VALUE"""),2.0)</f>
        <v>2</v>
      </c>
      <c r="V433" s="447">
        <f>IFERROR(__xludf.DUMMYFUNCTION("""COMPUTED_VALUE"""),3.0)</f>
        <v>3</v>
      </c>
      <c r="W433" s="447">
        <f>IFERROR(__xludf.DUMMYFUNCTION("""COMPUTED_VALUE"""),0.0)</f>
        <v>0</v>
      </c>
      <c r="X433" s="447">
        <f>IFERROR(__xludf.DUMMYFUNCTION("""COMPUTED_VALUE"""),0.0)</f>
        <v>0</v>
      </c>
      <c r="Y433" s="447">
        <f>IFERROR(__xludf.DUMMYFUNCTION("""COMPUTED_VALUE"""),0.0)</f>
        <v>0</v>
      </c>
      <c r="Z433" s="447">
        <f>IFERROR(__xludf.DUMMYFUNCTION("""COMPUTED_VALUE"""),0.0)</f>
        <v>0</v>
      </c>
      <c r="AA433" s="447">
        <f>IFERROR(__xludf.DUMMYFUNCTION("""COMPUTED_VALUE"""),0.0)</f>
        <v>0</v>
      </c>
      <c r="AB433" s="447">
        <f>IFERROR(__xludf.DUMMYFUNCTION("""COMPUTED_VALUE"""),0.0)</f>
        <v>0</v>
      </c>
      <c r="AC433" s="447">
        <f>IFERROR(__xludf.DUMMYFUNCTION("""COMPUTED_VALUE"""),0.0)</f>
        <v>0</v>
      </c>
      <c r="AD433" s="447">
        <f>IFERROR(__xludf.DUMMYFUNCTION("""COMPUTED_VALUE"""),48.0)</f>
        <v>48</v>
      </c>
      <c r="AE433" s="447">
        <f>IFERROR(__xludf.DUMMYFUNCTION("""COMPUTED_VALUE"""),7.0)</f>
        <v>7</v>
      </c>
      <c r="AF433" s="447">
        <f>IFERROR(__xludf.DUMMYFUNCTION("""COMPUTED_VALUE"""),2.0)</f>
        <v>2</v>
      </c>
      <c r="AG433" s="443" t="s">
        <v>98</v>
      </c>
      <c r="AH433" s="443" t="s">
        <v>961</v>
      </c>
      <c r="AI433" s="443"/>
      <c r="AJ433" s="443"/>
      <c r="AK433" s="443"/>
      <c r="AL433" s="443"/>
      <c r="AM433" s="443"/>
      <c r="AN433" s="443"/>
      <c r="AO433" s="443"/>
      <c r="AP433" s="443"/>
      <c r="AQ433" s="443"/>
      <c r="AR433" s="443"/>
      <c r="AS433" s="443"/>
      <c r="AT433" s="443"/>
      <c r="AU433" s="443"/>
      <c r="AV433" s="443"/>
      <c r="AW433" s="443"/>
      <c r="AX433" s="443"/>
      <c r="AY433" s="443"/>
      <c r="AZ433" s="443"/>
      <c r="BA433" s="443"/>
      <c r="BB433" s="443"/>
      <c r="BC433" s="443"/>
      <c r="BD433" s="443"/>
      <c r="BE433" s="443"/>
    </row>
    <row r="434" hidden="1">
      <c r="A434" s="445">
        <f t="shared" si="5"/>
        <v>45724</v>
      </c>
      <c r="B434" s="449">
        <v>340.0</v>
      </c>
      <c r="C434" s="462">
        <v>0.5583333333333333</v>
      </c>
      <c r="D434" s="462">
        <v>0.8368055555555556</v>
      </c>
      <c r="E434" s="436">
        <f t="array" ref="E434">IF(B434=0,"",(J434+K434)/60)</f>
        <v>0.75</v>
      </c>
      <c r="F434" s="437">
        <f t="shared" si="1"/>
        <v>6.683333333</v>
      </c>
      <c r="G434" s="438">
        <f t="shared" si="8"/>
        <v>50.87281796</v>
      </c>
      <c r="H434" s="438">
        <f t="shared" si="3"/>
        <v>57.30337079</v>
      </c>
      <c r="I434" s="436">
        <f t="shared" si="6"/>
        <v>1.082400382</v>
      </c>
      <c r="J434" s="460">
        <v>30.0</v>
      </c>
      <c r="K434" s="460">
        <v>15.0</v>
      </c>
      <c r="L434" s="443"/>
      <c r="M434" s="447">
        <f>IFERROR(__xludf.DUMMYFUNCTION("""COMPUTED_VALUE"""),57.0)</f>
        <v>57</v>
      </c>
      <c r="N434" s="447">
        <f>IFERROR(__xludf.DUMMYFUNCTION("""COMPUTED_VALUE"""),55.0)</f>
        <v>55</v>
      </c>
      <c r="O434" s="447">
        <f>IFERROR(__xludf.DUMMYFUNCTION("""COMPUTED_VALUE"""),0.0)</f>
        <v>0</v>
      </c>
      <c r="P434" s="447">
        <f>IFERROR(__xludf.DUMMYFUNCTION("""COMPUTED_VALUE"""),0.0)</f>
        <v>0</v>
      </c>
      <c r="Q434" s="447">
        <f>IFERROR(__xludf.DUMMYFUNCTION("""COMPUTED_VALUE"""),0.0)</f>
        <v>0</v>
      </c>
      <c r="R434" s="447">
        <f>IFERROR(__xludf.DUMMYFUNCTION("""COMPUTED_VALUE"""),0.0)</f>
        <v>0</v>
      </c>
      <c r="S434" s="447">
        <f>IFERROR(__xludf.DUMMYFUNCTION("""COMPUTED_VALUE"""),2.0)</f>
        <v>2</v>
      </c>
      <c r="T434" s="447">
        <f>IFERROR(__xludf.DUMMYFUNCTION("""COMPUTED_VALUE"""),0.0)</f>
        <v>0</v>
      </c>
      <c r="U434" s="447">
        <f>IFERROR(__xludf.DUMMYFUNCTION("""COMPUTED_VALUE"""),2.0)</f>
        <v>2</v>
      </c>
      <c r="V434" s="447">
        <f>IFERROR(__xludf.DUMMYFUNCTION("""COMPUTED_VALUE"""),3.0)</f>
        <v>3</v>
      </c>
      <c r="W434" s="447">
        <f>IFERROR(__xludf.DUMMYFUNCTION("""COMPUTED_VALUE"""),0.0)</f>
        <v>0</v>
      </c>
      <c r="X434" s="447">
        <f>IFERROR(__xludf.DUMMYFUNCTION("""COMPUTED_VALUE"""),0.0)</f>
        <v>0</v>
      </c>
      <c r="Y434" s="447">
        <f>IFERROR(__xludf.DUMMYFUNCTION("""COMPUTED_VALUE"""),0.0)</f>
        <v>0</v>
      </c>
      <c r="Z434" s="447">
        <f>IFERROR(__xludf.DUMMYFUNCTION("""COMPUTED_VALUE"""),0.0)</f>
        <v>0</v>
      </c>
      <c r="AA434" s="447">
        <f>IFERROR(__xludf.DUMMYFUNCTION("""COMPUTED_VALUE"""),0.0)</f>
        <v>0</v>
      </c>
      <c r="AB434" s="447">
        <f>IFERROR(__xludf.DUMMYFUNCTION("""COMPUTED_VALUE"""),0.0)</f>
        <v>0</v>
      </c>
      <c r="AC434" s="447">
        <f>IFERROR(__xludf.DUMMYFUNCTION("""COMPUTED_VALUE"""),1.0)</f>
        <v>1</v>
      </c>
      <c r="AD434" s="447">
        <f>IFERROR(__xludf.DUMMYFUNCTION("""COMPUTED_VALUE"""),47.0)</f>
        <v>47</v>
      </c>
      <c r="AE434" s="447">
        <f>IFERROR(__xludf.DUMMYFUNCTION("""COMPUTED_VALUE"""),8.0)</f>
        <v>8</v>
      </c>
      <c r="AF434" s="447">
        <f>IFERROR(__xludf.DUMMYFUNCTION("""COMPUTED_VALUE"""),2.0)</f>
        <v>2</v>
      </c>
      <c r="AG434" s="443" t="s">
        <v>98</v>
      </c>
      <c r="AH434" s="443" t="s">
        <v>961</v>
      </c>
      <c r="AI434" s="443"/>
      <c r="AJ434" s="443"/>
      <c r="AK434" s="443"/>
      <c r="AL434" s="443"/>
      <c r="AM434" s="443"/>
      <c r="AN434" s="443"/>
      <c r="AO434" s="443"/>
      <c r="AP434" s="443"/>
      <c r="AQ434" s="443"/>
      <c r="AR434" s="443"/>
      <c r="AS434" s="443"/>
      <c r="AT434" s="443"/>
      <c r="AU434" s="443"/>
      <c r="AV434" s="443"/>
      <c r="AW434" s="443"/>
      <c r="AX434" s="443"/>
      <c r="AY434" s="443"/>
      <c r="AZ434" s="443"/>
      <c r="BA434" s="443"/>
      <c r="BB434" s="443"/>
      <c r="BC434" s="443"/>
      <c r="BD434" s="443"/>
      <c r="BE434" s="443"/>
    </row>
    <row r="435" hidden="1">
      <c r="A435" s="445">
        <f t="shared" si="5"/>
        <v>45725</v>
      </c>
      <c r="B435" s="449">
        <v>0.0</v>
      </c>
      <c r="C435" s="443"/>
      <c r="D435" s="462"/>
      <c r="E435" s="436" t="str">
        <f t="array" ref="E435">IF(B435=0,"",(J435+K435)/60)</f>
        <v/>
      </c>
      <c r="F435" s="437" t="str">
        <f t="shared" si="1"/>
        <v/>
      </c>
      <c r="G435" s="438" t="str">
        <f t="shared" si="8"/>
        <v>#DIV/0!</v>
      </c>
      <c r="H435" s="438" t="str">
        <f t="shared" si="3"/>
        <v/>
      </c>
      <c r="I435" s="436" t="str">
        <f t="shared" si="6"/>
        <v/>
      </c>
      <c r="J435" s="464"/>
      <c r="K435" s="464"/>
      <c r="L435" s="443"/>
      <c r="M435" s="447">
        <f>IFERROR(__xludf.DUMMYFUNCTION("""COMPUTED_VALUE"""),57.0)</f>
        <v>57</v>
      </c>
      <c r="N435" s="447">
        <f>IFERROR(__xludf.DUMMYFUNCTION("""COMPUTED_VALUE"""),57.0)</f>
        <v>57</v>
      </c>
      <c r="O435" s="447">
        <f>IFERROR(__xludf.DUMMYFUNCTION("""COMPUTED_VALUE"""),0.0)</f>
        <v>0</v>
      </c>
      <c r="P435" s="447">
        <f>IFERROR(__xludf.DUMMYFUNCTION("""COMPUTED_VALUE"""),0.0)</f>
        <v>0</v>
      </c>
      <c r="Q435" s="447">
        <f>IFERROR(__xludf.DUMMYFUNCTION("""COMPUTED_VALUE"""),0.0)</f>
        <v>0</v>
      </c>
      <c r="R435" s="447">
        <f>IFERROR(__xludf.DUMMYFUNCTION("""COMPUTED_VALUE"""),0.0)</f>
        <v>0</v>
      </c>
      <c r="S435" s="447">
        <f>IFERROR(__xludf.DUMMYFUNCTION("""COMPUTED_VALUE"""),0.0)</f>
        <v>0</v>
      </c>
      <c r="T435" s="447">
        <f>IFERROR(__xludf.DUMMYFUNCTION("""COMPUTED_VALUE"""),0.0)</f>
        <v>0</v>
      </c>
      <c r="U435" s="447">
        <f>IFERROR(__xludf.DUMMYFUNCTION("""COMPUTED_VALUE"""),0.0)</f>
        <v>0</v>
      </c>
      <c r="V435" s="447">
        <f>IFERROR(__xludf.DUMMYFUNCTION("""COMPUTED_VALUE"""),1.0)</f>
        <v>1</v>
      </c>
      <c r="W435" s="447">
        <f>IFERROR(__xludf.DUMMYFUNCTION("""COMPUTED_VALUE"""),0.0)</f>
        <v>0</v>
      </c>
      <c r="X435" s="447">
        <f>IFERROR(__xludf.DUMMYFUNCTION("""COMPUTED_VALUE"""),0.0)</f>
        <v>0</v>
      </c>
      <c r="Y435" s="447">
        <f>IFERROR(__xludf.DUMMYFUNCTION("""COMPUTED_VALUE"""),0.0)</f>
        <v>0</v>
      </c>
      <c r="Z435" s="447">
        <f>IFERROR(__xludf.DUMMYFUNCTION("""COMPUTED_VALUE"""),0.0)</f>
        <v>0</v>
      </c>
      <c r="AA435" s="447">
        <f>IFERROR(__xludf.DUMMYFUNCTION("""COMPUTED_VALUE"""),0.0)</f>
        <v>0</v>
      </c>
      <c r="AB435" s="447">
        <f>IFERROR(__xludf.DUMMYFUNCTION("""COMPUTED_VALUE"""),0.0)</f>
        <v>0</v>
      </c>
      <c r="AC435" s="447">
        <f>IFERROR(__xludf.DUMMYFUNCTION("""COMPUTED_VALUE"""),0.0)</f>
        <v>0</v>
      </c>
      <c r="AD435" s="447">
        <f>IFERROR(__xludf.DUMMYFUNCTION("""COMPUTED_VALUE"""),0.0)</f>
        <v>0</v>
      </c>
      <c r="AE435" s="447">
        <f>IFERROR(__xludf.DUMMYFUNCTION("""COMPUTED_VALUE"""),1.0)</f>
        <v>1</v>
      </c>
      <c r="AF435" s="447">
        <f>IFERROR(__xludf.DUMMYFUNCTION("""COMPUTED_VALUE"""),0.0)</f>
        <v>0</v>
      </c>
      <c r="AG435" s="443" t="s">
        <v>98</v>
      </c>
      <c r="AH435" s="443" t="s">
        <v>961</v>
      </c>
      <c r="AI435" s="443"/>
      <c r="AJ435" s="443"/>
      <c r="AK435" s="443"/>
      <c r="AL435" s="443"/>
      <c r="AM435" s="443"/>
      <c r="AN435" s="443"/>
      <c r="AO435" s="443"/>
      <c r="AP435" s="443"/>
      <c r="AQ435" s="443"/>
      <c r="AR435" s="443"/>
      <c r="AS435" s="443"/>
      <c r="AT435" s="443"/>
      <c r="AU435" s="443"/>
      <c r="AV435" s="443"/>
      <c r="AW435" s="443"/>
      <c r="AX435" s="443"/>
      <c r="AY435" s="443"/>
      <c r="AZ435" s="443"/>
      <c r="BA435" s="443"/>
      <c r="BB435" s="443"/>
      <c r="BC435" s="443"/>
      <c r="BD435" s="443"/>
      <c r="BE435" s="443"/>
    </row>
    <row r="436" hidden="1">
      <c r="A436" s="445">
        <f t="shared" si="5"/>
        <v>45726</v>
      </c>
      <c r="B436" s="449">
        <v>516.0</v>
      </c>
      <c r="C436" s="462">
        <v>0.6416666666666667</v>
      </c>
      <c r="D436" s="462">
        <v>1.0555555555555556</v>
      </c>
      <c r="E436" s="436">
        <f t="array" ref="E436">IF(B436=0,"",(J436+K436)/60)</f>
        <v>2</v>
      </c>
      <c r="F436" s="437">
        <f t="shared" si="1"/>
        <v>9.933333333</v>
      </c>
      <c r="G436" s="438">
        <f t="shared" si="8"/>
        <v>51.94630872</v>
      </c>
      <c r="H436" s="438">
        <f t="shared" si="3"/>
        <v>65.04201681</v>
      </c>
      <c r="I436" s="436">
        <f t="shared" si="6"/>
        <v>1.018555073</v>
      </c>
      <c r="J436" s="460">
        <v>30.0</v>
      </c>
      <c r="K436" s="464">
        <f>38+44+8</f>
        <v>90</v>
      </c>
      <c r="L436" s="443"/>
      <c r="M436" s="447">
        <f>IFERROR(__xludf.DUMMYFUNCTION("""COMPUTED_VALUE"""),57.0)</f>
        <v>57</v>
      </c>
      <c r="N436" s="447">
        <f>IFERROR(__xludf.DUMMYFUNCTION("""COMPUTED_VALUE"""),55.0)</f>
        <v>55</v>
      </c>
      <c r="O436" s="447">
        <f>IFERROR(__xludf.DUMMYFUNCTION("""COMPUTED_VALUE"""),0.0)</f>
        <v>0</v>
      </c>
      <c r="P436" s="447">
        <f>IFERROR(__xludf.DUMMYFUNCTION("""COMPUTED_VALUE"""),0.0)</f>
        <v>0</v>
      </c>
      <c r="Q436" s="447">
        <f>IFERROR(__xludf.DUMMYFUNCTION("""COMPUTED_VALUE"""),0.0)</f>
        <v>0</v>
      </c>
      <c r="R436" s="447">
        <f>IFERROR(__xludf.DUMMYFUNCTION("""COMPUTED_VALUE"""),0.0)</f>
        <v>0</v>
      </c>
      <c r="S436" s="447">
        <f>IFERROR(__xludf.DUMMYFUNCTION("""COMPUTED_VALUE"""),0.0)</f>
        <v>0</v>
      </c>
      <c r="T436" s="447">
        <f>IFERROR(__xludf.DUMMYFUNCTION("""COMPUTED_VALUE"""),0.0)</f>
        <v>0</v>
      </c>
      <c r="U436" s="447">
        <f>IFERROR(__xludf.DUMMYFUNCTION("""COMPUTED_VALUE"""),2.0)</f>
        <v>2</v>
      </c>
      <c r="V436" s="447">
        <f>IFERROR(__xludf.DUMMYFUNCTION("""COMPUTED_VALUE"""),3.0)</f>
        <v>3</v>
      </c>
      <c r="W436" s="447">
        <f>IFERROR(__xludf.DUMMYFUNCTION("""COMPUTED_VALUE"""),0.0)</f>
        <v>0</v>
      </c>
      <c r="X436" s="447">
        <f>IFERROR(__xludf.DUMMYFUNCTION("""COMPUTED_VALUE"""),0.0)</f>
        <v>0</v>
      </c>
      <c r="Y436" s="447">
        <f>IFERROR(__xludf.DUMMYFUNCTION("""COMPUTED_VALUE"""),0.0)</f>
        <v>0</v>
      </c>
      <c r="Z436" s="447">
        <f>IFERROR(__xludf.DUMMYFUNCTION("""COMPUTED_VALUE"""),0.0)</f>
        <v>0</v>
      </c>
      <c r="AA436" s="447">
        <f>IFERROR(__xludf.DUMMYFUNCTION("""COMPUTED_VALUE"""),0.0)</f>
        <v>0</v>
      </c>
      <c r="AB436" s="447">
        <f>IFERROR(__xludf.DUMMYFUNCTION("""COMPUTED_VALUE"""),0.0)</f>
        <v>0</v>
      </c>
      <c r="AC436" s="447">
        <f>IFERROR(__xludf.DUMMYFUNCTION("""COMPUTED_VALUE"""),0.0)</f>
        <v>0</v>
      </c>
      <c r="AD436" s="447">
        <f>IFERROR(__xludf.DUMMYFUNCTION("""COMPUTED_VALUE"""),51.0)</f>
        <v>51</v>
      </c>
      <c r="AE436" s="447">
        <f>IFERROR(__xludf.DUMMYFUNCTION("""COMPUTED_VALUE"""),5.0)</f>
        <v>5</v>
      </c>
      <c r="AF436" s="447">
        <f>IFERROR(__xludf.DUMMYFUNCTION("""COMPUTED_VALUE"""),2.0)</f>
        <v>2</v>
      </c>
      <c r="AG436" s="443" t="s">
        <v>98</v>
      </c>
      <c r="AH436" s="443" t="s">
        <v>961</v>
      </c>
      <c r="AI436" s="443"/>
      <c r="AJ436" s="443"/>
      <c r="AK436" s="443"/>
      <c r="AL436" s="443"/>
      <c r="AM436" s="443"/>
      <c r="AN436" s="443"/>
      <c r="AO436" s="443"/>
      <c r="AP436" s="443"/>
      <c r="AQ436" s="443"/>
      <c r="AR436" s="443"/>
      <c r="AS436" s="443"/>
      <c r="AT436" s="443"/>
      <c r="AU436" s="443"/>
      <c r="AV436" s="443"/>
      <c r="AW436" s="443"/>
      <c r="AX436" s="443"/>
      <c r="AY436" s="443"/>
      <c r="AZ436" s="443"/>
      <c r="BA436" s="443"/>
      <c r="BB436" s="443"/>
      <c r="BC436" s="443"/>
      <c r="BD436" s="443"/>
      <c r="BE436" s="443"/>
    </row>
    <row r="437" hidden="1">
      <c r="A437" s="445">
        <f t="shared" si="5"/>
        <v>45727</v>
      </c>
      <c r="B437" s="449">
        <v>564.0</v>
      </c>
      <c r="C437" s="462">
        <v>0.6</v>
      </c>
      <c r="D437" s="462">
        <v>1.0222222222222221</v>
      </c>
      <c r="E437" s="436">
        <f t="array" ref="E437">IF(B437=0,"",(J437+K437)/60)</f>
        <v>1.433333333</v>
      </c>
      <c r="F437" s="437">
        <f t="shared" si="1"/>
        <v>10.13333333</v>
      </c>
      <c r="G437" s="438">
        <f t="shared" si="8"/>
        <v>55.65789474</v>
      </c>
      <c r="H437" s="438">
        <f t="shared" si="3"/>
        <v>64.82758621</v>
      </c>
      <c r="I437" s="436">
        <f t="shared" si="6"/>
        <v>1.113157895</v>
      </c>
      <c r="J437" s="460">
        <v>60.0</v>
      </c>
      <c r="K437" s="464">
        <f>10+16</f>
        <v>26</v>
      </c>
      <c r="L437" s="443"/>
      <c r="M437" s="447">
        <f>IFERROR(__xludf.DUMMYFUNCTION("""COMPUTED_VALUE"""),57.0)</f>
        <v>57</v>
      </c>
      <c r="N437" s="447">
        <f>IFERROR(__xludf.DUMMYFUNCTION("""COMPUTED_VALUE"""),55.0)</f>
        <v>55</v>
      </c>
      <c r="O437" s="447">
        <f>IFERROR(__xludf.DUMMYFUNCTION("""COMPUTED_VALUE"""),0.0)</f>
        <v>0</v>
      </c>
      <c r="P437" s="447">
        <f>IFERROR(__xludf.DUMMYFUNCTION("""COMPUTED_VALUE"""),0.0)</f>
        <v>0</v>
      </c>
      <c r="Q437" s="447">
        <f>IFERROR(__xludf.DUMMYFUNCTION("""COMPUTED_VALUE"""),0.0)</f>
        <v>0</v>
      </c>
      <c r="R437" s="447">
        <f>IFERROR(__xludf.DUMMYFUNCTION("""COMPUTED_VALUE"""),0.0)</f>
        <v>0</v>
      </c>
      <c r="S437" s="447">
        <f>IFERROR(__xludf.DUMMYFUNCTION("""COMPUTED_VALUE"""),1.0)</f>
        <v>1</v>
      </c>
      <c r="T437" s="447">
        <f>IFERROR(__xludf.DUMMYFUNCTION("""COMPUTED_VALUE"""),0.0)</f>
        <v>0</v>
      </c>
      <c r="U437" s="447">
        <f>IFERROR(__xludf.DUMMYFUNCTION("""COMPUTED_VALUE"""),2.0)</f>
        <v>2</v>
      </c>
      <c r="V437" s="447">
        <f>IFERROR(__xludf.DUMMYFUNCTION("""COMPUTED_VALUE"""),3.0)</f>
        <v>3</v>
      </c>
      <c r="W437" s="447">
        <f>IFERROR(__xludf.DUMMYFUNCTION("""COMPUTED_VALUE"""),0.0)</f>
        <v>0</v>
      </c>
      <c r="X437" s="447">
        <f>IFERROR(__xludf.DUMMYFUNCTION("""COMPUTED_VALUE"""),0.0)</f>
        <v>0</v>
      </c>
      <c r="Y437" s="447">
        <f>IFERROR(__xludf.DUMMYFUNCTION("""COMPUTED_VALUE"""),0.0)</f>
        <v>0</v>
      </c>
      <c r="Z437" s="447">
        <f>IFERROR(__xludf.DUMMYFUNCTION("""COMPUTED_VALUE"""),0.0)</f>
        <v>0</v>
      </c>
      <c r="AA437" s="447">
        <f>IFERROR(__xludf.DUMMYFUNCTION("""COMPUTED_VALUE"""),0.0)</f>
        <v>0</v>
      </c>
      <c r="AB437" s="447">
        <f>IFERROR(__xludf.DUMMYFUNCTION("""COMPUTED_VALUE"""),0.0)</f>
        <v>0</v>
      </c>
      <c r="AC437" s="447">
        <f>IFERROR(__xludf.DUMMYFUNCTION("""COMPUTED_VALUE"""),0.0)</f>
        <v>0</v>
      </c>
      <c r="AD437" s="447">
        <f>IFERROR(__xludf.DUMMYFUNCTION("""COMPUTED_VALUE"""),50.0)</f>
        <v>50</v>
      </c>
      <c r="AE437" s="447">
        <f>IFERROR(__xludf.DUMMYFUNCTION("""COMPUTED_VALUE"""),6.0)</f>
        <v>6</v>
      </c>
      <c r="AF437" s="447">
        <f>IFERROR(__xludf.DUMMYFUNCTION("""COMPUTED_VALUE"""),2.0)</f>
        <v>2</v>
      </c>
      <c r="AG437" s="443" t="s">
        <v>98</v>
      </c>
      <c r="AH437" s="443" t="s">
        <v>961</v>
      </c>
      <c r="AI437" s="443"/>
      <c r="AJ437" s="443"/>
      <c r="AK437" s="443"/>
      <c r="AL437" s="443"/>
      <c r="AM437" s="443"/>
      <c r="AN437" s="443"/>
      <c r="AO437" s="443"/>
      <c r="AP437" s="443"/>
      <c r="AQ437" s="443"/>
      <c r="AR437" s="443"/>
      <c r="AS437" s="443"/>
      <c r="AT437" s="443"/>
      <c r="AU437" s="443"/>
      <c r="AV437" s="443"/>
      <c r="AW437" s="443"/>
      <c r="AX437" s="443"/>
      <c r="AY437" s="443"/>
      <c r="AZ437" s="443"/>
      <c r="BA437" s="443"/>
      <c r="BB437" s="443"/>
      <c r="BC437" s="443"/>
      <c r="BD437" s="443"/>
      <c r="BE437" s="443"/>
    </row>
    <row r="438" hidden="1">
      <c r="A438" s="445">
        <f t="shared" si="5"/>
        <v>45728</v>
      </c>
      <c r="B438" s="449">
        <v>398.0</v>
      </c>
      <c r="C438" s="462">
        <v>0.6</v>
      </c>
      <c r="D438" s="462">
        <v>0.9513888888888888</v>
      </c>
      <c r="E438" s="436">
        <f t="array" ref="E438">IF(B438=0,"",(J438+K438)/60)</f>
        <v>0</v>
      </c>
      <c r="F438" s="437">
        <f t="shared" si="1"/>
        <v>8.433333333</v>
      </c>
      <c r="G438" s="438">
        <f t="shared" si="8"/>
        <v>47.19367589</v>
      </c>
      <c r="H438" s="438">
        <f t="shared" si="3"/>
        <v>47.19367589</v>
      </c>
      <c r="I438" s="436">
        <f t="shared" si="6"/>
        <v>0.9631362426</v>
      </c>
      <c r="J438" s="464"/>
      <c r="K438" s="464"/>
      <c r="L438" s="443"/>
      <c r="M438" s="447">
        <f>IFERROR(__xludf.DUMMYFUNCTION("""COMPUTED_VALUE"""),57.0)</f>
        <v>57</v>
      </c>
      <c r="N438" s="447">
        <f>IFERROR(__xludf.DUMMYFUNCTION("""COMPUTED_VALUE"""),55.0)</f>
        <v>55</v>
      </c>
      <c r="O438" s="447">
        <f>IFERROR(__xludf.DUMMYFUNCTION("""COMPUTED_VALUE"""),0.0)</f>
        <v>0</v>
      </c>
      <c r="P438" s="447">
        <f>IFERROR(__xludf.DUMMYFUNCTION("""COMPUTED_VALUE"""),0.0)</f>
        <v>0</v>
      </c>
      <c r="Q438" s="447">
        <f>IFERROR(__xludf.DUMMYFUNCTION("""COMPUTED_VALUE"""),0.0)</f>
        <v>0</v>
      </c>
      <c r="R438" s="447">
        <f>IFERROR(__xludf.DUMMYFUNCTION("""COMPUTED_VALUE"""),0.0)</f>
        <v>0</v>
      </c>
      <c r="S438" s="447">
        <f>IFERROR(__xludf.DUMMYFUNCTION("""COMPUTED_VALUE"""),2.0)</f>
        <v>2</v>
      </c>
      <c r="T438" s="447">
        <f>IFERROR(__xludf.DUMMYFUNCTION("""COMPUTED_VALUE"""),0.0)</f>
        <v>0</v>
      </c>
      <c r="U438" s="447">
        <f>IFERROR(__xludf.DUMMYFUNCTION("""COMPUTED_VALUE"""),2.0)</f>
        <v>2</v>
      </c>
      <c r="V438" s="447">
        <f>IFERROR(__xludf.DUMMYFUNCTION("""COMPUTED_VALUE"""),3.0)</f>
        <v>3</v>
      </c>
      <c r="W438" s="447">
        <f>IFERROR(__xludf.DUMMYFUNCTION("""COMPUTED_VALUE"""),0.0)</f>
        <v>0</v>
      </c>
      <c r="X438" s="447">
        <f>IFERROR(__xludf.DUMMYFUNCTION("""COMPUTED_VALUE"""),0.0)</f>
        <v>0</v>
      </c>
      <c r="Y438" s="447">
        <f>IFERROR(__xludf.DUMMYFUNCTION("""COMPUTED_VALUE"""),0.0)</f>
        <v>0</v>
      </c>
      <c r="Z438" s="447">
        <f>IFERROR(__xludf.DUMMYFUNCTION("""COMPUTED_VALUE"""),0.0)</f>
        <v>0</v>
      </c>
      <c r="AA438" s="447">
        <f>IFERROR(__xludf.DUMMYFUNCTION("""COMPUTED_VALUE"""),0.0)</f>
        <v>0</v>
      </c>
      <c r="AB438" s="447">
        <f>IFERROR(__xludf.DUMMYFUNCTION("""COMPUTED_VALUE"""),0.0)</f>
        <v>0</v>
      </c>
      <c r="AC438" s="447">
        <f>IFERROR(__xludf.DUMMYFUNCTION("""COMPUTED_VALUE"""),0.0)</f>
        <v>0</v>
      </c>
      <c r="AD438" s="447">
        <f>IFERROR(__xludf.DUMMYFUNCTION("""COMPUTED_VALUE"""),49.0)</f>
        <v>49</v>
      </c>
      <c r="AE438" s="447">
        <f>IFERROR(__xludf.DUMMYFUNCTION("""COMPUTED_VALUE"""),7.0)</f>
        <v>7</v>
      </c>
      <c r="AF438" s="447">
        <f>IFERROR(__xludf.DUMMYFUNCTION("""COMPUTED_VALUE"""),2.0)</f>
        <v>2</v>
      </c>
      <c r="AG438" s="443" t="s">
        <v>98</v>
      </c>
      <c r="AH438" s="443" t="s">
        <v>961</v>
      </c>
      <c r="AI438" s="443"/>
      <c r="AJ438" s="443"/>
      <c r="AK438" s="443"/>
      <c r="AL438" s="443"/>
      <c r="AM438" s="443"/>
      <c r="AN438" s="443"/>
      <c r="AO438" s="443"/>
      <c r="AP438" s="443"/>
      <c r="AQ438" s="443"/>
      <c r="AR438" s="443"/>
      <c r="AS438" s="443"/>
      <c r="AT438" s="443"/>
      <c r="AU438" s="443"/>
      <c r="AV438" s="443"/>
      <c r="AW438" s="443"/>
      <c r="AX438" s="443"/>
      <c r="AY438" s="443"/>
      <c r="AZ438" s="443"/>
      <c r="BA438" s="443"/>
      <c r="BB438" s="443"/>
      <c r="BC438" s="443"/>
      <c r="BD438" s="443"/>
      <c r="BE438" s="443"/>
    </row>
    <row r="439" hidden="1">
      <c r="A439" s="445">
        <f t="shared" si="5"/>
        <v>45729</v>
      </c>
      <c r="B439" s="449">
        <v>404.0</v>
      </c>
      <c r="C439" s="462">
        <v>0.6</v>
      </c>
      <c r="D439" s="462">
        <v>0.9590277777777778</v>
      </c>
      <c r="E439" s="436">
        <f t="array" ref="E439">IF(B439=0,"",(J439+K439)/60)</f>
        <v>2.633333333</v>
      </c>
      <c r="F439" s="437">
        <f t="shared" si="1"/>
        <v>8.616666667</v>
      </c>
      <c r="G439" s="438">
        <f t="shared" si="8"/>
        <v>46.88588008</v>
      </c>
      <c r="H439" s="438">
        <f t="shared" si="3"/>
        <v>67.52089136</v>
      </c>
      <c r="I439" s="436">
        <f t="shared" si="6"/>
        <v>0.9767891683</v>
      </c>
      <c r="J439" s="460">
        <v>30.0</v>
      </c>
      <c r="K439" s="464">
        <f>116+12</f>
        <v>128</v>
      </c>
      <c r="L439" s="443"/>
      <c r="M439" s="447">
        <f>IFERROR(__xludf.DUMMYFUNCTION("""COMPUTED_VALUE"""),57.0)</f>
        <v>57</v>
      </c>
      <c r="N439" s="447">
        <f>IFERROR(__xludf.DUMMYFUNCTION("""COMPUTED_VALUE"""),57.0)</f>
        <v>57</v>
      </c>
      <c r="O439" s="447">
        <f>IFERROR(__xludf.DUMMYFUNCTION("""COMPUTED_VALUE"""),0.0)</f>
        <v>0</v>
      </c>
      <c r="P439" s="447">
        <f>IFERROR(__xludf.DUMMYFUNCTION("""COMPUTED_VALUE"""),0.0)</f>
        <v>0</v>
      </c>
      <c r="Q439" s="447">
        <f>IFERROR(__xludf.DUMMYFUNCTION("""COMPUTED_VALUE"""),0.0)</f>
        <v>0</v>
      </c>
      <c r="R439" s="447">
        <f>IFERROR(__xludf.DUMMYFUNCTION("""COMPUTED_VALUE"""),0.0)</f>
        <v>0</v>
      </c>
      <c r="S439" s="447">
        <f>IFERROR(__xludf.DUMMYFUNCTION("""COMPUTED_VALUE"""),3.0)</f>
        <v>3</v>
      </c>
      <c r="T439" s="447">
        <f>IFERROR(__xludf.DUMMYFUNCTION("""COMPUTED_VALUE"""),0.0)</f>
        <v>0</v>
      </c>
      <c r="U439" s="447">
        <f>IFERROR(__xludf.DUMMYFUNCTION("""COMPUTED_VALUE"""),0.0)</f>
        <v>0</v>
      </c>
      <c r="V439" s="447">
        <f>IFERROR(__xludf.DUMMYFUNCTION("""COMPUTED_VALUE"""),3.0)</f>
        <v>3</v>
      </c>
      <c r="W439" s="447">
        <f>IFERROR(__xludf.DUMMYFUNCTION("""COMPUTED_VALUE"""),0.0)</f>
        <v>0</v>
      </c>
      <c r="X439" s="447">
        <f>IFERROR(__xludf.DUMMYFUNCTION("""COMPUTED_VALUE"""),0.0)</f>
        <v>0</v>
      </c>
      <c r="Y439" s="447">
        <f>IFERROR(__xludf.DUMMYFUNCTION("""COMPUTED_VALUE"""),0.0)</f>
        <v>0</v>
      </c>
      <c r="Z439" s="447">
        <f>IFERROR(__xludf.DUMMYFUNCTION("""COMPUTED_VALUE"""),0.0)</f>
        <v>0</v>
      </c>
      <c r="AA439" s="447">
        <f>IFERROR(__xludf.DUMMYFUNCTION("""COMPUTED_VALUE"""),0.0)</f>
        <v>0</v>
      </c>
      <c r="AB439" s="447">
        <f>IFERROR(__xludf.DUMMYFUNCTION("""COMPUTED_VALUE"""),2.0)</f>
        <v>2</v>
      </c>
      <c r="AC439" s="447">
        <f>IFERROR(__xludf.DUMMYFUNCTION("""COMPUTED_VALUE"""),0.0)</f>
        <v>0</v>
      </c>
      <c r="AD439" s="447">
        <f>IFERROR(__xludf.DUMMYFUNCTION("""COMPUTED_VALUE"""),48.0)</f>
        <v>48</v>
      </c>
      <c r="AE439" s="447">
        <f>IFERROR(__xludf.DUMMYFUNCTION("""COMPUTED_VALUE"""),6.0)</f>
        <v>6</v>
      </c>
      <c r="AF439" s="447">
        <f>IFERROR(__xludf.DUMMYFUNCTION("""COMPUTED_VALUE"""),0.0)</f>
        <v>0</v>
      </c>
      <c r="AG439" s="443" t="s">
        <v>98</v>
      </c>
      <c r="AH439" s="443" t="s">
        <v>961</v>
      </c>
      <c r="AI439" s="443"/>
      <c r="AJ439" s="443"/>
      <c r="AK439" s="443"/>
      <c r="AL439" s="443"/>
      <c r="AM439" s="443"/>
      <c r="AN439" s="443"/>
      <c r="AO439" s="443"/>
      <c r="AP439" s="443"/>
      <c r="AQ439" s="443"/>
      <c r="AR439" s="443"/>
      <c r="AS439" s="443"/>
      <c r="AT439" s="443"/>
      <c r="AU439" s="443"/>
      <c r="AV439" s="443"/>
      <c r="AW439" s="443"/>
      <c r="AX439" s="443"/>
      <c r="AY439" s="443"/>
      <c r="AZ439" s="443"/>
      <c r="BA439" s="443"/>
      <c r="BB439" s="443"/>
      <c r="BC439" s="443"/>
      <c r="BD439" s="443"/>
      <c r="BE439" s="443"/>
    </row>
    <row r="440" hidden="1">
      <c r="A440" s="445">
        <f t="shared" si="5"/>
        <v>45730</v>
      </c>
      <c r="B440" s="449">
        <v>462.0</v>
      </c>
      <c r="C440" s="462">
        <v>0.6</v>
      </c>
      <c r="D440" s="462">
        <v>0.96875</v>
      </c>
      <c r="E440" s="436">
        <f t="array" ref="E440">IF(B440=0,"",(J440+K440)/60)</f>
        <v>0.9166666667</v>
      </c>
      <c r="F440" s="437">
        <f t="shared" si="1"/>
        <v>8.85</v>
      </c>
      <c r="G440" s="438">
        <f t="shared" si="8"/>
        <v>52.20338983</v>
      </c>
      <c r="H440" s="438">
        <f t="shared" si="3"/>
        <v>58.23529412</v>
      </c>
      <c r="I440" s="436">
        <f t="shared" si="6"/>
        <v>1.087570621</v>
      </c>
      <c r="J440" s="460">
        <v>30.0</v>
      </c>
      <c r="K440" s="464">
        <f>5+5+10+5</f>
        <v>25</v>
      </c>
      <c r="L440" s="443"/>
      <c r="M440" s="447">
        <f>IFERROR(__xludf.DUMMYFUNCTION("""COMPUTED_VALUE"""),57.0)</f>
        <v>57</v>
      </c>
      <c r="N440" s="447">
        <f>IFERROR(__xludf.DUMMYFUNCTION("""COMPUTED_VALUE"""),57.0)</f>
        <v>57</v>
      </c>
      <c r="O440" s="447">
        <f>IFERROR(__xludf.DUMMYFUNCTION("""COMPUTED_VALUE"""),0.0)</f>
        <v>0</v>
      </c>
      <c r="P440" s="447">
        <f>IFERROR(__xludf.DUMMYFUNCTION("""COMPUTED_VALUE"""),0.0)</f>
        <v>0</v>
      </c>
      <c r="Q440" s="447">
        <f>IFERROR(__xludf.DUMMYFUNCTION("""COMPUTED_VALUE"""),0.0)</f>
        <v>0</v>
      </c>
      <c r="R440" s="447">
        <f>IFERROR(__xludf.DUMMYFUNCTION("""COMPUTED_VALUE"""),0.0)</f>
        <v>0</v>
      </c>
      <c r="S440" s="447">
        <f>IFERROR(__xludf.DUMMYFUNCTION("""COMPUTED_VALUE"""),4.0)</f>
        <v>4</v>
      </c>
      <c r="T440" s="447">
        <f>IFERROR(__xludf.DUMMYFUNCTION("""COMPUTED_VALUE"""),0.0)</f>
        <v>0</v>
      </c>
      <c r="U440" s="447">
        <f>IFERROR(__xludf.DUMMYFUNCTION("""COMPUTED_VALUE"""),0.0)</f>
        <v>0</v>
      </c>
      <c r="V440" s="447">
        <f>IFERROR(__xludf.DUMMYFUNCTION("""COMPUTED_VALUE"""),3.0)</f>
        <v>3</v>
      </c>
      <c r="W440" s="447">
        <f>IFERROR(__xludf.DUMMYFUNCTION("""COMPUTED_VALUE"""),0.0)</f>
        <v>0</v>
      </c>
      <c r="X440" s="447">
        <f>IFERROR(__xludf.DUMMYFUNCTION("""COMPUTED_VALUE"""),0.0)</f>
        <v>0</v>
      </c>
      <c r="Y440" s="447">
        <f>IFERROR(__xludf.DUMMYFUNCTION("""COMPUTED_VALUE"""),0.0)</f>
        <v>0</v>
      </c>
      <c r="Z440" s="447">
        <f>IFERROR(__xludf.DUMMYFUNCTION("""COMPUTED_VALUE"""),0.0)</f>
        <v>0</v>
      </c>
      <c r="AA440" s="447">
        <f>IFERROR(__xludf.DUMMYFUNCTION("""COMPUTED_VALUE"""),0.0)</f>
        <v>0</v>
      </c>
      <c r="AB440" s="447">
        <f>IFERROR(__xludf.DUMMYFUNCTION("""COMPUTED_VALUE"""),0.0)</f>
        <v>0</v>
      </c>
      <c r="AC440" s="447">
        <f>IFERROR(__xludf.DUMMYFUNCTION("""COMPUTED_VALUE"""),1.0)</f>
        <v>1</v>
      </c>
      <c r="AD440" s="447">
        <f>IFERROR(__xludf.DUMMYFUNCTION("""COMPUTED_VALUE"""),48.0)</f>
        <v>48</v>
      </c>
      <c r="AE440" s="447">
        <f>IFERROR(__xludf.DUMMYFUNCTION("""COMPUTED_VALUE"""),8.0)</f>
        <v>8</v>
      </c>
      <c r="AF440" s="447">
        <f>IFERROR(__xludf.DUMMYFUNCTION("""COMPUTED_VALUE"""),0.0)</f>
        <v>0</v>
      </c>
      <c r="AG440" s="443" t="s">
        <v>98</v>
      </c>
      <c r="AH440" s="443" t="s">
        <v>961</v>
      </c>
      <c r="AI440" s="443"/>
      <c r="AJ440" s="443"/>
      <c r="AK440" s="443"/>
      <c r="AL440" s="443"/>
      <c r="AM440" s="443"/>
      <c r="AN440" s="443"/>
      <c r="AO440" s="443"/>
      <c r="AP440" s="443"/>
      <c r="AQ440" s="443"/>
      <c r="AR440" s="443"/>
      <c r="AS440" s="443"/>
      <c r="AT440" s="443"/>
      <c r="AU440" s="443"/>
      <c r="AV440" s="443"/>
      <c r="AW440" s="443"/>
      <c r="AX440" s="443"/>
      <c r="AY440" s="443"/>
      <c r="AZ440" s="443"/>
      <c r="BA440" s="443"/>
      <c r="BB440" s="443"/>
      <c r="BC440" s="443"/>
      <c r="BD440" s="443"/>
      <c r="BE440" s="443"/>
    </row>
    <row r="441" hidden="1">
      <c r="A441" s="445">
        <f t="shared" si="5"/>
        <v>45731</v>
      </c>
      <c r="B441" s="449">
        <v>288.0</v>
      </c>
      <c r="C441" s="462">
        <v>0.6</v>
      </c>
      <c r="D441" s="462">
        <v>0.8145833333333333</v>
      </c>
      <c r="E441" s="436">
        <f t="array" ref="E441">IF(B441=0,"",(J441+K441)/60)</f>
        <v>0</v>
      </c>
      <c r="F441" s="437">
        <f t="shared" si="1"/>
        <v>5.15</v>
      </c>
      <c r="G441" s="438">
        <f t="shared" si="8"/>
        <v>55.9223301</v>
      </c>
      <c r="H441" s="438">
        <f t="shared" si="3"/>
        <v>55.9223301</v>
      </c>
      <c r="I441" s="436">
        <f t="shared" si="6"/>
        <v>1.189836811</v>
      </c>
      <c r="J441" s="460">
        <v>0.0</v>
      </c>
      <c r="K441" s="464"/>
      <c r="L441" s="443"/>
      <c r="M441" s="447">
        <f>IFERROR(__xludf.DUMMYFUNCTION("""COMPUTED_VALUE"""),57.0)</f>
        <v>57</v>
      </c>
      <c r="N441" s="447">
        <f>IFERROR(__xludf.DUMMYFUNCTION("""COMPUTED_VALUE"""),57.0)</f>
        <v>57</v>
      </c>
      <c r="O441" s="447">
        <f>IFERROR(__xludf.DUMMYFUNCTION("""COMPUTED_VALUE"""),0.0)</f>
        <v>0</v>
      </c>
      <c r="P441" s="447">
        <f>IFERROR(__xludf.DUMMYFUNCTION("""COMPUTED_VALUE"""),0.0)</f>
        <v>0</v>
      </c>
      <c r="Q441" s="447">
        <f>IFERROR(__xludf.DUMMYFUNCTION("""COMPUTED_VALUE"""),0.0)</f>
        <v>0</v>
      </c>
      <c r="R441" s="447">
        <f>IFERROR(__xludf.DUMMYFUNCTION("""COMPUTED_VALUE"""),0.0)</f>
        <v>0</v>
      </c>
      <c r="S441" s="447">
        <f>IFERROR(__xludf.DUMMYFUNCTION("""COMPUTED_VALUE"""),4.0)</f>
        <v>4</v>
      </c>
      <c r="T441" s="447">
        <f>IFERROR(__xludf.DUMMYFUNCTION("""COMPUTED_VALUE"""),0.0)</f>
        <v>0</v>
      </c>
      <c r="U441" s="447">
        <f>IFERROR(__xludf.DUMMYFUNCTION("""COMPUTED_VALUE"""),0.0)</f>
        <v>0</v>
      </c>
      <c r="V441" s="447">
        <f>IFERROR(__xludf.DUMMYFUNCTION("""COMPUTED_VALUE"""),3.0)</f>
        <v>3</v>
      </c>
      <c r="W441" s="447">
        <f>IFERROR(__xludf.DUMMYFUNCTION("""COMPUTED_VALUE"""),0.0)</f>
        <v>0</v>
      </c>
      <c r="X441" s="447">
        <f>IFERROR(__xludf.DUMMYFUNCTION("""COMPUTED_VALUE"""),0.0)</f>
        <v>0</v>
      </c>
      <c r="Y441" s="447">
        <f>IFERROR(__xludf.DUMMYFUNCTION("""COMPUTED_VALUE"""),0.0)</f>
        <v>0</v>
      </c>
      <c r="Z441" s="447">
        <f>IFERROR(__xludf.DUMMYFUNCTION("""COMPUTED_VALUE"""),0.0)</f>
        <v>0</v>
      </c>
      <c r="AA441" s="447">
        <f>IFERROR(__xludf.DUMMYFUNCTION("""COMPUTED_VALUE"""),0.0)</f>
        <v>0</v>
      </c>
      <c r="AB441" s="447">
        <f>IFERROR(__xludf.DUMMYFUNCTION("""COMPUTED_VALUE"""),0.0)</f>
        <v>0</v>
      </c>
      <c r="AC441" s="447">
        <f>IFERROR(__xludf.DUMMYFUNCTION("""COMPUTED_VALUE"""),2.0)</f>
        <v>2</v>
      </c>
      <c r="AD441" s="447">
        <f>IFERROR(__xludf.DUMMYFUNCTION("""COMPUTED_VALUE"""),47.0)</f>
        <v>47</v>
      </c>
      <c r="AE441" s="447">
        <f>IFERROR(__xludf.DUMMYFUNCTION("""COMPUTED_VALUE"""),9.0)</f>
        <v>9</v>
      </c>
      <c r="AF441" s="447">
        <f>IFERROR(__xludf.DUMMYFUNCTION("""COMPUTED_VALUE"""),0.0)</f>
        <v>0</v>
      </c>
      <c r="AG441" s="443" t="s">
        <v>98</v>
      </c>
      <c r="AH441" s="443" t="s">
        <v>961</v>
      </c>
      <c r="AI441" s="443"/>
      <c r="AJ441" s="443"/>
      <c r="AK441" s="443"/>
      <c r="AL441" s="443"/>
      <c r="AM441" s="443"/>
      <c r="AN441" s="443"/>
      <c r="AO441" s="443"/>
      <c r="AP441" s="443"/>
      <c r="AQ441" s="443"/>
      <c r="AR441" s="443"/>
      <c r="AS441" s="443"/>
      <c r="AT441" s="443"/>
      <c r="AU441" s="443"/>
      <c r="AV441" s="443"/>
      <c r="AW441" s="443"/>
      <c r="AX441" s="443"/>
      <c r="AY441" s="443"/>
      <c r="AZ441" s="443"/>
      <c r="BA441" s="443"/>
      <c r="BB441" s="443"/>
      <c r="BC441" s="443"/>
      <c r="BD441" s="443"/>
      <c r="BE441" s="443"/>
    </row>
    <row r="442" hidden="1">
      <c r="A442" s="445">
        <f t="shared" si="5"/>
        <v>45732</v>
      </c>
      <c r="B442" s="449">
        <v>0.0</v>
      </c>
      <c r="C442" s="443"/>
      <c r="D442" s="462"/>
      <c r="E442" s="436" t="str">
        <f t="array" ref="E442">IF(B442=0,"",(J442+K442)/60)</f>
        <v/>
      </c>
      <c r="F442" s="437" t="str">
        <f t="shared" si="1"/>
        <v/>
      </c>
      <c r="G442" s="438" t="str">
        <f t="shared" si="8"/>
        <v>#DIV/0!</v>
      </c>
      <c r="H442" s="438" t="str">
        <f t="shared" si="3"/>
        <v/>
      </c>
      <c r="I442" s="436" t="str">
        <f t="shared" si="6"/>
        <v/>
      </c>
      <c r="J442" s="464"/>
      <c r="K442" s="464"/>
      <c r="L442" s="443"/>
      <c r="M442" s="447">
        <f>IFERROR(__xludf.DUMMYFUNCTION("""COMPUTED_VALUE"""),57.0)</f>
        <v>57</v>
      </c>
      <c r="N442" s="447">
        <f>IFERROR(__xludf.DUMMYFUNCTION("""COMPUTED_VALUE"""),57.0)</f>
        <v>57</v>
      </c>
      <c r="O442" s="447">
        <f>IFERROR(__xludf.DUMMYFUNCTION("""COMPUTED_VALUE"""),0.0)</f>
        <v>0</v>
      </c>
      <c r="P442" s="447">
        <f>IFERROR(__xludf.DUMMYFUNCTION("""COMPUTED_VALUE"""),0.0)</f>
        <v>0</v>
      </c>
      <c r="Q442" s="447">
        <f>IFERROR(__xludf.DUMMYFUNCTION("""COMPUTED_VALUE"""),0.0)</f>
        <v>0</v>
      </c>
      <c r="R442" s="447">
        <f>IFERROR(__xludf.DUMMYFUNCTION("""COMPUTED_VALUE"""),0.0)</f>
        <v>0</v>
      </c>
      <c r="S442" s="447">
        <f>IFERROR(__xludf.DUMMYFUNCTION("""COMPUTED_VALUE"""),0.0)</f>
        <v>0</v>
      </c>
      <c r="T442" s="447">
        <f>IFERROR(__xludf.DUMMYFUNCTION("""COMPUTED_VALUE"""),0.0)</f>
        <v>0</v>
      </c>
      <c r="U442" s="447">
        <f>IFERROR(__xludf.DUMMYFUNCTION("""COMPUTED_VALUE"""),0.0)</f>
        <v>0</v>
      </c>
      <c r="V442" s="447">
        <f>IFERROR(__xludf.DUMMYFUNCTION("""COMPUTED_VALUE"""),0.0)</f>
        <v>0</v>
      </c>
      <c r="W442" s="447">
        <f>IFERROR(__xludf.DUMMYFUNCTION("""COMPUTED_VALUE"""),0.0)</f>
        <v>0</v>
      </c>
      <c r="X442" s="447">
        <f>IFERROR(__xludf.DUMMYFUNCTION("""COMPUTED_VALUE"""),0.0)</f>
        <v>0</v>
      </c>
      <c r="Y442" s="447">
        <f>IFERROR(__xludf.DUMMYFUNCTION("""COMPUTED_VALUE"""),0.0)</f>
        <v>0</v>
      </c>
      <c r="Z442" s="447">
        <f>IFERROR(__xludf.DUMMYFUNCTION("""COMPUTED_VALUE"""),0.0)</f>
        <v>0</v>
      </c>
      <c r="AA442" s="447">
        <f>IFERROR(__xludf.DUMMYFUNCTION("""COMPUTED_VALUE"""),0.0)</f>
        <v>0</v>
      </c>
      <c r="AB442" s="447">
        <f>IFERROR(__xludf.DUMMYFUNCTION("""COMPUTED_VALUE"""),0.0)</f>
        <v>0</v>
      </c>
      <c r="AC442" s="447">
        <f>IFERROR(__xludf.DUMMYFUNCTION("""COMPUTED_VALUE"""),0.0)</f>
        <v>0</v>
      </c>
      <c r="AD442" s="447">
        <f>IFERROR(__xludf.DUMMYFUNCTION("""COMPUTED_VALUE"""),0.0)</f>
        <v>0</v>
      </c>
      <c r="AE442" s="447">
        <f>IFERROR(__xludf.DUMMYFUNCTION("""COMPUTED_VALUE"""),0.0)</f>
        <v>0</v>
      </c>
      <c r="AF442" s="447">
        <f>IFERROR(__xludf.DUMMYFUNCTION("""COMPUTED_VALUE"""),0.0)</f>
        <v>0</v>
      </c>
      <c r="AG442" s="443" t="s">
        <v>98</v>
      </c>
      <c r="AH442" s="443" t="s">
        <v>961</v>
      </c>
      <c r="AI442" s="443"/>
      <c r="AJ442" s="443"/>
      <c r="AK442" s="443"/>
      <c r="AL442" s="443"/>
      <c r="AM442" s="443"/>
      <c r="AN442" s="443"/>
      <c r="AO442" s="443"/>
      <c r="AP442" s="443"/>
      <c r="AQ442" s="443"/>
      <c r="AR442" s="443"/>
      <c r="AS442" s="443"/>
      <c r="AT442" s="443"/>
      <c r="AU442" s="443"/>
      <c r="AV442" s="443"/>
      <c r="AW442" s="443"/>
      <c r="AX442" s="443"/>
      <c r="AY442" s="443"/>
      <c r="AZ442" s="443"/>
      <c r="BA442" s="443"/>
      <c r="BB442" s="443"/>
      <c r="BC442" s="443"/>
      <c r="BD442" s="443"/>
      <c r="BE442" s="443"/>
    </row>
    <row r="443" hidden="1">
      <c r="A443" s="445">
        <f t="shared" si="5"/>
        <v>45733</v>
      </c>
      <c r="B443" s="449">
        <v>581.0</v>
      </c>
      <c r="C443" s="462">
        <v>0.6</v>
      </c>
      <c r="D443" s="462">
        <v>0.022222222222222223</v>
      </c>
      <c r="E443" s="436">
        <f t="array" ref="E443">IF(B443=0,"",(J443+K443)/60)</f>
        <v>1.3</v>
      </c>
      <c r="F443" s="437" t="str">
        <f t="shared" si="1"/>
        <v>#NUM!</v>
      </c>
      <c r="G443" s="438" t="str">
        <f t="shared" si="8"/>
        <v>#NUM!</v>
      </c>
      <c r="H443" s="438" t="str">
        <f t="shared" si="3"/>
        <v>#NUM!</v>
      </c>
      <c r="I443" s="436" t="str">
        <f t="shared" si="6"/>
        <v>#NUM!</v>
      </c>
      <c r="J443" s="460">
        <v>60.0</v>
      </c>
      <c r="K443" s="464">
        <f>11+7</f>
        <v>18</v>
      </c>
      <c r="L443" s="443"/>
      <c r="M443" s="447">
        <f>IFERROR(__xludf.DUMMYFUNCTION("""COMPUTED_VALUE"""),57.0)</f>
        <v>57</v>
      </c>
      <c r="N443" s="447">
        <f>IFERROR(__xludf.DUMMYFUNCTION("""COMPUTED_VALUE"""),57.0)</f>
        <v>57</v>
      </c>
      <c r="O443" s="447">
        <f>IFERROR(__xludf.DUMMYFUNCTION("""COMPUTED_VALUE"""),0.0)</f>
        <v>0</v>
      </c>
      <c r="P443" s="447">
        <f>IFERROR(__xludf.DUMMYFUNCTION("""COMPUTED_VALUE"""),0.0)</f>
        <v>0</v>
      </c>
      <c r="Q443" s="447">
        <f>IFERROR(__xludf.DUMMYFUNCTION("""COMPUTED_VALUE"""),0.0)</f>
        <v>0</v>
      </c>
      <c r="R443" s="447">
        <f>IFERROR(__xludf.DUMMYFUNCTION("""COMPUTED_VALUE"""),0.0)</f>
        <v>0</v>
      </c>
      <c r="S443" s="447">
        <f>IFERROR(__xludf.DUMMYFUNCTION("""COMPUTED_VALUE"""),0.0)</f>
        <v>0</v>
      </c>
      <c r="T443" s="447">
        <f>IFERROR(__xludf.DUMMYFUNCTION("""COMPUTED_VALUE"""),1.0)</f>
        <v>1</v>
      </c>
      <c r="U443" s="447">
        <f>IFERROR(__xludf.DUMMYFUNCTION("""COMPUTED_VALUE"""),0.0)</f>
        <v>0</v>
      </c>
      <c r="V443" s="447">
        <f>IFERROR(__xludf.DUMMYFUNCTION("""COMPUTED_VALUE"""),3.0)</f>
        <v>3</v>
      </c>
      <c r="W443" s="447">
        <f>IFERROR(__xludf.DUMMYFUNCTION("""COMPUTED_VALUE"""),0.0)</f>
        <v>0</v>
      </c>
      <c r="X443" s="447">
        <f>IFERROR(__xludf.DUMMYFUNCTION("""COMPUTED_VALUE"""),0.0)</f>
        <v>0</v>
      </c>
      <c r="Y443" s="447">
        <f>IFERROR(__xludf.DUMMYFUNCTION("""COMPUTED_VALUE"""),0.0)</f>
        <v>0</v>
      </c>
      <c r="Z443" s="447">
        <f>IFERROR(__xludf.DUMMYFUNCTION("""COMPUTED_VALUE"""),0.0)</f>
        <v>0</v>
      </c>
      <c r="AA443" s="447">
        <f>IFERROR(__xludf.DUMMYFUNCTION("""COMPUTED_VALUE"""),0.0)</f>
        <v>0</v>
      </c>
      <c r="AB443" s="447">
        <f>IFERROR(__xludf.DUMMYFUNCTION("""COMPUTED_VALUE"""),0.0)</f>
        <v>0</v>
      </c>
      <c r="AC443" s="447">
        <f>IFERROR(__xludf.DUMMYFUNCTION("""COMPUTED_VALUE"""),0.0)</f>
        <v>0</v>
      </c>
      <c r="AD443" s="447">
        <f>IFERROR(__xludf.DUMMYFUNCTION("""COMPUTED_VALUE"""),52.0)</f>
        <v>52</v>
      </c>
      <c r="AE443" s="447">
        <f>IFERROR(__xludf.DUMMYFUNCTION("""COMPUTED_VALUE"""),4.0)</f>
        <v>4</v>
      </c>
      <c r="AF443" s="447">
        <f>IFERROR(__xludf.DUMMYFUNCTION("""COMPUTED_VALUE"""),0.0)</f>
        <v>0</v>
      </c>
      <c r="AG443" s="443" t="s">
        <v>98</v>
      </c>
      <c r="AH443" s="443" t="s">
        <v>961</v>
      </c>
      <c r="AI443" s="443"/>
      <c r="AJ443" s="443"/>
      <c r="AK443" s="443"/>
      <c r="AL443" s="443"/>
      <c r="AM443" s="443"/>
      <c r="AN443" s="443"/>
      <c r="AO443" s="443"/>
      <c r="AP443" s="443"/>
      <c r="AQ443" s="443"/>
      <c r="AR443" s="443"/>
      <c r="AS443" s="443"/>
      <c r="AT443" s="443"/>
      <c r="AU443" s="443"/>
      <c r="AV443" s="443"/>
      <c r="AW443" s="443"/>
      <c r="AX443" s="443"/>
      <c r="AY443" s="443"/>
      <c r="AZ443" s="443"/>
      <c r="BA443" s="443"/>
      <c r="BB443" s="443"/>
      <c r="BC443" s="443"/>
      <c r="BD443" s="443"/>
      <c r="BE443" s="443"/>
    </row>
    <row r="444" hidden="1">
      <c r="A444" s="445">
        <f t="shared" si="5"/>
        <v>45734</v>
      </c>
      <c r="B444" s="449">
        <v>462.0</v>
      </c>
      <c r="C444" s="462">
        <v>0.6</v>
      </c>
      <c r="D444" s="462">
        <v>0.9652777777777778</v>
      </c>
      <c r="E444" s="436">
        <f t="array" ref="E444">IF(B444=0,"",(J444+K444)/60)</f>
        <v>0.5</v>
      </c>
      <c r="F444" s="437">
        <f t="shared" si="1"/>
        <v>8.766666667</v>
      </c>
      <c r="G444" s="438">
        <f t="shared" si="8"/>
        <v>52.69961977</v>
      </c>
      <c r="H444" s="438">
        <f t="shared" si="3"/>
        <v>55.88709677</v>
      </c>
      <c r="I444" s="436">
        <f t="shared" si="6"/>
        <v>0.9943324485</v>
      </c>
      <c r="J444" s="460">
        <v>30.0</v>
      </c>
      <c r="K444" s="464"/>
      <c r="L444" s="443"/>
      <c r="M444" s="447">
        <f>IFERROR(__xludf.DUMMYFUNCTION("""COMPUTED_VALUE"""),57.0)</f>
        <v>57</v>
      </c>
      <c r="N444" s="447">
        <f>IFERROR(__xludf.DUMMYFUNCTION("""COMPUTED_VALUE"""),57.0)</f>
        <v>57</v>
      </c>
      <c r="O444" s="447">
        <f>IFERROR(__xludf.DUMMYFUNCTION("""COMPUTED_VALUE"""),0.0)</f>
        <v>0</v>
      </c>
      <c r="P444" s="447">
        <f>IFERROR(__xludf.DUMMYFUNCTION("""COMPUTED_VALUE"""),0.0)</f>
        <v>0</v>
      </c>
      <c r="Q444" s="447">
        <f>IFERROR(__xludf.DUMMYFUNCTION("""COMPUTED_VALUE"""),0.0)</f>
        <v>0</v>
      </c>
      <c r="R444" s="447">
        <f>IFERROR(__xludf.DUMMYFUNCTION("""COMPUTED_VALUE"""),0.0)</f>
        <v>0</v>
      </c>
      <c r="S444" s="447">
        <f>IFERROR(__xludf.DUMMYFUNCTION("""COMPUTED_VALUE"""),1.0)</f>
        <v>1</v>
      </c>
      <c r="T444" s="447">
        <f>IFERROR(__xludf.DUMMYFUNCTION("""COMPUTED_VALUE"""),0.0)</f>
        <v>0</v>
      </c>
      <c r="U444" s="447">
        <f>IFERROR(__xludf.DUMMYFUNCTION("""COMPUTED_VALUE"""),0.0)</f>
        <v>0</v>
      </c>
      <c r="V444" s="447">
        <f>IFERROR(__xludf.DUMMYFUNCTION("""COMPUTED_VALUE"""),2.0)</f>
        <v>2</v>
      </c>
      <c r="W444" s="447">
        <f>IFERROR(__xludf.DUMMYFUNCTION("""COMPUTED_VALUE"""),0.0)</f>
        <v>0</v>
      </c>
      <c r="X444" s="447">
        <f>IFERROR(__xludf.DUMMYFUNCTION("""COMPUTED_VALUE"""),0.0)</f>
        <v>0</v>
      </c>
      <c r="Y444" s="447">
        <f>IFERROR(__xludf.DUMMYFUNCTION("""COMPUTED_VALUE"""),0.0)</f>
        <v>0</v>
      </c>
      <c r="Z444" s="447">
        <f>IFERROR(__xludf.DUMMYFUNCTION("""COMPUTED_VALUE"""),0.0)</f>
        <v>0</v>
      </c>
      <c r="AA444" s="447">
        <f>IFERROR(__xludf.DUMMYFUNCTION("""COMPUTED_VALUE"""),0.0)</f>
        <v>0</v>
      </c>
      <c r="AB444" s="447">
        <f>IFERROR(__xludf.DUMMYFUNCTION("""COMPUTED_VALUE"""),0.0)</f>
        <v>0</v>
      </c>
      <c r="AC444" s="447">
        <f>IFERROR(__xludf.DUMMYFUNCTION("""COMPUTED_VALUE"""),0.0)</f>
        <v>0</v>
      </c>
      <c r="AD444" s="447">
        <f>IFERROR(__xludf.DUMMYFUNCTION("""COMPUTED_VALUE"""),53.0)</f>
        <v>53</v>
      </c>
      <c r="AE444" s="447">
        <f>IFERROR(__xludf.DUMMYFUNCTION("""COMPUTED_VALUE"""),3.0)</f>
        <v>3</v>
      </c>
      <c r="AF444" s="447">
        <f>IFERROR(__xludf.DUMMYFUNCTION("""COMPUTED_VALUE"""),0.0)</f>
        <v>0</v>
      </c>
      <c r="AG444" s="443" t="s">
        <v>98</v>
      </c>
      <c r="AH444" s="443" t="s">
        <v>961</v>
      </c>
      <c r="AI444" s="443"/>
      <c r="AJ444" s="443"/>
      <c r="AK444" s="443"/>
      <c r="AL444" s="443"/>
      <c r="AM444" s="443"/>
      <c r="AN444" s="443"/>
      <c r="AO444" s="443"/>
      <c r="AP444" s="443"/>
      <c r="AQ444" s="443"/>
      <c r="AR444" s="443"/>
      <c r="AS444" s="443"/>
      <c r="AT444" s="443"/>
      <c r="AU444" s="443"/>
      <c r="AV444" s="443"/>
      <c r="AW444" s="443"/>
      <c r="AX444" s="443"/>
      <c r="AY444" s="443"/>
      <c r="AZ444" s="443"/>
      <c r="BA444" s="443"/>
      <c r="BB444" s="443"/>
      <c r="BC444" s="443"/>
      <c r="BD444" s="443"/>
      <c r="BE444" s="443"/>
    </row>
    <row r="445" hidden="1">
      <c r="A445" s="445">
        <f t="shared" si="5"/>
        <v>45735</v>
      </c>
      <c r="B445" s="449">
        <v>377.0</v>
      </c>
      <c r="C445" s="462">
        <v>0.6</v>
      </c>
      <c r="D445" s="462">
        <v>0.8986111111111111</v>
      </c>
      <c r="E445" s="436">
        <f t="array" ref="E445">IF(B445=0,"",(J445+K445)/60)</f>
        <v>0.95</v>
      </c>
      <c r="F445" s="437">
        <f t="shared" si="1"/>
        <v>7.166666667</v>
      </c>
      <c r="G445" s="438">
        <f t="shared" si="8"/>
        <v>52.60465116</v>
      </c>
      <c r="H445" s="438">
        <f t="shared" si="3"/>
        <v>60.64343164</v>
      </c>
      <c r="I445" s="436">
        <f t="shared" si="6"/>
        <v>1.031463748</v>
      </c>
      <c r="J445" s="460">
        <v>30.0</v>
      </c>
      <c r="K445" s="464">
        <f>11+8+8</f>
        <v>27</v>
      </c>
      <c r="L445" s="443"/>
      <c r="M445" s="447">
        <f>IFERROR(__xludf.DUMMYFUNCTION("""COMPUTED_VALUE"""),57.0)</f>
        <v>57</v>
      </c>
      <c r="N445" s="447">
        <f>IFERROR(__xludf.DUMMYFUNCTION("""COMPUTED_VALUE"""),57.0)</f>
        <v>57</v>
      </c>
      <c r="O445" s="447">
        <f>IFERROR(__xludf.DUMMYFUNCTION("""COMPUTED_VALUE"""),0.0)</f>
        <v>0</v>
      </c>
      <c r="P445" s="447">
        <f>IFERROR(__xludf.DUMMYFUNCTION("""COMPUTED_VALUE"""),0.0)</f>
        <v>0</v>
      </c>
      <c r="Q445" s="447">
        <f>IFERROR(__xludf.DUMMYFUNCTION("""COMPUTED_VALUE"""),0.0)</f>
        <v>0</v>
      </c>
      <c r="R445" s="447">
        <f>IFERROR(__xludf.DUMMYFUNCTION("""COMPUTED_VALUE"""),0.0)</f>
        <v>0</v>
      </c>
      <c r="S445" s="447">
        <f>IFERROR(__xludf.DUMMYFUNCTION("""COMPUTED_VALUE"""),2.0)</f>
        <v>2</v>
      </c>
      <c r="T445" s="447">
        <f>IFERROR(__xludf.DUMMYFUNCTION("""COMPUTED_VALUE"""),0.0)</f>
        <v>0</v>
      </c>
      <c r="U445" s="447">
        <f>IFERROR(__xludf.DUMMYFUNCTION("""COMPUTED_VALUE"""),0.0)</f>
        <v>0</v>
      </c>
      <c r="V445" s="447">
        <f>IFERROR(__xludf.DUMMYFUNCTION("""COMPUTED_VALUE"""),2.0)</f>
        <v>2</v>
      </c>
      <c r="W445" s="447">
        <f>IFERROR(__xludf.DUMMYFUNCTION("""COMPUTED_VALUE"""),0.0)</f>
        <v>0</v>
      </c>
      <c r="X445" s="447">
        <f>IFERROR(__xludf.DUMMYFUNCTION("""COMPUTED_VALUE"""),0.0)</f>
        <v>0</v>
      </c>
      <c r="Y445" s="447">
        <f>IFERROR(__xludf.DUMMYFUNCTION("""COMPUTED_VALUE"""),0.0)</f>
        <v>0</v>
      </c>
      <c r="Z445" s="447">
        <f>IFERROR(__xludf.DUMMYFUNCTION("""COMPUTED_VALUE"""),0.0)</f>
        <v>0</v>
      </c>
      <c r="AA445" s="447">
        <f>IFERROR(__xludf.DUMMYFUNCTION("""COMPUTED_VALUE"""),0.0)</f>
        <v>0</v>
      </c>
      <c r="AB445" s="447">
        <f>IFERROR(__xludf.DUMMYFUNCTION("""COMPUTED_VALUE"""),0.0)</f>
        <v>0</v>
      </c>
      <c r="AC445" s="447">
        <f>IFERROR(__xludf.DUMMYFUNCTION("""COMPUTED_VALUE"""),1.0)</f>
        <v>1</v>
      </c>
      <c r="AD445" s="447">
        <f>IFERROR(__xludf.DUMMYFUNCTION("""COMPUTED_VALUE"""),51.0)</f>
        <v>51</v>
      </c>
      <c r="AE445" s="447">
        <f>IFERROR(__xludf.DUMMYFUNCTION("""COMPUTED_VALUE"""),5.0)</f>
        <v>5</v>
      </c>
      <c r="AF445" s="447">
        <f>IFERROR(__xludf.DUMMYFUNCTION("""COMPUTED_VALUE"""),0.0)</f>
        <v>0</v>
      </c>
      <c r="AG445" s="443" t="s">
        <v>98</v>
      </c>
      <c r="AH445" s="443" t="s">
        <v>961</v>
      </c>
      <c r="AI445" s="443"/>
      <c r="AJ445" s="443"/>
      <c r="AK445" s="443"/>
      <c r="AL445" s="443"/>
      <c r="AM445" s="443"/>
      <c r="AN445" s="443"/>
      <c r="AO445" s="443"/>
      <c r="AP445" s="443"/>
      <c r="AQ445" s="443"/>
      <c r="AR445" s="443"/>
      <c r="AS445" s="443"/>
      <c r="AT445" s="443"/>
      <c r="AU445" s="443"/>
      <c r="AV445" s="443"/>
      <c r="AW445" s="443"/>
      <c r="AX445" s="443"/>
      <c r="AY445" s="443"/>
      <c r="AZ445" s="443"/>
      <c r="BA445" s="443"/>
      <c r="BB445" s="443"/>
      <c r="BC445" s="443"/>
      <c r="BD445" s="443"/>
      <c r="BE445" s="443"/>
    </row>
    <row r="446" hidden="1">
      <c r="A446" s="445">
        <f t="shared" si="5"/>
        <v>45736</v>
      </c>
      <c r="B446" s="449">
        <v>483.0</v>
      </c>
      <c r="C446" s="462">
        <v>0.6</v>
      </c>
      <c r="D446" s="462">
        <v>0.95</v>
      </c>
      <c r="E446" s="436">
        <f t="array" ref="E446">IF(B446=0,"",(J446+K446)/60)</f>
        <v>0.5</v>
      </c>
      <c r="F446" s="437">
        <f t="shared" si="1"/>
        <v>8.4</v>
      </c>
      <c r="G446" s="438">
        <f t="shared" si="8"/>
        <v>57.5</v>
      </c>
      <c r="H446" s="438">
        <f t="shared" si="3"/>
        <v>61.13924051</v>
      </c>
      <c r="I446" s="436">
        <f t="shared" si="6"/>
        <v>1.15</v>
      </c>
      <c r="J446" s="460">
        <v>30.0</v>
      </c>
      <c r="K446" s="464"/>
      <c r="L446" s="443"/>
      <c r="M446" s="447">
        <f>IFERROR(__xludf.DUMMYFUNCTION("""COMPUTED_VALUE"""),57.0)</f>
        <v>57</v>
      </c>
      <c r="N446" s="447">
        <f>IFERROR(__xludf.DUMMYFUNCTION("""COMPUTED_VALUE"""),57.0)</f>
        <v>57</v>
      </c>
      <c r="O446" s="447">
        <f>IFERROR(__xludf.DUMMYFUNCTION("""COMPUTED_VALUE"""),0.0)</f>
        <v>0</v>
      </c>
      <c r="P446" s="447">
        <f>IFERROR(__xludf.DUMMYFUNCTION("""COMPUTED_VALUE"""),0.0)</f>
        <v>0</v>
      </c>
      <c r="Q446" s="447">
        <f>IFERROR(__xludf.DUMMYFUNCTION("""COMPUTED_VALUE"""),0.0)</f>
        <v>0</v>
      </c>
      <c r="R446" s="447">
        <f>IFERROR(__xludf.DUMMYFUNCTION("""COMPUTED_VALUE"""),0.0)</f>
        <v>0</v>
      </c>
      <c r="S446" s="447">
        <f>IFERROR(__xludf.DUMMYFUNCTION("""COMPUTED_VALUE"""),3.0)</f>
        <v>3</v>
      </c>
      <c r="T446" s="447">
        <f>IFERROR(__xludf.DUMMYFUNCTION("""COMPUTED_VALUE"""),1.0)</f>
        <v>1</v>
      </c>
      <c r="U446" s="447">
        <f>IFERROR(__xludf.DUMMYFUNCTION("""COMPUTED_VALUE"""),0.0)</f>
        <v>0</v>
      </c>
      <c r="V446" s="447">
        <f>IFERROR(__xludf.DUMMYFUNCTION("""COMPUTED_VALUE"""),2.0)</f>
        <v>2</v>
      </c>
      <c r="W446" s="447">
        <f>IFERROR(__xludf.DUMMYFUNCTION("""COMPUTED_VALUE"""),0.0)</f>
        <v>0</v>
      </c>
      <c r="X446" s="447">
        <f>IFERROR(__xludf.DUMMYFUNCTION("""COMPUTED_VALUE"""),0.0)</f>
        <v>0</v>
      </c>
      <c r="Y446" s="447">
        <f>IFERROR(__xludf.DUMMYFUNCTION("""COMPUTED_VALUE"""),0.0)</f>
        <v>0</v>
      </c>
      <c r="Z446" s="447">
        <f>IFERROR(__xludf.DUMMYFUNCTION("""COMPUTED_VALUE"""),0.0)</f>
        <v>0</v>
      </c>
      <c r="AA446" s="447">
        <f>IFERROR(__xludf.DUMMYFUNCTION("""COMPUTED_VALUE"""),0.0)</f>
        <v>0</v>
      </c>
      <c r="AB446" s="447">
        <f>IFERROR(__xludf.DUMMYFUNCTION("""COMPUTED_VALUE"""),0.0)</f>
        <v>0</v>
      </c>
      <c r="AC446" s="447">
        <f>IFERROR(__xludf.DUMMYFUNCTION("""COMPUTED_VALUE"""),0.0)</f>
        <v>0</v>
      </c>
      <c r="AD446" s="447">
        <f>IFERROR(__xludf.DUMMYFUNCTION("""COMPUTED_VALUE"""),50.0)</f>
        <v>50</v>
      </c>
      <c r="AE446" s="447">
        <f>IFERROR(__xludf.DUMMYFUNCTION("""COMPUTED_VALUE"""),6.0)</f>
        <v>6</v>
      </c>
      <c r="AF446" s="447">
        <f>IFERROR(__xludf.DUMMYFUNCTION("""COMPUTED_VALUE"""),0.0)</f>
        <v>0</v>
      </c>
      <c r="AG446" s="443" t="s">
        <v>98</v>
      </c>
      <c r="AH446" s="443" t="s">
        <v>961</v>
      </c>
      <c r="AI446" s="443"/>
      <c r="AJ446" s="443"/>
      <c r="AK446" s="443"/>
      <c r="AL446" s="443"/>
      <c r="AM446" s="443"/>
      <c r="AN446" s="443"/>
      <c r="AO446" s="443"/>
      <c r="AP446" s="443"/>
      <c r="AQ446" s="443"/>
      <c r="AR446" s="443"/>
      <c r="AS446" s="443"/>
      <c r="AT446" s="443"/>
      <c r="AU446" s="443"/>
      <c r="AV446" s="443"/>
      <c r="AW446" s="443"/>
      <c r="AX446" s="443"/>
      <c r="AY446" s="443"/>
      <c r="AZ446" s="443"/>
      <c r="BA446" s="443"/>
      <c r="BB446" s="443"/>
      <c r="BC446" s="443"/>
      <c r="BD446" s="443"/>
      <c r="BE446" s="443"/>
    </row>
    <row r="447" hidden="1">
      <c r="A447" s="445">
        <f t="shared" si="5"/>
        <v>45737</v>
      </c>
      <c r="B447" s="449">
        <v>368.0</v>
      </c>
      <c r="C447" s="462">
        <v>0.6</v>
      </c>
      <c r="D447" s="462">
        <v>0.90625</v>
      </c>
      <c r="E447" s="436">
        <f t="array" ref="E447">IF(B447=0,"",(J447+K447)/60)</f>
        <v>0.9333333333</v>
      </c>
      <c r="F447" s="437">
        <f t="shared" si="1"/>
        <v>7.35</v>
      </c>
      <c r="G447" s="438">
        <f t="shared" si="8"/>
        <v>50.06802721</v>
      </c>
      <c r="H447" s="438">
        <f t="shared" si="3"/>
        <v>57.35064935</v>
      </c>
      <c r="I447" s="436">
        <f t="shared" si="6"/>
        <v>1.001360544</v>
      </c>
      <c r="J447" s="460">
        <v>30.0</v>
      </c>
      <c r="K447" s="464">
        <f>8+10+8</f>
        <v>26</v>
      </c>
      <c r="L447" s="443"/>
      <c r="M447" s="447">
        <f>IFERROR(__xludf.DUMMYFUNCTION("""COMPUTED_VALUE"""),57.0)</f>
        <v>57</v>
      </c>
      <c r="N447" s="447">
        <f>IFERROR(__xludf.DUMMYFUNCTION("""COMPUTED_VALUE"""),57.0)</f>
        <v>57</v>
      </c>
      <c r="O447" s="447">
        <f>IFERROR(__xludf.DUMMYFUNCTION("""COMPUTED_VALUE"""),0.0)</f>
        <v>0</v>
      </c>
      <c r="P447" s="447">
        <f>IFERROR(__xludf.DUMMYFUNCTION("""COMPUTED_VALUE"""),0.0)</f>
        <v>0</v>
      </c>
      <c r="Q447" s="447">
        <f>IFERROR(__xludf.DUMMYFUNCTION("""COMPUTED_VALUE"""),0.0)</f>
        <v>0</v>
      </c>
      <c r="R447" s="447">
        <f>IFERROR(__xludf.DUMMYFUNCTION("""COMPUTED_VALUE"""),0.0)</f>
        <v>0</v>
      </c>
      <c r="S447" s="447">
        <f>IFERROR(__xludf.DUMMYFUNCTION("""COMPUTED_VALUE"""),3.0)</f>
        <v>3</v>
      </c>
      <c r="T447" s="447">
        <f>IFERROR(__xludf.DUMMYFUNCTION("""COMPUTED_VALUE"""),1.0)</f>
        <v>1</v>
      </c>
      <c r="U447" s="447">
        <f>IFERROR(__xludf.DUMMYFUNCTION("""COMPUTED_VALUE"""),0.0)</f>
        <v>0</v>
      </c>
      <c r="V447" s="447">
        <f>IFERROR(__xludf.DUMMYFUNCTION("""COMPUTED_VALUE"""),2.0)</f>
        <v>2</v>
      </c>
      <c r="W447" s="447">
        <f>IFERROR(__xludf.DUMMYFUNCTION("""COMPUTED_VALUE"""),0.0)</f>
        <v>0</v>
      </c>
      <c r="X447" s="447">
        <f>IFERROR(__xludf.DUMMYFUNCTION("""COMPUTED_VALUE"""),0.0)</f>
        <v>0</v>
      </c>
      <c r="Y447" s="447">
        <f>IFERROR(__xludf.DUMMYFUNCTION("""COMPUTED_VALUE"""),0.0)</f>
        <v>0</v>
      </c>
      <c r="Z447" s="447">
        <f>IFERROR(__xludf.DUMMYFUNCTION("""COMPUTED_VALUE"""),0.0)</f>
        <v>0</v>
      </c>
      <c r="AA447" s="447">
        <f>IFERROR(__xludf.DUMMYFUNCTION("""COMPUTED_VALUE"""),0.0)</f>
        <v>0</v>
      </c>
      <c r="AB447" s="447">
        <f>IFERROR(__xludf.DUMMYFUNCTION("""COMPUTED_VALUE"""),0.0)</f>
        <v>0</v>
      </c>
      <c r="AC447" s="447">
        <f>IFERROR(__xludf.DUMMYFUNCTION("""COMPUTED_VALUE"""),0.0)</f>
        <v>0</v>
      </c>
      <c r="AD447" s="447">
        <f>IFERROR(__xludf.DUMMYFUNCTION("""COMPUTED_VALUE"""),50.0)</f>
        <v>50</v>
      </c>
      <c r="AE447" s="447">
        <f>IFERROR(__xludf.DUMMYFUNCTION("""COMPUTED_VALUE"""),6.0)</f>
        <v>6</v>
      </c>
      <c r="AF447" s="447">
        <f>IFERROR(__xludf.DUMMYFUNCTION("""COMPUTED_VALUE"""),0.0)</f>
        <v>0</v>
      </c>
      <c r="AG447" s="443" t="s">
        <v>98</v>
      </c>
      <c r="AH447" s="443" t="s">
        <v>961</v>
      </c>
      <c r="AI447" s="443"/>
      <c r="AJ447" s="443"/>
      <c r="AK447" s="443"/>
      <c r="AL447" s="443"/>
      <c r="AM447" s="443"/>
      <c r="AN447" s="443"/>
      <c r="AO447" s="443"/>
      <c r="AP447" s="443"/>
      <c r="AQ447" s="443"/>
      <c r="AR447" s="443"/>
      <c r="AS447" s="443"/>
      <c r="AT447" s="443"/>
      <c r="AU447" s="443"/>
      <c r="AV447" s="443"/>
      <c r="AW447" s="443"/>
      <c r="AX447" s="443"/>
      <c r="AY447" s="443"/>
      <c r="AZ447" s="443"/>
      <c r="BA447" s="443"/>
      <c r="BB447" s="443"/>
      <c r="BC447" s="443"/>
      <c r="BD447" s="443"/>
      <c r="BE447" s="443"/>
    </row>
    <row r="448" hidden="1">
      <c r="A448" s="445">
        <f t="shared" si="5"/>
        <v>45738</v>
      </c>
      <c r="B448" s="449">
        <v>341.0</v>
      </c>
      <c r="C448" s="462">
        <v>0.6</v>
      </c>
      <c r="D448" s="462">
        <v>0.8430555555555556</v>
      </c>
      <c r="E448" s="436">
        <f t="array" ref="E448">IF(B448=0,"",(J448+K448)/60)</f>
        <v>0</v>
      </c>
      <c r="F448" s="437">
        <f t="shared" si="1"/>
        <v>5.833333333</v>
      </c>
      <c r="G448" s="438">
        <f t="shared" si="8"/>
        <v>58.45714286</v>
      </c>
      <c r="H448" s="438">
        <f t="shared" si="3"/>
        <v>58.45714286</v>
      </c>
      <c r="I448" s="436">
        <f t="shared" si="6"/>
        <v>1.169142857</v>
      </c>
      <c r="J448" s="460">
        <v>0.0</v>
      </c>
      <c r="K448" s="464"/>
      <c r="L448" s="443"/>
      <c r="M448" s="447">
        <f>IFERROR(__xludf.DUMMYFUNCTION("""COMPUTED_VALUE"""),57.0)</f>
        <v>57</v>
      </c>
      <c r="N448" s="447">
        <f>IFERROR(__xludf.DUMMYFUNCTION("""COMPUTED_VALUE"""),57.0)</f>
        <v>57</v>
      </c>
      <c r="O448" s="447">
        <f>IFERROR(__xludf.DUMMYFUNCTION("""COMPUTED_VALUE"""),0.0)</f>
        <v>0</v>
      </c>
      <c r="P448" s="447">
        <f>IFERROR(__xludf.DUMMYFUNCTION("""COMPUTED_VALUE"""),0.0)</f>
        <v>0</v>
      </c>
      <c r="Q448" s="447">
        <f>IFERROR(__xludf.DUMMYFUNCTION("""COMPUTED_VALUE"""),0.0)</f>
        <v>0</v>
      </c>
      <c r="R448" s="447">
        <f>IFERROR(__xludf.DUMMYFUNCTION("""COMPUTED_VALUE"""),0.0)</f>
        <v>0</v>
      </c>
      <c r="S448" s="447">
        <f>IFERROR(__xludf.DUMMYFUNCTION("""COMPUTED_VALUE"""),3.0)</f>
        <v>3</v>
      </c>
      <c r="T448" s="447">
        <f>IFERROR(__xludf.DUMMYFUNCTION("""COMPUTED_VALUE"""),1.0)</f>
        <v>1</v>
      </c>
      <c r="U448" s="447">
        <f>IFERROR(__xludf.DUMMYFUNCTION("""COMPUTED_VALUE"""),0.0)</f>
        <v>0</v>
      </c>
      <c r="V448" s="447">
        <f>IFERROR(__xludf.DUMMYFUNCTION("""COMPUTED_VALUE"""),2.0)</f>
        <v>2</v>
      </c>
      <c r="W448" s="447">
        <f>IFERROR(__xludf.DUMMYFUNCTION("""COMPUTED_VALUE"""),0.0)</f>
        <v>0</v>
      </c>
      <c r="X448" s="447">
        <f>IFERROR(__xludf.DUMMYFUNCTION("""COMPUTED_VALUE"""),0.0)</f>
        <v>0</v>
      </c>
      <c r="Y448" s="447">
        <f>IFERROR(__xludf.DUMMYFUNCTION("""COMPUTED_VALUE"""),0.0)</f>
        <v>0</v>
      </c>
      <c r="Z448" s="447">
        <f>IFERROR(__xludf.DUMMYFUNCTION("""COMPUTED_VALUE"""),0.0)</f>
        <v>0</v>
      </c>
      <c r="AA448" s="447">
        <f>IFERROR(__xludf.DUMMYFUNCTION("""COMPUTED_VALUE"""),0.0)</f>
        <v>0</v>
      </c>
      <c r="AB448" s="447">
        <f>IFERROR(__xludf.DUMMYFUNCTION("""COMPUTED_VALUE"""),0.0)</f>
        <v>0</v>
      </c>
      <c r="AC448" s="447">
        <f>IFERROR(__xludf.DUMMYFUNCTION("""COMPUTED_VALUE"""),0.0)</f>
        <v>0</v>
      </c>
      <c r="AD448" s="447">
        <f>IFERROR(__xludf.DUMMYFUNCTION("""COMPUTED_VALUE"""),50.0)</f>
        <v>50</v>
      </c>
      <c r="AE448" s="447">
        <f>IFERROR(__xludf.DUMMYFUNCTION("""COMPUTED_VALUE"""),6.0)</f>
        <v>6</v>
      </c>
      <c r="AF448" s="447">
        <f>IFERROR(__xludf.DUMMYFUNCTION("""COMPUTED_VALUE"""),0.0)</f>
        <v>0</v>
      </c>
      <c r="AG448" s="443" t="s">
        <v>98</v>
      </c>
      <c r="AH448" s="443" t="s">
        <v>961</v>
      </c>
      <c r="AI448" s="443"/>
      <c r="AJ448" s="443"/>
      <c r="AK448" s="443"/>
      <c r="AL448" s="443"/>
      <c r="AM448" s="443"/>
      <c r="AN448" s="443"/>
      <c r="AO448" s="443"/>
      <c r="AP448" s="443"/>
      <c r="AQ448" s="443"/>
      <c r="AR448" s="443"/>
      <c r="AS448" s="443"/>
      <c r="AT448" s="443"/>
      <c r="AU448" s="443"/>
      <c r="AV448" s="443"/>
      <c r="AW448" s="443"/>
      <c r="AX448" s="443"/>
      <c r="AY448" s="443"/>
      <c r="AZ448" s="443"/>
      <c r="BA448" s="443"/>
      <c r="BB448" s="443"/>
      <c r="BC448" s="443"/>
      <c r="BD448" s="443"/>
      <c r="BE448" s="443"/>
    </row>
    <row r="449" hidden="1">
      <c r="A449" s="445">
        <f t="shared" si="5"/>
        <v>45739</v>
      </c>
      <c r="B449" s="449">
        <v>0.0</v>
      </c>
      <c r="C449" s="443"/>
      <c r="D449" s="462"/>
      <c r="E449" s="436" t="str">
        <f t="array" ref="E449">IF(B449=0,"",(J449+K449)/60)</f>
        <v/>
      </c>
      <c r="F449" s="437" t="str">
        <f t="shared" si="1"/>
        <v/>
      </c>
      <c r="G449" s="438" t="str">
        <f t="shared" si="8"/>
        <v>#DIV/0!</v>
      </c>
      <c r="H449" s="438" t="str">
        <f t="shared" si="3"/>
        <v/>
      </c>
      <c r="I449" s="436" t="str">
        <f t="shared" si="6"/>
        <v/>
      </c>
      <c r="J449" s="464"/>
      <c r="K449" s="464"/>
      <c r="L449" s="443"/>
      <c r="M449" s="447">
        <f>IFERROR(__xludf.DUMMYFUNCTION("""COMPUTED_VALUE"""),57.0)</f>
        <v>57</v>
      </c>
      <c r="N449" s="447">
        <f>IFERROR(__xludf.DUMMYFUNCTION("""COMPUTED_VALUE"""),57.0)</f>
        <v>57</v>
      </c>
      <c r="O449" s="447">
        <f>IFERROR(__xludf.DUMMYFUNCTION("""COMPUTED_VALUE"""),0.0)</f>
        <v>0</v>
      </c>
      <c r="P449" s="447">
        <f>IFERROR(__xludf.DUMMYFUNCTION("""COMPUTED_VALUE"""),0.0)</f>
        <v>0</v>
      </c>
      <c r="Q449" s="447">
        <f>IFERROR(__xludf.DUMMYFUNCTION("""COMPUTED_VALUE"""),0.0)</f>
        <v>0</v>
      </c>
      <c r="R449" s="447">
        <f>IFERROR(__xludf.DUMMYFUNCTION("""COMPUTED_VALUE"""),0.0)</f>
        <v>0</v>
      </c>
      <c r="S449" s="447">
        <f>IFERROR(__xludf.DUMMYFUNCTION("""COMPUTED_VALUE"""),0.0)</f>
        <v>0</v>
      </c>
      <c r="T449" s="447">
        <f>IFERROR(__xludf.DUMMYFUNCTION("""COMPUTED_VALUE"""),0.0)</f>
        <v>0</v>
      </c>
      <c r="U449" s="447">
        <f>IFERROR(__xludf.DUMMYFUNCTION("""COMPUTED_VALUE"""),0.0)</f>
        <v>0</v>
      </c>
      <c r="V449" s="447">
        <f>IFERROR(__xludf.DUMMYFUNCTION("""COMPUTED_VALUE"""),0.0)</f>
        <v>0</v>
      </c>
      <c r="W449" s="447">
        <f>IFERROR(__xludf.DUMMYFUNCTION("""COMPUTED_VALUE"""),0.0)</f>
        <v>0</v>
      </c>
      <c r="X449" s="447">
        <f>IFERROR(__xludf.DUMMYFUNCTION("""COMPUTED_VALUE"""),0.0)</f>
        <v>0</v>
      </c>
      <c r="Y449" s="447">
        <f>IFERROR(__xludf.DUMMYFUNCTION("""COMPUTED_VALUE"""),0.0)</f>
        <v>0</v>
      </c>
      <c r="Z449" s="447">
        <f>IFERROR(__xludf.DUMMYFUNCTION("""COMPUTED_VALUE"""),0.0)</f>
        <v>0</v>
      </c>
      <c r="AA449" s="447">
        <f>IFERROR(__xludf.DUMMYFUNCTION("""COMPUTED_VALUE"""),0.0)</f>
        <v>0</v>
      </c>
      <c r="AB449" s="447">
        <f>IFERROR(__xludf.DUMMYFUNCTION("""COMPUTED_VALUE"""),0.0)</f>
        <v>0</v>
      </c>
      <c r="AC449" s="447">
        <f>IFERROR(__xludf.DUMMYFUNCTION("""COMPUTED_VALUE"""),0.0)</f>
        <v>0</v>
      </c>
      <c r="AD449" s="447">
        <f>IFERROR(__xludf.DUMMYFUNCTION("""COMPUTED_VALUE"""),0.0)</f>
        <v>0</v>
      </c>
      <c r="AE449" s="447">
        <f>IFERROR(__xludf.DUMMYFUNCTION("""COMPUTED_VALUE"""),0.0)</f>
        <v>0</v>
      </c>
      <c r="AF449" s="447">
        <f>IFERROR(__xludf.DUMMYFUNCTION("""COMPUTED_VALUE"""),0.0)</f>
        <v>0</v>
      </c>
      <c r="AG449" s="443" t="s">
        <v>98</v>
      </c>
      <c r="AH449" s="443" t="s">
        <v>961</v>
      </c>
      <c r="AI449" s="443"/>
      <c r="AJ449" s="443"/>
      <c r="AK449" s="443"/>
      <c r="AL449" s="443"/>
      <c r="AM449" s="443"/>
      <c r="AN449" s="443"/>
      <c r="AO449" s="443"/>
      <c r="AP449" s="443"/>
      <c r="AQ449" s="443"/>
      <c r="AR449" s="443"/>
      <c r="AS449" s="443"/>
      <c r="AT449" s="443"/>
      <c r="AU449" s="443"/>
      <c r="AV449" s="443"/>
      <c r="AW449" s="443"/>
      <c r="AX449" s="443"/>
      <c r="AY449" s="443"/>
      <c r="AZ449" s="443"/>
      <c r="BA449" s="443"/>
      <c r="BB449" s="443"/>
      <c r="BC449" s="443"/>
      <c r="BD449" s="443"/>
      <c r="BE449" s="443"/>
    </row>
    <row r="450" hidden="1">
      <c r="A450" s="445">
        <f t="shared" si="5"/>
        <v>45740</v>
      </c>
      <c r="B450" s="449">
        <v>478.0</v>
      </c>
      <c r="C450" s="462">
        <v>0.5583333333333333</v>
      </c>
      <c r="D450" s="462">
        <v>0.8965277777777778</v>
      </c>
      <c r="E450" s="436">
        <f t="array" ref="E450">IF(B450=0,"",(J450+K450)/60)</f>
        <v>0.5</v>
      </c>
      <c r="F450" s="437">
        <f t="shared" si="1"/>
        <v>8.116666667</v>
      </c>
      <c r="G450" s="438">
        <f t="shared" si="8"/>
        <v>58.89117043</v>
      </c>
      <c r="H450" s="438">
        <f t="shared" si="3"/>
        <v>62.7571116</v>
      </c>
      <c r="I450" s="436">
        <f t="shared" si="6"/>
        <v>1.201860621</v>
      </c>
      <c r="J450" s="460">
        <v>30.0</v>
      </c>
      <c r="K450" s="464"/>
      <c r="L450" s="443"/>
      <c r="M450" s="447">
        <f>IFERROR(__xludf.DUMMYFUNCTION("""COMPUTED_VALUE"""),57.0)</f>
        <v>57</v>
      </c>
      <c r="N450" s="447">
        <f>IFERROR(__xludf.DUMMYFUNCTION("""COMPUTED_VALUE"""),56.0)</f>
        <v>56</v>
      </c>
      <c r="O450" s="447">
        <f>IFERROR(__xludf.DUMMYFUNCTION("""COMPUTED_VALUE"""),0.0)</f>
        <v>0</v>
      </c>
      <c r="P450" s="447">
        <f>IFERROR(__xludf.DUMMYFUNCTION("""COMPUTED_VALUE"""),0.0)</f>
        <v>0</v>
      </c>
      <c r="Q450" s="447">
        <f>IFERROR(__xludf.DUMMYFUNCTION("""COMPUTED_VALUE"""),0.0)</f>
        <v>0</v>
      </c>
      <c r="R450" s="447">
        <f>IFERROR(__xludf.DUMMYFUNCTION("""COMPUTED_VALUE"""),0.0)</f>
        <v>0</v>
      </c>
      <c r="S450" s="447">
        <f>IFERROR(__xludf.DUMMYFUNCTION("""COMPUTED_VALUE"""),2.0)</f>
        <v>2</v>
      </c>
      <c r="T450" s="447">
        <f>IFERROR(__xludf.DUMMYFUNCTION("""COMPUTED_VALUE"""),0.0)</f>
        <v>0</v>
      </c>
      <c r="U450" s="447">
        <f>IFERROR(__xludf.DUMMYFUNCTION("""COMPUTED_VALUE"""),1.0)</f>
        <v>1</v>
      </c>
      <c r="V450" s="447">
        <f>IFERROR(__xludf.DUMMYFUNCTION("""COMPUTED_VALUE"""),3.0)</f>
        <v>3</v>
      </c>
      <c r="W450" s="447">
        <f>IFERROR(__xludf.DUMMYFUNCTION("""COMPUTED_VALUE"""),0.0)</f>
        <v>0</v>
      </c>
      <c r="X450" s="447">
        <f>IFERROR(__xludf.DUMMYFUNCTION("""COMPUTED_VALUE"""),0.0)</f>
        <v>0</v>
      </c>
      <c r="Y450" s="447">
        <f>IFERROR(__xludf.DUMMYFUNCTION("""COMPUTED_VALUE"""),0.0)</f>
        <v>0</v>
      </c>
      <c r="Z450" s="447">
        <f>IFERROR(__xludf.DUMMYFUNCTION("""COMPUTED_VALUE"""),0.0)</f>
        <v>0</v>
      </c>
      <c r="AA450" s="447">
        <f>IFERROR(__xludf.DUMMYFUNCTION("""COMPUTED_VALUE"""),0.0)</f>
        <v>0</v>
      </c>
      <c r="AB450" s="447">
        <f>IFERROR(__xludf.DUMMYFUNCTION("""COMPUTED_VALUE"""),0.0)</f>
        <v>0</v>
      </c>
      <c r="AC450" s="447">
        <f>IFERROR(__xludf.DUMMYFUNCTION("""COMPUTED_VALUE"""),0.0)</f>
        <v>0</v>
      </c>
      <c r="AD450" s="447">
        <f>IFERROR(__xludf.DUMMYFUNCTION("""COMPUTED_VALUE"""),49.0)</f>
        <v>49</v>
      </c>
      <c r="AE450" s="447">
        <f>IFERROR(__xludf.DUMMYFUNCTION("""COMPUTED_VALUE"""),6.0)</f>
        <v>6</v>
      </c>
      <c r="AF450" s="447">
        <f>IFERROR(__xludf.DUMMYFUNCTION("""COMPUTED_VALUE"""),1.0)</f>
        <v>1</v>
      </c>
      <c r="AG450" s="443" t="s">
        <v>98</v>
      </c>
      <c r="AH450" s="443" t="s">
        <v>961</v>
      </c>
      <c r="AI450" s="443"/>
      <c r="AJ450" s="443"/>
      <c r="AK450" s="443"/>
      <c r="AL450" s="443"/>
      <c r="AM450" s="443"/>
      <c r="AN450" s="443"/>
      <c r="AO450" s="443"/>
      <c r="AP450" s="443"/>
      <c r="AQ450" s="443"/>
      <c r="AR450" s="443"/>
      <c r="AS450" s="443"/>
      <c r="AT450" s="443"/>
      <c r="AU450" s="443"/>
      <c r="AV450" s="443"/>
      <c r="AW450" s="443"/>
      <c r="AX450" s="443"/>
      <c r="AY450" s="443"/>
      <c r="AZ450" s="443"/>
      <c r="BA450" s="443"/>
      <c r="BB450" s="443"/>
      <c r="BC450" s="443"/>
      <c r="BD450" s="443"/>
      <c r="BE450" s="443"/>
    </row>
    <row r="451" hidden="1">
      <c r="A451" s="445">
        <f t="shared" si="5"/>
        <v>45741</v>
      </c>
      <c r="B451" s="449">
        <v>398.0</v>
      </c>
      <c r="C451" s="462">
        <v>0.6</v>
      </c>
      <c r="D451" s="462">
        <v>0.9083333333333333</v>
      </c>
      <c r="E451" s="436">
        <f t="array" ref="E451">IF(B451=0,"",(J451+K451)/60)</f>
        <v>0.5</v>
      </c>
      <c r="F451" s="437">
        <f t="shared" si="1"/>
        <v>7.4</v>
      </c>
      <c r="G451" s="438">
        <f t="shared" si="8"/>
        <v>53.78378378</v>
      </c>
      <c r="H451" s="438">
        <f t="shared" si="3"/>
        <v>57.68115942</v>
      </c>
      <c r="I451" s="436">
        <f t="shared" si="6"/>
        <v>1.09762824</v>
      </c>
      <c r="J451" s="460">
        <v>30.0</v>
      </c>
      <c r="K451" s="464"/>
      <c r="L451" s="443"/>
      <c r="M451" s="447">
        <f>IFERROR(__xludf.DUMMYFUNCTION("""COMPUTED_VALUE"""),57.0)</f>
        <v>57</v>
      </c>
      <c r="N451" s="447">
        <f>IFERROR(__xludf.DUMMYFUNCTION("""COMPUTED_VALUE"""),56.0)</f>
        <v>56</v>
      </c>
      <c r="O451" s="447">
        <f>IFERROR(__xludf.DUMMYFUNCTION("""COMPUTED_VALUE"""),0.0)</f>
        <v>0</v>
      </c>
      <c r="P451" s="447">
        <f>IFERROR(__xludf.DUMMYFUNCTION("""COMPUTED_VALUE"""),0.0)</f>
        <v>0</v>
      </c>
      <c r="Q451" s="447">
        <f>IFERROR(__xludf.DUMMYFUNCTION("""COMPUTED_VALUE"""),0.0)</f>
        <v>0</v>
      </c>
      <c r="R451" s="447">
        <f>IFERROR(__xludf.DUMMYFUNCTION("""COMPUTED_VALUE"""),0.0)</f>
        <v>0</v>
      </c>
      <c r="S451" s="447">
        <f>IFERROR(__xludf.DUMMYFUNCTION("""COMPUTED_VALUE"""),2.0)</f>
        <v>2</v>
      </c>
      <c r="T451" s="447">
        <f>IFERROR(__xludf.DUMMYFUNCTION("""COMPUTED_VALUE"""),0.0)</f>
        <v>0</v>
      </c>
      <c r="U451" s="447">
        <f>IFERROR(__xludf.DUMMYFUNCTION("""COMPUTED_VALUE"""),1.0)</f>
        <v>1</v>
      </c>
      <c r="V451" s="447">
        <f>IFERROR(__xludf.DUMMYFUNCTION("""COMPUTED_VALUE"""),3.0)</f>
        <v>3</v>
      </c>
      <c r="W451" s="447">
        <f>IFERROR(__xludf.DUMMYFUNCTION("""COMPUTED_VALUE"""),0.0)</f>
        <v>0</v>
      </c>
      <c r="X451" s="447">
        <f>IFERROR(__xludf.DUMMYFUNCTION("""COMPUTED_VALUE"""),0.0)</f>
        <v>0</v>
      </c>
      <c r="Y451" s="447">
        <f>IFERROR(__xludf.DUMMYFUNCTION("""COMPUTED_VALUE"""),0.0)</f>
        <v>0</v>
      </c>
      <c r="Z451" s="447">
        <f>IFERROR(__xludf.DUMMYFUNCTION("""COMPUTED_VALUE"""),0.0)</f>
        <v>0</v>
      </c>
      <c r="AA451" s="447">
        <f>IFERROR(__xludf.DUMMYFUNCTION("""COMPUTED_VALUE"""),0.0)</f>
        <v>0</v>
      </c>
      <c r="AB451" s="447">
        <f>IFERROR(__xludf.DUMMYFUNCTION("""COMPUTED_VALUE"""),0.0)</f>
        <v>0</v>
      </c>
      <c r="AC451" s="447">
        <f>IFERROR(__xludf.DUMMYFUNCTION("""COMPUTED_VALUE"""),0.0)</f>
        <v>0</v>
      </c>
      <c r="AD451" s="447">
        <f>IFERROR(__xludf.DUMMYFUNCTION("""COMPUTED_VALUE"""),49.0)</f>
        <v>49</v>
      </c>
      <c r="AE451" s="447">
        <f>IFERROR(__xludf.DUMMYFUNCTION("""COMPUTED_VALUE"""),6.0)</f>
        <v>6</v>
      </c>
      <c r="AF451" s="447">
        <f>IFERROR(__xludf.DUMMYFUNCTION("""COMPUTED_VALUE"""),1.0)</f>
        <v>1</v>
      </c>
      <c r="AG451" s="443" t="s">
        <v>98</v>
      </c>
      <c r="AH451" s="443" t="s">
        <v>961</v>
      </c>
      <c r="AI451" s="443"/>
      <c r="AJ451" s="443"/>
      <c r="AK451" s="443"/>
      <c r="AL451" s="443"/>
      <c r="AM451" s="443"/>
      <c r="AN451" s="443"/>
      <c r="AO451" s="443"/>
      <c r="AP451" s="443"/>
      <c r="AQ451" s="443"/>
      <c r="AR451" s="443"/>
      <c r="AS451" s="443"/>
      <c r="AT451" s="443"/>
      <c r="AU451" s="443"/>
      <c r="AV451" s="443"/>
      <c r="AW451" s="443"/>
      <c r="AX451" s="443"/>
      <c r="AY451" s="443"/>
      <c r="AZ451" s="443"/>
      <c r="BA451" s="443"/>
      <c r="BB451" s="443"/>
      <c r="BC451" s="443"/>
      <c r="BD451" s="443"/>
      <c r="BE451" s="443"/>
    </row>
    <row r="452" hidden="1">
      <c r="A452" s="445">
        <f t="shared" si="5"/>
        <v>45742</v>
      </c>
      <c r="B452" s="449">
        <v>403.0</v>
      </c>
      <c r="C452" s="462">
        <v>0.6</v>
      </c>
      <c r="D452" s="462">
        <v>0.8854166666666666</v>
      </c>
      <c r="E452" s="436">
        <f t="array" ref="E452">IF(B452=0,"",(J452+K452)/60)</f>
        <v>0.5</v>
      </c>
      <c r="F452" s="437">
        <f t="shared" si="1"/>
        <v>6.85</v>
      </c>
      <c r="G452" s="438">
        <f t="shared" si="8"/>
        <v>58.83211679</v>
      </c>
      <c r="H452" s="438">
        <f t="shared" si="3"/>
        <v>63.46456693</v>
      </c>
      <c r="I452" s="436">
        <f t="shared" si="6"/>
        <v>1.200655445</v>
      </c>
      <c r="J452" s="460">
        <v>30.0</v>
      </c>
      <c r="K452" s="464"/>
      <c r="L452" s="443"/>
      <c r="M452" s="447">
        <f>IFERROR(__xludf.DUMMYFUNCTION("""COMPUTED_VALUE"""),57.0)</f>
        <v>57</v>
      </c>
      <c r="N452" s="447">
        <f>IFERROR(__xludf.DUMMYFUNCTION("""COMPUTED_VALUE"""),56.0)</f>
        <v>56</v>
      </c>
      <c r="O452" s="447">
        <f>IFERROR(__xludf.DUMMYFUNCTION("""COMPUTED_VALUE"""),0.0)</f>
        <v>0</v>
      </c>
      <c r="P452" s="447">
        <f>IFERROR(__xludf.DUMMYFUNCTION("""COMPUTED_VALUE"""),0.0)</f>
        <v>0</v>
      </c>
      <c r="Q452" s="447">
        <f>IFERROR(__xludf.DUMMYFUNCTION("""COMPUTED_VALUE"""),0.0)</f>
        <v>0</v>
      </c>
      <c r="R452" s="447">
        <f>IFERROR(__xludf.DUMMYFUNCTION("""COMPUTED_VALUE"""),0.0)</f>
        <v>0</v>
      </c>
      <c r="S452" s="447">
        <f>IFERROR(__xludf.DUMMYFUNCTION("""COMPUTED_VALUE"""),1.0)</f>
        <v>1</v>
      </c>
      <c r="T452" s="447">
        <f>IFERROR(__xludf.DUMMYFUNCTION("""COMPUTED_VALUE"""),0.0)</f>
        <v>0</v>
      </c>
      <c r="U452" s="447">
        <f>IFERROR(__xludf.DUMMYFUNCTION("""COMPUTED_VALUE"""),1.0)</f>
        <v>1</v>
      </c>
      <c r="V452" s="447">
        <f>IFERROR(__xludf.DUMMYFUNCTION("""COMPUTED_VALUE"""),3.0)</f>
        <v>3</v>
      </c>
      <c r="W452" s="447">
        <f>IFERROR(__xludf.DUMMYFUNCTION("""COMPUTED_VALUE"""),0.0)</f>
        <v>0</v>
      </c>
      <c r="X452" s="447">
        <f>IFERROR(__xludf.DUMMYFUNCTION("""COMPUTED_VALUE"""),0.0)</f>
        <v>0</v>
      </c>
      <c r="Y452" s="447">
        <f>IFERROR(__xludf.DUMMYFUNCTION("""COMPUTED_VALUE"""),0.0)</f>
        <v>0</v>
      </c>
      <c r="Z452" s="447">
        <f>IFERROR(__xludf.DUMMYFUNCTION("""COMPUTED_VALUE"""),0.0)</f>
        <v>0</v>
      </c>
      <c r="AA452" s="447">
        <f>IFERROR(__xludf.DUMMYFUNCTION("""COMPUTED_VALUE"""),0.0)</f>
        <v>0</v>
      </c>
      <c r="AB452" s="447">
        <f>IFERROR(__xludf.DUMMYFUNCTION("""COMPUTED_VALUE"""),0.0)</f>
        <v>0</v>
      </c>
      <c r="AC452" s="447">
        <f>IFERROR(__xludf.DUMMYFUNCTION("""COMPUTED_VALUE"""),1.0)</f>
        <v>1</v>
      </c>
      <c r="AD452" s="447">
        <f>IFERROR(__xludf.DUMMYFUNCTION("""COMPUTED_VALUE"""),49.0)</f>
        <v>49</v>
      </c>
      <c r="AE452" s="447">
        <f>IFERROR(__xludf.DUMMYFUNCTION("""COMPUTED_VALUE"""),6.0)</f>
        <v>6</v>
      </c>
      <c r="AF452" s="447">
        <f>IFERROR(__xludf.DUMMYFUNCTION("""COMPUTED_VALUE"""),1.0)</f>
        <v>1</v>
      </c>
      <c r="AG452" s="443" t="s">
        <v>98</v>
      </c>
      <c r="AH452" s="443" t="s">
        <v>961</v>
      </c>
      <c r="AI452" s="443"/>
      <c r="AJ452" s="443"/>
      <c r="AK452" s="443"/>
      <c r="AL452" s="443"/>
      <c r="AM452" s="443"/>
      <c r="AN452" s="443"/>
      <c r="AO452" s="443"/>
      <c r="AP452" s="443"/>
      <c r="AQ452" s="443"/>
      <c r="AR452" s="443"/>
      <c r="AS452" s="443"/>
      <c r="AT452" s="443"/>
      <c r="AU452" s="443"/>
      <c r="AV452" s="443"/>
      <c r="AW452" s="443"/>
      <c r="AX452" s="443"/>
      <c r="AY452" s="443"/>
      <c r="AZ452" s="443"/>
      <c r="BA452" s="443"/>
      <c r="BB452" s="443"/>
      <c r="BC452" s="443"/>
      <c r="BD452" s="443"/>
      <c r="BE452" s="443"/>
    </row>
    <row r="453" hidden="1">
      <c r="A453" s="445">
        <f t="shared" si="5"/>
        <v>45743</v>
      </c>
      <c r="B453" s="449">
        <v>597.0</v>
      </c>
      <c r="C453" s="462">
        <v>0.6</v>
      </c>
      <c r="D453" s="462">
        <v>1.0451388888888888</v>
      </c>
      <c r="E453" s="436">
        <f t="array" ref="E453">IF(B453=0,"",(J453+K453)/60)</f>
        <v>1</v>
      </c>
      <c r="F453" s="437">
        <f t="shared" si="1"/>
        <v>10.68333333</v>
      </c>
      <c r="G453" s="438">
        <f t="shared" si="8"/>
        <v>55.88143526</v>
      </c>
      <c r="H453" s="438">
        <f t="shared" si="3"/>
        <v>61.65232358</v>
      </c>
      <c r="I453" s="436">
        <f t="shared" si="6"/>
        <v>1.117628705</v>
      </c>
      <c r="J453" s="460">
        <v>60.0</v>
      </c>
      <c r="K453" s="464"/>
      <c r="L453" s="443"/>
      <c r="M453" s="447">
        <f>IFERROR(__xludf.DUMMYFUNCTION("""COMPUTED_VALUE"""),57.0)</f>
        <v>57</v>
      </c>
      <c r="N453" s="447">
        <f>IFERROR(__xludf.DUMMYFUNCTION("""COMPUTED_VALUE"""),56.0)</f>
        <v>56</v>
      </c>
      <c r="O453" s="447">
        <f>IFERROR(__xludf.DUMMYFUNCTION("""COMPUTED_VALUE"""),0.0)</f>
        <v>0</v>
      </c>
      <c r="P453" s="447">
        <f>IFERROR(__xludf.DUMMYFUNCTION("""COMPUTED_VALUE"""),0.0)</f>
        <v>0</v>
      </c>
      <c r="Q453" s="447">
        <f>IFERROR(__xludf.DUMMYFUNCTION("""COMPUTED_VALUE"""),0.0)</f>
        <v>0</v>
      </c>
      <c r="R453" s="447">
        <f>IFERROR(__xludf.DUMMYFUNCTION("""COMPUTED_VALUE"""),0.0)</f>
        <v>0</v>
      </c>
      <c r="S453" s="447">
        <f>IFERROR(__xludf.DUMMYFUNCTION("""COMPUTED_VALUE"""),1.0)</f>
        <v>1</v>
      </c>
      <c r="T453" s="447">
        <f>IFERROR(__xludf.DUMMYFUNCTION("""COMPUTED_VALUE"""),0.0)</f>
        <v>0</v>
      </c>
      <c r="U453" s="447">
        <f>IFERROR(__xludf.DUMMYFUNCTION("""COMPUTED_VALUE"""),1.0)</f>
        <v>1</v>
      </c>
      <c r="V453" s="447">
        <f>IFERROR(__xludf.DUMMYFUNCTION("""COMPUTED_VALUE"""),3.0)</f>
        <v>3</v>
      </c>
      <c r="W453" s="447">
        <f>IFERROR(__xludf.DUMMYFUNCTION("""COMPUTED_VALUE"""),0.0)</f>
        <v>0</v>
      </c>
      <c r="X453" s="447">
        <f>IFERROR(__xludf.DUMMYFUNCTION("""COMPUTED_VALUE"""),0.0)</f>
        <v>0</v>
      </c>
      <c r="Y453" s="447">
        <f>IFERROR(__xludf.DUMMYFUNCTION("""COMPUTED_VALUE"""),0.0)</f>
        <v>0</v>
      </c>
      <c r="Z453" s="447">
        <f>IFERROR(__xludf.DUMMYFUNCTION("""COMPUTED_VALUE"""),0.0)</f>
        <v>0</v>
      </c>
      <c r="AA453" s="447">
        <f>IFERROR(__xludf.DUMMYFUNCTION("""COMPUTED_VALUE"""),0.0)</f>
        <v>0</v>
      </c>
      <c r="AB453" s="447">
        <f>IFERROR(__xludf.DUMMYFUNCTION("""COMPUTED_VALUE"""),0.0)</f>
        <v>0</v>
      </c>
      <c r="AC453" s="447">
        <f>IFERROR(__xludf.DUMMYFUNCTION("""COMPUTED_VALUE"""),0.0)</f>
        <v>0</v>
      </c>
      <c r="AD453" s="447">
        <f>IFERROR(__xludf.DUMMYFUNCTION("""COMPUTED_VALUE"""),50.0)</f>
        <v>50</v>
      </c>
      <c r="AE453" s="447">
        <f>IFERROR(__xludf.DUMMYFUNCTION("""COMPUTED_VALUE"""),5.0)</f>
        <v>5</v>
      </c>
      <c r="AF453" s="447">
        <f>IFERROR(__xludf.DUMMYFUNCTION("""COMPUTED_VALUE"""),1.0)</f>
        <v>1</v>
      </c>
      <c r="AG453" s="443" t="s">
        <v>98</v>
      </c>
      <c r="AH453" s="443" t="s">
        <v>961</v>
      </c>
      <c r="AI453" s="443"/>
      <c r="AJ453" s="443"/>
      <c r="AK453" s="443"/>
      <c r="AL453" s="443"/>
      <c r="AM453" s="443"/>
      <c r="AN453" s="443"/>
      <c r="AO453" s="443"/>
      <c r="AP453" s="443"/>
      <c r="AQ453" s="443"/>
      <c r="AR453" s="443"/>
      <c r="AS453" s="443"/>
      <c r="AT453" s="443"/>
      <c r="AU453" s="443"/>
      <c r="AV453" s="443"/>
      <c r="AW453" s="443"/>
      <c r="AX453" s="443"/>
      <c r="AY453" s="443"/>
      <c r="AZ453" s="443"/>
      <c r="BA453" s="443"/>
      <c r="BB453" s="443"/>
      <c r="BC453" s="443"/>
      <c r="BD453" s="443"/>
      <c r="BE453" s="443"/>
    </row>
    <row r="454" hidden="1">
      <c r="A454" s="445">
        <f t="shared" si="5"/>
        <v>45744</v>
      </c>
      <c r="B454" s="449">
        <v>466.0</v>
      </c>
      <c r="C454" s="462">
        <v>0.6</v>
      </c>
      <c r="D454" s="462">
        <v>0.9673611111111111</v>
      </c>
      <c r="E454" s="436">
        <f t="array" ref="E454">IF(B454=0,"",(J454+K454)/60)</f>
        <v>1.916666667</v>
      </c>
      <c r="F454" s="437">
        <f t="shared" si="1"/>
        <v>8.816666667</v>
      </c>
      <c r="G454" s="438">
        <f t="shared" si="8"/>
        <v>52.85444234</v>
      </c>
      <c r="H454" s="438">
        <f t="shared" si="3"/>
        <v>67.53623188</v>
      </c>
      <c r="I454" s="436">
        <f t="shared" si="6"/>
        <v>1.149009616</v>
      </c>
      <c r="J454" s="460">
        <v>30.0</v>
      </c>
      <c r="K454" s="464">
        <f>15+70</f>
        <v>85</v>
      </c>
      <c r="L454" s="443"/>
      <c r="M454" s="447">
        <f>IFERROR(__xludf.DUMMYFUNCTION("""COMPUTED_VALUE"""),57.0)</f>
        <v>57</v>
      </c>
      <c r="N454" s="447">
        <f>IFERROR(__xludf.DUMMYFUNCTION("""COMPUTED_VALUE"""),56.0)</f>
        <v>56</v>
      </c>
      <c r="O454" s="447">
        <f>IFERROR(__xludf.DUMMYFUNCTION("""COMPUTED_VALUE"""),0.0)</f>
        <v>0</v>
      </c>
      <c r="P454" s="447">
        <f>IFERROR(__xludf.DUMMYFUNCTION("""COMPUTED_VALUE"""),0.0)</f>
        <v>0</v>
      </c>
      <c r="Q454" s="447">
        <f>IFERROR(__xludf.DUMMYFUNCTION("""COMPUTED_VALUE"""),0.0)</f>
        <v>0</v>
      </c>
      <c r="R454" s="447">
        <f>IFERROR(__xludf.DUMMYFUNCTION("""COMPUTED_VALUE"""),0.0)</f>
        <v>0</v>
      </c>
      <c r="S454" s="447">
        <f>IFERROR(__xludf.DUMMYFUNCTION("""COMPUTED_VALUE"""),3.0)</f>
        <v>3</v>
      </c>
      <c r="T454" s="447">
        <f>IFERROR(__xludf.DUMMYFUNCTION("""COMPUTED_VALUE"""),1.0)</f>
        <v>1</v>
      </c>
      <c r="U454" s="447">
        <f>IFERROR(__xludf.DUMMYFUNCTION("""COMPUTED_VALUE"""),1.0)</f>
        <v>1</v>
      </c>
      <c r="V454" s="447">
        <f>IFERROR(__xludf.DUMMYFUNCTION("""COMPUTED_VALUE"""),3.0)</f>
        <v>3</v>
      </c>
      <c r="W454" s="447">
        <f>IFERROR(__xludf.DUMMYFUNCTION("""COMPUTED_VALUE"""),0.0)</f>
        <v>0</v>
      </c>
      <c r="X454" s="447">
        <f>IFERROR(__xludf.DUMMYFUNCTION("""COMPUTED_VALUE"""),0.0)</f>
        <v>0</v>
      </c>
      <c r="Y454" s="447">
        <f>IFERROR(__xludf.DUMMYFUNCTION("""COMPUTED_VALUE"""),0.0)</f>
        <v>0</v>
      </c>
      <c r="Z454" s="447">
        <f>IFERROR(__xludf.DUMMYFUNCTION("""COMPUTED_VALUE"""),0.0)</f>
        <v>0</v>
      </c>
      <c r="AA454" s="447">
        <f>IFERROR(__xludf.DUMMYFUNCTION("""COMPUTED_VALUE"""),0.0)</f>
        <v>0</v>
      </c>
      <c r="AB454" s="447">
        <f>IFERROR(__xludf.DUMMYFUNCTION("""COMPUTED_VALUE"""),0.0)</f>
        <v>0</v>
      </c>
      <c r="AC454" s="447">
        <f>IFERROR(__xludf.DUMMYFUNCTION("""COMPUTED_VALUE"""),1.0)</f>
        <v>1</v>
      </c>
      <c r="AD454" s="447">
        <f>IFERROR(__xludf.DUMMYFUNCTION("""COMPUTED_VALUE"""),46.0)</f>
        <v>46</v>
      </c>
      <c r="AE454" s="447">
        <f>IFERROR(__xludf.DUMMYFUNCTION("""COMPUTED_VALUE"""),9.0)</f>
        <v>9</v>
      </c>
      <c r="AF454" s="447">
        <f>IFERROR(__xludf.DUMMYFUNCTION("""COMPUTED_VALUE"""),1.0)</f>
        <v>1</v>
      </c>
      <c r="AG454" s="443" t="s">
        <v>98</v>
      </c>
      <c r="AH454" s="443" t="s">
        <v>961</v>
      </c>
      <c r="AI454" s="443"/>
      <c r="AJ454" s="443"/>
      <c r="AK454" s="443"/>
      <c r="AL454" s="443"/>
      <c r="AM454" s="443"/>
      <c r="AN454" s="443"/>
      <c r="AO454" s="443"/>
      <c r="AP454" s="443"/>
      <c r="AQ454" s="443"/>
      <c r="AR454" s="443"/>
      <c r="AS454" s="443"/>
      <c r="AT454" s="443"/>
      <c r="AU454" s="443"/>
      <c r="AV454" s="443"/>
      <c r="AW454" s="443"/>
      <c r="AX454" s="443"/>
      <c r="AY454" s="443"/>
      <c r="AZ454" s="443"/>
      <c r="BA454" s="443"/>
      <c r="BB454" s="443"/>
      <c r="BC454" s="443"/>
      <c r="BD454" s="443"/>
      <c r="BE454" s="443"/>
    </row>
    <row r="455" hidden="1">
      <c r="A455" s="445">
        <f t="shared" si="5"/>
        <v>45745</v>
      </c>
      <c r="B455" s="449">
        <v>298.0</v>
      </c>
      <c r="C455" s="462">
        <v>0.6416666666666667</v>
      </c>
      <c r="D455" s="462">
        <v>0.8625</v>
      </c>
      <c r="E455" s="436">
        <f t="array" ref="E455">IF(B455=0,"",(J455+K455)/60)</f>
        <v>0</v>
      </c>
      <c r="F455" s="437">
        <f t="shared" si="1"/>
        <v>5.3</v>
      </c>
      <c r="G455" s="438">
        <f t="shared" si="8"/>
        <v>56.22641509</v>
      </c>
      <c r="H455" s="438">
        <f t="shared" si="3"/>
        <v>56.22641509</v>
      </c>
      <c r="I455" s="436">
        <f t="shared" si="6"/>
        <v>1.249475891</v>
      </c>
      <c r="J455" s="460"/>
      <c r="K455" s="464"/>
      <c r="L455" s="443"/>
      <c r="M455" s="447">
        <f>IFERROR(__xludf.DUMMYFUNCTION("""COMPUTED_VALUE"""),57.0)</f>
        <v>57</v>
      </c>
      <c r="N455" s="447">
        <f>IFERROR(__xludf.DUMMYFUNCTION("""COMPUTED_VALUE"""),56.0)</f>
        <v>56</v>
      </c>
      <c r="O455" s="447">
        <f>IFERROR(__xludf.DUMMYFUNCTION("""COMPUTED_VALUE"""),0.0)</f>
        <v>0</v>
      </c>
      <c r="P455" s="447">
        <f>IFERROR(__xludf.DUMMYFUNCTION("""COMPUTED_VALUE"""),0.0)</f>
        <v>0</v>
      </c>
      <c r="Q455" s="447">
        <f>IFERROR(__xludf.DUMMYFUNCTION("""COMPUTED_VALUE"""),0.0)</f>
        <v>0</v>
      </c>
      <c r="R455" s="447">
        <f>IFERROR(__xludf.DUMMYFUNCTION("""COMPUTED_VALUE"""),0.0)</f>
        <v>0</v>
      </c>
      <c r="S455" s="447">
        <f>IFERROR(__xludf.DUMMYFUNCTION("""COMPUTED_VALUE"""),4.0)</f>
        <v>4</v>
      </c>
      <c r="T455" s="447">
        <f>IFERROR(__xludf.DUMMYFUNCTION("""COMPUTED_VALUE"""),1.0)</f>
        <v>1</v>
      </c>
      <c r="U455" s="447">
        <f>IFERROR(__xludf.DUMMYFUNCTION("""COMPUTED_VALUE"""),1.0)</f>
        <v>1</v>
      </c>
      <c r="V455" s="447">
        <f>IFERROR(__xludf.DUMMYFUNCTION("""COMPUTED_VALUE"""),3.0)</f>
        <v>3</v>
      </c>
      <c r="W455" s="447">
        <f>IFERROR(__xludf.DUMMYFUNCTION("""COMPUTED_VALUE"""),0.0)</f>
        <v>0</v>
      </c>
      <c r="X455" s="447">
        <f>IFERROR(__xludf.DUMMYFUNCTION("""COMPUTED_VALUE"""),0.0)</f>
        <v>0</v>
      </c>
      <c r="Y455" s="447">
        <f>IFERROR(__xludf.DUMMYFUNCTION("""COMPUTED_VALUE"""),0.0)</f>
        <v>0</v>
      </c>
      <c r="Z455" s="447">
        <f>IFERROR(__xludf.DUMMYFUNCTION("""COMPUTED_VALUE"""),0.0)</f>
        <v>0</v>
      </c>
      <c r="AA455" s="447">
        <f>IFERROR(__xludf.DUMMYFUNCTION("""COMPUTED_VALUE"""),0.0)</f>
        <v>0</v>
      </c>
      <c r="AB455" s="447">
        <f>IFERROR(__xludf.DUMMYFUNCTION("""COMPUTED_VALUE"""),0.0)</f>
        <v>0</v>
      </c>
      <c r="AC455" s="447">
        <f>IFERROR(__xludf.DUMMYFUNCTION("""COMPUTED_VALUE"""),1.0)</f>
        <v>1</v>
      </c>
      <c r="AD455" s="447">
        <f>IFERROR(__xludf.DUMMYFUNCTION("""COMPUTED_VALUE"""),45.0)</f>
        <v>45</v>
      </c>
      <c r="AE455" s="447">
        <f>IFERROR(__xludf.DUMMYFUNCTION("""COMPUTED_VALUE"""),10.0)</f>
        <v>10</v>
      </c>
      <c r="AF455" s="447">
        <f>IFERROR(__xludf.DUMMYFUNCTION("""COMPUTED_VALUE"""),1.0)</f>
        <v>1</v>
      </c>
      <c r="AG455" s="443" t="s">
        <v>98</v>
      </c>
      <c r="AH455" s="443" t="s">
        <v>961</v>
      </c>
      <c r="AI455" s="443"/>
      <c r="AJ455" s="443"/>
      <c r="AK455" s="443"/>
      <c r="AL455" s="443"/>
      <c r="AM455" s="443"/>
      <c r="AN455" s="443"/>
      <c r="AO455" s="443"/>
      <c r="AP455" s="443"/>
      <c r="AQ455" s="443"/>
      <c r="AR455" s="443"/>
      <c r="AS455" s="443"/>
      <c r="AT455" s="443"/>
      <c r="AU455" s="443"/>
      <c r="AV455" s="443"/>
      <c r="AW455" s="443"/>
      <c r="AX455" s="443"/>
      <c r="AY455" s="443"/>
      <c r="AZ455" s="443"/>
      <c r="BA455" s="443"/>
      <c r="BB455" s="443"/>
      <c r="BC455" s="443"/>
      <c r="BD455" s="443"/>
      <c r="BE455" s="443"/>
    </row>
    <row r="456" hidden="1">
      <c r="A456" s="445">
        <f t="shared" si="5"/>
        <v>45746</v>
      </c>
      <c r="B456" s="449">
        <v>0.0</v>
      </c>
      <c r="C456" s="443"/>
      <c r="D456" s="462"/>
      <c r="E456" s="436" t="str">
        <f t="array" ref="E456">IF(B456=0,"",(J456+K456)/60)</f>
        <v/>
      </c>
      <c r="F456" s="437" t="str">
        <f t="shared" si="1"/>
        <v/>
      </c>
      <c r="G456" s="438" t="str">
        <f t="shared" si="8"/>
        <v>#DIV/0!</v>
      </c>
      <c r="H456" s="438" t="str">
        <f t="shared" si="3"/>
        <v/>
      </c>
      <c r="I456" s="436" t="str">
        <f t="shared" si="6"/>
        <v/>
      </c>
      <c r="J456" s="464"/>
      <c r="K456" s="464"/>
      <c r="L456" s="443"/>
      <c r="M456" s="447">
        <f>IFERROR(__xludf.DUMMYFUNCTION("""COMPUTED_VALUE"""),57.0)</f>
        <v>57</v>
      </c>
      <c r="N456" s="447">
        <f>IFERROR(__xludf.DUMMYFUNCTION("""COMPUTED_VALUE"""),57.0)</f>
        <v>57</v>
      </c>
      <c r="O456" s="447">
        <f>IFERROR(__xludf.DUMMYFUNCTION("""COMPUTED_VALUE"""),0.0)</f>
        <v>0</v>
      </c>
      <c r="P456" s="447">
        <f>IFERROR(__xludf.DUMMYFUNCTION("""COMPUTED_VALUE"""),0.0)</f>
        <v>0</v>
      </c>
      <c r="Q456" s="447">
        <f>IFERROR(__xludf.DUMMYFUNCTION("""COMPUTED_VALUE"""),0.0)</f>
        <v>0</v>
      </c>
      <c r="R456" s="447">
        <f>IFERROR(__xludf.DUMMYFUNCTION("""COMPUTED_VALUE"""),0.0)</f>
        <v>0</v>
      </c>
      <c r="S456" s="447">
        <f>IFERROR(__xludf.DUMMYFUNCTION("""COMPUTED_VALUE"""),0.0)</f>
        <v>0</v>
      </c>
      <c r="T456" s="447">
        <f>IFERROR(__xludf.DUMMYFUNCTION("""COMPUTED_VALUE"""),0.0)</f>
        <v>0</v>
      </c>
      <c r="U456" s="447">
        <f>IFERROR(__xludf.DUMMYFUNCTION("""COMPUTED_VALUE"""),0.0)</f>
        <v>0</v>
      </c>
      <c r="V456" s="447">
        <f>IFERROR(__xludf.DUMMYFUNCTION("""COMPUTED_VALUE"""),0.0)</f>
        <v>0</v>
      </c>
      <c r="W456" s="447">
        <f>IFERROR(__xludf.DUMMYFUNCTION("""COMPUTED_VALUE"""),0.0)</f>
        <v>0</v>
      </c>
      <c r="X456" s="447">
        <f>IFERROR(__xludf.DUMMYFUNCTION("""COMPUTED_VALUE"""),0.0)</f>
        <v>0</v>
      </c>
      <c r="Y456" s="447">
        <f>IFERROR(__xludf.DUMMYFUNCTION("""COMPUTED_VALUE"""),0.0)</f>
        <v>0</v>
      </c>
      <c r="Z456" s="447">
        <f>IFERROR(__xludf.DUMMYFUNCTION("""COMPUTED_VALUE"""),0.0)</f>
        <v>0</v>
      </c>
      <c r="AA456" s="447">
        <f>IFERROR(__xludf.DUMMYFUNCTION("""COMPUTED_VALUE"""),0.0)</f>
        <v>0</v>
      </c>
      <c r="AB456" s="447">
        <f>IFERROR(__xludf.DUMMYFUNCTION("""COMPUTED_VALUE"""),0.0)</f>
        <v>0</v>
      </c>
      <c r="AC456" s="447">
        <f>IFERROR(__xludf.DUMMYFUNCTION("""COMPUTED_VALUE"""),0.0)</f>
        <v>0</v>
      </c>
      <c r="AD456" s="447">
        <f>IFERROR(__xludf.DUMMYFUNCTION("""COMPUTED_VALUE"""),0.0)</f>
        <v>0</v>
      </c>
      <c r="AE456" s="447">
        <f>IFERROR(__xludf.DUMMYFUNCTION("""COMPUTED_VALUE"""),0.0)</f>
        <v>0</v>
      </c>
      <c r="AF456" s="447">
        <f>IFERROR(__xludf.DUMMYFUNCTION("""COMPUTED_VALUE"""),0.0)</f>
        <v>0</v>
      </c>
      <c r="AG456" s="443" t="s">
        <v>98</v>
      </c>
      <c r="AH456" s="443" t="s">
        <v>961</v>
      </c>
      <c r="AI456" s="443"/>
      <c r="AJ456" s="443"/>
      <c r="AK456" s="443"/>
      <c r="AL456" s="443"/>
      <c r="AM456" s="443"/>
      <c r="AN456" s="443"/>
      <c r="AO456" s="443"/>
      <c r="AP456" s="443"/>
      <c r="AQ456" s="443"/>
      <c r="AR456" s="443"/>
      <c r="AS456" s="443"/>
      <c r="AT456" s="443"/>
      <c r="AU456" s="443"/>
      <c r="AV456" s="443"/>
      <c r="AW456" s="443"/>
      <c r="AX456" s="443"/>
      <c r="AY456" s="443"/>
      <c r="AZ456" s="443"/>
      <c r="BA456" s="443"/>
      <c r="BB456" s="443"/>
      <c r="BC456" s="443"/>
      <c r="BD456" s="443"/>
      <c r="BE456" s="443"/>
    </row>
    <row r="457" hidden="1">
      <c r="A457" s="445">
        <f t="shared" si="5"/>
        <v>45747</v>
      </c>
      <c r="B457" s="449">
        <v>610.0</v>
      </c>
      <c r="C457" s="462">
        <v>0.6</v>
      </c>
      <c r="D457" s="462">
        <v>1.0743055555555556</v>
      </c>
      <c r="E457" s="436">
        <f t="array" ref="E457">IF(B457=0,"",(J457+K457)/60)</f>
        <v>1.966666667</v>
      </c>
      <c r="F457" s="437">
        <f t="shared" si="1"/>
        <v>11.38333333</v>
      </c>
      <c r="G457" s="438">
        <f t="shared" si="8"/>
        <v>53.58711567</v>
      </c>
      <c r="H457" s="438">
        <f t="shared" si="3"/>
        <v>64.77876106</v>
      </c>
      <c r="I457" s="436">
        <f t="shared" si="6"/>
        <v>1.116398243</v>
      </c>
      <c r="J457" s="460">
        <v>60.0</v>
      </c>
      <c r="K457" s="464">
        <f>30+28</f>
        <v>58</v>
      </c>
      <c r="L457" s="443"/>
      <c r="M457" s="447">
        <f>IFERROR(__xludf.DUMMYFUNCTION("""COMPUTED_VALUE"""),57.0)</f>
        <v>57</v>
      </c>
      <c r="N457" s="447">
        <f>IFERROR(__xludf.DUMMYFUNCTION("""COMPUTED_VALUE"""),56.0)</f>
        <v>56</v>
      </c>
      <c r="O457" s="447">
        <f>IFERROR(__xludf.DUMMYFUNCTION("""COMPUTED_VALUE"""),0.0)</f>
        <v>0</v>
      </c>
      <c r="P457" s="447">
        <f>IFERROR(__xludf.DUMMYFUNCTION("""COMPUTED_VALUE"""),0.0)</f>
        <v>0</v>
      </c>
      <c r="Q457" s="447">
        <f>IFERROR(__xludf.DUMMYFUNCTION("""COMPUTED_VALUE"""),0.0)</f>
        <v>0</v>
      </c>
      <c r="R457" s="447">
        <f>IFERROR(__xludf.DUMMYFUNCTION("""COMPUTED_VALUE"""),0.0)</f>
        <v>0</v>
      </c>
      <c r="S457" s="447">
        <f>IFERROR(__xludf.DUMMYFUNCTION("""COMPUTED_VALUE"""),1.0)</f>
        <v>1</v>
      </c>
      <c r="T457" s="447">
        <f>IFERROR(__xludf.DUMMYFUNCTION("""COMPUTED_VALUE"""),0.0)</f>
        <v>0</v>
      </c>
      <c r="U457" s="447">
        <f>IFERROR(__xludf.DUMMYFUNCTION("""COMPUTED_VALUE"""),1.0)</f>
        <v>1</v>
      </c>
      <c r="V457" s="447">
        <f>IFERROR(__xludf.DUMMYFUNCTION("""COMPUTED_VALUE"""),3.0)</f>
        <v>3</v>
      </c>
      <c r="W457" s="447">
        <f>IFERROR(__xludf.DUMMYFUNCTION("""COMPUTED_VALUE"""),0.0)</f>
        <v>0</v>
      </c>
      <c r="X457" s="447">
        <f>IFERROR(__xludf.DUMMYFUNCTION("""COMPUTED_VALUE"""),0.0)</f>
        <v>0</v>
      </c>
      <c r="Y457" s="447">
        <f>IFERROR(__xludf.DUMMYFUNCTION("""COMPUTED_VALUE"""),0.0)</f>
        <v>0</v>
      </c>
      <c r="Z457" s="447">
        <f>IFERROR(__xludf.DUMMYFUNCTION("""COMPUTED_VALUE"""),0.0)</f>
        <v>0</v>
      </c>
      <c r="AA457" s="447">
        <f>IFERROR(__xludf.DUMMYFUNCTION("""COMPUTED_VALUE"""),0.0)</f>
        <v>0</v>
      </c>
      <c r="AB457" s="447">
        <f>IFERROR(__xludf.DUMMYFUNCTION("""COMPUTED_VALUE"""),0.0)</f>
        <v>0</v>
      </c>
      <c r="AC457" s="447">
        <f>IFERROR(__xludf.DUMMYFUNCTION("""COMPUTED_VALUE"""),2.0)</f>
        <v>2</v>
      </c>
      <c r="AD457" s="447">
        <f>IFERROR(__xludf.DUMMYFUNCTION("""COMPUTED_VALUE"""),48.0)</f>
        <v>48</v>
      </c>
      <c r="AE457" s="447">
        <f>IFERROR(__xludf.DUMMYFUNCTION("""COMPUTED_VALUE"""),7.0)</f>
        <v>7</v>
      </c>
      <c r="AF457" s="447">
        <f>IFERROR(__xludf.DUMMYFUNCTION("""COMPUTED_VALUE"""),1.0)</f>
        <v>1</v>
      </c>
      <c r="AG457" s="443" t="s">
        <v>98</v>
      </c>
      <c r="AH457" s="443" t="s">
        <v>961</v>
      </c>
      <c r="AI457" s="443"/>
      <c r="AJ457" s="443"/>
      <c r="AK457" s="443"/>
      <c r="AL457" s="443"/>
      <c r="AM457" s="443"/>
      <c r="AN457" s="443"/>
      <c r="AO457" s="443"/>
      <c r="AP457" s="443"/>
      <c r="AQ457" s="443"/>
      <c r="AR457" s="443"/>
      <c r="AS457" s="443"/>
      <c r="AT457" s="443"/>
      <c r="AU457" s="443"/>
      <c r="AV457" s="443"/>
      <c r="AW457" s="443"/>
      <c r="AX457" s="443"/>
      <c r="AY457" s="443"/>
      <c r="AZ457" s="443"/>
      <c r="BA457" s="443"/>
      <c r="BB457" s="443"/>
      <c r="BC457" s="443"/>
      <c r="BD457" s="443"/>
      <c r="BE457" s="443"/>
    </row>
    <row r="458" hidden="1">
      <c r="A458" s="445">
        <f t="shared" si="5"/>
        <v>45748</v>
      </c>
      <c r="B458" s="449">
        <v>367.0</v>
      </c>
      <c r="C458" s="462">
        <v>0.6</v>
      </c>
      <c r="D458" s="462">
        <v>0.8798611111111111</v>
      </c>
      <c r="E458" s="436">
        <f t="array" ref="E458">IF(B458=0,"",(J458+K458)/60)</f>
        <v>0.5</v>
      </c>
      <c r="F458" s="437">
        <f t="shared" si="1"/>
        <v>6.716666667</v>
      </c>
      <c r="G458" s="438">
        <f t="shared" si="8"/>
        <v>54.64019851</v>
      </c>
      <c r="H458" s="438">
        <f t="shared" si="3"/>
        <v>59.03485255</v>
      </c>
      <c r="I458" s="436">
        <f t="shared" si="6"/>
        <v>1.115106092</v>
      </c>
      <c r="J458" s="460">
        <v>30.0</v>
      </c>
      <c r="K458" s="464"/>
      <c r="L458" s="443"/>
      <c r="M458" s="525">
        <f>IFERROR(__xludf.DUMMYFUNCTION("TRANSPOSE(IMPORTRANGE(""https://docs.google.com/spreadsheets/d/1CNeKSHTeNNJnfn5EymHwGg5Mkuk6EcepW7_9QkJxalc/edit#gid=1218471306"",""ABRIL 2025!F2:AI21""))"),57.0)</f>
        <v>57</v>
      </c>
      <c r="N458" s="447">
        <f>IFERROR(__xludf.DUMMYFUNCTION("""COMPUTED_VALUE"""),57.0)</f>
        <v>57</v>
      </c>
      <c r="O458" s="447">
        <f>IFERROR(__xludf.DUMMYFUNCTION("""COMPUTED_VALUE"""),0.0)</f>
        <v>0</v>
      </c>
      <c r="P458" s="447">
        <f>IFERROR(__xludf.DUMMYFUNCTION("""COMPUTED_VALUE"""),0.0)</f>
        <v>0</v>
      </c>
      <c r="Q458" s="447">
        <f>IFERROR(__xludf.DUMMYFUNCTION("""COMPUTED_VALUE"""),0.0)</f>
        <v>0</v>
      </c>
      <c r="R458" s="447">
        <f>IFERROR(__xludf.DUMMYFUNCTION("""COMPUTED_VALUE"""),0.0)</f>
        <v>0</v>
      </c>
      <c r="S458" s="447">
        <f>IFERROR(__xludf.DUMMYFUNCTION("""COMPUTED_VALUE"""),2.0)</f>
        <v>2</v>
      </c>
      <c r="T458" s="447">
        <f>IFERROR(__xludf.DUMMYFUNCTION("""COMPUTED_VALUE"""),0.0)</f>
        <v>0</v>
      </c>
      <c r="U458" s="447">
        <f>IFERROR(__xludf.DUMMYFUNCTION("""COMPUTED_VALUE"""),0.0)</f>
        <v>0</v>
      </c>
      <c r="V458" s="447">
        <f>IFERROR(__xludf.DUMMYFUNCTION("""COMPUTED_VALUE"""),3.0)</f>
        <v>3</v>
      </c>
      <c r="W458" s="447">
        <f>IFERROR(__xludf.DUMMYFUNCTION("""COMPUTED_VALUE"""),0.0)</f>
        <v>0</v>
      </c>
      <c r="X458" s="447">
        <f>IFERROR(__xludf.DUMMYFUNCTION("""COMPUTED_VALUE"""),0.0)</f>
        <v>0</v>
      </c>
      <c r="Y458" s="447">
        <f>IFERROR(__xludf.DUMMYFUNCTION("""COMPUTED_VALUE"""),0.0)</f>
        <v>0</v>
      </c>
      <c r="Z458" s="447">
        <f>IFERROR(__xludf.DUMMYFUNCTION("""COMPUTED_VALUE"""),0.0)</f>
        <v>0</v>
      </c>
      <c r="AA458" s="447">
        <f>IFERROR(__xludf.DUMMYFUNCTION("""COMPUTED_VALUE"""),0.0)</f>
        <v>0</v>
      </c>
      <c r="AB458" s="447">
        <f>IFERROR(__xludf.DUMMYFUNCTION("""COMPUTED_VALUE"""),1.0)</f>
        <v>1</v>
      </c>
      <c r="AC458" s="447">
        <f>IFERROR(__xludf.DUMMYFUNCTION("""COMPUTED_VALUE"""),0.0)</f>
        <v>0</v>
      </c>
      <c r="AD458" s="447">
        <f>IFERROR(__xludf.DUMMYFUNCTION("""COMPUTED_VALUE"""),49.0)</f>
        <v>49</v>
      </c>
      <c r="AE458" s="447">
        <f>IFERROR(__xludf.DUMMYFUNCTION("""COMPUTED_VALUE"""),5.0)</f>
        <v>5</v>
      </c>
      <c r="AF458" s="447">
        <f>IFERROR(__xludf.DUMMYFUNCTION("""COMPUTED_VALUE"""),0.0)</f>
        <v>0</v>
      </c>
      <c r="AG458" s="443" t="s">
        <v>106</v>
      </c>
      <c r="AH458" s="443" t="s">
        <v>961</v>
      </c>
      <c r="AI458" s="443"/>
      <c r="AJ458" s="443"/>
      <c r="AK458" s="443"/>
      <c r="AL458" s="443"/>
      <c r="AM458" s="443"/>
      <c r="AN458" s="443"/>
      <c r="AO458" s="443"/>
      <c r="AP458" s="443"/>
      <c r="AQ458" s="443"/>
      <c r="AR458" s="443"/>
      <c r="AS458" s="443"/>
      <c r="AT458" s="443"/>
      <c r="AU458" s="443"/>
      <c r="AV458" s="443"/>
      <c r="AW458" s="443"/>
      <c r="AX458" s="443"/>
      <c r="AY458" s="443"/>
      <c r="AZ458" s="443"/>
      <c r="BA458" s="443"/>
      <c r="BB458" s="443"/>
      <c r="BC458" s="443"/>
      <c r="BD458" s="443"/>
      <c r="BE458" s="443"/>
    </row>
    <row r="459" hidden="1">
      <c r="A459" s="445">
        <f t="shared" si="5"/>
        <v>45749</v>
      </c>
      <c r="B459" s="449">
        <v>565.0</v>
      </c>
      <c r="C459" s="462">
        <v>0.6</v>
      </c>
      <c r="D459" s="462">
        <v>1.09375</v>
      </c>
      <c r="E459" s="436">
        <f t="array" ref="E459">IF(B459=0,"",(J459+K459)/60)</f>
        <v>2.45</v>
      </c>
      <c r="F459" s="437">
        <f t="shared" si="1"/>
        <v>11.85</v>
      </c>
      <c r="G459" s="438">
        <f t="shared" si="8"/>
        <v>47.67932489</v>
      </c>
      <c r="H459" s="438">
        <f t="shared" si="3"/>
        <v>60.10638298</v>
      </c>
      <c r="I459" s="436">
        <f t="shared" si="6"/>
        <v>1.014453721</v>
      </c>
      <c r="J459" s="460">
        <v>60.0</v>
      </c>
      <c r="K459" s="464">
        <f>27+30+30</f>
        <v>87</v>
      </c>
      <c r="L459" s="443"/>
      <c r="M459" s="447">
        <f>IFERROR(__xludf.DUMMYFUNCTION("""COMPUTED_VALUE"""),57.0)</f>
        <v>57</v>
      </c>
      <c r="N459" s="447">
        <f>IFERROR(__xludf.DUMMYFUNCTION("""COMPUTED_VALUE"""),57.0)</f>
        <v>57</v>
      </c>
      <c r="O459" s="447">
        <f>IFERROR(__xludf.DUMMYFUNCTION("""COMPUTED_VALUE"""),0.0)</f>
        <v>0</v>
      </c>
      <c r="P459" s="447">
        <f>IFERROR(__xludf.DUMMYFUNCTION("""COMPUTED_VALUE"""),0.0)</f>
        <v>0</v>
      </c>
      <c r="Q459" s="447">
        <f>IFERROR(__xludf.DUMMYFUNCTION("""COMPUTED_VALUE"""),0.0)</f>
        <v>0</v>
      </c>
      <c r="R459" s="447">
        <f>IFERROR(__xludf.DUMMYFUNCTION("""COMPUTED_VALUE"""),0.0)</f>
        <v>0</v>
      </c>
      <c r="S459" s="447">
        <f>IFERROR(__xludf.DUMMYFUNCTION("""COMPUTED_VALUE"""),3.0)</f>
        <v>3</v>
      </c>
      <c r="T459" s="447">
        <f>IFERROR(__xludf.DUMMYFUNCTION("""COMPUTED_VALUE"""),1.0)</f>
        <v>1</v>
      </c>
      <c r="U459" s="447">
        <f>IFERROR(__xludf.DUMMYFUNCTION("""COMPUTED_VALUE"""),0.0)</f>
        <v>0</v>
      </c>
      <c r="V459" s="447">
        <f>IFERROR(__xludf.DUMMYFUNCTION("""COMPUTED_VALUE"""),3.0)</f>
        <v>3</v>
      </c>
      <c r="W459" s="447">
        <f>IFERROR(__xludf.DUMMYFUNCTION("""COMPUTED_VALUE"""),0.0)</f>
        <v>0</v>
      </c>
      <c r="X459" s="447">
        <f>IFERROR(__xludf.DUMMYFUNCTION("""COMPUTED_VALUE"""),0.0)</f>
        <v>0</v>
      </c>
      <c r="Y459" s="447">
        <f>IFERROR(__xludf.DUMMYFUNCTION("""COMPUTED_VALUE"""),0.0)</f>
        <v>0</v>
      </c>
      <c r="Z459" s="447">
        <f>IFERROR(__xludf.DUMMYFUNCTION("""COMPUTED_VALUE"""),0.0)</f>
        <v>0</v>
      </c>
      <c r="AA459" s="447">
        <f>IFERROR(__xludf.DUMMYFUNCTION("""COMPUTED_VALUE"""),0.0)</f>
        <v>0</v>
      </c>
      <c r="AB459" s="447">
        <f>IFERROR(__xludf.DUMMYFUNCTION("""COMPUTED_VALUE"""),0.0)</f>
        <v>0</v>
      </c>
      <c r="AC459" s="447">
        <f>IFERROR(__xludf.DUMMYFUNCTION("""COMPUTED_VALUE"""),1.0)</f>
        <v>1</v>
      </c>
      <c r="AD459" s="447">
        <f>IFERROR(__xludf.DUMMYFUNCTION("""COMPUTED_VALUE"""),47.0)</f>
        <v>47</v>
      </c>
      <c r="AE459" s="447">
        <f>IFERROR(__xludf.DUMMYFUNCTION("""COMPUTED_VALUE"""),8.0)</f>
        <v>8</v>
      </c>
      <c r="AF459" s="447">
        <f>IFERROR(__xludf.DUMMYFUNCTION("""COMPUTED_VALUE"""),0.0)</f>
        <v>0</v>
      </c>
      <c r="AG459" s="443" t="s">
        <v>106</v>
      </c>
      <c r="AH459" s="443" t="s">
        <v>961</v>
      </c>
      <c r="AI459" s="443"/>
      <c r="AJ459" s="443"/>
      <c r="AK459" s="443"/>
      <c r="AL459" s="443"/>
      <c r="AM459" s="443"/>
      <c r="AN459" s="443"/>
      <c r="AO459" s="443"/>
      <c r="AP459" s="443"/>
      <c r="AQ459" s="443"/>
      <c r="AR459" s="443"/>
      <c r="AS459" s="443"/>
      <c r="AT459" s="443"/>
      <c r="AU459" s="443"/>
      <c r="AV459" s="443"/>
      <c r="AW459" s="443"/>
      <c r="AX459" s="443"/>
      <c r="AY459" s="443"/>
      <c r="AZ459" s="443"/>
      <c r="BA459" s="443"/>
      <c r="BB459" s="443"/>
      <c r="BC459" s="443"/>
      <c r="BD459" s="443"/>
      <c r="BE459" s="443"/>
    </row>
    <row r="460" hidden="1">
      <c r="A460" s="445">
        <f t="shared" si="5"/>
        <v>45750</v>
      </c>
      <c r="B460" s="449">
        <v>502.0</v>
      </c>
      <c r="C460" s="462">
        <v>0.6</v>
      </c>
      <c r="D460" s="462">
        <v>0.9638888888888889</v>
      </c>
      <c r="E460" s="436">
        <f t="array" ref="E460">IF(B460=0,"",(J460+K460)/60)</f>
        <v>1</v>
      </c>
      <c r="F460" s="437">
        <f t="shared" si="1"/>
        <v>8.733333333</v>
      </c>
      <c r="G460" s="438">
        <f t="shared" si="8"/>
        <v>57.48091603</v>
      </c>
      <c r="H460" s="438">
        <f t="shared" si="3"/>
        <v>64.9137931</v>
      </c>
      <c r="I460" s="436">
        <f t="shared" si="6"/>
        <v>1.173079919</v>
      </c>
      <c r="J460" s="460">
        <v>30.0</v>
      </c>
      <c r="K460" s="460">
        <v>30.0</v>
      </c>
      <c r="L460" s="443"/>
      <c r="M460" s="447">
        <f>IFERROR(__xludf.DUMMYFUNCTION("""COMPUTED_VALUE"""),57.0)</f>
        <v>57</v>
      </c>
      <c r="N460" s="447">
        <f>IFERROR(__xludf.DUMMYFUNCTION("""COMPUTED_VALUE"""),57.0)</f>
        <v>57</v>
      </c>
      <c r="O460" s="447">
        <f>IFERROR(__xludf.DUMMYFUNCTION("""COMPUTED_VALUE"""),0.0)</f>
        <v>0</v>
      </c>
      <c r="P460" s="447">
        <f>IFERROR(__xludf.DUMMYFUNCTION("""COMPUTED_VALUE"""),0.0)</f>
        <v>0</v>
      </c>
      <c r="Q460" s="447">
        <f>IFERROR(__xludf.DUMMYFUNCTION("""COMPUTED_VALUE"""),0.0)</f>
        <v>0</v>
      </c>
      <c r="R460" s="447">
        <f>IFERROR(__xludf.DUMMYFUNCTION("""COMPUTED_VALUE"""),0.0)</f>
        <v>0</v>
      </c>
      <c r="S460" s="447">
        <f>IFERROR(__xludf.DUMMYFUNCTION("""COMPUTED_VALUE"""),2.0)</f>
        <v>2</v>
      </c>
      <c r="T460" s="447">
        <f>IFERROR(__xludf.DUMMYFUNCTION("""COMPUTED_VALUE"""),1.0)</f>
        <v>1</v>
      </c>
      <c r="U460" s="447">
        <f>IFERROR(__xludf.DUMMYFUNCTION("""COMPUTED_VALUE"""),0.0)</f>
        <v>0</v>
      </c>
      <c r="V460" s="447">
        <f>IFERROR(__xludf.DUMMYFUNCTION("""COMPUTED_VALUE"""),3.0)</f>
        <v>3</v>
      </c>
      <c r="W460" s="447">
        <f>IFERROR(__xludf.DUMMYFUNCTION("""COMPUTED_VALUE"""),0.0)</f>
        <v>0</v>
      </c>
      <c r="X460" s="447">
        <f>IFERROR(__xludf.DUMMYFUNCTION("""COMPUTED_VALUE"""),0.0)</f>
        <v>0</v>
      </c>
      <c r="Y460" s="447">
        <f>IFERROR(__xludf.DUMMYFUNCTION("""COMPUTED_VALUE"""),0.0)</f>
        <v>0</v>
      </c>
      <c r="Z460" s="447">
        <f>IFERROR(__xludf.DUMMYFUNCTION("""COMPUTED_VALUE"""),0.0)</f>
        <v>0</v>
      </c>
      <c r="AA460" s="447">
        <f>IFERROR(__xludf.DUMMYFUNCTION("""COMPUTED_VALUE"""),0.0)</f>
        <v>0</v>
      </c>
      <c r="AB460" s="447">
        <f>IFERROR(__xludf.DUMMYFUNCTION("""COMPUTED_VALUE"""),0.0)</f>
        <v>0</v>
      </c>
      <c r="AC460" s="447">
        <f>IFERROR(__xludf.DUMMYFUNCTION("""COMPUTED_VALUE"""),0.0)</f>
        <v>0</v>
      </c>
      <c r="AD460" s="447">
        <f>IFERROR(__xludf.DUMMYFUNCTION("""COMPUTED_VALUE"""),49.0)</f>
        <v>49</v>
      </c>
      <c r="AE460" s="447">
        <f>IFERROR(__xludf.DUMMYFUNCTION("""COMPUTED_VALUE"""),6.0)</f>
        <v>6</v>
      </c>
      <c r="AF460" s="447">
        <f>IFERROR(__xludf.DUMMYFUNCTION("""COMPUTED_VALUE"""),0.0)</f>
        <v>0</v>
      </c>
      <c r="AG460" s="443" t="s">
        <v>106</v>
      </c>
      <c r="AH460" s="443" t="s">
        <v>961</v>
      </c>
      <c r="AI460" s="443"/>
      <c r="AJ460" s="443"/>
      <c r="AK460" s="443"/>
      <c r="AL460" s="443"/>
      <c r="AM460" s="443"/>
      <c r="AN460" s="443"/>
      <c r="AO460" s="443"/>
      <c r="AP460" s="443"/>
      <c r="AQ460" s="443"/>
      <c r="AR460" s="443"/>
      <c r="AS460" s="443"/>
      <c r="AT460" s="443"/>
      <c r="AU460" s="443"/>
      <c r="AV460" s="443"/>
      <c r="AW460" s="443"/>
      <c r="AX460" s="443"/>
      <c r="AY460" s="443"/>
      <c r="AZ460" s="443"/>
      <c r="BA460" s="443"/>
      <c r="BB460" s="443"/>
      <c r="BC460" s="443"/>
      <c r="BD460" s="443"/>
      <c r="BE460" s="443"/>
    </row>
    <row r="461" hidden="1">
      <c r="A461" s="445">
        <f t="shared" si="5"/>
        <v>45751</v>
      </c>
      <c r="B461" s="449">
        <v>450.0</v>
      </c>
      <c r="C461" s="462">
        <v>0.6</v>
      </c>
      <c r="D461" s="462">
        <v>0.9479166666666666</v>
      </c>
      <c r="E461" s="436">
        <f t="array" ref="E461">IF(B461=0,"",(J461+K461)/60)</f>
        <v>0.5</v>
      </c>
      <c r="F461" s="437">
        <f t="shared" si="1"/>
        <v>8.35</v>
      </c>
      <c r="G461" s="438">
        <f t="shared" si="8"/>
        <v>53.89221557</v>
      </c>
      <c r="H461" s="438">
        <f t="shared" si="3"/>
        <v>57.32484076</v>
      </c>
      <c r="I461" s="436">
        <f t="shared" si="6"/>
        <v>1.19760479</v>
      </c>
      <c r="J461" s="460">
        <v>30.0</v>
      </c>
      <c r="K461" s="464"/>
      <c r="L461" s="443"/>
      <c r="M461" s="447">
        <f>IFERROR(__xludf.DUMMYFUNCTION("""COMPUTED_VALUE"""),57.0)</f>
        <v>57</v>
      </c>
      <c r="N461" s="447">
        <f>IFERROR(__xludf.DUMMYFUNCTION("""COMPUTED_VALUE"""),55.0)</f>
        <v>55</v>
      </c>
      <c r="O461" s="447">
        <f>IFERROR(__xludf.DUMMYFUNCTION("""COMPUTED_VALUE"""),0.0)</f>
        <v>0</v>
      </c>
      <c r="P461" s="447">
        <f>IFERROR(__xludf.DUMMYFUNCTION("""COMPUTED_VALUE"""),0.0)</f>
        <v>0</v>
      </c>
      <c r="Q461" s="447">
        <f>IFERROR(__xludf.DUMMYFUNCTION("""COMPUTED_VALUE"""),0.0)</f>
        <v>0</v>
      </c>
      <c r="R461" s="447">
        <f>IFERROR(__xludf.DUMMYFUNCTION("""COMPUTED_VALUE"""),0.0)</f>
        <v>0</v>
      </c>
      <c r="S461" s="447">
        <f>IFERROR(__xludf.DUMMYFUNCTION("""COMPUTED_VALUE"""),4.0)</f>
        <v>4</v>
      </c>
      <c r="T461" s="447">
        <f>IFERROR(__xludf.DUMMYFUNCTION("""COMPUTED_VALUE"""),0.0)</f>
        <v>0</v>
      </c>
      <c r="U461" s="447">
        <f>IFERROR(__xludf.DUMMYFUNCTION("""COMPUTED_VALUE"""),2.0)</f>
        <v>2</v>
      </c>
      <c r="V461" s="447">
        <f>IFERROR(__xludf.DUMMYFUNCTION("""COMPUTED_VALUE"""),3.0)</f>
        <v>3</v>
      </c>
      <c r="W461" s="447">
        <f>IFERROR(__xludf.DUMMYFUNCTION("""COMPUTED_VALUE"""),0.0)</f>
        <v>0</v>
      </c>
      <c r="X461" s="447">
        <f>IFERROR(__xludf.DUMMYFUNCTION("""COMPUTED_VALUE"""),0.0)</f>
        <v>0</v>
      </c>
      <c r="Y461" s="447">
        <f>IFERROR(__xludf.DUMMYFUNCTION("""COMPUTED_VALUE"""),0.0)</f>
        <v>0</v>
      </c>
      <c r="Z461" s="447">
        <f>IFERROR(__xludf.DUMMYFUNCTION("""COMPUTED_VALUE"""),0.0)</f>
        <v>0</v>
      </c>
      <c r="AA461" s="447">
        <f>IFERROR(__xludf.DUMMYFUNCTION("""COMPUTED_VALUE"""),0.0)</f>
        <v>0</v>
      </c>
      <c r="AB461" s="447">
        <f>IFERROR(__xludf.DUMMYFUNCTION("""COMPUTED_VALUE"""),0.0)</f>
        <v>0</v>
      </c>
      <c r="AC461" s="447">
        <f>IFERROR(__xludf.DUMMYFUNCTION("""COMPUTED_VALUE"""),1.0)</f>
        <v>1</v>
      </c>
      <c r="AD461" s="447">
        <f>IFERROR(__xludf.DUMMYFUNCTION("""COMPUTED_VALUE"""),45.0)</f>
        <v>45</v>
      </c>
      <c r="AE461" s="447">
        <f>IFERROR(__xludf.DUMMYFUNCTION("""COMPUTED_VALUE"""),10.0)</f>
        <v>10</v>
      </c>
      <c r="AF461" s="447">
        <f>IFERROR(__xludf.DUMMYFUNCTION("""COMPUTED_VALUE"""),2.0)</f>
        <v>2</v>
      </c>
      <c r="AG461" s="443" t="s">
        <v>106</v>
      </c>
      <c r="AH461" s="443" t="s">
        <v>961</v>
      </c>
      <c r="AI461" s="443"/>
      <c r="AJ461" s="443"/>
      <c r="AK461" s="443"/>
      <c r="AL461" s="443"/>
      <c r="AM461" s="443"/>
      <c r="AN461" s="443"/>
      <c r="AO461" s="443"/>
      <c r="AP461" s="443"/>
      <c r="AQ461" s="443"/>
      <c r="AR461" s="443"/>
      <c r="AS461" s="443"/>
      <c r="AT461" s="443"/>
      <c r="AU461" s="443"/>
      <c r="AV461" s="443"/>
      <c r="AW461" s="443"/>
      <c r="AX461" s="443"/>
      <c r="AY461" s="443"/>
      <c r="AZ461" s="443"/>
      <c r="BA461" s="443"/>
      <c r="BB461" s="443"/>
      <c r="BC461" s="443"/>
      <c r="BD461" s="443"/>
      <c r="BE461" s="443"/>
    </row>
    <row r="462" hidden="1">
      <c r="A462" s="445">
        <f t="shared" si="5"/>
        <v>45752</v>
      </c>
      <c r="B462" s="449">
        <v>332.0</v>
      </c>
      <c r="C462" s="462">
        <v>0.6</v>
      </c>
      <c r="D462" s="462">
        <v>0.8611111111111112</v>
      </c>
      <c r="E462" s="436">
        <f t="array" ref="E462">IF(B462=0,"",(J462+K462)/60)</f>
        <v>0.5</v>
      </c>
      <c r="F462" s="437">
        <f t="shared" si="1"/>
        <v>6.266666667</v>
      </c>
      <c r="G462" s="438">
        <f t="shared" si="8"/>
        <v>52.9787234</v>
      </c>
      <c r="H462" s="438">
        <f t="shared" si="3"/>
        <v>57.57225434</v>
      </c>
      <c r="I462" s="436">
        <f t="shared" si="6"/>
        <v>1.177304965</v>
      </c>
      <c r="J462" s="460">
        <v>30.0</v>
      </c>
      <c r="K462" s="464"/>
      <c r="L462" s="443"/>
      <c r="M462" s="447">
        <f>IFERROR(__xludf.DUMMYFUNCTION("""COMPUTED_VALUE"""),57.0)</f>
        <v>57</v>
      </c>
      <c r="N462" s="447">
        <f>IFERROR(__xludf.DUMMYFUNCTION("""COMPUTED_VALUE"""),55.0)</f>
        <v>55</v>
      </c>
      <c r="O462" s="447">
        <f>IFERROR(__xludf.DUMMYFUNCTION("""COMPUTED_VALUE"""),0.0)</f>
        <v>0</v>
      </c>
      <c r="P462" s="447">
        <f>IFERROR(__xludf.DUMMYFUNCTION("""COMPUTED_VALUE"""),0.0)</f>
        <v>0</v>
      </c>
      <c r="Q462" s="447">
        <f>IFERROR(__xludf.DUMMYFUNCTION("""COMPUTED_VALUE"""),0.0)</f>
        <v>0</v>
      </c>
      <c r="R462" s="447">
        <f>IFERROR(__xludf.DUMMYFUNCTION("""COMPUTED_VALUE"""),0.0)</f>
        <v>0</v>
      </c>
      <c r="S462" s="447">
        <f>IFERROR(__xludf.DUMMYFUNCTION("""COMPUTED_VALUE"""),4.0)</f>
        <v>4</v>
      </c>
      <c r="T462" s="447">
        <f>IFERROR(__xludf.DUMMYFUNCTION("""COMPUTED_VALUE"""),0.0)</f>
        <v>0</v>
      </c>
      <c r="U462" s="447">
        <f>IFERROR(__xludf.DUMMYFUNCTION("""COMPUTED_VALUE"""),2.0)</f>
        <v>2</v>
      </c>
      <c r="V462" s="447">
        <f>IFERROR(__xludf.DUMMYFUNCTION("""COMPUTED_VALUE"""),3.0)</f>
        <v>3</v>
      </c>
      <c r="W462" s="447">
        <f>IFERROR(__xludf.DUMMYFUNCTION("""COMPUTED_VALUE"""),0.0)</f>
        <v>0</v>
      </c>
      <c r="X462" s="447">
        <f>IFERROR(__xludf.DUMMYFUNCTION("""COMPUTED_VALUE"""),0.0)</f>
        <v>0</v>
      </c>
      <c r="Y462" s="447">
        <f>IFERROR(__xludf.DUMMYFUNCTION("""COMPUTED_VALUE"""),0.0)</f>
        <v>0</v>
      </c>
      <c r="Z462" s="447">
        <f>IFERROR(__xludf.DUMMYFUNCTION("""COMPUTED_VALUE"""),0.0)</f>
        <v>0</v>
      </c>
      <c r="AA462" s="447">
        <f>IFERROR(__xludf.DUMMYFUNCTION("""COMPUTED_VALUE"""),0.0)</f>
        <v>0</v>
      </c>
      <c r="AB462" s="447">
        <f>IFERROR(__xludf.DUMMYFUNCTION("""COMPUTED_VALUE"""),0.0)</f>
        <v>0</v>
      </c>
      <c r="AC462" s="447">
        <f>IFERROR(__xludf.DUMMYFUNCTION("""COMPUTED_VALUE"""),1.0)</f>
        <v>1</v>
      </c>
      <c r="AD462" s="447">
        <f>IFERROR(__xludf.DUMMYFUNCTION("""COMPUTED_VALUE"""),45.0)</f>
        <v>45</v>
      </c>
      <c r="AE462" s="447">
        <f>IFERROR(__xludf.DUMMYFUNCTION("""COMPUTED_VALUE"""),10.0)</f>
        <v>10</v>
      </c>
      <c r="AF462" s="447">
        <f>IFERROR(__xludf.DUMMYFUNCTION("""COMPUTED_VALUE"""),2.0)</f>
        <v>2</v>
      </c>
      <c r="AG462" s="443" t="s">
        <v>106</v>
      </c>
      <c r="AH462" s="443" t="s">
        <v>961</v>
      </c>
      <c r="AI462" s="443"/>
      <c r="AJ462" s="443"/>
      <c r="AK462" s="443"/>
      <c r="AL462" s="443"/>
      <c r="AM462" s="443"/>
      <c r="AN462" s="443"/>
      <c r="AO462" s="443"/>
      <c r="AP462" s="443"/>
      <c r="AQ462" s="443"/>
      <c r="AR462" s="443"/>
      <c r="AS462" s="443"/>
      <c r="AT462" s="443"/>
      <c r="AU462" s="443"/>
      <c r="AV462" s="443"/>
      <c r="AW462" s="443"/>
      <c r="AX462" s="443"/>
      <c r="AY462" s="443"/>
      <c r="AZ462" s="443"/>
      <c r="BA462" s="443"/>
      <c r="BB462" s="443"/>
      <c r="BC462" s="443"/>
      <c r="BD462" s="443"/>
      <c r="BE462" s="443"/>
    </row>
    <row r="463" hidden="1">
      <c r="A463" s="445">
        <f t="shared" si="5"/>
        <v>45753</v>
      </c>
      <c r="B463" s="449">
        <v>0.0</v>
      </c>
      <c r="C463" s="443"/>
      <c r="D463" s="462"/>
      <c r="E463" s="436" t="str">
        <f t="array" ref="E463">IF(B463=0,"",(J463+K463)/60)</f>
        <v/>
      </c>
      <c r="F463" s="437" t="str">
        <f t="shared" si="1"/>
        <v/>
      </c>
      <c r="G463" s="438" t="str">
        <f t="shared" si="8"/>
        <v>#DIV/0!</v>
      </c>
      <c r="H463" s="438" t="str">
        <f t="shared" si="3"/>
        <v/>
      </c>
      <c r="I463" s="436" t="str">
        <f t="shared" si="6"/>
        <v/>
      </c>
      <c r="J463" s="464"/>
      <c r="K463" s="464"/>
      <c r="L463" s="443"/>
      <c r="M463" s="447">
        <f>IFERROR(__xludf.DUMMYFUNCTION("""COMPUTED_VALUE"""),57.0)</f>
        <v>57</v>
      </c>
      <c r="N463" s="447">
        <f>IFERROR(__xludf.DUMMYFUNCTION("""COMPUTED_VALUE"""),57.0)</f>
        <v>57</v>
      </c>
      <c r="O463" s="447">
        <f>IFERROR(__xludf.DUMMYFUNCTION("""COMPUTED_VALUE"""),0.0)</f>
        <v>0</v>
      </c>
      <c r="P463" s="447">
        <f>IFERROR(__xludf.DUMMYFUNCTION("""COMPUTED_VALUE"""),0.0)</f>
        <v>0</v>
      </c>
      <c r="Q463" s="447">
        <f>IFERROR(__xludf.DUMMYFUNCTION("""COMPUTED_VALUE"""),0.0)</f>
        <v>0</v>
      </c>
      <c r="R463" s="447">
        <f>IFERROR(__xludf.DUMMYFUNCTION("""COMPUTED_VALUE"""),0.0)</f>
        <v>0</v>
      </c>
      <c r="S463" s="447">
        <f>IFERROR(__xludf.DUMMYFUNCTION("""COMPUTED_VALUE"""),0.0)</f>
        <v>0</v>
      </c>
      <c r="T463" s="447">
        <f>IFERROR(__xludf.DUMMYFUNCTION("""COMPUTED_VALUE"""),0.0)</f>
        <v>0</v>
      </c>
      <c r="U463" s="447">
        <f>IFERROR(__xludf.DUMMYFUNCTION("""COMPUTED_VALUE"""),0.0)</f>
        <v>0</v>
      </c>
      <c r="V463" s="447">
        <f>IFERROR(__xludf.DUMMYFUNCTION("""COMPUTED_VALUE"""),0.0)</f>
        <v>0</v>
      </c>
      <c r="W463" s="447">
        <f>IFERROR(__xludf.DUMMYFUNCTION("""COMPUTED_VALUE"""),0.0)</f>
        <v>0</v>
      </c>
      <c r="X463" s="447">
        <f>IFERROR(__xludf.DUMMYFUNCTION("""COMPUTED_VALUE"""),0.0)</f>
        <v>0</v>
      </c>
      <c r="Y463" s="447">
        <f>IFERROR(__xludf.DUMMYFUNCTION("""COMPUTED_VALUE"""),0.0)</f>
        <v>0</v>
      </c>
      <c r="Z463" s="447">
        <f>IFERROR(__xludf.DUMMYFUNCTION("""COMPUTED_VALUE"""),0.0)</f>
        <v>0</v>
      </c>
      <c r="AA463" s="447">
        <f>IFERROR(__xludf.DUMMYFUNCTION("""COMPUTED_VALUE"""),0.0)</f>
        <v>0</v>
      </c>
      <c r="AB463" s="447">
        <f>IFERROR(__xludf.DUMMYFUNCTION("""COMPUTED_VALUE"""),0.0)</f>
        <v>0</v>
      </c>
      <c r="AC463" s="447">
        <f>IFERROR(__xludf.DUMMYFUNCTION("""COMPUTED_VALUE"""),0.0)</f>
        <v>0</v>
      </c>
      <c r="AD463" s="447">
        <f>IFERROR(__xludf.DUMMYFUNCTION("""COMPUTED_VALUE"""),0.0)</f>
        <v>0</v>
      </c>
      <c r="AE463" s="447">
        <f>IFERROR(__xludf.DUMMYFUNCTION("""COMPUTED_VALUE"""),0.0)</f>
        <v>0</v>
      </c>
      <c r="AF463" s="447">
        <f>IFERROR(__xludf.DUMMYFUNCTION("""COMPUTED_VALUE"""),0.0)</f>
        <v>0</v>
      </c>
      <c r="AG463" s="443" t="s">
        <v>106</v>
      </c>
      <c r="AH463" s="443" t="s">
        <v>961</v>
      </c>
      <c r="AI463" s="443"/>
      <c r="AJ463" s="443"/>
      <c r="AK463" s="443"/>
      <c r="AL463" s="443"/>
      <c r="AM463" s="443"/>
      <c r="AN463" s="443"/>
      <c r="AO463" s="443"/>
      <c r="AP463" s="443"/>
      <c r="AQ463" s="443"/>
      <c r="AR463" s="443"/>
      <c r="AS463" s="443"/>
      <c r="AT463" s="443"/>
      <c r="AU463" s="443"/>
      <c r="AV463" s="443"/>
      <c r="AW463" s="443"/>
      <c r="AX463" s="443"/>
      <c r="AY463" s="443"/>
      <c r="AZ463" s="443"/>
      <c r="BA463" s="443"/>
      <c r="BB463" s="443"/>
      <c r="BC463" s="443"/>
      <c r="BD463" s="443"/>
      <c r="BE463" s="443"/>
    </row>
    <row r="464" hidden="1">
      <c r="A464" s="445">
        <f t="shared" si="5"/>
        <v>45754</v>
      </c>
      <c r="B464" s="449">
        <v>695.0</v>
      </c>
      <c r="C464" s="462">
        <v>0.6</v>
      </c>
      <c r="D464" s="462">
        <v>1.125</v>
      </c>
      <c r="E464" s="436">
        <f t="array" ref="E464">IF(B464=0,"",(J464+K464)/60)</f>
        <v>1</v>
      </c>
      <c r="F464" s="437">
        <f t="shared" si="1"/>
        <v>12.6</v>
      </c>
      <c r="G464" s="438">
        <f t="shared" si="8"/>
        <v>55.15873016</v>
      </c>
      <c r="H464" s="438">
        <f t="shared" si="3"/>
        <v>59.9137931</v>
      </c>
      <c r="I464" s="436">
        <f t="shared" si="6"/>
        <v>1.173590003</v>
      </c>
      <c r="J464" s="460">
        <v>60.0</v>
      </c>
      <c r="K464" s="464"/>
      <c r="L464" s="443"/>
      <c r="M464" s="447">
        <f>IFERROR(__xludf.DUMMYFUNCTION("""COMPUTED_VALUE"""),57.0)</f>
        <v>57</v>
      </c>
      <c r="N464" s="447">
        <f>IFERROR(__xludf.DUMMYFUNCTION("""COMPUTED_VALUE"""),55.0)</f>
        <v>55</v>
      </c>
      <c r="O464" s="447">
        <f>IFERROR(__xludf.DUMMYFUNCTION("""COMPUTED_VALUE"""),0.0)</f>
        <v>0</v>
      </c>
      <c r="P464" s="447">
        <f>IFERROR(__xludf.DUMMYFUNCTION("""COMPUTED_VALUE"""),0.0)</f>
        <v>0</v>
      </c>
      <c r="Q464" s="447">
        <f>IFERROR(__xludf.DUMMYFUNCTION("""COMPUTED_VALUE"""),0.0)</f>
        <v>0</v>
      </c>
      <c r="R464" s="447">
        <f>IFERROR(__xludf.DUMMYFUNCTION("""COMPUTED_VALUE"""),0.0)</f>
        <v>0</v>
      </c>
      <c r="S464" s="447">
        <f>IFERROR(__xludf.DUMMYFUNCTION("""COMPUTED_VALUE"""),3.0)</f>
        <v>3</v>
      </c>
      <c r="T464" s="447">
        <f>IFERROR(__xludf.DUMMYFUNCTION("""COMPUTED_VALUE"""),0.0)</f>
        <v>0</v>
      </c>
      <c r="U464" s="447">
        <f>IFERROR(__xludf.DUMMYFUNCTION("""COMPUTED_VALUE"""),2.0)</f>
        <v>2</v>
      </c>
      <c r="V464" s="447">
        <f>IFERROR(__xludf.DUMMYFUNCTION("""COMPUTED_VALUE"""),2.0)</f>
        <v>2</v>
      </c>
      <c r="W464" s="447">
        <f>IFERROR(__xludf.DUMMYFUNCTION("""COMPUTED_VALUE"""),0.0)</f>
        <v>0</v>
      </c>
      <c r="X464" s="447">
        <f>IFERROR(__xludf.DUMMYFUNCTION("""COMPUTED_VALUE"""),0.0)</f>
        <v>0</v>
      </c>
      <c r="Y464" s="447">
        <f>IFERROR(__xludf.DUMMYFUNCTION("""COMPUTED_VALUE"""),0.0)</f>
        <v>0</v>
      </c>
      <c r="Z464" s="447">
        <f>IFERROR(__xludf.DUMMYFUNCTION("""COMPUTED_VALUE"""),0.0)</f>
        <v>0</v>
      </c>
      <c r="AA464" s="447">
        <f>IFERROR(__xludf.DUMMYFUNCTION("""COMPUTED_VALUE"""),0.0)</f>
        <v>0</v>
      </c>
      <c r="AB464" s="447">
        <f>IFERROR(__xludf.DUMMYFUNCTION("""COMPUTED_VALUE"""),0.0)</f>
        <v>0</v>
      </c>
      <c r="AC464" s="447">
        <f>IFERROR(__xludf.DUMMYFUNCTION("""COMPUTED_VALUE"""),1.0)</f>
        <v>1</v>
      </c>
      <c r="AD464" s="447">
        <f>IFERROR(__xludf.DUMMYFUNCTION("""COMPUTED_VALUE"""),47.0)</f>
        <v>47</v>
      </c>
      <c r="AE464" s="447">
        <f>IFERROR(__xludf.DUMMYFUNCTION("""COMPUTED_VALUE"""),8.0)</f>
        <v>8</v>
      </c>
      <c r="AF464" s="447">
        <f>IFERROR(__xludf.DUMMYFUNCTION("""COMPUTED_VALUE"""),2.0)</f>
        <v>2</v>
      </c>
      <c r="AG464" s="443" t="s">
        <v>106</v>
      </c>
      <c r="AH464" s="443" t="s">
        <v>961</v>
      </c>
      <c r="AI464" s="443"/>
      <c r="AJ464" s="443"/>
      <c r="AK464" s="443"/>
      <c r="AL464" s="443"/>
      <c r="AM464" s="443"/>
      <c r="AN464" s="443"/>
      <c r="AO464" s="443"/>
      <c r="AP464" s="443"/>
      <c r="AQ464" s="443"/>
      <c r="AR464" s="443"/>
      <c r="AS464" s="443"/>
      <c r="AT464" s="443"/>
      <c r="AU464" s="443"/>
      <c r="AV464" s="443"/>
      <c r="AW464" s="443"/>
      <c r="AX464" s="443"/>
      <c r="AY464" s="443"/>
      <c r="AZ464" s="443"/>
      <c r="BA464" s="443"/>
      <c r="BB464" s="443"/>
      <c r="BC464" s="443"/>
      <c r="BD464" s="443"/>
      <c r="BE464" s="443"/>
    </row>
    <row r="465" hidden="1">
      <c r="A465" s="445">
        <f t="shared" si="5"/>
        <v>45755</v>
      </c>
      <c r="B465" s="449">
        <v>490.0</v>
      </c>
      <c r="C465" s="462">
        <v>0.6</v>
      </c>
      <c r="D465" s="462">
        <v>0.9659722222222222</v>
      </c>
      <c r="E465" s="436">
        <f t="array" ref="E465">IF(B465=0,"",(J465+K465)/60)</f>
        <v>0.5</v>
      </c>
      <c r="F465" s="437">
        <f t="shared" si="1"/>
        <v>8.783333333</v>
      </c>
      <c r="G465" s="438">
        <f t="shared" si="8"/>
        <v>55.78747628</v>
      </c>
      <c r="H465" s="438">
        <f t="shared" si="3"/>
        <v>59.15492958</v>
      </c>
      <c r="I465" s="436">
        <f t="shared" si="6"/>
        <v>1.212771223</v>
      </c>
      <c r="J465" s="460">
        <v>30.0</v>
      </c>
      <c r="K465" s="464"/>
      <c r="L465" s="443"/>
      <c r="M465" s="447">
        <f>IFERROR(__xludf.DUMMYFUNCTION("""COMPUTED_VALUE"""),57.0)</f>
        <v>57</v>
      </c>
      <c r="N465" s="447">
        <f>IFERROR(__xludf.DUMMYFUNCTION("""COMPUTED_VALUE"""),55.0)</f>
        <v>55</v>
      </c>
      <c r="O465" s="447">
        <f>IFERROR(__xludf.DUMMYFUNCTION("""COMPUTED_VALUE"""),0.0)</f>
        <v>0</v>
      </c>
      <c r="P465" s="447">
        <f>IFERROR(__xludf.DUMMYFUNCTION("""COMPUTED_VALUE"""),0.0)</f>
        <v>0</v>
      </c>
      <c r="Q465" s="447">
        <f>IFERROR(__xludf.DUMMYFUNCTION("""COMPUTED_VALUE"""),0.0)</f>
        <v>0</v>
      </c>
      <c r="R465" s="447">
        <f>IFERROR(__xludf.DUMMYFUNCTION("""COMPUTED_VALUE"""),0.0)</f>
        <v>0</v>
      </c>
      <c r="S465" s="447">
        <f>IFERROR(__xludf.DUMMYFUNCTION("""COMPUTED_VALUE"""),3.0)</f>
        <v>3</v>
      </c>
      <c r="T465" s="447">
        <f>IFERROR(__xludf.DUMMYFUNCTION("""COMPUTED_VALUE"""),0.0)</f>
        <v>0</v>
      </c>
      <c r="U465" s="447">
        <f>IFERROR(__xludf.DUMMYFUNCTION("""COMPUTED_VALUE"""),2.0)</f>
        <v>2</v>
      </c>
      <c r="V465" s="447">
        <f>IFERROR(__xludf.DUMMYFUNCTION("""COMPUTED_VALUE"""),4.0)</f>
        <v>4</v>
      </c>
      <c r="W465" s="447">
        <f>IFERROR(__xludf.DUMMYFUNCTION("""COMPUTED_VALUE"""),0.0)</f>
        <v>0</v>
      </c>
      <c r="X465" s="447">
        <f>IFERROR(__xludf.DUMMYFUNCTION("""COMPUTED_VALUE"""),0.0)</f>
        <v>0</v>
      </c>
      <c r="Y465" s="447">
        <f>IFERROR(__xludf.DUMMYFUNCTION("""COMPUTED_VALUE"""),0.0)</f>
        <v>0</v>
      </c>
      <c r="Z465" s="447">
        <f>IFERROR(__xludf.DUMMYFUNCTION("""COMPUTED_VALUE"""),0.0)</f>
        <v>0</v>
      </c>
      <c r="AA465" s="447">
        <f>IFERROR(__xludf.DUMMYFUNCTION("""COMPUTED_VALUE"""),0.0)</f>
        <v>0</v>
      </c>
      <c r="AB465" s="447">
        <f>IFERROR(__xludf.DUMMYFUNCTION("""COMPUTED_VALUE"""),0.0)</f>
        <v>0</v>
      </c>
      <c r="AC465" s="447">
        <f>IFERROR(__xludf.DUMMYFUNCTION("""COMPUTED_VALUE"""),0.0)</f>
        <v>0</v>
      </c>
      <c r="AD465" s="447">
        <f>IFERROR(__xludf.DUMMYFUNCTION("""COMPUTED_VALUE"""),46.0)</f>
        <v>46</v>
      </c>
      <c r="AE465" s="447">
        <f>IFERROR(__xludf.DUMMYFUNCTION("""COMPUTED_VALUE"""),9.0)</f>
        <v>9</v>
      </c>
      <c r="AF465" s="447">
        <f>IFERROR(__xludf.DUMMYFUNCTION("""COMPUTED_VALUE"""),2.0)</f>
        <v>2</v>
      </c>
      <c r="AG465" s="443" t="s">
        <v>106</v>
      </c>
      <c r="AH465" s="443" t="s">
        <v>961</v>
      </c>
      <c r="AI465" s="443"/>
      <c r="AJ465" s="443"/>
      <c r="AK465" s="443"/>
      <c r="AL465" s="443"/>
      <c r="AM465" s="443"/>
      <c r="AN465" s="443"/>
      <c r="AO465" s="443"/>
      <c r="AP465" s="443"/>
      <c r="AQ465" s="443"/>
      <c r="AR465" s="443"/>
      <c r="AS465" s="443"/>
      <c r="AT465" s="443"/>
      <c r="AU465" s="443"/>
      <c r="AV465" s="443"/>
      <c r="AW465" s="443"/>
      <c r="AX465" s="443"/>
      <c r="AY465" s="443"/>
      <c r="AZ465" s="443"/>
      <c r="BA465" s="443"/>
      <c r="BB465" s="443"/>
      <c r="BC465" s="443"/>
      <c r="BD465" s="443"/>
      <c r="BE465" s="443"/>
    </row>
    <row r="466" hidden="1">
      <c r="A466" s="445">
        <f t="shared" si="5"/>
        <v>45756</v>
      </c>
      <c r="B466" s="449">
        <v>572.0</v>
      </c>
      <c r="C466" s="462">
        <v>0.6</v>
      </c>
      <c r="D466" s="462">
        <v>1.0354166666666667</v>
      </c>
      <c r="E466" s="436">
        <f t="array" ref="E466">IF(B466=0,"",(J466+K466)/60)</f>
        <v>1.216666667</v>
      </c>
      <c r="F466" s="437">
        <f t="shared" si="1"/>
        <v>10.45</v>
      </c>
      <c r="G466" s="438">
        <f t="shared" si="8"/>
        <v>54.73684211</v>
      </c>
      <c r="H466" s="438">
        <f t="shared" si="3"/>
        <v>61.94945848</v>
      </c>
      <c r="I466" s="436">
        <f t="shared" si="6"/>
        <v>1.216374269</v>
      </c>
      <c r="J466" s="460">
        <v>60.0</v>
      </c>
      <c r="K466" s="460">
        <v>13.0</v>
      </c>
      <c r="L466" s="443"/>
      <c r="M466" s="447">
        <f>IFERROR(__xludf.DUMMYFUNCTION("""COMPUTED_VALUE"""),57.0)</f>
        <v>57</v>
      </c>
      <c r="N466" s="447">
        <f>IFERROR(__xludf.DUMMYFUNCTION("""COMPUTED_VALUE"""),55.0)</f>
        <v>55</v>
      </c>
      <c r="O466" s="447">
        <f>IFERROR(__xludf.DUMMYFUNCTION("""COMPUTED_VALUE"""),0.0)</f>
        <v>0</v>
      </c>
      <c r="P466" s="447">
        <f>IFERROR(__xludf.DUMMYFUNCTION("""COMPUTED_VALUE"""),0.0)</f>
        <v>0</v>
      </c>
      <c r="Q466" s="447">
        <f>IFERROR(__xludf.DUMMYFUNCTION("""COMPUTED_VALUE"""),0.0)</f>
        <v>0</v>
      </c>
      <c r="R466" s="447">
        <f>IFERROR(__xludf.DUMMYFUNCTION("""COMPUTED_VALUE"""),1.0)</f>
        <v>1</v>
      </c>
      <c r="S466" s="447">
        <f>IFERROR(__xludf.DUMMYFUNCTION("""COMPUTED_VALUE"""),4.0)</f>
        <v>4</v>
      </c>
      <c r="T466" s="447">
        <f>IFERROR(__xludf.DUMMYFUNCTION("""COMPUTED_VALUE"""),0.0)</f>
        <v>0</v>
      </c>
      <c r="U466" s="447">
        <f>IFERROR(__xludf.DUMMYFUNCTION("""COMPUTED_VALUE"""),2.0)</f>
        <v>2</v>
      </c>
      <c r="V466" s="447">
        <f>IFERROR(__xludf.DUMMYFUNCTION("""COMPUTED_VALUE"""),3.0)</f>
        <v>3</v>
      </c>
      <c r="W466" s="447">
        <f>IFERROR(__xludf.DUMMYFUNCTION("""COMPUTED_VALUE"""),0.0)</f>
        <v>0</v>
      </c>
      <c r="X466" s="447">
        <f>IFERROR(__xludf.DUMMYFUNCTION("""COMPUTED_VALUE"""),0.0)</f>
        <v>0</v>
      </c>
      <c r="Y466" s="447">
        <f>IFERROR(__xludf.DUMMYFUNCTION("""COMPUTED_VALUE"""),0.0)</f>
        <v>0</v>
      </c>
      <c r="Z466" s="447">
        <f>IFERROR(__xludf.DUMMYFUNCTION("""COMPUTED_VALUE"""),0.0)</f>
        <v>0</v>
      </c>
      <c r="AA466" s="447">
        <f>IFERROR(__xludf.DUMMYFUNCTION("""COMPUTED_VALUE"""),0.0)</f>
        <v>0</v>
      </c>
      <c r="AB466" s="447">
        <f>IFERROR(__xludf.DUMMYFUNCTION("""COMPUTED_VALUE"""),0.0)</f>
        <v>0</v>
      </c>
      <c r="AC466" s="447">
        <f>IFERROR(__xludf.DUMMYFUNCTION("""COMPUTED_VALUE"""),0.0)</f>
        <v>0</v>
      </c>
      <c r="AD466" s="447">
        <f>IFERROR(__xludf.DUMMYFUNCTION("""COMPUTED_VALUE"""),45.0)</f>
        <v>45</v>
      </c>
      <c r="AE466" s="447">
        <f>IFERROR(__xludf.DUMMYFUNCTION("""COMPUTED_VALUE"""),9.0)</f>
        <v>9</v>
      </c>
      <c r="AF466" s="447">
        <f>IFERROR(__xludf.DUMMYFUNCTION("""COMPUTED_VALUE"""),2.0)</f>
        <v>2</v>
      </c>
      <c r="AG466" s="443" t="s">
        <v>106</v>
      </c>
      <c r="AH466" s="443" t="s">
        <v>961</v>
      </c>
      <c r="AI466" s="443"/>
      <c r="AJ466" s="443"/>
      <c r="AK466" s="443"/>
      <c r="AL466" s="443"/>
      <c r="AM466" s="443"/>
      <c r="AN466" s="443"/>
      <c r="AO466" s="443"/>
      <c r="AP466" s="443"/>
      <c r="AQ466" s="443"/>
      <c r="AR466" s="443"/>
      <c r="AS466" s="443"/>
      <c r="AT466" s="443"/>
      <c r="AU466" s="443"/>
      <c r="AV466" s="443"/>
      <c r="AW466" s="443"/>
      <c r="AX466" s="443"/>
      <c r="AY466" s="443"/>
      <c r="AZ466" s="443"/>
      <c r="BA466" s="443"/>
      <c r="BB466" s="443"/>
      <c r="BC466" s="443"/>
      <c r="BD466" s="443"/>
      <c r="BE466" s="443"/>
    </row>
    <row r="467" hidden="1">
      <c r="A467" s="445">
        <f t="shared" si="5"/>
        <v>45757</v>
      </c>
      <c r="B467" s="449">
        <v>560.0</v>
      </c>
      <c r="C467" s="462">
        <v>0.6</v>
      </c>
      <c r="D467" s="462">
        <v>1.1111111111111112</v>
      </c>
      <c r="E467" s="436">
        <f t="array" ref="E467">IF(B467=0,"",(J467+K467)/60)</f>
        <v>1</v>
      </c>
      <c r="F467" s="437">
        <f t="shared" si="1"/>
        <v>12.26666667</v>
      </c>
      <c r="G467" s="438">
        <f t="shared" si="8"/>
        <v>45.65217391</v>
      </c>
      <c r="H467" s="438">
        <f t="shared" si="3"/>
        <v>49.70414201</v>
      </c>
      <c r="I467" s="436">
        <f t="shared" si="6"/>
        <v>1.014492754</v>
      </c>
      <c r="J467" s="460">
        <v>60.0</v>
      </c>
      <c r="K467" s="464"/>
      <c r="L467" s="443"/>
      <c r="M467" s="447">
        <f>IFERROR(__xludf.DUMMYFUNCTION("""COMPUTED_VALUE"""),57.0)</f>
        <v>57</v>
      </c>
      <c r="N467" s="447">
        <f>IFERROR(__xludf.DUMMYFUNCTION("""COMPUTED_VALUE"""),54.0)</f>
        <v>54</v>
      </c>
      <c r="O467" s="447">
        <f>IFERROR(__xludf.DUMMYFUNCTION("""COMPUTED_VALUE"""),0.0)</f>
        <v>0</v>
      </c>
      <c r="P467" s="447">
        <f>IFERROR(__xludf.DUMMYFUNCTION("""COMPUTED_VALUE"""),0.0)</f>
        <v>0</v>
      </c>
      <c r="Q467" s="447">
        <f>IFERROR(__xludf.DUMMYFUNCTION("""COMPUTED_VALUE"""),0.0)</f>
        <v>0</v>
      </c>
      <c r="R467" s="447">
        <f>IFERROR(__xludf.DUMMYFUNCTION("""COMPUTED_VALUE"""),0.0)</f>
        <v>0</v>
      </c>
      <c r="S467" s="447">
        <f>IFERROR(__xludf.DUMMYFUNCTION("""COMPUTED_VALUE"""),3.0)</f>
        <v>3</v>
      </c>
      <c r="T467" s="447">
        <f>IFERROR(__xludf.DUMMYFUNCTION("""COMPUTED_VALUE"""),0.0)</f>
        <v>0</v>
      </c>
      <c r="U467" s="447">
        <f>IFERROR(__xludf.DUMMYFUNCTION("""COMPUTED_VALUE"""),3.0)</f>
        <v>3</v>
      </c>
      <c r="V467" s="447">
        <f>IFERROR(__xludf.DUMMYFUNCTION("""COMPUTED_VALUE"""),4.0)</f>
        <v>4</v>
      </c>
      <c r="W467" s="447">
        <f>IFERROR(__xludf.DUMMYFUNCTION("""COMPUTED_VALUE"""),0.0)</f>
        <v>0</v>
      </c>
      <c r="X467" s="447">
        <f>IFERROR(__xludf.DUMMYFUNCTION("""COMPUTED_VALUE"""),0.0)</f>
        <v>0</v>
      </c>
      <c r="Y467" s="447">
        <f>IFERROR(__xludf.DUMMYFUNCTION("""COMPUTED_VALUE"""),0.0)</f>
        <v>0</v>
      </c>
      <c r="Z467" s="447">
        <f>IFERROR(__xludf.DUMMYFUNCTION("""COMPUTED_VALUE"""),0.0)</f>
        <v>0</v>
      </c>
      <c r="AA467" s="447">
        <f>IFERROR(__xludf.DUMMYFUNCTION("""COMPUTED_VALUE"""),0.0)</f>
        <v>0</v>
      </c>
      <c r="AB467" s="447">
        <f>IFERROR(__xludf.DUMMYFUNCTION("""COMPUTED_VALUE"""),0.0)</f>
        <v>0</v>
      </c>
      <c r="AC467" s="447">
        <f>IFERROR(__xludf.DUMMYFUNCTION("""COMPUTED_VALUE"""),0.0)</f>
        <v>0</v>
      </c>
      <c r="AD467" s="447">
        <f>IFERROR(__xludf.DUMMYFUNCTION("""COMPUTED_VALUE"""),45.0)</f>
        <v>45</v>
      </c>
      <c r="AE467" s="447">
        <f>IFERROR(__xludf.DUMMYFUNCTION("""COMPUTED_VALUE"""),10.0)</f>
        <v>10</v>
      </c>
      <c r="AF467" s="447">
        <f>IFERROR(__xludf.DUMMYFUNCTION("""COMPUTED_VALUE"""),3.0)</f>
        <v>3</v>
      </c>
      <c r="AG467" s="443" t="s">
        <v>106</v>
      </c>
      <c r="AH467" s="443" t="s">
        <v>961</v>
      </c>
      <c r="AI467" s="443"/>
      <c r="AJ467" s="443"/>
      <c r="AK467" s="443"/>
      <c r="AL467" s="443"/>
      <c r="AM467" s="443"/>
      <c r="AN467" s="443"/>
      <c r="AO467" s="443"/>
      <c r="AP467" s="443"/>
      <c r="AQ467" s="443"/>
      <c r="AR467" s="443"/>
      <c r="AS467" s="443"/>
      <c r="AT467" s="443"/>
      <c r="AU467" s="443"/>
      <c r="AV467" s="443"/>
      <c r="AW467" s="443"/>
      <c r="AX467" s="443"/>
      <c r="AY467" s="443"/>
      <c r="AZ467" s="443"/>
      <c r="BA467" s="443"/>
      <c r="BB467" s="443"/>
      <c r="BC467" s="443"/>
      <c r="BD467" s="443"/>
      <c r="BE467" s="443"/>
    </row>
    <row r="468" hidden="1">
      <c r="A468" s="445">
        <f t="shared" si="5"/>
        <v>45758</v>
      </c>
      <c r="B468" s="449">
        <v>364.0</v>
      </c>
      <c r="C468" s="462">
        <v>0.6833333333333333</v>
      </c>
      <c r="D468" s="462">
        <v>0.9944444444444445</v>
      </c>
      <c r="E468" s="436">
        <f t="array" ref="E468">IF(B468=0,"",(J468+K468)/60)</f>
        <v>1</v>
      </c>
      <c r="F468" s="437">
        <f t="shared" si="1"/>
        <v>7.466666667</v>
      </c>
      <c r="G468" s="438">
        <f t="shared" si="8"/>
        <v>48.75</v>
      </c>
      <c r="H468" s="438">
        <f t="shared" si="3"/>
        <v>56.28865979</v>
      </c>
      <c r="I468" s="436">
        <f t="shared" si="6"/>
        <v>1.059782609</v>
      </c>
      <c r="J468" s="464"/>
      <c r="K468" s="460">
        <v>60.0</v>
      </c>
      <c r="L468" s="449" t="s">
        <v>966</v>
      </c>
      <c r="M468" s="447">
        <f>IFERROR(__xludf.DUMMYFUNCTION("""COMPUTED_VALUE"""),57.0)</f>
        <v>57</v>
      </c>
      <c r="N468" s="447">
        <f>IFERROR(__xludf.DUMMYFUNCTION("""COMPUTED_VALUE"""),54.0)</f>
        <v>54</v>
      </c>
      <c r="O468" s="447">
        <f>IFERROR(__xludf.DUMMYFUNCTION("""COMPUTED_VALUE"""),0.0)</f>
        <v>0</v>
      </c>
      <c r="P468" s="447">
        <f>IFERROR(__xludf.DUMMYFUNCTION("""COMPUTED_VALUE"""),0.0)</f>
        <v>0</v>
      </c>
      <c r="Q468" s="447">
        <f>IFERROR(__xludf.DUMMYFUNCTION("""COMPUTED_VALUE"""),0.0)</f>
        <v>0</v>
      </c>
      <c r="R468" s="447">
        <f>IFERROR(__xludf.DUMMYFUNCTION("""COMPUTED_VALUE"""),0.0)</f>
        <v>0</v>
      </c>
      <c r="S468" s="447">
        <f>IFERROR(__xludf.DUMMYFUNCTION("""COMPUTED_VALUE"""),3.0)</f>
        <v>3</v>
      </c>
      <c r="T468" s="447">
        <f>IFERROR(__xludf.DUMMYFUNCTION("""COMPUTED_VALUE"""),0.0)</f>
        <v>0</v>
      </c>
      <c r="U468" s="447">
        <f>IFERROR(__xludf.DUMMYFUNCTION("""COMPUTED_VALUE"""),3.0)</f>
        <v>3</v>
      </c>
      <c r="V468" s="447">
        <f>IFERROR(__xludf.DUMMYFUNCTION("""COMPUTED_VALUE"""),4.0)</f>
        <v>4</v>
      </c>
      <c r="W468" s="447">
        <f>IFERROR(__xludf.DUMMYFUNCTION("""COMPUTED_VALUE"""),0.0)</f>
        <v>0</v>
      </c>
      <c r="X468" s="447">
        <f>IFERROR(__xludf.DUMMYFUNCTION("""COMPUTED_VALUE"""),0.0)</f>
        <v>0</v>
      </c>
      <c r="Y468" s="447">
        <f>IFERROR(__xludf.DUMMYFUNCTION("""COMPUTED_VALUE"""),0.0)</f>
        <v>0</v>
      </c>
      <c r="Z468" s="447">
        <f>IFERROR(__xludf.DUMMYFUNCTION("""COMPUTED_VALUE"""),0.0)</f>
        <v>0</v>
      </c>
      <c r="AA468" s="447">
        <f>IFERROR(__xludf.DUMMYFUNCTION("""COMPUTED_VALUE"""),0.0)</f>
        <v>0</v>
      </c>
      <c r="AB468" s="447">
        <f>IFERROR(__xludf.DUMMYFUNCTION("""COMPUTED_VALUE"""),0.0)</f>
        <v>0</v>
      </c>
      <c r="AC468" s="447">
        <f>IFERROR(__xludf.DUMMYFUNCTION("""COMPUTED_VALUE"""),0.0)</f>
        <v>0</v>
      </c>
      <c r="AD468" s="447">
        <f>IFERROR(__xludf.DUMMYFUNCTION("""COMPUTED_VALUE"""),46.0)</f>
        <v>46</v>
      </c>
      <c r="AE468" s="447">
        <f>IFERROR(__xludf.DUMMYFUNCTION("""COMPUTED_VALUE"""),10.0)</f>
        <v>10</v>
      </c>
      <c r="AF468" s="447">
        <f>IFERROR(__xludf.DUMMYFUNCTION("""COMPUTED_VALUE"""),3.0)</f>
        <v>3</v>
      </c>
      <c r="AG468" s="443" t="s">
        <v>106</v>
      </c>
      <c r="AH468" s="443" t="s">
        <v>961</v>
      </c>
      <c r="AI468" s="443"/>
      <c r="AJ468" s="443"/>
      <c r="AK468" s="443"/>
      <c r="AL468" s="443"/>
      <c r="AM468" s="443"/>
      <c r="AN468" s="443"/>
      <c r="AO468" s="443"/>
      <c r="AP468" s="443"/>
      <c r="AQ468" s="443"/>
      <c r="AR468" s="443"/>
      <c r="AS468" s="443"/>
      <c r="AT468" s="443"/>
      <c r="AU468" s="443"/>
      <c r="AV468" s="443"/>
      <c r="AW468" s="443"/>
      <c r="AX468" s="443"/>
      <c r="AY468" s="443"/>
      <c r="AZ468" s="443"/>
      <c r="BA468" s="443"/>
      <c r="BB468" s="443"/>
      <c r="BC468" s="443"/>
      <c r="BD468" s="443"/>
      <c r="BE468" s="443"/>
    </row>
    <row r="469" hidden="1">
      <c r="A469" s="445">
        <f t="shared" si="5"/>
        <v>45759</v>
      </c>
      <c r="B469" s="449">
        <v>474.0</v>
      </c>
      <c r="C469" s="462">
        <v>0.6416666666666667</v>
      </c>
      <c r="D469" s="462">
        <v>0.9875</v>
      </c>
      <c r="E469" s="436">
        <f t="array" ref="E469">IF(B469=0,"",(J469+K469)/60)</f>
        <v>1.166666667</v>
      </c>
      <c r="F469" s="437">
        <f t="shared" si="1"/>
        <v>8.3</v>
      </c>
      <c r="G469" s="438">
        <f t="shared" si="8"/>
        <v>57.10843373</v>
      </c>
      <c r="H469" s="438">
        <f t="shared" si="3"/>
        <v>66.44859813</v>
      </c>
      <c r="I469" s="436">
        <f t="shared" si="6"/>
        <v>1.269076305</v>
      </c>
      <c r="J469" s="460">
        <v>30.0</v>
      </c>
      <c r="K469" s="464">
        <f>10+30</f>
        <v>40</v>
      </c>
      <c r="L469" s="443"/>
      <c r="M469" s="447">
        <f>IFERROR(__xludf.DUMMYFUNCTION("""COMPUTED_VALUE"""),57.0)</f>
        <v>57</v>
      </c>
      <c r="N469" s="447">
        <f>IFERROR(__xludf.DUMMYFUNCTION("""COMPUTED_VALUE"""),54.0)</f>
        <v>54</v>
      </c>
      <c r="O469" s="447">
        <f>IFERROR(__xludf.DUMMYFUNCTION("""COMPUTED_VALUE"""),0.0)</f>
        <v>0</v>
      </c>
      <c r="P469" s="447">
        <f>IFERROR(__xludf.DUMMYFUNCTION("""COMPUTED_VALUE"""),0.0)</f>
        <v>0</v>
      </c>
      <c r="Q469" s="447">
        <f>IFERROR(__xludf.DUMMYFUNCTION("""COMPUTED_VALUE"""),0.0)</f>
        <v>0</v>
      </c>
      <c r="R469" s="447">
        <f>IFERROR(__xludf.DUMMYFUNCTION("""COMPUTED_VALUE"""),0.0)</f>
        <v>0</v>
      </c>
      <c r="S469" s="447">
        <f>IFERROR(__xludf.DUMMYFUNCTION("""COMPUTED_VALUE"""),3.0)</f>
        <v>3</v>
      </c>
      <c r="T469" s="447">
        <f>IFERROR(__xludf.DUMMYFUNCTION("""COMPUTED_VALUE"""),0.0)</f>
        <v>0</v>
      </c>
      <c r="U469" s="447">
        <f>IFERROR(__xludf.DUMMYFUNCTION("""COMPUTED_VALUE"""),3.0)</f>
        <v>3</v>
      </c>
      <c r="V469" s="447">
        <f>IFERROR(__xludf.DUMMYFUNCTION("""COMPUTED_VALUE"""),4.0)</f>
        <v>4</v>
      </c>
      <c r="W469" s="447">
        <f>IFERROR(__xludf.DUMMYFUNCTION("""COMPUTED_VALUE"""),0.0)</f>
        <v>0</v>
      </c>
      <c r="X469" s="447">
        <f>IFERROR(__xludf.DUMMYFUNCTION("""COMPUTED_VALUE"""),0.0)</f>
        <v>0</v>
      </c>
      <c r="Y469" s="447">
        <f>IFERROR(__xludf.DUMMYFUNCTION("""COMPUTED_VALUE"""),0.0)</f>
        <v>0</v>
      </c>
      <c r="Z469" s="447">
        <f>IFERROR(__xludf.DUMMYFUNCTION("""COMPUTED_VALUE"""),0.0)</f>
        <v>0</v>
      </c>
      <c r="AA469" s="447">
        <f>IFERROR(__xludf.DUMMYFUNCTION("""COMPUTED_VALUE"""),0.0)</f>
        <v>0</v>
      </c>
      <c r="AB469" s="447">
        <f>IFERROR(__xludf.DUMMYFUNCTION("""COMPUTED_VALUE"""),0.0)</f>
        <v>0</v>
      </c>
      <c r="AC469" s="447">
        <f>IFERROR(__xludf.DUMMYFUNCTION("""COMPUTED_VALUE"""),1.0)</f>
        <v>1</v>
      </c>
      <c r="AD469" s="447">
        <f>IFERROR(__xludf.DUMMYFUNCTION("""COMPUTED_VALUE"""),45.0)</f>
        <v>45</v>
      </c>
      <c r="AE469" s="447">
        <f>IFERROR(__xludf.DUMMYFUNCTION("""COMPUTED_VALUE"""),11.0)</f>
        <v>11</v>
      </c>
      <c r="AF469" s="447">
        <f>IFERROR(__xludf.DUMMYFUNCTION("""COMPUTED_VALUE"""),3.0)</f>
        <v>3</v>
      </c>
      <c r="AG469" s="443" t="s">
        <v>106</v>
      </c>
      <c r="AH469" s="443" t="s">
        <v>961</v>
      </c>
      <c r="AI469" s="443"/>
      <c r="AJ469" s="443"/>
      <c r="AK469" s="443"/>
      <c r="AL469" s="443"/>
      <c r="AM469" s="443"/>
      <c r="AN469" s="443"/>
      <c r="AO469" s="443"/>
      <c r="AP469" s="443"/>
      <c r="AQ469" s="443"/>
      <c r="AR469" s="443"/>
      <c r="AS469" s="443"/>
      <c r="AT469" s="443"/>
      <c r="AU469" s="443"/>
      <c r="AV469" s="443"/>
      <c r="AW469" s="443"/>
      <c r="AX469" s="443"/>
      <c r="AY469" s="443"/>
      <c r="AZ469" s="443"/>
      <c r="BA469" s="443"/>
      <c r="BB469" s="443"/>
      <c r="BC469" s="443"/>
      <c r="BD469" s="443"/>
      <c r="BE469" s="443"/>
    </row>
    <row r="470" hidden="1">
      <c r="A470" s="445">
        <f t="shared" si="5"/>
        <v>45760</v>
      </c>
      <c r="B470" s="449">
        <v>0.0</v>
      </c>
      <c r="C470" s="443"/>
      <c r="D470" s="462"/>
      <c r="E470" s="436" t="str">
        <f t="array" ref="E470">IF(B470=0,"",(J470+K470)/60)</f>
        <v/>
      </c>
      <c r="F470" s="437" t="str">
        <f t="shared" si="1"/>
        <v/>
      </c>
      <c r="G470" s="438" t="str">
        <f t="shared" si="8"/>
        <v>#DIV/0!</v>
      </c>
      <c r="H470" s="438" t="str">
        <f t="shared" si="3"/>
        <v/>
      </c>
      <c r="I470" s="436" t="str">
        <f t="shared" si="6"/>
        <v/>
      </c>
      <c r="J470" s="464"/>
      <c r="K470" s="464"/>
      <c r="L470" s="443"/>
      <c r="M470" s="447">
        <f>IFERROR(__xludf.DUMMYFUNCTION("""COMPUTED_VALUE"""),57.0)</f>
        <v>57</v>
      </c>
      <c r="N470" s="447">
        <f>IFERROR(__xludf.DUMMYFUNCTION("""COMPUTED_VALUE"""),57.0)</f>
        <v>57</v>
      </c>
      <c r="O470" s="447">
        <f>IFERROR(__xludf.DUMMYFUNCTION("""COMPUTED_VALUE"""),0.0)</f>
        <v>0</v>
      </c>
      <c r="P470" s="447">
        <f>IFERROR(__xludf.DUMMYFUNCTION("""COMPUTED_VALUE"""),0.0)</f>
        <v>0</v>
      </c>
      <c r="Q470" s="447">
        <f>IFERROR(__xludf.DUMMYFUNCTION("""COMPUTED_VALUE"""),0.0)</f>
        <v>0</v>
      </c>
      <c r="R470" s="447">
        <f>IFERROR(__xludf.DUMMYFUNCTION("""COMPUTED_VALUE"""),0.0)</f>
        <v>0</v>
      </c>
      <c r="S470" s="447">
        <f>IFERROR(__xludf.DUMMYFUNCTION("""COMPUTED_VALUE"""),0.0)</f>
        <v>0</v>
      </c>
      <c r="T470" s="447">
        <f>IFERROR(__xludf.DUMMYFUNCTION("""COMPUTED_VALUE"""),0.0)</f>
        <v>0</v>
      </c>
      <c r="U470" s="447">
        <f>IFERROR(__xludf.DUMMYFUNCTION("""COMPUTED_VALUE"""),0.0)</f>
        <v>0</v>
      </c>
      <c r="V470" s="447">
        <f>IFERROR(__xludf.DUMMYFUNCTION("""COMPUTED_VALUE"""),0.0)</f>
        <v>0</v>
      </c>
      <c r="W470" s="447">
        <f>IFERROR(__xludf.DUMMYFUNCTION("""COMPUTED_VALUE"""),0.0)</f>
        <v>0</v>
      </c>
      <c r="X470" s="447">
        <f>IFERROR(__xludf.DUMMYFUNCTION("""COMPUTED_VALUE"""),0.0)</f>
        <v>0</v>
      </c>
      <c r="Y470" s="447">
        <f>IFERROR(__xludf.DUMMYFUNCTION("""COMPUTED_VALUE"""),0.0)</f>
        <v>0</v>
      </c>
      <c r="Z470" s="447">
        <f>IFERROR(__xludf.DUMMYFUNCTION("""COMPUTED_VALUE"""),0.0)</f>
        <v>0</v>
      </c>
      <c r="AA470" s="447">
        <f>IFERROR(__xludf.DUMMYFUNCTION("""COMPUTED_VALUE"""),0.0)</f>
        <v>0</v>
      </c>
      <c r="AB470" s="447">
        <f>IFERROR(__xludf.DUMMYFUNCTION("""COMPUTED_VALUE"""),0.0)</f>
        <v>0</v>
      </c>
      <c r="AC470" s="447">
        <f>IFERROR(__xludf.DUMMYFUNCTION("""COMPUTED_VALUE"""),0.0)</f>
        <v>0</v>
      </c>
      <c r="AD470" s="447">
        <f>IFERROR(__xludf.DUMMYFUNCTION("""COMPUTED_VALUE"""),0.0)</f>
        <v>0</v>
      </c>
      <c r="AE470" s="447">
        <f>IFERROR(__xludf.DUMMYFUNCTION("""COMPUTED_VALUE"""),0.0)</f>
        <v>0</v>
      </c>
      <c r="AF470" s="447">
        <f>IFERROR(__xludf.DUMMYFUNCTION("""COMPUTED_VALUE"""),0.0)</f>
        <v>0</v>
      </c>
      <c r="AG470" s="443" t="s">
        <v>106</v>
      </c>
      <c r="AH470" s="443" t="s">
        <v>961</v>
      </c>
      <c r="AI470" s="443"/>
      <c r="AJ470" s="443"/>
      <c r="AK470" s="443"/>
      <c r="AL470" s="443"/>
      <c r="AM470" s="443"/>
      <c r="AN470" s="443"/>
      <c r="AO470" s="443"/>
      <c r="AP470" s="443"/>
      <c r="AQ470" s="443"/>
      <c r="AR470" s="443"/>
      <c r="AS470" s="443"/>
      <c r="AT470" s="443"/>
      <c r="AU470" s="443"/>
      <c r="AV470" s="443"/>
      <c r="AW470" s="443"/>
      <c r="AX470" s="443"/>
      <c r="AY470" s="443"/>
      <c r="AZ470" s="443"/>
      <c r="BA470" s="443"/>
      <c r="BB470" s="443"/>
      <c r="BC470" s="443"/>
      <c r="BD470" s="443"/>
      <c r="BE470" s="443"/>
    </row>
    <row r="471" hidden="1">
      <c r="A471" s="445">
        <f t="shared" si="5"/>
        <v>45761</v>
      </c>
      <c r="B471" s="449">
        <v>617.0</v>
      </c>
      <c r="C471" s="462">
        <v>0.5888888888888889</v>
      </c>
      <c r="D471" s="462">
        <v>1.0659722222222223</v>
      </c>
      <c r="E471" s="436">
        <f t="array" ref="E471">IF(B471=0,"",(J471+K471)/60)</f>
        <v>2.3</v>
      </c>
      <c r="F471" s="437">
        <f t="shared" si="1"/>
        <v>11.45</v>
      </c>
      <c r="G471" s="438">
        <f t="shared" si="8"/>
        <v>53.88646288</v>
      </c>
      <c r="H471" s="438">
        <f t="shared" si="3"/>
        <v>67.43169399</v>
      </c>
      <c r="I471" s="436">
        <f t="shared" si="6"/>
        <v>1.146520487</v>
      </c>
      <c r="J471" s="460">
        <v>60.0</v>
      </c>
      <c r="K471" s="464">
        <f>34+44</f>
        <v>78</v>
      </c>
      <c r="L471" s="443"/>
      <c r="M471" s="447">
        <f>IFERROR(__xludf.DUMMYFUNCTION("""COMPUTED_VALUE"""),57.0)</f>
        <v>57</v>
      </c>
      <c r="N471" s="447">
        <f>IFERROR(__xludf.DUMMYFUNCTION("""COMPUTED_VALUE"""),56.0)</f>
        <v>56</v>
      </c>
      <c r="O471" s="447">
        <f>IFERROR(__xludf.DUMMYFUNCTION("""COMPUTED_VALUE"""),0.0)</f>
        <v>0</v>
      </c>
      <c r="P471" s="447">
        <f>IFERROR(__xludf.DUMMYFUNCTION("""COMPUTED_VALUE"""),0.0)</f>
        <v>0</v>
      </c>
      <c r="Q471" s="447">
        <f>IFERROR(__xludf.DUMMYFUNCTION("""COMPUTED_VALUE"""),0.0)</f>
        <v>0</v>
      </c>
      <c r="R471" s="447">
        <f>IFERROR(__xludf.DUMMYFUNCTION("""COMPUTED_VALUE"""),0.0)</f>
        <v>0</v>
      </c>
      <c r="S471" s="447">
        <f>IFERROR(__xludf.DUMMYFUNCTION("""COMPUTED_VALUE"""),1.0)</f>
        <v>1</v>
      </c>
      <c r="T471" s="447">
        <f>IFERROR(__xludf.DUMMYFUNCTION("""COMPUTED_VALUE"""),0.0)</f>
        <v>0</v>
      </c>
      <c r="U471" s="447">
        <f>IFERROR(__xludf.DUMMYFUNCTION("""COMPUTED_VALUE"""),1.0)</f>
        <v>1</v>
      </c>
      <c r="V471" s="447">
        <f>IFERROR(__xludf.DUMMYFUNCTION("""COMPUTED_VALUE"""),5.0)</f>
        <v>5</v>
      </c>
      <c r="W471" s="447">
        <f>IFERROR(__xludf.DUMMYFUNCTION("""COMPUTED_VALUE"""),0.0)</f>
        <v>0</v>
      </c>
      <c r="X471" s="447">
        <f>IFERROR(__xludf.DUMMYFUNCTION("""COMPUTED_VALUE"""),0.0)</f>
        <v>0</v>
      </c>
      <c r="Y471" s="447">
        <f>IFERROR(__xludf.DUMMYFUNCTION("""COMPUTED_VALUE"""),0.0)</f>
        <v>0</v>
      </c>
      <c r="Z471" s="447">
        <f>IFERROR(__xludf.DUMMYFUNCTION("""COMPUTED_VALUE"""),0.0)</f>
        <v>0</v>
      </c>
      <c r="AA471" s="447">
        <f>IFERROR(__xludf.DUMMYFUNCTION("""COMPUTED_VALUE"""),0.0)</f>
        <v>0</v>
      </c>
      <c r="AB471" s="447">
        <f>IFERROR(__xludf.DUMMYFUNCTION("""COMPUTED_VALUE"""),2.0)</f>
        <v>2</v>
      </c>
      <c r="AC471" s="447">
        <f>IFERROR(__xludf.DUMMYFUNCTION("""COMPUTED_VALUE"""),0.0)</f>
        <v>0</v>
      </c>
      <c r="AD471" s="447">
        <f>IFERROR(__xludf.DUMMYFUNCTION("""COMPUTED_VALUE"""),47.0)</f>
        <v>47</v>
      </c>
      <c r="AE471" s="447">
        <f>IFERROR(__xludf.DUMMYFUNCTION("""COMPUTED_VALUE"""),7.0)</f>
        <v>7</v>
      </c>
      <c r="AF471" s="447">
        <f>IFERROR(__xludf.DUMMYFUNCTION("""COMPUTED_VALUE"""),1.0)</f>
        <v>1</v>
      </c>
      <c r="AG471" s="443" t="s">
        <v>106</v>
      </c>
      <c r="AH471" s="443" t="s">
        <v>961</v>
      </c>
      <c r="AI471" s="443"/>
      <c r="AJ471" s="443"/>
      <c r="AK471" s="443"/>
      <c r="AL471" s="443"/>
      <c r="AM471" s="443"/>
      <c r="AN471" s="443"/>
      <c r="AO471" s="443"/>
      <c r="AP471" s="443"/>
      <c r="AQ471" s="443"/>
      <c r="AR471" s="443"/>
      <c r="AS471" s="443"/>
      <c r="AT471" s="443"/>
      <c r="AU471" s="443"/>
      <c r="AV471" s="443"/>
      <c r="AW471" s="443"/>
      <c r="AX471" s="443"/>
      <c r="AY471" s="443"/>
      <c r="AZ471" s="443"/>
      <c r="BA471" s="443"/>
      <c r="BB471" s="443"/>
      <c r="BC471" s="443"/>
      <c r="BD471" s="443"/>
      <c r="BE471" s="443"/>
    </row>
    <row r="472" hidden="1">
      <c r="A472" s="445">
        <f t="shared" si="5"/>
        <v>45762</v>
      </c>
      <c r="B472" s="449">
        <v>456.0</v>
      </c>
      <c r="C472" s="462">
        <v>0.6416666666666667</v>
      </c>
      <c r="D472" s="462">
        <v>0.9659722222222222</v>
      </c>
      <c r="E472" s="436">
        <f t="array" ref="E472">IF(B472=0,"",(J472+K472)/60)</f>
        <v>0.5</v>
      </c>
      <c r="F472" s="437">
        <f t="shared" si="1"/>
        <v>7.783333333</v>
      </c>
      <c r="G472" s="438">
        <f t="shared" si="8"/>
        <v>58.58672377</v>
      </c>
      <c r="H472" s="438">
        <f t="shared" si="3"/>
        <v>62.60869565</v>
      </c>
      <c r="I472" s="436">
        <f t="shared" si="6"/>
        <v>1.27362443</v>
      </c>
      <c r="J472" s="460">
        <v>30.0</v>
      </c>
      <c r="K472" s="464"/>
      <c r="L472" s="443"/>
      <c r="M472" s="447">
        <f>IFERROR(__xludf.DUMMYFUNCTION("""COMPUTED_VALUE"""),57.0)</f>
        <v>57</v>
      </c>
      <c r="N472" s="447">
        <f>IFERROR(__xludf.DUMMYFUNCTION("""COMPUTED_VALUE"""),57.0)</f>
        <v>57</v>
      </c>
      <c r="O472" s="447">
        <f>IFERROR(__xludf.DUMMYFUNCTION("""COMPUTED_VALUE"""),0.0)</f>
        <v>0</v>
      </c>
      <c r="P472" s="447">
        <f>IFERROR(__xludf.DUMMYFUNCTION("""COMPUTED_VALUE"""),0.0)</f>
        <v>0</v>
      </c>
      <c r="Q472" s="447">
        <f>IFERROR(__xludf.DUMMYFUNCTION("""COMPUTED_VALUE"""),0.0)</f>
        <v>0</v>
      </c>
      <c r="R472" s="447">
        <f>IFERROR(__xludf.DUMMYFUNCTION("""COMPUTED_VALUE"""),0.0)</f>
        <v>0</v>
      </c>
      <c r="S472" s="447">
        <f>IFERROR(__xludf.DUMMYFUNCTION("""COMPUTED_VALUE"""),4.0)</f>
        <v>4</v>
      </c>
      <c r="T472" s="447">
        <f>IFERROR(__xludf.DUMMYFUNCTION("""COMPUTED_VALUE"""),0.0)</f>
        <v>0</v>
      </c>
      <c r="U472" s="447">
        <f>IFERROR(__xludf.DUMMYFUNCTION("""COMPUTED_VALUE"""),0.0)</f>
        <v>0</v>
      </c>
      <c r="V472" s="447">
        <f>IFERROR(__xludf.DUMMYFUNCTION("""COMPUTED_VALUE"""),5.0)</f>
        <v>5</v>
      </c>
      <c r="W472" s="447">
        <f>IFERROR(__xludf.DUMMYFUNCTION("""COMPUTED_VALUE"""),0.0)</f>
        <v>0</v>
      </c>
      <c r="X472" s="447">
        <f>IFERROR(__xludf.DUMMYFUNCTION("""COMPUTED_VALUE"""),0.0)</f>
        <v>0</v>
      </c>
      <c r="Y472" s="447">
        <f>IFERROR(__xludf.DUMMYFUNCTION("""COMPUTED_VALUE"""),0.0)</f>
        <v>0</v>
      </c>
      <c r="Z472" s="447">
        <f>IFERROR(__xludf.DUMMYFUNCTION("""COMPUTED_VALUE"""),0.0)</f>
        <v>0</v>
      </c>
      <c r="AA472" s="447">
        <f>IFERROR(__xludf.DUMMYFUNCTION("""COMPUTED_VALUE"""),0.0)</f>
        <v>0</v>
      </c>
      <c r="AB472" s="447">
        <f>IFERROR(__xludf.DUMMYFUNCTION("""COMPUTED_VALUE"""),0.0)</f>
        <v>0</v>
      </c>
      <c r="AC472" s="447">
        <f>IFERROR(__xludf.DUMMYFUNCTION("""COMPUTED_VALUE"""),0.0)</f>
        <v>0</v>
      </c>
      <c r="AD472" s="447">
        <f>IFERROR(__xludf.DUMMYFUNCTION("""COMPUTED_VALUE"""),46.0)</f>
        <v>46</v>
      </c>
      <c r="AE472" s="447">
        <f>IFERROR(__xludf.DUMMYFUNCTION("""COMPUTED_VALUE"""),9.0)</f>
        <v>9</v>
      </c>
      <c r="AF472" s="447">
        <f>IFERROR(__xludf.DUMMYFUNCTION("""COMPUTED_VALUE"""),0.0)</f>
        <v>0</v>
      </c>
      <c r="AG472" s="443" t="s">
        <v>106</v>
      </c>
      <c r="AH472" s="443" t="s">
        <v>961</v>
      </c>
      <c r="AI472" s="443"/>
      <c r="AJ472" s="443"/>
      <c r="AK472" s="443"/>
      <c r="AL472" s="443"/>
      <c r="AM472" s="443"/>
      <c r="AN472" s="443"/>
      <c r="AO472" s="443"/>
      <c r="AP472" s="443"/>
      <c r="AQ472" s="443"/>
      <c r="AR472" s="443"/>
      <c r="AS472" s="443"/>
      <c r="AT472" s="443"/>
      <c r="AU472" s="443"/>
      <c r="AV472" s="443"/>
      <c r="AW472" s="443"/>
      <c r="AX472" s="443"/>
      <c r="AY472" s="443"/>
      <c r="AZ472" s="443"/>
      <c r="BA472" s="443"/>
      <c r="BB472" s="443"/>
      <c r="BC472" s="443"/>
      <c r="BD472" s="443"/>
      <c r="BE472" s="443"/>
    </row>
    <row r="473" hidden="1">
      <c r="A473" s="445">
        <f t="shared" si="5"/>
        <v>45763</v>
      </c>
      <c r="B473" s="449">
        <v>550.0</v>
      </c>
      <c r="C473" s="462">
        <v>0.6</v>
      </c>
      <c r="D473" s="462">
        <v>0.9875</v>
      </c>
      <c r="E473" s="436">
        <f t="array" ref="E473">IF(B473=0,"",(J473+K473)/60)</f>
        <v>1</v>
      </c>
      <c r="F473" s="437">
        <f t="shared" si="1"/>
        <v>9.3</v>
      </c>
      <c r="G473" s="438">
        <f t="shared" si="8"/>
        <v>59.13978495</v>
      </c>
      <c r="H473" s="438">
        <f t="shared" si="3"/>
        <v>66.26506024</v>
      </c>
      <c r="I473" s="436">
        <f t="shared" si="6"/>
        <v>1.375343836</v>
      </c>
      <c r="J473" s="460">
        <v>60.0</v>
      </c>
      <c r="K473" s="464"/>
      <c r="L473" s="443"/>
      <c r="M473" s="447">
        <f>IFERROR(__xludf.DUMMYFUNCTION("""COMPUTED_VALUE"""),57.0)</f>
        <v>57</v>
      </c>
      <c r="N473" s="447">
        <f>IFERROR(__xludf.DUMMYFUNCTION("""COMPUTED_VALUE"""),56.0)</f>
        <v>56</v>
      </c>
      <c r="O473" s="447">
        <f>IFERROR(__xludf.DUMMYFUNCTION("""COMPUTED_VALUE"""),0.0)</f>
        <v>0</v>
      </c>
      <c r="P473" s="447">
        <f>IFERROR(__xludf.DUMMYFUNCTION("""COMPUTED_VALUE"""),0.0)</f>
        <v>0</v>
      </c>
      <c r="Q473" s="447">
        <f>IFERROR(__xludf.DUMMYFUNCTION("""COMPUTED_VALUE"""),1.0)</f>
        <v>1</v>
      </c>
      <c r="R473" s="447">
        <f>IFERROR(__xludf.DUMMYFUNCTION("""COMPUTED_VALUE"""),0.0)</f>
        <v>0</v>
      </c>
      <c r="S473" s="447">
        <f>IFERROR(__xludf.DUMMYFUNCTION("""COMPUTED_VALUE"""),4.0)</f>
        <v>4</v>
      </c>
      <c r="T473" s="447">
        <f>IFERROR(__xludf.DUMMYFUNCTION("""COMPUTED_VALUE"""),0.0)</f>
        <v>0</v>
      </c>
      <c r="U473" s="447">
        <f>IFERROR(__xludf.DUMMYFUNCTION("""COMPUTED_VALUE"""),1.0)</f>
        <v>1</v>
      </c>
      <c r="V473" s="447">
        <f>IFERROR(__xludf.DUMMYFUNCTION("""COMPUTED_VALUE"""),5.0)</f>
        <v>5</v>
      </c>
      <c r="W473" s="447">
        <f>IFERROR(__xludf.DUMMYFUNCTION("""COMPUTED_VALUE"""),0.0)</f>
        <v>0</v>
      </c>
      <c r="X473" s="447">
        <f>IFERROR(__xludf.DUMMYFUNCTION("""COMPUTED_VALUE"""),0.0)</f>
        <v>0</v>
      </c>
      <c r="Y473" s="447">
        <f>IFERROR(__xludf.DUMMYFUNCTION("""COMPUTED_VALUE"""),0.0)</f>
        <v>0</v>
      </c>
      <c r="Z473" s="447">
        <f>IFERROR(__xludf.DUMMYFUNCTION("""COMPUTED_VALUE"""),0.0)</f>
        <v>0</v>
      </c>
      <c r="AA473" s="447">
        <f>IFERROR(__xludf.DUMMYFUNCTION("""COMPUTED_VALUE"""),0.0)</f>
        <v>0</v>
      </c>
      <c r="AB473" s="447">
        <f>IFERROR(__xludf.DUMMYFUNCTION("""COMPUTED_VALUE"""),0.0)</f>
        <v>0</v>
      </c>
      <c r="AC473" s="447">
        <f>IFERROR(__xludf.DUMMYFUNCTION("""COMPUTED_VALUE"""),1.0)</f>
        <v>1</v>
      </c>
      <c r="AD473" s="447">
        <f>IFERROR(__xludf.DUMMYFUNCTION("""COMPUTED_VALUE"""),43.0)</f>
        <v>43</v>
      </c>
      <c r="AE473" s="447">
        <f>IFERROR(__xludf.DUMMYFUNCTION("""COMPUTED_VALUE"""),12.0)</f>
        <v>12</v>
      </c>
      <c r="AF473" s="447">
        <f>IFERROR(__xludf.DUMMYFUNCTION("""COMPUTED_VALUE"""),1.0)</f>
        <v>1</v>
      </c>
      <c r="AG473" s="443" t="s">
        <v>106</v>
      </c>
      <c r="AH473" s="443" t="s">
        <v>961</v>
      </c>
      <c r="AI473" s="443"/>
      <c r="AJ473" s="443"/>
      <c r="AK473" s="443"/>
      <c r="AL473" s="443"/>
      <c r="AM473" s="443"/>
      <c r="AN473" s="443"/>
      <c r="AO473" s="443"/>
      <c r="AP473" s="443"/>
      <c r="AQ473" s="443"/>
      <c r="AR473" s="443"/>
      <c r="AS473" s="443"/>
      <c r="AT473" s="443"/>
      <c r="AU473" s="443"/>
      <c r="AV473" s="443"/>
      <c r="AW473" s="443"/>
      <c r="AX473" s="443"/>
      <c r="AY473" s="443"/>
      <c r="AZ473" s="443"/>
      <c r="BA473" s="443"/>
      <c r="BB473" s="443"/>
      <c r="BC473" s="443"/>
      <c r="BD473" s="443"/>
      <c r="BE473" s="443"/>
    </row>
    <row r="474" hidden="1">
      <c r="A474" s="445">
        <f t="shared" si="5"/>
        <v>45764</v>
      </c>
      <c r="B474" s="449">
        <v>0.0</v>
      </c>
      <c r="C474" s="443"/>
      <c r="D474" s="462"/>
      <c r="E474" s="436" t="str">
        <f t="array" ref="E474">IF(B474=0,"",(J474+K474)/60)</f>
        <v/>
      </c>
      <c r="F474" s="437" t="str">
        <f t="shared" si="1"/>
        <v/>
      </c>
      <c r="G474" s="438" t="str">
        <f t="shared" si="8"/>
        <v>#DIV/0!</v>
      </c>
      <c r="H474" s="438" t="str">
        <f t="shared" si="3"/>
        <v/>
      </c>
      <c r="I474" s="436" t="str">
        <f t="shared" si="6"/>
        <v/>
      </c>
      <c r="J474" s="464"/>
      <c r="K474" s="464"/>
      <c r="L474" s="443"/>
      <c r="M474" s="447">
        <f>IFERROR(__xludf.DUMMYFUNCTION("""COMPUTED_VALUE"""),57.0)</f>
        <v>57</v>
      </c>
      <c r="N474" s="447">
        <f>IFERROR(__xludf.DUMMYFUNCTION("""COMPUTED_VALUE"""),57.0)</f>
        <v>57</v>
      </c>
      <c r="O474" s="447">
        <f>IFERROR(__xludf.DUMMYFUNCTION("""COMPUTED_VALUE"""),0.0)</f>
        <v>0</v>
      </c>
      <c r="P474" s="447">
        <f>IFERROR(__xludf.DUMMYFUNCTION("""COMPUTED_VALUE"""),0.0)</f>
        <v>0</v>
      </c>
      <c r="Q474" s="447">
        <f>IFERROR(__xludf.DUMMYFUNCTION("""COMPUTED_VALUE"""),0.0)</f>
        <v>0</v>
      </c>
      <c r="R474" s="447">
        <f>IFERROR(__xludf.DUMMYFUNCTION("""COMPUTED_VALUE"""),0.0)</f>
        <v>0</v>
      </c>
      <c r="S474" s="447">
        <f>IFERROR(__xludf.DUMMYFUNCTION("""COMPUTED_VALUE"""),0.0)</f>
        <v>0</v>
      </c>
      <c r="T474" s="447">
        <f>IFERROR(__xludf.DUMMYFUNCTION("""COMPUTED_VALUE"""),0.0)</f>
        <v>0</v>
      </c>
      <c r="U474" s="447">
        <f>IFERROR(__xludf.DUMMYFUNCTION("""COMPUTED_VALUE"""),0.0)</f>
        <v>0</v>
      </c>
      <c r="V474" s="447">
        <f>IFERROR(__xludf.DUMMYFUNCTION("""COMPUTED_VALUE"""),2.0)</f>
        <v>2</v>
      </c>
      <c r="W474" s="447">
        <f>IFERROR(__xludf.DUMMYFUNCTION("""COMPUTED_VALUE"""),0.0)</f>
        <v>0</v>
      </c>
      <c r="X474" s="447">
        <f>IFERROR(__xludf.DUMMYFUNCTION("""COMPUTED_VALUE"""),0.0)</f>
        <v>0</v>
      </c>
      <c r="Y474" s="447">
        <f>IFERROR(__xludf.DUMMYFUNCTION("""COMPUTED_VALUE"""),0.0)</f>
        <v>0</v>
      </c>
      <c r="Z474" s="447">
        <f>IFERROR(__xludf.DUMMYFUNCTION("""COMPUTED_VALUE"""),0.0)</f>
        <v>0</v>
      </c>
      <c r="AA474" s="447">
        <f>IFERROR(__xludf.DUMMYFUNCTION("""COMPUTED_VALUE"""),0.0)</f>
        <v>0</v>
      </c>
      <c r="AB474" s="447">
        <f>IFERROR(__xludf.DUMMYFUNCTION("""COMPUTED_VALUE"""),0.0)</f>
        <v>0</v>
      </c>
      <c r="AC474" s="447">
        <f>IFERROR(__xludf.DUMMYFUNCTION("""COMPUTED_VALUE"""),0.0)</f>
        <v>0</v>
      </c>
      <c r="AD474" s="447">
        <f>IFERROR(__xludf.DUMMYFUNCTION("""COMPUTED_VALUE"""),0.0)</f>
        <v>0</v>
      </c>
      <c r="AE474" s="447">
        <f>IFERROR(__xludf.DUMMYFUNCTION("""COMPUTED_VALUE"""),2.0)</f>
        <v>2</v>
      </c>
      <c r="AF474" s="447">
        <f>IFERROR(__xludf.DUMMYFUNCTION("""COMPUTED_VALUE"""),0.0)</f>
        <v>0</v>
      </c>
      <c r="AG474" s="443" t="s">
        <v>106</v>
      </c>
      <c r="AH474" s="443" t="s">
        <v>961</v>
      </c>
      <c r="AI474" s="443"/>
      <c r="AJ474" s="443"/>
      <c r="AK474" s="443"/>
      <c r="AL474" s="443"/>
      <c r="AM474" s="443"/>
      <c r="AN474" s="443"/>
      <c r="AO474" s="443"/>
      <c r="AP474" s="443"/>
      <c r="AQ474" s="443"/>
      <c r="AR474" s="443"/>
      <c r="AS474" s="443"/>
      <c r="AT474" s="443"/>
      <c r="AU474" s="443"/>
      <c r="AV474" s="443"/>
      <c r="AW474" s="443"/>
      <c r="AX474" s="443"/>
      <c r="AY474" s="443"/>
      <c r="AZ474" s="443"/>
      <c r="BA474" s="443"/>
      <c r="BB474" s="443"/>
      <c r="BC474" s="443"/>
      <c r="BD474" s="443"/>
      <c r="BE474" s="443"/>
    </row>
    <row r="475" hidden="1">
      <c r="A475" s="445">
        <f t="shared" si="5"/>
        <v>45765</v>
      </c>
      <c r="B475" s="449">
        <v>0.0</v>
      </c>
      <c r="C475" s="443"/>
      <c r="D475" s="462"/>
      <c r="E475" s="436" t="str">
        <f t="array" ref="E475">IF(B475=0,"",(J475+K475)/60)</f>
        <v/>
      </c>
      <c r="F475" s="437" t="str">
        <f t="shared" si="1"/>
        <v/>
      </c>
      <c r="G475" s="438" t="str">
        <f t="shared" si="8"/>
        <v>#DIV/0!</v>
      </c>
      <c r="H475" s="438" t="str">
        <f t="shared" si="3"/>
        <v/>
      </c>
      <c r="I475" s="436" t="str">
        <f t="shared" si="6"/>
        <v/>
      </c>
      <c r="J475" s="464"/>
      <c r="K475" s="464"/>
      <c r="L475" s="443"/>
      <c r="M475" s="447">
        <f>IFERROR(__xludf.DUMMYFUNCTION("""COMPUTED_VALUE"""),57.0)</f>
        <v>57</v>
      </c>
      <c r="N475" s="447">
        <f>IFERROR(__xludf.DUMMYFUNCTION("""COMPUTED_VALUE"""),57.0)</f>
        <v>57</v>
      </c>
      <c r="O475" s="447">
        <f>IFERROR(__xludf.DUMMYFUNCTION("""COMPUTED_VALUE"""),0.0)</f>
        <v>0</v>
      </c>
      <c r="P475" s="447">
        <f>IFERROR(__xludf.DUMMYFUNCTION("""COMPUTED_VALUE"""),0.0)</f>
        <v>0</v>
      </c>
      <c r="Q475" s="447">
        <f>IFERROR(__xludf.DUMMYFUNCTION("""COMPUTED_VALUE"""),0.0)</f>
        <v>0</v>
      </c>
      <c r="R475" s="447">
        <f>IFERROR(__xludf.DUMMYFUNCTION("""COMPUTED_VALUE"""),0.0)</f>
        <v>0</v>
      </c>
      <c r="S475" s="447">
        <f>IFERROR(__xludf.DUMMYFUNCTION("""COMPUTED_VALUE"""),0.0)</f>
        <v>0</v>
      </c>
      <c r="T475" s="447">
        <f>IFERROR(__xludf.DUMMYFUNCTION("""COMPUTED_VALUE"""),0.0)</f>
        <v>0</v>
      </c>
      <c r="U475" s="447">
        <f>IFERROR(__xludf.DUMMYFUNCTION("""COMPUTED_VALUE"""),0.0)</f>
        <v>0</v>
      </c>
      <c r="V475" s="447">
        <f>IFERROR(__xludf.DUMMYFUNCTION("""COMPUTED_VALUE"""),2.0)</f>
        <v>2</v>
      </c>
      <c r="W475" s="447">
        <f>IFERROR(__xludf.DUMMYFUNCTION("""COMPUTED_VALUE"""),0.0)</f>
        <v>0</v>
      </c>
      <c r="X475" s="447">
        <f>IFERROR(__xludf.DUMMYFUNCTION("""COMPUTED_VALUE"""),0.0)</f>
        <v>0</v>
      </c>
      <c r="Y475" s="447">
        <f>IFERROR(__xludf.DUMMYFUNCTION("""COMPUTED_VALUE"""),0.0)</f>
        <v>0</v>
      </c>
      <c r="Z475" s="447">
        <f>IFERROR(__xludf.DUMMYFUNCTION("""COMPUTED_VALUE"""),0.0)</f>
        <v>0</v>
      </c>
      <c r="AA475" s="447">
        <f>IFERROR(__xludf.DUMMYFUNCTION("""COMPUTED_VALUE"""),0.0)</f>
        <v>0</v>
      </c>
      <c r="AB475" s="447">
        <f>IFERROR(__xludf.DUMMYFUNCTION("""COMPUTED_VALUE"""),0.0)</f>
        <v>0</v>
      </c>
      <c r="AC475" s="447">
        <f>IFERROR(__xludf.DUMMYFUNCTION("""COMPUTED_VALUE"""),0.0)</f>
        <v>0</v>
      </c>
      <c r="AD475" s="447">
        <f>IFERROR(__xludf.DUMMYFUNCTION("""COMPUTED_VALUE"""),0.0)</f>
        <v>0</v>
      </c>
      <c r="AE475" s="447">
        <f>IFERROR(__xludf.DUMMYFUNCTION("""COMPUTED_VALUE"""),2.0)</f>
        <v>2</v>
      </c>
      <c r="AF475" s="447">
        <f>IFERROR(__xludf.DUMMYFUNCTION("""COMPUTED_VALUE"""),0.0)</f>
        <v>0</v>
      </c>
      <c r="AG475" s="443" t="s">
        <v>106</v>
      </c>
      <c r="AH475" s="443" t="s">
        <v>961</v>
      </c>
      <c r="AI475" s="443"/>
      <c r="AJ475" s="443"/>
      <c r="AK475" s="443"/>
      <c r="AL475" s="443"/>
      <c r="AM475" s="443"/>
      <c r="AN475" s="443"/>
      <c r="AO475" s="443"/>
      <c r="AP475" s="443"/>
      <c r="AQ475" s="443"/>
      <c r="AR475" s="443"/>
      <c r="AS475" s="443"/>
      <c r="AT475" s="443"/>
      <c r="AU475" s="443"/>
      <c r="AV475" s="443"/>
      <c r="AW475" s="443"/>
      <c r="AX475" s="443"/>
      <c r="AY475" s="443"/>
      <c r="AZ475" s="443"/>
      <c r="BA475" s="443"/>
      <c r="BB475" s="443"/>
      <c r="BC475" s="443"/>
      <c r="BD475" s="443"/>
      <c r="BE475" s="443"/>
    </row>
    <row r="476" hidden="1">
      <c r="A476" s="445">
        <f t="shared" si="5"/>
        <v>45766</v>
      </c>
      <c r="B476" s="449">
        <v>229.0</v>
      </c>
      <c r="C476" s="462">
        <v>0.6416666666666667</v>
      </c>
      <c r="D476" s="462">
        <v>0.8611111111111112</v>
      </c>
      <c r="E476" s="436">
        <f t="array" ref="E476">IF(B476=0,"",(J476+K476)/60)</f>
        <v>0</v>
      </c>
      <c r="F476" s="437">
        <f t="shared" si="1"/>
        <v>5.266666667</v>
      </c>
      <c r="G476" s="438">
        <f t="shared" si="8"/>
        <v>43.48101266</v>
      </c>
      <c r="H476" s="438">
        <f t="shared" si="3"/>
        <v>43.48101266</v>
      </c>
      <c r="I476" s="436">
        <f t="shared" si="6"/>
        <v>0.9662447257</v>
      </c>
      <c r="J476" s="464"/>
      <c r="K476" s="464"/>
      <c r="L476" s="443"/>
      <c r="M476" s="447">
        <f>IFERROR(__xludf.DUMMYFUNCTION("""COMPUTED_VALUE"""),57.0)</f>
        <v>57</v>
      </c>
      <c r="N476" s="447">
        <f>IFERROR(__xludf.DUMMYFUNCTION("""COMPUTED_VALUE"""),56.0)</f>
        <v>56</v>
      </c>
      <c r="O476" s="447">
        <f>IFERROR(__xludf.DUMMYFUNCTION("""COMPUTED_VALUE"""),0.0)</f>
        <v>0</v>
      </c>
      <c r="P476" s="447">
        <f>IFERROR(__xludf.DUMMYFUNCTION("""COMPUTED_VALUE"""),0.0)</f>
        <v>0</v>
      </c>
      <c r="Q476" s="447">
        <f>IFERROR(__xludf.DUMMYFUNCTION("""COMPUTED_VALUE"""),0.0)</f>
        <v>0</v>
      </c>
      <c r="R476" s="447">
        <f>IFERROR(__xludf.DUMMYFUNCTION("""COMPUTED_VALUE"""),0.0)</f>
        <v>0</v>
      </c>
      <c r="S476" s="447">
        <f>IFERROR(__xludf.DUMMYFUNCTION("""COMPUTED_VALUE"""),2.0)</f>
        <v>2</v>
      </c>
      <c r="T476" s="447">
        <f>IFERROR(__xludf.DUMMYFUNCTION("""COMPUTED_VALUE"""),0.0)</f>
        <v>0</v>
      </c>
      <c r="U476" s="447">
        <f>IFERROR(__xludf.DUMMYFUNCTION("""COMPUTED_VALUE"""),1.0)</f>
        <v>1</v>
      </c>
      <c r="V476" s="447">
        <f>IFERROR(__xludf.DUMMYFUNCTION("""COMPUTED_VALUE"""),5.0)</f>
        <v>5</v>
      </c>
      <c r="W476" s="447">
        <f>IFERROR(__xludf.DUMMYFUNCTION("""COMPUTED_VALUE"""),0.0)</f>
        <v>0</v>
      </c>
      <c r="X476" s="447">
        <f>IFERROR(__xludf.DUMMYFUNCTION("""COMPUTED_VALUE"""),0.0)</f>
        <v>0</v>
      </c>
      <c r="Y476" s="447">
        <f>IFERROR(__xludf.DUMMYFUNCTION("""COMPUTED_VALUE"""),0.0)</f>
        <v>0</v>
      </c>
      <c r="Z476" s="447">
        <f>IFERROR(__xludf.DUMMYFUNCTION("""COMPUTED_VALUE"""),0.0)</f>
        <v>0</v>
      </c>
      <c r="AA476" s="447">
        <f>IFERROR(__xludf.DUMMYFUNCTION("""COMPUTED_VALUE"""),0.0)</f>
        <v>0</v>
      </c>
      <c r="AB476" s="447">
        <f>IFERROR(__xludf.DUMMYFUNCTION("""COMPUTED_VALUE"""),0.0)</f>
        <v>0</v>
      </c>
      <c r="AC476" s="447">
        <f>IFERROR(__xludf.DUMMYFUNCTION("""COMPUTED_VALUE"""),2.0)</f>
        <v>2</v>
      </c>
      <c r="AD476" s="447">
        <f>IFERROR(__xludf.DUMMYFUNCTION("""COMPUTED_VALUE"""),45.0)</f>
        <v>45</v>
      </c>
      <c r="AE476" s="447">
        <f>IFERROR(__xludf.DUMMYFUNCTION("""COMPUTED_VALUE"""),10.0)</f>
        <v>10</v>
      </c>
      <c r="AF476" s="447">
        <f>IFERROR(__xludf.DUMMYFUNCTION("""COMPUTED_VALUE"""),1.0)</f>
        <v>1</v>
      </c>
      <c r="AG476" s="443" t="s">
        <v>106</v>
      </c>
      <c r="AH476" s="443" t="s">
        <v>961</v>
      </c>
      <c r="AI476" s="443"/>
      <c r="AJ476" s="443"/>
      <c r="AK476" s="443"/>
      <c r="AL476" s="443"/>
      <c r="AM476" s="443"/>
      <c r="AN476" s="443"/>
      <c r="AO476" s="443"/>
      <c r="AP476" s="443"/>
      <c r="AQ476" s="443"/>
      <c r="AR476" s="443"/>
      <c r="AS476" s="443"/>
      <c r="AT476" s="443"/>
      <c r="AU476" s="443"/>
      <c r="AV476" s="443"/>
      <c r="AW476" s="443"/>
      <c r="AX476" s="443"/>
      <c r="AY476" s="443"/>
      <c r="AZ476" s="443"/>
      <c r="BA476" s="443"/>
      <c r="BB476" s="443"/>
      <c r="BC476" s="443"/>
      <c r="BD476" s="443"/>
      <c r="BE476" s="443"/>
    </row>
    <row r="477" hidden="1">
      <c r="A477" s="445">
        <f t="shared" si="5"/>
        <v>45767</v>
      </c>
      <c r="B477" s="449">
        <v>0.0</v>
      </c>
      <c r="C477" s="462"/>
      <c r="D477" s="462"/>
      <c r="E477" s="436" t="str">
        <f t="array" ref="E477">IF(B477=0,"",(J477+K477)/60)</f>
        <v/>
      </c>
      <c r="F477" s="437" t="str">
        <f t="shared" si="1"/>
        <v/>
      </c>
      <c r="G477" s="438" t="str">
        <f t="shared" si="8"/>
        <v>#DIV/0!</v>
      </c>
      <c r="H477" s="438" t="str">
        <f t="shared" si="3"/>
        <v/>
      </c>
      <c r="I477" s="436" t="str">
        <f t="shared" si="6"/>
        <v/>
      </c>
      <c r="J477" s="460"/>
      <c r="K477" s="464"/>
      <c r="L477" s="443"/>
      <c r="M477" s="447">
        <f>IFERROR(__xludf.DUMMYFUNCTION("""COMPUTED_VALUE"""),57.0)</f>
        <v>57</v>
      </c>
      <c r="N477" s="447">
        <f>IFERROR(__xludf.DUMMYFUNCTION("""COMPUTED_VALUE"""),57.0)</f>
        <v>57</v>
      </c>
      <c r="O477" s="447">
        <f>IFERROR(__xludf.DUMMYFUNCTION("""COMPUTED_VALUE"""),0.0)</f>
        <v>0</v>
      </c>
      <c r="P477" s="447">
        <f>IFERROR(__xludf.DUMMYFUNCTION("""COMPUTED_VALUE"""),0.0)</f>
        <v>0</v>
      </c>
      <c r="Q477" s="447">
        <f>IFERROR(__xludf.DUMMYFUNCTION("""COMPUTED_VALUE"""),0.0)</f>
        <v>0</v>
      </c>
      <c r="R477" s="447">
        <f>IFERROR(__xludf.DUMMYFUNCTION("""COMPUTED_VALUE"""),0.0)</f>
        <v>0</v>
      </c>
      <c r="S477" s="447">
        <f>IFERROR(__xludf.DUMMYFUNCTION("""COMPUTED_VALUE"""),0.0)</f>
        <v>0</v>
      </c>
      <c r="T477" s="447">
        <f>IFERROR(__xludf.DUMMYFUNCTION("""COMPUTED_VALUE"""),0.0)</f>
        <v>0</v>
      </c>
      <c r="U477" s="447">
        <f>IFERROR(__xludf.DUMMYFUNCTION("""COMPUTED_VALUE"""),0.0)</f>
        <v>0</v>
      </c>
      <c r="V477" s="447">
        <f>IFERROR(__xludf.DUMMYFUNCTION("""COMPUTED_VALUE"""),0.0)</f>
        <v>0</v>
      </c>
      <c r="W477" s="447">
        <f>IFERROR(__xludf.DUMMYFUNCTION("""COMPUTED_VALUE"""),0.0)</f>
        <v>0</v>
      </c>
      <c r="X477" s="447">
        <f>IFERROR(__xludf.DUMMYFUNCTION("""COMPUTED_VALUE"""),0.0)</f>
        <v>0</v>
      </c>
      <c r="Y477" s="447">
        <f>IFERROR(__xludf.DUMMYFUNCTION("""COMPUTED_VALUE"""),0.0)</f>
        <v>0</v>
      </c>
      <c r="Z477" s="447">
        <f>IFERROR(__xludf.DUMMYFUNCTION("""COMPUTED_VALUE"""),0.0)</f>
        <v>0</v>
      </c>
      <c r="AA477" s="447">
        <f>IFERROR(__xludf.DUMMYFUNCTION("""COMPUTED_VALUE"""),0.0)</f>
        <v>0</v>
      </c>
      <c r="AB477" s="447">
        <f>IFERROR(__xludf.DUMMYFUNCTION("""COMPUTED_VALUE"""),0.0)</f>
        <v>0</v>
      </c>
      <c r="AC477" s="447">
        <f>IFERROR(__xludf.DUMMYFUNCTION("""COMPUTED_VALUE"""),0.0)</f>
        <v>0</v>
      </c>
      <c r="AD477" s="447">
        <f>IFERROR(__xludf.DUMMYFUNCTION("""COMPUTED_VALUE"""),0.0)</f>
        <v>0</v>
      </c>
      <c r="AE477" s="447">
        <f>IFERROR(__xludf.DUMMYFUNCTION("""COMPUTED_VALUE"""),0.0)</f>
        <v>0</v>
      </c>
      <c r="AF477" s="447">
        <f>IFERROR(__xludf.DUMMYFUNCTION("""COMPUTED_VALUE"""),0.0)</f>
        <v>0</v>
      </c>
      <c r="AG477" s="443" t="s">
        <v>106</v>
      </c>
      <c r="AH477" s="443" t="s">
        <v>961</v>
      </c>
      <c r="AI477" s="443"/>
      <c r="AJ477" s="443"/>
      <c r="AK477" s="443"/>
      <c r="AL477" s="443"/>
      <c r="AM477" s="443"/>
      <c r="AN477" s="443"/>
      <c r="AO477" s="443"/>
      <c r="AP477" s="443"/>
      <c r="AQ477" s="443"/>
      <c r="AR477" s="443"/>
      <c r="AS477" s="443"/>
      <c r="AT477" s="443"/>
      <c r="AU477" s="443"/>
      <c r="AV477" s="443"/>
      <c r="AW477" s="443"/>
      <c r="AX477" s="443"/>
      <c r="AY477" s="443"/>
      <c r="AZ477" s="443"/>
      <c r="BA477" s="443"/>
      <c r="BB477" s="443"/>
      <c r="BC477" s="443"/>
      <c r="BD477" s="443"/>
      <c r="BE477" s="443"/>
    </row>
    <row r="478" hidden="1">
      <c r="A478" s="445">
        <f t="shared" si="5"/>
        <v>45768</v>
      </c>
      <c r="B478" s="449">
        <v>546.0</v>
      </c>
      <c r="C478" s="462">
        <v>0.5583333333333333</v>
      </c>
      <c r="D478" s="462">
        <v>0.9645833333333333</v>
      </c>
      <c r="E478" s="436">
        <f t="array" ref="E478">IF(B478=0,"",(J478+K478)/60)</f>
        <v>1.4</v>
      </c>
      <c r="F478" s="437">
        <f t="shared" si="1"/>
        <v>9.75</v>
      </c>
      <c r="G478" s="438">
        <f t="shared" si="8"/>
        <v>56</v>
      </c>
      <c r="H478" s="438">
        <f t="shared" si="3"/>
        <v>65.38922156</v>
      </c>
      <c r="I478" s="436">
        <f t="shared" si="6"/>
        <v>1.166666667</v>
      </c>
      <c r="J478" s="460">
        <v>60.0</v>
      </c>
      <c r="K478" s="460">
        <v>24.0</v>
      </c>
      <c r="L478" s="443"/>
      <c r="M478" s="447">
        <f>IFERROR(__xludf.DUMMYFUNCTION("""COMPUTED_VALUE"""),57.0)</f>
        <v>57</v>
      </c>
      <c r="N478" s="447">
        <f>IFERROR(__xludf.DUMMYFUNCTION("""COMPUTED_VALUE"""),56.0)</f>
        <v>56</v>
      </c>
      <c r="O478" s="447">
        <f>IFERROR(__xludf.DUMMYFUNCTION("""COMPUTED_VALUE"""),0.0)</f>
        <v>0</v>
      </c>
      <c r="P478" s="447">
        <f>IFERROR(__xludf.DUMMYFUNCTION("""COMPUTED_VALUE"""),1.0)</f>
        <v>1</v>
      </c>
      <c r="Q478" s="447">
        <f>IFERROR(__xludf.DUMMYFUNCTION("""COMPUTED_VALUE"""),0.0)</f>
        <v>0</v>
      </c>
      <c r="R478" s="447">
        <f>IFERROR(__xludf.DUMMYFUNCTION("""COMPUTED_VALUE"""),0.0)</f>
        <v>0</v>
      </c>
      <c r="S478" s="447">
        <f>IFERROR(__xludf.DUMMYFUNCTION("""COMPUTED_VALUE"""),1.0)</f>
        <v>1</v>
      </c>
      <c r="T478" s="447">
        <f>IFERROR(__xludf.DUMMYFUNCTION("""COMPUTED_VALUE"""),0.0)</f>
        <v>0</v>
      </c>
      <c r="U478" s="447">
        <f>IFERROR(__xludf.DUMMYFUNCTION("""COMPUTED_VALUE"""),1.0)</f>
        <v>1</v>
      </c>
      <c r="V478" s="447">
        <f>IFERROR(__xludf.DUMMYFUNCTION("""COMPUTED_VALUE"""),4.0)</f>
        <v>4</v>
      </c>
      <c r="W478" s="447">
        <f>IFERROR(__xludf.DUMMYFUNCTION("""COMPUTED_VALUE"""),0.0)</f>
        <v>0</v>
      </c>
      <c r="X478" s="447">
        <f>IFERROR(__xludf.DUMMYFUNCTION("""COMPUTED_VALUE"""),0.0)</f>
        <v>0</v>
      </c>
      <c r="Y478" s="447">
        <f>IFERROR(__xludf.DUMMYFUNCTION("""COMPUTED_VALUE"""),0.0)</f>
        <v>0</v>
      </c>
      <c r="Z478" s="447">
        <f>IFERROR(__xludf.DUMMYFUNCTION("""COMPUTED_VALUE"""),0.0)</f>
        <v>0</v>
      </c>
      <c r="AA478" s="447">
        <f>IFERROR(__xludf.DUMMYFUNCTION("""COMPUTED_VALUE"""),0.0)</f>
        <v>0</v>
      </c>
      <c r="AB478" s="447">
        <f>IFERROR(__xludf.DUMMYFUNCTION("""COMPUTED_VALUE"""),0.0)</f>
        <v>0</v>
      </c>
      <c r="AC478" s="447">
        <f>IFERROR(__xludf.DUMMYFUNCTION("""COMPUTED_VALUE"""),0.0)</f>
        <v>0</v>
      </c>
      <c r="AD478" s="447">
        <f>IFERROR(__xludf.DUMMYFUNCTION("""COMPUTED_VALUE"""),48.0)</f>
        <v>48</v>
      </c>
      <c r="AE478" s="447">
        <f>IFERROR(__xludf.DUMMYFUNCTION("""COMPUTED_VALUE"""),7.0)</f>
        <v>7</v>
      </c>
      <c r="AF478" s="447">
        <f>IFERROR(__xludf.DUMMYFUNCTION("""COMPUTED_VALUE"""),1.0)</f>
        <v>1</v>
      </c>
      <c r="AG478" s="443" t="s">
        <v>106</v>
      </c>
      <c r="AH478" s="443" t="s">
        <v>961</v>
      </c>
      <c r="AI478" s="443"/>
      <c r="AJ478" s="443"/>
      <c r="AK478" s="443"/>
      <c r="AL478" s="443"/>
      <c r="AM478" s="443"/>
      <c r="AN478" s="443"/>
      <c r="AO478" s="443"/>
      <c r="AP478" s="443"/>
      <c r="AQ478" s="443"/>
      <c r="AR478" s="443"/>
      <c r="AS478" s="443"/>
      <c r="AT478" s="443"/>
      <c r="AU478" s="443"/>
      <c r="AV478" s="443"/>
      <c r="AW478" s="443"/>
      <c r="AX478" s="443"/>
      <c r="AY478" s="443"/>
      <c r="AZ478" s="443"/>
      <c r="BA478" s="443"/>
      <c r="BB478" s="443"/>
      <c r="BC478" s="443"/>
      <c r="BD478" s="443"/>
      <c r="BE478" s="443"/>
    </row>
    <row r="479" hidden="1">
      <c r="A479" s="445">
        <f t="shared" si="5"/>
        <v>45769</v>
      </c>
      <c r="B479" s="449">
        <v>397.0</v>
      </c>
      <c r="C479" s="462">
        <v>0.6</v>
      </c>
      <c r="D479" s="462">
        <v>0.9868055555555556</v>
      </c>
      <c r="E479" s="436">
        <f t="array" ref="E479">IF(B479=0,"",(J479+K479)/60)</f>
        <v>1.983333333</v>
      </c>
      <c r="F479" s="437">
        <f t="shared" si="1"/>
        <v>9.283333333</v>
      </c>
      <c r="G479" s="438">
        <f t="shared" si="8"/>
        <v>42.76481149</v>
      </c>
      <c r="H479" s="438">
        <f t="shared" si="3"/>
        <v>54.38356164</v>
      </c>
      <c r="I479" s="436">
        <f t="shared" si="6"/>
        <v>0.9098896062</v>
      </c>
      <c r="J479" s="464"/>
      <c r="K479" s="460">
        <v>119.0</v>
      </c>
      <c r="L479" s="443"/>
      <c r="M479" s="447">
        <f>IFERROR(__xludf.DUMMYFUNCTION("""COMPUTED_VALUE"""),57.0)</f>
        <v>57</v>
      </c>
      <c r="N479" s="447">
        <f>IFERROR(__xludf.DUMMYFUNCTION("""COMPUTED_VALUE"""),56.0)</f>
        <v>56</v>
      </c>
      <c r="O479" s="447">
        <f>IFERROR(__xludf.DUMMYFUNCTION("""COMPUTED_VALUE"""),0.0)</f>
        <v>0</v>
      </c>
      <c r="P479" s="447">
        <f>IFERROR(__xludf.DUMMYFUNCTION("""COMPUTED_VALUE"""),0.0)</f>
        <v>0</v>
      </c>
      <c r="Q479" s="447">
        <f>IFERROR(__xludf.DUMMYFUNCTION("""COMPUTED_VALUE"""),0.0)</f>
        <v>0</v>
      </c>
      <c r="R479" s="447">
        <f>IFERROR(__xludf.DUMMYFUNCTION("""COMPUTED_VALUE"""),0.0)</f>
        <v>0</v>
      </c>
      <c r="S479" s="447">
        <f>IFERROR(__xludf.DUMMYFUNCTION("""COMPUTED_VALUE"""),3.0)</f>
        <v>3</v>
      </c>
      <c r="T479" s="447">
        <f>IFERROR(__xludf.DUMMYFUNCTION("""COMPUTED_VALUE"""),0.0)</f>
        <v>0</v>
      </c>
      <c r="U479" s="447">
        <f>IFERROR(__xludf.DUMMYFUNCTION("""COMPUTED_VALUE"""),1.0)</f>
        <v>1</v>
      </c>
      <c r="V479" s="447">
        <f>IFERROR(__xludf.DUMMYFUNCTION("""COMPUTED_VALUE"""),4.0)</f>
        <v>4</v>
      </c>
      <c r="W479" s="447">
        <f>IFERROR(__xludf.DUMMYFUNCTION("""COMPUTED_VALUE"""),0.0)</f>
        <v>0</v>
      </c>
      <c r="X479" s="447">
        <f>IFERROR(__xludf.DUMMYFUNCTION("""COMPUTED_VALUE"""),0.0)</f>
        <v>0</v>
      </c>
      <c r="Y479" s="447">
        <f>IFERROR(__xludf.DUMMYFUNCTION("""COMPUTED_VALUE"""),0.0)</f>
        <v>0</v>
      </c>
      <c r="Z479" s="447">
        <f>IFERROR(__xludf.DUMMYFUNCTION("""COMPUTED_VALUE"""),0.0)</f>
        <v>0</v>
      </c>
      <c r="AA479" s="447">
        <f>IFERROR(__xludf.DUMMYFUNCTION("""COMPUTED_VALUE"""),0.0)</f>
        <v>0</v>
      </c>
      <c r="AB479" s="447">
        <f>IFERROR(__xludf.DUMMYFUNCTION("""COMPUTED_VALUE"""),0.0)</f>
        <v>0</v>
      </c>
      <c r="AC479" s="447">
        <f>IFERROR(__xludf.DUMMYFUNCTION("""COMPUTED_VALUE"""),0.0)</f>
        <v>0</v>
      </c>
      <c r="AD479" s="447">
        <f>IFERROR(__xludf.DUMMYFUNCTION("""COMPUTED_VALUE"""),47.0)</f>
        <v>47</v>
      </c>
      <c r="AE479" s="447">
        <f>IFERROR(__xludf.DUMMYFUNCTION("""COMPUTED_VALUE"""),8.0)</f>
        <v>8</v>
      </c>
      <c r="AF479" s="447">
        <f>IFERROR(__xludf.DUMMYFUNCTION("""COMPUTED_VALUE"""),1.0)</f>
        <v>1</v>
      </c>
      <c r="AG479" s="443" t="s">
        <v>106</v>
      </c>
      <c r="AH479" s="443" t="s">
        <v>961</v>
      </c>
      <c r="AI479" s="443"/>
      <c r="AJ479" s="443"/>
      <c r="AK479" s="443"/>
      <c r="AL479" s="443"/>
      <c r="AM479" s="443"/>
      <c r="AN479" s="443"/>
      <c r="AO479" s="443"/>
      <c r="AP479" s="443"/>
      <c r="AQ479" s="443"/>
      <c r="AR479" s="443"/>
      <c r="AS479" s="443"/>
      <c r="AT479" s="443"/>
      <c r="AU479" s="443"/>
      <c r="AV479" s="443"/>
      <c r="AW479" s="443"/>
      <c r="AX479" s="443"/>
      <c r="AY479" s="443"/>
      <c r="AZ479" s="443"/>
      <c r="BA479" s="443"/>
      <c r="BB479" s="443"/>
      <c r="BC479" s="443"/>
      <c r="BD479" s="443"/>
      <c r="BE479" s="443"/>
    </row>
    <row r="480" hidden="1">
      <c r="A480" s="445">
        <f t="shared" si="5"/>
        <v>45770</v>
      </c>
      <c r="B480" s="449">
        <v>567.0</v>
      </c>
      <c r="C480" s="462">
        <v>0.6</v>
      </c>
      <c r="D480" s="462">
        <v>1.0395833333333333</v>
      </c>
      <c r="E480" s="436">
        <f t="array" ref="E480">IF(B480=0,"",(J480+K480)/60)</f>
        <v>1.716666667</v>
      </c>
      <c r="F480" s="437">
        <f t="shared" si="1"/>
        <v>10.55</v>
      </c>
      <c r="G480" s="438">
        <f t="shared" si="8"/>
        <v>53.74407583</v>
      </c>
      <c r="H480" s="438">
        <f t="shared" si="3"/>
        <v>64.18867925</v>
      </c>
      <c r="I480" s="436">
        <f t="shared" si="6"/>
        <v>1.168349475</v>
      </c>
      <c r="J480" s="460">
        <v>60.0</v>
      </c>
      <c r="K480" s="464">
        <f>5+10+8+20</f>
        <v>43</v>
      </c>
      <c r="L480" s="443"/>
      <c r="M480" s="447">
        <f>IFERROR(__xludf.DUMMYFUNCTION("""COMPUTED_VALUE"""),57.0)</f>
        <v>57</v>
      </c>
      <c r="N480" s="447">
        <f>IFERROR(__xludf.DUMMYFUNCTION("""COMPUTED_VALUE"""),56.0)</f>
        <v>56</v>
      </c>
      <c r="O480" s="447">
        <f>IFERROR(__xludf.DUMMYFUNCTION("""COMPUTED_VALUE"""),0.0)</f>
        <v>0</v>
      </c>
      <c r="P480" s="447">
        <f>IFERROR(__xludf.DUMMYFUNCTION("""COMPUTED_VALUE"""),0.0)</f>
        <v>0</v>
      </c>
      <c r="Q480" s="447">
        <f>IFERROR(__xludf.DUMMYFUNCTION("""COMPUTED_VALUE"""),0.0)</f>
        <v>0</v>
      </c>
      <c r="R480" s="447">
        <f>IFERROR(__xludf.DUMMYFUNCTION("""COMPUTED_VALUE"""),0.0)</f>
        <v>0</v>
      </c>
      <c r="S480" s="447">
        <f>IFERROR(__xludf.DUMMYFUNCTION("""COMPUTED_VALUE"""),4.0)</f>
        <v>4</v>
      </c>
      <c r="T480" s="447">
        <f>IFERROR(__xludf.DUMMYFUNCTION("""COMPUTED_VALUE"""),0.0)</f>
        <v>0</v>
      </c>
      <c r="U480" s="447">
        <f>IFERROR(__xludf.DUMMYFUNCTION("""COMPUTED_VALUE"""),1.0)</f>
        <v>1</v>
      </c>
      <c r="V480" s="447">
        <f>IFERROR(__xludf.DUMMYFUNCTION("""COMPUTED_VALUE"""),3.0)</f>
        <v>3</v>
      </c>
      <c r="W480" s="447">
        <f>IFERROR(__xludf.DUMMYFUNCTION("""COMPUTED_VALUE"""),0.0)</f>
        <v>0</v>
      </c>
      <c r="X480" s="447">
        <f>IFERROR(__xludf.DUMMYFUNCTION("""COMPUTED_VALUE"""),0.0)</f>
        <v>0</v>
      </c>
      <c r="Y480" s="447">
        <f>IFERROR(__xludf.DUMMYFUNCTION("""COMPUTED_VALUE"""),0.0)</f>
        <v>0</v>
      </c>
      <c r="Z480" s="447">
        <f>IFERROR(__xludf.DUMMYFUNCTION("""COMPUTED_VALUE"""),0.0)</f>
        <v>0</v>
      </c>
      <c r="AA480" s="447">
        <f>IFERROR(__xludf.DUMMYFUNCTION("""COMPUTED_VALUE"""),0.0)</f>
        <v>0</v>
      </c>
      <c r="AB480" s="447">
        <f>IFERROR(__xludf.DUMMYFUNCTION("""COMPUTED_VALUE"""),0.0)</f>
        <v>0</v>
      </c>
      <c r="AC480" s="447">
        <f>IFERROR(__xludf.DUMMYFUNCTION("""COMPUTED_VALUE"""),1.0)</f>
        <v>1</v>
      </c>
      <c r="AD480" s="447">
        <f>IFERROR(__xludf.DUMMYFUNCTION("""COMPUTED_VALUE"""),46.0)</f>
        <v>46</v>
      </c>
      <c r="AE480" s="447">
        <f>IFERROR(__xludf.DUMMYFUNCTION("""COMPUTED_VALUE"""),9.0)</f>
        <v>9</v>
      </c>
      <c r="AF480" s="447">
        <f>IFERROR(__xludf.DUMMYFUNCTION("""COMPUTED_VALUE"""),1.0)</f>
        <v>1</v>
      </c>
      <c r="AG480" s="443" t="s">
        <v>106</v>
      </c>
      <c r="AH480" s="443" t="s">
        <v>961</v>
      </c>
      <c r="AI480" s="443"/>
      <c r="AJ480" s="443"/>
      <c r="AK480" s="443"/>
      <c r="AL480" s="443"/>
      <c r="AM480" s="443"/>
      <c r="AN480" s="443"/>
      <c r="AO480" s="443"/>
      <c r="AP480" s="443"/>
      <c r="AQ480" s="443"/>
      <c r="AR480" s="443"/>
      <c r="AS480" s="443"/>
      <c r="AT480" s="443"/>
      <c r="AU480" s="443"/>
      <c r="AV480" s="443"/>
      <c r="AW480" s="443"/>
      <c r="AX480" s="443"/>
      <c r="AY480" s="443"/>
      <c r="AZ480" s="443"/>
      <c r="BA480" s="443"/>
      <c r="BB480" s="443"/>
      <c r="BC480" s="443"/>
      <c r="BD480" s="443"/>
      <c r="BE480" s="443"/>
    </row>
    <row r="481" hidden="1">
      <c r="A481" s="445">
        <f t="shared" si="5"/>
        <v>45771</v>
      </c>
      <c r="B481" s="449">
        <v>515.0</v>
      </c>
      <c r="C481" s="462">
        <v>0.6</v>
      </c>
      <c r="D481" s="462">
        <v>1.0243055555555556</v>
      </c>
      <c r="E481" s="436">
        <f t="array" ref="E481">IF(B481=0,"",(J481+K481)/60)</f>
        <v>1.633333333</v>
      </c>
      <c r="F481" s="437">
        <f t="shared" si="1"/>
        <v>10.18333333</v>
      </c>
      <c r="G481" s="438">
        <f t="shared" si="8"/>
        <v>50.57283142</v>
      </c>
      <c r="H481" s="438">
        <f t="shared" si="3"/>
        <v>60.23391813</v>
      </c>
      <c r="I481" s="436">
        <f t="shared" si="6"/>
        <v>1.053600655</v>
      </c>
      <c r="J481" s="460">
        <v>30.0</v>
      </c>
      <c r="K481" s="464">
        <f>6+16+5+10+8+15+8</f>
        <v>68</v>
      </c>
      <c r="L481" s="443"/>
      <c r="M481" s="447">
        <f>IFERROR(__xludf.DUMMYFUNCTION("""COMPUTED_VALUE"""),57.0)</f>
        <v>57</v>
      </c>
      <c r="N481" s="447">
        <f>IFERROR(__xludf.DUMMYFUNCTION("""COMPUTED_VALUE"""),56.0)</f>
        <v>56</v>
      </c>
      <c r="O481" s="447">
        <f>IFERROR(__xludf.DUMMYFUNCTION("""COMPUTED_VALUE"""),0.0)</f>
        <v>0</v>
      </c>
      <c r="P481" s="447">
        <f>IFERROR(__xludf.DUMMYFUNCTION("""COMPUTED_VALUE"""),0.0)</f>
        <v>0</v>
      </c>
      <c r="Q481" s="447">
        <f>IFERROR(__xludf.DUMMYFUNCTION("""COMPUTED_VALUE"""),0.0)</f>
        <v>0</v>
      </c>
      <c r="R481" s="447">
        <f>IFERROR(__xludf.DUMMYFUNCTION("""COMPUTED_VALUE"""),0.0)</f>
        <v>0</v>
      </c>
      <c r="S481" s="447">
        <f>IFERROR(__xludf.DUMMYFUNCTION("""COMPUTED_VALUE"""),3.0)</f>
        <v>3</v>
      </c>
      <c r="T481" s="447">
        <f>IFERROR(__xludf.DUMMYFUNCTION("""COMPUTED_VALUE"""),0.0)</f>
        <v>0</v>
      </c>
      <c r="U481" s="447">
        <f>IFERROR(__xludf.DUMMYFUNCTION("""COMPUTED_VALUE"""),1.0)</f>
        <v>1</v>
      </c>
      <c r="V481" s="447">
        <f>IFERROR(__xludf.DUMMYFUNCTION("""COMPUTED_VALUE"""),3.0)</f>
        <v>3</v>
      </c>
      <c r="W481" s="447">
        <f>IFERROR(__xludf.DUMMYFUNCTION("""COMPUTED_VALUE"""),0.0)</f>
        <v>0</v>
      </c>
      <c r="X481" s="447">
        <f>IFERROR(__xludf.DUMMYFUNCTION("""COMPUTED_VALUE"""),0.0)</f>
        <v>0</v>
      </c>
      <c r="Y481" s="447">
        <f>IFERROR(__xludf.DUMMYFUNCTION("""COMPUTED_VALUE"""),0.0)</f>
        <v>0</v>
      </c>
      <c r="Z481" s="447">
        <f>IFERROR(__xludf.DUMMYFUNCTION("""COMPUTED_VALUE"""),0.0)</f>
        <v>0</v>
      </c>
      <c r="AA481" s="447">
        <f>IFERROR(__xludf.DUMMYFUNCTION("""COMPUTED_VALUE"""),0.0)</f>
        <v>0</v>
      </c>
      <c r="AB481" s="447">
        <f>IFERROR(__xludf.DUMMYFUNCTION("""COMPUTED_VALUE"""),0.0)</f>
        <v>0</v>
      </c>
      <c r="AC481" s="447">
        <f>IFERROR(__xludf.DUMMYFUNCTION("""COMPUTED_VALUE"""),0.0)</f>
        <v>0</v>
      </c>
      <c r="AD481" s="447">
        <f>IFERROR(__xludf.DUMMYFUNCTION("""COMPUTED_VALUE"""),48.0)</f>
        <v>48</v>
      </c>
      <c r="AE481" s="447">
        <f>IFERROR(__xludf.DUMMYFUNCTION("""COMPUTED_VALUE"""),7.0)</f>
        <v>7</v>
      </c>
      <c r="AF481" s="447">
        <f>IFERROR(__xludf.DUMMYFUNCTION("""COMPUTED_VALUE"""),1.0)</f>
        <v>1</v>
      </c>
      <c r="AG481" s="443" t="s">
        <v>106</v>
      </c>
      <c r="AH481" s="443" t="s">
        <v>961</v>
      </c>
      <c r="AI481" s="443"/>
      <c r="AJ481" s="443"/>
      <c r="AK481" s="443"/>
      <c r="AL481" s="443"/>
      <c r="AM481" s="443"/>
      <c r="AN481" s="443"/>
      <c r="AO481" s="443"/>
      <c r="AP481" s="443"/>
      <c r="AQ481" s="443"/>
      <c r="AR481" s="443"/>
      <c r="AS481" s="443"/>
      <c r="AT481" s="443"/>
      <c r="AU481" s="443"/>
      <c r="AV481" s="443"/>
      <c r="AW481" s="443"/>
      <c r="AX481" s="443"/>
      <c r="AY481" s="443"/>
      <c r="AZ481" s="443"/>
      <c r="BA481" s="443"/>
      <c r="BB481" s="443"/>
      <c r="BC481" s="443"/>
      <c r="BD481" s="443"/>
      <c r="BE481" s="443"/>
    </row>
    <row r="482" hidden="1">
      <c r="A482" s="445">
        <f t="shared" si="5"/>
        <v>45772</v>
      </c>
      <c r="B482" s="449">
        <v>345.0</v>
      </c>
      <c r="C482" s="462">
        <v>0.6416666666666667</v>
      </c>
      <c r="D482" s="462">
        <v>0.9215277777777777</v>
      </c>
      <c r="E482" s="436">
        <f t="array" ref="E482">IF(B482=0,"",(J482+K482)/60)</f>
        <v>1.416666667</v>
      </c>
      <c r="F482" s="437">
        <f t="shared" si="1"/>
        <v>6.716666667</v>
      </c>
      <c r="G482" s="438">
        <f t="shared" si="8"/>
        <v>51.36476427</v>
      </c>
      <c r="H482" s="438">
        <f t="shared" si="3"/>
        <v>65.09433962</v>
      </c>
      <c r="I482" s="436">
        <f t="shared" si="6"/>
        <v>1.092867325</v>
      </c>
      <c r="J482" s="460">
        <v>30.0</v>
      </c>
      <c r="K482" s="464">
        <f>20+25+10</f>
        <v>55</v>
      </c>
      <c r="L482" s="443"/>
      <c r="M482" s="447">
        <f>IFERROR(__xludf.DUMMYFUNCTION("""COMPUTED_VALUE"""),57.0)</f>
        <v>57</v>
      </c>
      <c r="N482" s="447">
        <f>IFERROR(__xludf.DUMMYFUNCTION("""COMPUTED_VALUE"""),56.0)</f>
        <v>56</v>
      </c>
      <c r="O482" s="447">
        <f>IFERROR(__xludf.DUMMYFUNCTION("""COMPUTED_VALUE"""),0.0)</f>
        <v>0</v>
      </c>
      <c r="P482" s="447">
        <f>IFERROR(__xludf.DUMMYFUNCTION("""COMPUTED_VALUE"""),0.0)</f>
        <v>0</v>
      </c>
      <c r="Q482" s="447">
        <f>IFERROR(__xludf.DUMMYFUNCTION("""COMPUTED_VALUE"""),0.0)</f>
        <v>0</v>
      </c>
      <c r="R482" s="447">
        <f>IFERROR(__xludf.DUMMYFUNCTION("""COMPUTED_VALUE"""),1.0)</f>
        <v>1</v>
      </c>
      <c r="S482" s="447">
        <f>IFERROR(__xludf.DUMMYFUNCTION("""COMPUTED_VALUE"""),3.0)</f>
        <v>3</v>
      </c>
      <c r="T482" s="447">
        <f>IFERROR(__xludf.DUMMYFUNCTION("""COMPUTED_VALUE"""),0.0)</f>
        <v>0</v>
      </c>
      <c r="U482" s="447">
        <f>IFERROR(__xludf.DUMMYFUNCTION("""COMPUTED_VALUE"""),1.0)</f>
        <v>1</v>
      </c>
      <c r="V482" s="447">
        <f>IFERROR(__xludf.DUMMYFUNCTION("""COMPUTED_VALUE"""),3.0)</f>
        <v>3</v>
      </c>
      <c r="W482" s="447">
        <f>IFERROR(__xludf.DUMMYFUNCTION("""COMPUTED_VALUE"""),0.0)</f>
        <v>0</v>
      </c>
      <c r="X482" s="447">
        <f>IFERROR(__xludf.DUMMYFUNCTION("""COMPUTED_VALUE"""),0.0)</f>
        <v>0</v>
      </c>
      <c r="Y482" s="447">
        <f>IFERROR(__xludf.DUMMYFUNCTION("""COMPUTED_VALUE"""),0.0)</f>
        <v>0</v>
      </c>
      <c r="Z482" s="447">
        <f>IFERROR(__xludf.DUMMYFUNCTION("""COMPUTED_VALUE"""),0.0)</f>
        <v>0</v>
      </c>
      <c r="AA482" s="447">
        <f>IFERROR(__xludf.DUMMYFUNCTION("""COMPUTED_VALUE"""),0.0)</f>
        <v>0</v>
      </c>
      <c r="AB482" s="447">
        <f>IFERROR(__xludf.DUMMYFUNCTION("""COMPUTED_VALUE"""),0.0)</f>
        <v>0</v>
      </c>
      <c r="AC482" s="447">
        <f>IFERROR(__xludf.DUMMYFUNCTION("""COMPUTED_VALUE"""),0.0)</f>
        <v>0</v>
      </c>
      <c r="AD482" s="447">
        <f>IFERROR(__xludf.DUMMYFUNCTION("""COMPUTED_VALUE"""),47.0)</f>
        <v>47</v>
      </c>
      <c r="AE482" s="447">
        <f>IFERROR(__xludf.DUMMYFUNCTION("""COMPUTED_VALUE"""),7.0)</f>
        <v>7</v>
      </c>
      <c r="AF482" s="447">
        <f>IFERROR(__xludf.DUMMYFUNCTION("""COMPUTED_VALUE"""),1.0)</f>
        <v>1</v>
      </c>
      <c r="AG482" s="443" t="s">
        <v>106</v>
      </c>
      <c r="AH482" s="443" t="s">
        <v>961</v>
      </c>
      <c r="AI482" s="443"/>
      <c r="AJ482" s="443"/>
      <c r="AK482" s="443"/>
      <c r="AL482" s="443"/>
      <c r="AM482" s="443"/>
      <c r="AN482" s="443"/>
      <c r="AO482" s="443"/>
      <c r="AP482" s="443"/>
      <c r="AQ482" s="443"/>
      <c r="AR482" s="443"/>
      <c r="AS482" s="443"/>
      <c r="AT482" s="443"/>
      <c r="AU482" s="443"/>
      <c r="AV482" s="443"/>
      <c r="AW482" s="443"/>
      <c r="AX482" s="443"/>
      <c r="AY482" s="443"/>
      <c r="AZ482" s="443"/>
      <c r="BA482" s="443"/>
      <c r="BB482" s="443"/>
      <c r="BC482" s="443"/>
      <c r="BD482" s="443"/>
      <c r="BE482" s="443"/>
    </row>
    <row r="483" hidden="1">
      <c r="A483" s="445">
        <f t="shared" si="5"/>
        <v>45773</v>
      </c>
      <c r="B483" s="449">
        <v>281.0</v>
      </c>
      <c r="C483" s="462">
        <v>0.6</v>
      </c>
      <c r="D483" s="462">
        <v>0.8277777777777777</v>
      </c>
      <c r="E483" s="436">
        <f t="array" ref="E483">IF(B483=0,"",(J483+K483)/60)</f>
        <v>0.25</v>
      </c>
      <c r="F483" s="437">
        <f t="shared" si="1"/>
        <v>5.466666667</v>
      </c>
      <c r="G483" s="438">
        <f t="shared" si="8"/>
        <v>51.40243902</v>
      </c>
      <c r="H483" s="438">
        <f t="shared" si="3"/>
        <v>53.8658147</v>
      </c>
      <c r="I483" s="436">
        <f t="shared" si="6"/>
        <v>1.117444327</v>
      </c>
      <c r="J483" s="460">
        <v>15.0</v>
      </c>
      <c r="K483" s="460"/>
      <c r="L483" s="443"/>
      <c r="M483" s="447">
        <f>IFERROR(__xludf.DUMMYFUNCTION("""COMPUTED_VALUE"""),57.0)</f>
        <v>57</v>
      </c>
      <c r="N483" s="447">
        <f>IFERROR(__xludf.DUMMYFUNCTION("""COMPUTED_VALUE"""),55.0)</f>
        <v>55</v>
      </c>
      <c r="O483" s="447">
        <f>IFERROR(__xludf.DUMMYFUNCTION("""COMPUTED_VALUE"""),0.0)</f>
        <v>0</v>
      </c>
      <c r="P483" s="447">
        <f>IFERROR(__xludf.DUMMYFUNCTION("""COMPUTED_VALUE"""),1.0)</f>
        <v>1</v>
      </c>
      <c r="Q483" s="447">
        <f>IFERROR(__xludf.DUMMYFUNCTION("""COMPUTED_VALUE"""),0.0)</f>
        <v>0</v>
      </c>
      <c r="R483" s="447">
        <f>IFERROR(__xludf.DUMMYFUNCTION("""COMPUTED_VALUE"""),0.0)</f>
        <v>0</v>
      </c>
      <c r="S483" s="447">
        <f>IFERROR(__xludf.DUMMYFUNCTION("""COMPUTED_VALUE"""),3.0)</f>
        <v>3</v>
      </c>
      <c r="T483" s="447">
        <f>IFERROR(__xludf.DUMMYFUNCTION("""COMPUTED_VALUE"""),0.0)</f>
        <v>0</v>
      </c>
      <c r="U483" s="447">
        <f>IFERROR(__xludf.DUMMYFUNCTION("""COMPUTED_VALUE"""),2.0)</f>
        <v>2</v>
      </c>
      <c r="V483" s="447">
        <f>IFERROR(__xludf.DUMMYFUNCTION("""COMPUTED_VALUE"""),3.0)</f>
        <v>3</v>
      </c>
      <c r="W483" s="447">
        <f>IFERROR(__xludf.DUMMYFUNCTION("""COMPUTED_VALUE"""),0.0)</f>
        <v>0</v>
      </c>
      <c r="X483" s="447">
        <f>IFERROR(__xludf.DUMMYFUNCTION("""COMPUTED_VALUE"""),0.0)</f>
        <v>0</v>
      </c>
      <c r="Y483" s="447">
        <f>IFERROR(__xludf.DUMMYFUNCTION("""COMPUTED_VALUE"""),0.0)</f>
        <v>0</v>
      </c>
      <c r="Z483" s="447">
        <f>IFERROR(__xludf.DUMMYFUNCTION("""COMPUTED_VALUE"""),0.0)</f>
        <v>0</v>
      </c>
      <c r="AA483" s="447">
        <f>IFERROR(__xludf.DUMMYFUNCTION("""COMPUTED_VALUE"""),0.0)</f>
        <v>0</v>
      </c>
      <c r="AB483" s="447">
        <f>IFERROR(__xludf.DUMMYFUNCTION("""COMPUTED_VALUE"""),0.0)</f>
        <v>0</v>
      </c>
      <c r="AC483" s="447">
        <f>IFERROR(__xludf.DUMMYFUNCTION("""COMPUTED_VALUE"""),0.0)</f>
        <v>0</v>
      </c>
      <c r="AD483" s="447">
        <f>IFERROR(__xludf.DUMMYFUNCTION("""COMPUTED_VALUE"""),46.0)</f>
        <v>46</v>
      </c>
      <c r="AE483" s="447">
        <f>IFERROR(__xludf.DUMMYFUNCTION("""COMPUTED_VALUE"""),9.0)</f>
        <v>9</v>
      </c>
      <c r="AF483" s="447">
        <f>IFERROR(__xludf.DUMMYFUNCTION("""COMPUTED_VALUE"""),2.0)</f>
        <v>2</v>
      </c>
      <c r="AG483" s="443" t="s">
        <v>106</v>
      </c>
      <c r="AH483" s="443" t="s">
        <v>961</v>
      </c>
      <c r="AI483" s="443"/>
      <c r="AJ483" s="443"/>
      <c r="AK483" s="443"/>
      <c r="AL483" s="443"/>
      <c r="AM483" s="443"/>
      <c r="AN483" s="443"/>
      <c r="AO483" s="443"/>
      <c r="AP483" s="443"/>
      <c r="AQ483" s="443"/>
      <c r="AR483" s="443"/>
      <c r="AS483" s="443"/>
      <c r="AT483" s="443"/>
      <c r="AU483" s="443"/>
      <c r="AV483" s="443"/>
      <c r="AW483" s="443"/>
      <c r="AX483" s="443"/>
      <c r="AY483" s="443"/>
      <c r="AZ483" s="443"/>
      <c r="BA483" s="443"/>
      <c r="BB483" s="443"/>
      <c r="BC483" s="443"/>
      <c r="BD483" s="443"/>
      <c r="BE483" s="443"/>
    </row>
    <row r="484" hidden="1">
      <c r="A484" s="445">
        <f t="shared" si="5"/>
        <v>45774</v>
      </c>
      <c r="B484" s="449">
        <v>0.0</v>
      </c>
      <c r="C484" s="443"/>
      <c r="D484" s="462"/>
      <c r="E484" s="436" t="str">
        <f t="array" ref="E484">IF(B484=0,"",(J484+K484)/60)</f>
        <v/>
      </c>
      <c r="F484" s="437" t="str">
        <f t="shared" si="1"/>
        <v/>
      </c>
      <c r="G484" s="438" t="str">
        <f t="shared" si="8"/>
        <v>#DIV/0!</v>
      </c>
      <c r="H484" s="438" t="str">
        <f t="shared" si="3"/>
        <v/>
      </c>
      <c r="I484" s="436" t="str">
        <f t="shared" si="6"/>
        <v/>
      </c>
      <c r="J484" s="464"/>
      <c r="K484" s="464"/>
      <c r="L484" s="443"/>
      <c r="M484" s="447">
        <f>IFERROR(__xludf.DUMMYFUNCTION("""COMPUTED_VALUE"""),57.0)</f>
        <v>57</v>
      </c>
      <c r="N484" s="447">
        <f>IFERROR(__xludf.DUMMYFUNCTION("""COMPUTED_VALUE"""),57.0)</f>
        <v>57</v>
      </c>
      <c r="O484" s="447">
        <f>IFERROR(__xludf.DUMMYFUNCTION("""COMPUTED_VALUE"""),0.0)</f>
        <v>0</v>
      </c>
      <c r="P484" s="447">
        <f>IFERROR(__xludf.DUMMYFUNCTION("""COMPUTED_VALUE"""),0.0)</f>
        <v>0</v>
      </c>
      <c r="Q484" s="447">
        <f>IFERROR(__xludf.DUMMYFUNCTION("""COMPUTED_VALUE"""),0.0)</f>
        <v>0</v>
      </c>
      <c r="R484" s="447">
        <f>IFERROR(__xludf.DUMMYFUNCTION("""COMPUTED_VALUE"""),0.0)</f>
        <v>0</v>
      </c>
      <c r="S484" s="447">
        <f>IFERROR(__xludf.DUMMYFUNCTION("""COMPUTED_VALUE"""),0.0)</f>
        <v>0</v>
      </c>
      <c r="T484" s="447">
        <f>IFERROR(__xludf.DUMMYFUNCTION("""COMPUTED_VALUE"""),0.0)</f>
        <v>0</v>
      </c>
      <c r="U484" s="447">
        <f>IFERROR(__xludf.DUMMYFUNCTION("""COMPUTED_VALUE"""),0.0)</f>
        <v>0</v>
      </c>
      <c r="V484" s="447">
        <f>IFERROR(__xludf.DUMMYFUNCTION("""COMPUTED_VALUE"""),0.0)</f>
        <v>0</v>
      </c>
      <c r="W484" s="447">
        <f>IFERROR(__xludf.DUMMYFUNCTION("""COMPUTED_VALUE"""),0.0)</f>
        <v>0</v>
      </c>
      <c r="X484" s="447">
        <f>IFERROR(__xludf.DUMMYFUNCTION("""COMPUTED_VALUE"""),0.0)</f>
        <v>0</v>
      </c>
      <c r="Y484" s="447">
        <f>IFERROR(__xludf.DUMMYFUNCTION("""COMPUTED_VALUE"""),0.0)</f>
        <v>0</v>
      </c>
      <c r="Z484" s="447">
        <f>IFERROR(__xludf.DUMMYFUNCTION("""COMPUTED_VALUE"""),0.0)</f>
        <v>0</v>
      </c>
      <c r="AA484" s="447">
        <f>IFERROR(__xludf.DUMMYFUNCTION("""COMPUTED_VALUE"""),0.0)</f>
        <v>0</v>
      </c>
      <c r="AB484" s="447">
        <f>IFERROR(__xludf.DUMMYFUNCTION("""COMPUTED_VALUE"""),0.0)</f>
        <v>0</v>
      </c>
      <c r="AC484" s="447">
        <f>IFERROR(__xludf.DUMMYFUNCTION("""COMPUTED_VALUE"""),0.0)</f>
        <v>0</v>
      </c>
      <c r="AD484" s="447">
        <f>IFERROR(__xludf.DUMMYFUNCTION("""COMPUTED_VALUE"""),0.0)</f>
        <v>0</v>
      </c>
      <c r="AE484" s="447">
        <f>IFERROR(__xludf.DUMMYFUNCTION("""COMPUTED_VALUE"""),0.0)</f>
        <v>0</v>
      </c>
      <c r="AF484" s="447">
        <f>IFERROR(__xludf.DUMMYFUNCTION("""COMPUTED_VALUE"""),0.0)</f>
        <v>0</v>
      </c>
      <c r="AG484" s="443" t="s">
        <v>106</v>
      </c>
      <c r="AH484" s="443" t="s">
        <v>961</v>
      </c>
      <c r="AI484" s="443"/>
      <c r="AJ484" s="443"/>
      <c r="AK484" s="443"/>
      <c r="AL484" s="443"/>
      <c r="AM484" s="443"/>
      <c r="AN484" s="443"/>
      <c r="AO484" s="443"/>
      <c r="AP484" s="443"/>
      <c r="AQ484" s="443"/>
      <c r="AR484" s="443"/>
      <c r="AS484" s="443"/>
      <c r="AT484" s="443"/>
      <c r="AU484" s="443"/>
      <c r="AV484" s="443"/>
      <c r="AW484" s="443"/>
      <c r="AX484" s="443"/>
      <c r="AY484" s="443"/>
      <c r="AZ484" s="443"/>
      <c r="BA484" s="443"/>
      <c r="BB484" s="443"/>
      <c r="BC484" s="443"/>
      <c r="BD484" s="443"/>
      <c r="BE484" s="443"/>
    </row>
    <row r="485" hidden="1">
      <c r="A485" s="445">
        <f t="shared" si="5"/>
        <v>45775</v>
      </c>
      <c r="B485" s="449">
        <v>563.0</v>
      </c>
      <c r="C485" s="462">
        <v>0.6090277777777777</v>
      </c>
      <c r="D485" s="672">
        <v>1.007638888888889</v>
      </c>
      <c r="E485" s="436">
        <f t="array" ref="E485">IF(B485=0,"",(J485+K485)/60)</f>
        <v>1.333333333</v>
      </c>
      <c r="F485" s="437">
        <f t="shared" si="1"/>
        <v>9.566666667</v>
      </c>
      <c r="G485" s="438">
        <f t="shared" si="8"/>
        <v>58.85017422</v>
      </c>
      <c r="H485" s="438">
        <f t="shared" si="3"/>
        <v>68.3805668</v>
      </c>
      <c r="I485" s="436">
        <f t="shared" si="6"/>
        <v>1.252131366</v>
      </c>
      <c r="J485" s="460">
        <v>60.0</v>
      </c>
      <c r="K485" s="460">
        <v>20.0</v>
      </c>
      <c r="L485" s="443"/>
      <c r="M485" s="447">
        <f>IFERROR(__xludf.DUMMYFUNCTION("""COMPUTED_VALUE"""),57.0)</f>
        <v>57</v>
      </c>
      <c r="N485" s="447">
        <f>IFERROR(__xludf.DUMMYFUNCTION("""COMPUTED_VALUE"""),55.0)</f>
        <v>55</v>
      </c>
      <c r="O485" s="447">
        <f>IFERROR(__xludf.DUMMYFUNCTION("""COMPUTED_VALUE"""),0.0)</f>
        <v>0</v>
      </c>
      <c r="P485" s="447">
        <f>IFERROR(__xludf.DUMMYFUNCTION("""COMPUTED_VALUE"""),0.0)</f>
        <v>0</v>
      </c>
      <c r="Q485" s="447">
        <f>IFERROR(__xludf.DUMMYFUNCTION("""COMPUTED_VALUE"""),0.0)</f>
        <v>0</v>
      </c>
      <c r="R485" s="447">
        <f>IFERROR(__xludf.DUMMYFUNCTION("""COMPUTED_VALUE"""),0.0)</f>
        <v>0</v>
      </c>
      <c r="S485" s="447">
        <f>IFERROR(__xludf.DUMMYFUNCTION("""COMPUTED_VALUE"""),1.0)</f>
        <v>1</v>
      </c>
      <c r="T485" s="447">
        <f>IFERROR(__xludf.DUMMYFUNCTION("""COMPUTED_VALUE"""),0.0)</f>
        <v>0</v>
      </c>
      <c r="U485" s="447">
        <f>IFERROR(__xludf.DUMMYFUNCTION("""COMPUTED_VALUE"""),2.0)</f>
        <v>2</v>
      </c>
      <c r="V485" s="447">
        <f>IFERROR(__xludf.DUMMYFUNCTION("""COMPUTED_VALUE"""),2.0)</f>
        <v>2</v>
      </c>
      <c r="W485" s="447">
        <f>IFERROR(__xludf.DUMMYFUNCTION("""COMPUTED_VALUE"""),0.0)</f>
        <v>0</v>
      </c>
      <c r="X485" s="447">
        <f>IFERROR(__xludf.DUMMYFUNCTION("""COMPUTED_VALUE"""),0.0)</f>
        <v>0</v>
      </c>
      <c r="Y485" s="447">
        <f>IFERROR(__xludf.DUMMYFUNCTION("""COMPUTED_VALUE"""),0.0)</f>
        <v>0</v>
      </c>
      <c r="Z485" s="447">
        <f>IFERROR(__xludf.DUMMYFUNCTION("""COMPUTED_VALUE"""),0.0)</f>
        <v>0</v>
      </c>
      <c r="AA485" s="447">
        <f>IFERROR(__xludf.DUMMYFUNCTION("""COMPUTED_VALUE"""),2.0)</f>
        <v>2</v>
      </c>
      <c r="AB485" s="447">
        <f>IFERROR(__xludf.DUMMYFUNCTION("""COMPUTED_VALUE"""),0.0)</f>
        <v>0</v>
      </c>
      <c r="AC485" s="447">
        <f>IFERROR(__xludf.DUMMYFUNCTION("""COMPUTED_VALUE"""),1.0)</f>
        <v>1</v>
      </c>
      <c r="AD485" s="447">
        <f>IFERROR(__xludf.DUMMYFUNCTION("""COMPUTED_VALUE"""),47.0)</f>
        <v>47</v>
      </c>
      <c r="AE485" s="447">
        <f>IFERROR(__xludf.DUMMYFUNCTION("""COMPUTED_VALUE"""),8.0)</f>
        <v>8</v>
      </c>
      <c r="AF485" s="447">
        <f>IFERROR(__xludf.DUMMYFUNCTION("""COMPUTED_VALUE"""),2.0)</f>
        <v>2</v>
      </c>
      <c r="AG485" s="443" t="s">
        <v>106</v>
      </c>
      <c r="AH485" s="443" t="s">
        <v>961</v>
      </c>
      <c r="AI485" s="443"/>
      <c r="AJ485" s="443"/>
      <c r="AK485" s="443"/>
      <c r="AL485" s="443"/>
      <c r="AM485" s="443"/>
      <c r="AN485" s="443"/>
      <c r="AO485" s="443"/>
      <c r="AP485" s="443"/>
      <c r="AQ485" s="443"/>
      <c r="AR485" s="443"/>
      <c r="AS485" s="443"/>
      <c r="AT485" s="443"/>
      <c r="AU485" s="443"/>
      <c r="AV485" s="443"/>
      <c r="AW485" s="443"/>
      <c r="AX485" s="443"/>
      <c r="AY485" s="443"/>
      <c r="AZ485" s="443"/>
      <c r="BA485" s="443"/>
      <c r="BB485" s="443"/>
      <c r="BC485" s="443"/>
      <c r="BD485" s="443"/>
      <c r="BE485" s="443"/>
    </row>
    <row r="486" hidden="1">
      <c r="A486" s="445">
        <f t="shared" si="5"/>
        <v>45776</v>
      </c>
      <c r="B486" s="449">
        <v>490.0</v>
      </c>
      <c r="C486" s="462">
        <v>0.6</v>
      </c>
      <c r="D486" s="462">
        <v>0.9597222222222223</v>
      </c>
      <c r="E486" s="436">
        <f t="array" ref="E486">IF(B486=0,"",(J486+K486)/60)</f>
        <v>0.9333333333</v>
      </c>
      <c r="F486" s="437">
        <f t="shared" si="1"/>
        <v>8.633333333</v>
      </c>
      <c r="G486" s="438">
        <f t="shared" si="8"/>
        <v>56.75675676</v>
      </c>
      <c r="H486" s="438">
        <f t="shared" si="3"/>
        <v>63.63636364</v>
      </c>
      <c r="I486" s="436">
        <f t="shared" si="6"/>
        <v>1.182432432</v>
      </c>
      <c r="J486" s="460">
        <v>30.0</v>
      </c>
      <c r="K486" s="460">
        <f>17+9</f>
        <v>26</v>
      </c>
      <c r="L486" s="443"/>
      <c r="M486" s="447">
        <f>IFERROR(__xludf.DUMMYFUNCTION("""COMPUTED_VALUE"""),57.0)</f>
        <v>57</v>
      </c>
      <c r="N486" s="447">
        <f>IFERROR(__xludf.DUMMYFUNCTION("""COMPUTED_VALUE"""),55.0)</f>
        <v>55</v>
      </c>
      <c r="O486" s="447">
        <f>IFERROR(__xludf.DUMMYFUNCTION("""COMPUTED_VALUE"""),0.0)</f>
        <v>0</v>
      </c>
      <c r="P486" s="447">
        <f>IFERROR(__xludf.DUMMYFUNCTION("""COMPUTED_VALUE"""),0.0)</f>
        <v>0</v>
      </c>
      <c r="Q486" s="447">
        <f>IFERROR(__xludf.DUMMYFUNCTION("""COMPUTED_VALUE"""),0.0)</f>
        <v>0</v>
      </c>
      <c r="R486" s="447">
        <f>IFERROR(__xludf.DUMMYFUNCTION("""COMPUTED_VALUE"""),0.0)</f>
        <v>0</v>
      </c>
      <c r="S486" s="447">
        <f>IFERROR(__xludf.DUMMYFUNCTION("""COMPUTED_VALUE"""),2.0)</f>
        <v>2</v>
      </c>
      <c r="T486" s="447">
        <f>IFERROR(__xludf.DUMMYFUNCTION("""COMPUTED_VALUE"""),0.0)</f>
        <v>0</v>
      </c>
      <c r="U486" s="447">
        <f>IFERROR(__xludf.DUMMYFUNCTION("""COMPUTED_VALUE"""),2.0)</f>
        <v>2</v>
      </c>
      <c r="V486" s="447">
        <f>IFERROR(__xludf.DUMMYFUNCTION("""COMPUTED_VALUE"""),3.0)</f>
        <v>3</v>
      </c>
      <c r="W486" s="447">
        <f>IFERROR(__xludf.DUMMYFUNCTION("""COMPUTED_VALUE"""),0.0)</f>
        <v>0</v>
      </c>
      <c r="X486" s="447">
        <f>IFERROR(__xludf.DUMMYFUNCTION("""COMPUTED_VALUE"""),0.0)</f>
        <v>0</v>
      </c>
      <c r="Y486" s="447">
        <f>IFERROR(__xludf.DUMMYFUNCTION("""COMPUTED_VALUE"""),0.0)</f>
        <v>0</v>
      </c>
      <c r="Z486" s="447">
        <f>IFERROR(__xludf.DUMMYFUNCTION("""COMPUTED_VALUE"""),0.0)</f>
        <v>0</v>
      </c>
      <c r="AA486" s="447">
        <f>IFERROR(__xludf.DUMMYFUNCTION("""COMPUTED_VALUE"""),0.0)</f>
        <v>0</v>
      </c>
      <c r="AB486" s="447">
        <f>IFERROR(__xludf.DUMMYFUNCTION("""COMPUTED_VALUE"""),0.0)</f>
        <v>0</v>
      </c>
      <c r="AC486" s="447">
        <f>IFERROR(__xludf.DUMMYFUNCTION("""COMPUTED_VALUE"""),0.0)</f>
        <v>0</v>
      </c>
      <c r="AD486" s="447">
        <f>IFERROR(__xludf.DUMMYFUNCTION("""COMPUTED_VALUE"""),48.0)</f>
        <v>48</v>
      </c>
      <c r="AE486" s="447">
        <f>IFERROR(__xludf.DUMMYFUNCTION("""COMPUTED_VALUE"""),7.0)</f>
        <v>7</v>
      </c>
      <c r="AF486" s="447">
        <f>IFERROR(__xludf.DUMMYFUNCTION("""COMPUTED_VALUE"""),2.0)</f>
        <v>2</v>
      </c>
      <c r="AG486" s="443" t="s">
        <v>106</v>
      </c>
      <c r="AH486" s="443" t="s">
        <v>961</v>
      </c>
      <c r="AI486" s="443"/>
      <c r="AJ486" s="443"/>
      <c r="AK486" s="443"/>
      <c r="AL486" s="443"/>
      <c r="AM486" s="443"/>
      <c r="AN486" s="443"/>
      <c r="AO486" s="443"/>
      <c r="AP486" s="443"/>
      <c r="AQ486" s="443"/>
      <c r="AR486" s="443"/>
      <c r="AS486" s="443"/>
      <c r="AT486" s="443"/>
      <c r="AU486" s="443"/>
      <c r="AV486" s="443"/>
      <c r="AW486" s="443"/>
      <c r="AX486" s="443"/>
      <c r="AY486" s="443"/>
      <c r="AZ486" s="443"/>
      <c r="BA486" s="443"/>
      <c r="BB486" s="443"/>
      <c r="BC486" s="443"/>
      <c r="BD486" s="443"/>
      <c r="BE486" s="443"/>
    </row>
    <row r="487" hidden="1">
      <c r="A487" s="445">
        <f t="shared" si="5"/>
        <v>45777</v>
      </c>
      <c r="B487" s="449">
        <v>536.0</v>
      </c>
      <c r="C487" s="462">
        <v>0.6</v>
      </c>
      <c r="D487" s="462">
        <v>0.9659722222222222</v>
      </c>
      <c r="E487" s="436">
        <f t="array" ref="E487">IF(B487=0,"",(J487+K487)/60)</f>
        <v>0.5</v>
      </c>
      <c r="F487" s="437">
        <f t="shared" si="1"/>
        <v>8.783333333</v>
      </c>
      <c r="G487" s="438">
        <f t="shared" si="8"/>
        <v>61.02466793</v>
      </c>
      <c r="H487" s="438">
        <f t="shared" si="3"/>
        <v>64.7082495</v>
      </c>
      <c r="I487" s="436">
        <f t="shared" si="6"/>
        <v>1.220493359</v>
      </c>
      <c r="J487" s="460">
        <v>30.0</v>
      </c>
      <c r="K487" s="673"/>
      <c r="L487" s="443"/>
      <c r="M487" s="447">
        <f>IFERROR(__xludf.DUMMYFUNCTION("""COMPUTED_VALUE"""),57.0)</f>
        <v>57</v>
      </c>
      <c r="N487" s="447">
        <f>IFERROR(__xludf.DUMMYFUNCTION("""COMPUTED_VALUE"""),55.0)</f>
        <v>55</v>
      </c>
      <c r="O487" s="447">
        <f>IFERROR(__xludf.DUMMYFUNCTION("""COMPUTED_VALUE"""),0.0)</f>
        <v>0</v>
      </c>
      <c r="P487" s="447">
        <f>IFERROR(__xludf.DUMMYFUNCTION("""COMPUTED_VALUE"""),0.0)</f>
        <v>0</v>
      </c>
      <c r="Q487" s="447">
        <f>IFERROR(__xludf.DUMMYFUNCTION("""COMPUTED_VALUE"""),0.0)</f>
        <v>0</v>
      </c>
      <c r="R487" s="447">
        <f>IFERROR(__xludf.DUMMYFUNCTION("""COMPUTED_VALUE"""),0.0)</f>
        <v>0</v>
      </c>
      <c r="S487" s="447">
        <f>IFERROR(__xludf.DUMMYFUNCTION("""COMPUTED_VALUE"""),0.0)</f>
        <v>0</v>
      </c>
      <c r="T487" s="447">
        <f>IFERROR(__xludf.DUMMYFUNCTION("""COMPUTED_VALUE"""),0.0)</f>
        <v>0</v>
      </c>
      <c r="U487" s="447">
        <f>IFERROR(__xludf.DUMMYFUNCTION("""COMPUTED_VALUE"""),2.0)</f>
        <v>2</v>
      </c>
      <c r="V487" s="447">
        <f>IFERROR(__xludf.DUMMYFUNCTION("""COMPUTED_VALUE"""),2.0)</f>
        <v>2</v>
      </c>
      <c r="W487" s="447">
        <f>IFERROR(__xludf.DUMMYFUNCTION("""COMPUTED_VALUE"""),0.0)</f>
        <v>0</v>
      </c>
      <c r="X487" s="447">
        <f>IFERROR(__xludf.DUMMYFUNCTION("""COMPUTED_VALUE"""),0.0)</f>
        <v>0</v>
      </c>
      <c r="Y487" s="447">
        <f>IFERROR(__xludf.DUMMYFUNCTION("""COMPUTED_VALUE"""),0.0)</f>
        <v>0</v>
      </c>
      <c r="Z487" s="447">
        <f>IFERROR(__xludf.DUMMYFUNCTION("""COMPUTED_VALUE"""),0.0)</f>
        <v>0</v>
      </c>
      <c r="AA487" s="447">
        <f>IFERROR(__xludf.DUMMYFUNCTION("""COMPUTED_VALUE"""),1.0)</f>
        <v>1</v>
      </c>
      <c r="AB487" s="447">
        <f>IFERROR(__xludf.DUMMYFUNCTION("""COMPUTED_VALUE"""),0.0)</f>
        <v>0</v>
      </c>
      <c r="AC487" s="447">
        <f>IFERROR(__xludf.DUMMYFUNCTION("""COMPUTED_VALUE"""),0.0)</f>
        <v>0</v>
      </c>
      <c r="AD487" s="447">
        <f>IFERROR(__xludf.DUMMYFUNCTION("""COMPUTED_VALUE"""),50.0)</f>
        <v>50</v>
      </c>
      <c r="AE487" s="447">
        <f>IFERROR(__xludf.DUMMYFUNCTION("""COMPUTED_VALUE"""),5.0)</f>
        <v>5</v>
      </c>
      <c r="AF487" s="447">
        <f>IFERROR(__xludf.DUMMYFUNCTION("""COMPUTED_VALUE"""),2.0)</f>
        <v>2</v>
      </c>
      <c r="AG487" s="443" t="s">
        <v>106</v>
      </c>
      <c r="AH487" s="443" t="s">
        <v>961</v>
      </c>
      <c r="AI487" s="443"/>
      <c r="AJ487" s="443"/>
      <c r="AK487" s="443"/>
      <c r="AL487" s="443"/>
      <c r="AM487" s="443"/>
      <c r="AN487" s="443"/>
      <c r="AO487" s="443"/>
      <c r="AP487" s="443"/>
      <c r="AQ487" s="443"/>
      <c r="AR487" s="443"/>
      <c r="AS487" s="443"/>
      <c r="AT487" s="443"/>
      <c r="AU487" s="443"/>
      <c r="AV487" s="443"/>
      <c r="AW487" s="443"/>
      <c r="AX487" s="443"/>
      <c r="AY487" s="443"/>
      <c r="AZ487" s="443"/>
      <c r="BA487" s="443"/>
      <c r="BB487" s="443"/>
      <c r="BC487" s="443"/>
      <c r="BD487" s="443"/>
      <c r="BE487" s="443"/>
    </row>
    <row r="488" hidden="1">
      <c r="A488" s="445">
        <f t="shared" si="5"/>
        <v>45778</v>
      </c>
      <c r="B488" s="449">
        <v>472.0</v>
      </c>
      <c r="C488" s="462">
        <v>0.6</v>
      </c>
      <c r="D488" s="462">
        <v>0.9708333333333333</v>
      </c>
      <c r="E488" s="436">
        <f t="array" ref="E488">IF(B488=0,"",(J488+K488)/60)</f>
        <v>1.7</v>
      </c>
      <c r="F488" s="437">
        <f t="shared" si="1"/>
        <v>8.9</v>
      </c>
      <c r="G488" s="438">
        <f t="shared" si="8"/>
        <v>53.03370787</v>
      </c>
      <c r="H488" s="438">
        <f t="shared" si="3"/>
        <v>65.55555556</v>
      </c>
      <c r="I488" s="436">
        <f t="shared" si="6"/>
        <v>1.082320569</v>
      </c>
      <c r="J488" s="460">
        <v>30.0</v>
      </c>
      <c r="K488" s="464">
        <f>9+5+8+12+5+21+12</f>
        <v>72</v>
      </c>
      <c r="L488" s="443"/>
      <c r="M488" s="469">
        <f>IFERROR(__xludf.DUMMYFUNCTION("TRANSPOSE(IMPORTRANGE(""https://docs.google.com/spreadsheets/d/1CNeKSHTeNNJnfn5EymHwGg5Mkuk6EcepW7_9QkJxalc/edit#gid=1218471306"",""MAYO 2025!F2:AJ21""))"),57.0)</f>
        <v>57</v>
      </c>
      <c r="N488" s="447">
        <f>IFERROR(__xludf.DUMMYFUNCTION("""COMPUTED_VALUE"""),55.0)</f>
        <v>55</v>
      </c>
      <c r="O488" s="447">
        <f>IFERROR(__xludf.DUMMYFUNCTION("""COMPUTED_VALUE"""),0.0)</f>
        <v>0</v>
      </c>
      <c r="P488" s="447">
        <f>IFERROR(__xludf.DUMMYFUNCTION("""COMPUTED_VALUE"""),0.0)</f>
        <v>0</v>
      </c>
      <c r="Q488" s="447">
        <f>IFERROR(__xludf.DUMMYFUNCTION("""COMPUTED_VALUE"""),2.0)</f>
        <v>2</v>
      </c>
      <c r="R488" s="447">
        <f>IFERROR(__xludf.DUMMYFUNCTION("""COMPUTED_VALUE"""),0.0)</f>
        <v>0</v>
      </c>
      <c r="S488" s="447">
        <f>IFERROR(__xludf.DUMMYFUNCTION("""COMPUTED_VALUE"""),0.0)</f>
        <v>0</v>
      </c>
      <c r="T488" s="447">
        <f>IFERROR(__xludf.DUMMYFUNCTION("""COMPUTED_VALUE"""),0.0)</f>
        <v>0</v>
      </c>
      <c r="U488" s="447">
        <f>IFERROR(__xludf.DUMMYFUNCTION("""COMPUTED_VALUE"""),2.0)</f>
        <v>2</v>
      </c>
      <c r="V488" s="447">
        <f>IFERROR(__xludf.DUMMYFUNCTION("""COMPUTED_VALUE"""),2.0)</f>
        <v>2</v>
      </c>
      <c r="W488" s="447">
        <f>IFERROR(__xludf.DUMMYFUNCTION("""COMPUTED_VALUE"""),0.0)</f>
        <v>0</v>
      </c>
      <c r="X488" s="447">
        <f>IFERROR(__xludf.DUMMYFUNCTION("""COMPUTED_VALUE"""),0.0)</f>
        <v>0</v>
      </c>
      <c r="Y488" s="447">
        <f>IFERROR(__xludf.DUMMYFUNCTION("""COMPUTED_VALUE"""),0.0)</f>
        <v>0</v>
      </c>
      <c r="Z488" s="447">
        <f>IFERROR(__xludf.DUMMYFUNCTION("""COMPUTED_VALUE"""),0.0)</f>
        <v>0</v>
      </c>
      <c r="AA488" s="447">
        <f>IFERROR(__xludf.DUMMYFUNCTION("""COMPUTED_VALUE"""),0.0)</f>
        <v>0</v>
      </c>
      <c r="AB488" s="447">
        <f>IFERROR(__xludf.DUMMYFUNCTION("""COMPUTED_VALUE"""),0.0)</f>
        <v>0</v>
      </c>
      <c r="AC488" s="447">
        <f>IFERROR(__xludf.DUMMYFUNCTION("""COMPUTED_VALUE"""),0.0)</f>
        <v>0</v>
      </c>
      <c r="AD488" s="447">
        <f>IFERROR(__xludf.DUMMYFUNCTION("""COMPUTED_VALUE"""),49.0)</f>
        <v>49</v>
      </c>
      <c r="AE488" s="447">
        <f>IFERROR(__xludf.DUMMYFUNCTION("""COMPUTED_VALUE"""),6.0)</f>
        <v>6</v>
      </c>
      <c r="AF488" s="447">
        <f>IFERROR(__xludf.DUMMYFUNCTION("""COMPUTED_VALUE"""),2.0)</f>
        <v>2</v>
      </c>
      <c r="AG488" s="443" t="s">
        <v>117</v>
      </c>
      <c r="AH488" s="443" t="s">
        <v>961</v>
      </c>
      <c r="AI488" s="443"/>
      <c r="AJ488" s="443"/>
      <c r="AK488" s="443"/>
      <c r="AL488" s="443"/>
      <c r="AM488" s="443"/>
      <c r="AN488" s="443"/>
      <c r="AO488" s="443"/>
      <c r="AP488" s="443"/>
      <c r="AQ488" s="443"/>
      <c r="AR488" s="443"/>
      <c r="AS488" s="443"/>
      <c r="AT488" s="443"/>
      <c r="AU488" s="443"/>
      <c r="AV488" s="443"/>
      <c r="AW488" s="443"/>
      <c r="AX488" s="443"/>
      <c r="AY488" s="443"/>
      <c r="AZ488" s="443"/>
      <c r="BA488" s="443"/>
      <c r="BB488" s="443"/>
      <c r="BC488" s="443"/>
      <c r="BD488" s="443"/>
      <c r="BE488" s="443"/>
    </row>
    <row r="489" hidden="1">
      <c r="A489" s="445">
        <f t="shared" si="5"/>
        <v>45779</v>
      </c>
      <c r="B489" s="449">
        <v>485.0</v>
      </c>
      <c r="C489" s="462">
        <v>0.6</v>
      </c>
      <c r="D489" s="462">
        <v>0.9493055555555555</v>
      </c>
      <c r="E489" s="436">
        <f t="array" ref="E489">IF(B489=0,"",(J489+K489)/60)</f>
        <v>0.75</v>
      </c>
      <c r="F489" s="437">
        <f t="shared" si="1"/>
        <v>8.383333333</v>
      </c>
      <c r="G489" s="438">
        <f t="shared" si="8"/>
        <v>57.8528827</v>
      </c>
      <c r="H489" s="438">
        <f t="shared" si="3"/>
        <v>63.5371179</v>
      </c>
      <c r="I489" s="436">
        <f t="shared" si="6"/>
        <v>1.180671076</v>
      </c>
      <c r="J489" s="460">
        <v>30.0</v>
      </c>
      <c r="K489" s="464">
        <f>8+7</f>
        <v>15</v>
      </c>
      <c r="L489" s="443"/>
      <c r="M489" s="447">
        <f>IFERROR(__xludf.DUMMYFUNCTION("""COMPUTED_VALUE"""),57.0)</f>
        <v>57</v>
      </c>
      <c r="N489" s="447">
        <f>IFERROR(__xludf.DUMMYFUNCTION("""COMPUTED_VALUE"""),55.0)</f>
        <v>55</v>
      </c>
      <c r="O489" s="447">
        <f>IFERROR(__xludf.DUMMYFUNCTION("""COMPUTED_VALUE"""),0.0)</f>
        <v>0</v>
      </c>
      <c r="P489" s="447">
        <f>IFERROR(__xludf.DUMMYFUNCTION("""COMPUTED_VALUE"""),0.0)</f>
        <v>0</v>
      </c>
      <c r="Q489" s="447">
        <f>IFERROR(__xludf.DUMMYFUNCTION("""COMPUTED_VALUE"""),0.0)</f>
        <v>0</v>
      </c>
      <c r="R489" s="447">
        <f>IFERROR(__xludf.DUMMYFUNCTION("""COMPUTED_VALUE"""),0.0)</f>
        <v>0</v>
      </c>
      <c r="S489" s="447">
        <f>IFERROR(__xludf.DUMMYFUNCTION("""COMPUTED_VALUE"""),2.0)</f>
        <v>2</v>
      </c>
      <c r="T489" s="447">
        <f>IFERROR(__xludf.DUMMYFUNCTION("""COMPUTED_VALUE"""),0.0)</f>
        <v>0</v>
      </c>
      <c r="U489" s="447">
        <f>IFERROR(__xludf.DUMMYFUNCTION("""COMPUTED_VALUE"""),2.0)</f>
        <v>2</v>
      </c>
      <c r="V489" s="447">
        <f>IFERROR(__xludf.DUMMYFUNCTION("""COMPUTED_VALUE"""),2.0)</f>
        <v>2</v>
      </c>
      <c r="W489" s="447">
        <f>IFERROR(__xludf.DUMMYFUNCTION("""COMPUTED_VALUE"""),0.0)</f>
        <v>0</v>
      </c>
      <c r="X489" s="447">
        <f>IFERROR(__xludf.DUMMYFUNCTION("""COMPUTED_VALUE"""),0.0)</f>
        <v>0</v>
      </c>
      <c r="Y489" s="447">
        <f>IFERROR(__xludf.DUMMYFUNCTION("""COMPUTED_VALUE"""),0.0)</f>
        <v>0</v>
      </c>
      <c r="Z489" s="447">
        <f>IFERROR(__xludf.DUMMYFUNCTION("""COMPUTED_VALUE"""),0.0)</f>
        <v>0</v>
      </c>
      <c r="AA489" s="447">
        <f>IFERROR(__xludf.DUMMYFUNCTION("""COMPUTED_VALUE"""),0.0)</f>
        <v>0</v>
      </c>
      <c r="AB489" s="447">
        <f>IFERROR(__xludf.DUMMYFUNCTION("""COMPUTED_VALUE"""),0.0)</f>
        <v>0</v>
      </c>
      <c r="AC489" s="447">
        <f>IFERROR(__xludf.DUMMYFUNCTION("""COMPUTED_VALUE"""),0.0)</f>
        <v>0</v>
      </c>
      <c r="AD489" s="447">
        <f>IFERROR(__xludf.DUMMYFUNCTION("""COMPUTED_VALUE"""),49.0)</f>
        <v>49</v>
      </c>
      <c r="AE489" s="447">
        <f>IFERROR(__xludf.DUMMYFUNCTION("""COMPUTED_VALUE"""),6.0)</f>
        <v>6</v>
      </c>
      <c r="AF489" s="447">
        <f>IFERROR(__xludf.DUMMYFUNCTION("""COMPUTED_VALUE"""),2.0)</f>
        <v>2</v>
      </c>
      <c r="AG489" s="443" t="s">
        <v>117</v>
      </c>
      <c r="AH489" s="443" t="s">
        <v>961</v>
      </c>
      <c r="AI489" s="443"/>
      <c r="AJ489" s="443"/>
      <c r="AK489" s="443"/>
      <c r="AL489" s="443"/>
      <c r="AM489" s="443"/>
      <c r="AN489" s="443"/>
      <c r="AO489" s="443"/>
      <c r="AP489" s="443"/>
      <c r="AQ489" s="443"/>
      <c r="AR489" s="443"/>
      <c r="AS489" s="443"/>
      <c r="AT489" s="443"/>
      <c r="AU489" s="443"/>
      <c r="AV489" s="443"/>
      <c r="AW489" s="443"/>
      <c r="AX489" s="443"/>
      <c r="AY489" s="443"/>
      <c r="AZ489" s="443"/>
      <c r="BA489" s="443"/>
      <c r="BB489" s="443"/>
      <c r="BC489" s="443"/>
      <c r="BD489" s="443"/>
      <c r="BE489" s="443"/>
    </row>
    <row r="490" hidden="1">
      <c r="A490" s="445">
        <f t="shared" si="5"/>
        <v>45780</v>
      </c>
      <c r="B490" s="449">
        <v>316.0</v>
      </c>
      <c r="C490" s="462">
        <v>0.6416666666666667</v>
      </c>
      <c r="D490" s="462">
        <v>0.8923611111111112</v>
      </c>
      <c r="E490" s="436">
        <f t="array" ref="E490">IF(B490=0,"",(J490+K490)/60)</f>
        <v>1.4</v>
      </c>
      <c r="F490" s="437">
        <f t="shared" si="1"/>
        <v>6.016666667</v>
      </c>
      <c r="G490" s="438">
        <f t="shared" si="8"/>
        <v>52.52077562</v>
      </c>
      <c r="H490" s="438">
        <f t="shared" si="3"/>
        <v>68.44765343</v>
      </c>
      <c r="I490" s="436">
        <f t="shared" si="6"/>
        <v>1.167128347</v>
      </c>
      <c r="J490" s="460">
        <v>0.0</v>
      </c>
      <c r="K490" s="464">
        <f>70+14</f>
        <v>84</v>
      </c>
      <c r="L490" s="443"/>
      <c r="M490" s="447">
        <f>IFERROR(__xludf.DUMMYFUNCTION("""COMPUTED_VALUE"""),57.0)</f>
        <v>57</v>
      </c>
      <c r="N490" s="447">
        <f>IFERROR(__xludf.DUMMYFUNCTION("""COMPUTED_VALUE"""),55.0)</f>
        <v>55</v>
      </c>
      <c r="O490" s="447">
        <f>IFERROR(__xludf.DUMMYFUNCTION("""COMPUTED_VALUE"""),0.0)</f>
        <v>0</v>
      </c>
      <c r="P490" s="447">
        <f>IFERROR(__xludf.DUMMYFUNCTION("""COMPUTED_VALUE"""),0.0)</f>
        <v>0</v>
      </c>
      <c r="Q490" s="447">
        <f>IFERROR(__xludf.DUMMYFUNCTION("""COMPUTED_VALUE"""),2.0)</f>
        <v>2</v>
      </c>
      <c r="R490" s="447">
        <f>IFERROR(__xludf.DUMMYFUNCTION("""COMPUTED_VALUE"""),0.0)</f>
        <v>0</v>
      </c>
      <c r="S490" s="447">
        <f>IFERROR(__xludf.DUMMYFUNCTION("""COMPUTED_VALUE"""),3.0)</f>
        <v>3</v>
      </c>
      <c r="T490" s="447">
        <f>IFERROR(__xludf.DUMMYFUNCTION("""COMPUTED_VALUE"""),0.0)</f>
        <v>0</v>
      </c>
      <c r="U490" s="447">
        <f>IFERROR(__xludf.DUMMYFUNCTION("""COMPUTED_VALUE"""),2.0)</f>
        <v>2</v>
      </c>
      <c r="V490" s="447">
        <f>IFERROR(__xludf.DUMMYFUNCTION("""COMPUTED_VALUE"""),2.0)</f>
        <v>2</v>
      </c>
      <c r="W490" s="447">
        <f>IFERROR(__xludf.DUMMYFUNCTION("""COMPUTED_VALUE"""),0.0)</f>
        <v>0</v>
      </c>
      <c r="X490" s="447">
        <f>IFERROR(__xludf.DUMMYFUNCTION("""COMPUTED_VALUE"""),0.0)</f>
        <v>0</v>
      </c>
      <c r="Y490" s="447">
        <f>IFERROR(__xludf.DUMMYFUNCTION("""COMPUTED_VALUE"""),0.0)</f>
        <v>0</v>
      </c>
      <c r="Z490" s="447">
        <f>IFERROR(__xludf.DUMMYFUNCTION("""COMPUTED_VALUE"""),0.0)</f>
        <v>0</v>
      </c>
      <c r="AA490" s="447">
        <f>IFERROR(__xludf.DUMMYFUNCTION("""COMPUTED_VALUE"""),0.0)</f>
        <v>0</v>
      </c>
      <c r="AB490" s="447">
        <f>IFERROR(__xludf.DUMMYFUNCTION("""COMPUTED_VALUE"""),0.0)</f>
        <v>0</v>
      </c>
      <c r="AC490" s="447">
        <f>IFERROR(__xludf.DUMMYFUNCTION("""COMPUTED_VALUE"""),1.0)</f>
        <v>1</v>
      </c>
      <c r="AD490" s="447">
        <f>IFERROR(__xludf.DUMMYFUNCTION("""COMPUTED_VALUE"""),45.0)</f>
        <v>45</v>
      </c>
      <c r="AE490" s="447">
        <f>IFERROR(__xludf.DUMMYFUNCTION("""COMPUTED_VALUE"""),10.0)</f>
        <v>10</v>
      </c>
      <c r="AF490" s="447">
        <f>IFERROR(__xludf.DUMMYFUNCTION("""COMPUTED_VALUE"""),2.0)</f>
        <v>2</v>
      </c>
      <c r="AG490" s="443" t="s">
        <v>117</v>
      </c>
      <c r="AH490" s="443" t="s">
        <v>961</v>
      </c>
      <c r="AI490" s="443"/>
      <c r="AJ490" s="443"/>
      <c r="AK490" s="443"/>
      <c r="AL490" s="443"/>
      <c r="AM490" s="443"/>
      <c r="AN490" s="443"/>
      <c r="AO490" s="443"/>
      <c r="AP490" s="443"/>
      <c r="AQ490" s="443"/>
      <c r="AR490" s="443"/>
      <c r="AS490" s="443"/>
      <c r="AT490" s="443"/>
      <c r="AU490" s="443"/>
      <c r="AV490" s="443"/>
      <c r="AW490" s="443"/>
      <c r="AX490" s="443"/>
      <c r="AY490" s="443"/>
      <c r="AZ490" s="443"/>
      <c r="BA490" s="443"/>
      <c r="BB490" s="443"/>
      <c r="BC490" s="443"/>
      <c r="BD490" s="443"/>
      <c r="BE490" s="443"/>
    </row>
    <row r="491" hidden="1">
      <c r="A491" s="445">
        <f t="shared" si="5"/>
        <v>45781</v>
      </c>
      <c r="B491" s="449">
        <v>0.0</v>
      </c>
      <c r="C491" s="443"/>
      <c r="D491" s="462"/>
      <c r="E491" s="436" t="str">
        <f t="array" ref="E491">IF(B491=0,"",(J491+K491)/60)</f>
        <v/>
      </c>
      <c r="F491" s="437" t="str">
        <f t="shared" si="1"/>
        <v/>
      </c>
      <c r="G491" s="438" t="str">
        <f t="shared" si="8"/>
        <v>#DIV/0!</v>
      </c>
      <c r="H491" s="438" t="str">
        <f t="shared" si="3"/>
        <v/>
      </c>
      <c r="I491" s="436" t="str">
        <f t="shared" si="6"/>
        <v/>
      </c>
      <c r="J491" s="464"/>
      <c r="K491" s="460"/>
      <c r="L491" s="443"/>
      <c r="M491" s="447">
        <f>IFERROR(__xludf.DUMMYFUNCTION("""COMPUTED_VALUE"""),57.0)</f>
        <v>57</v>
      </c>
      <c r="N491" s="447">
        <f>IFERROR(__xludf.DUMMYFUNCTION("""COMPUTED_VALUE"""),57.0)</f>
        <v>57</v>
      </c>
      <c r="O491" s="447">
        <f>IFERROR(__xludf.DUMMYFUNCTION("""COMPUTED_VALUE"""),0.0)</f>
        <v>0</v>
      </c>
      <c r="P491" s="447">
        <f>IFERROR(__xludf.DUMMYFUNCTION("""COMPUTED_VALUE"""),0.0)</f>
        <v>0</v>
      </c>
      <c r="Q491" s="447">
        <f>IFERROR(__xludf.DUMMYFUNCTION("""COMPUTED_VALUE"""),0.0)</f>
        <v>0</v>
      </c>
      <c r="R491" s="447">
        <f>IFERROR(__xludf.DUMMYFUNCTION("""COMPUTED_VALUE"""),0.0)</f>
        <v>0</v>
      </c>
      <c r="S491" s="447">
        <f>IFERROR(__xludf.DUMMYFUNCTION("""COMPUTED_VALUE"""),0.0)</f>
        <v>0</v>
      </c>
      <c r="T491" s="447">
        <f>IFERROR(__xludf.DUMMYFUNCTION("""COMPUTED_VALUE"""),0.0)</f>
        <v>0</v>
      </c>
      <c r="U491" s="447">
        <f>IFERROR(__xludf.DUMMYFUNCTION("""COMPUTED_VALUE"""),0.0)</f>
        <v>0</v>
      </c>
      <c r="V491" s="447">
        <f>IFERROR(__xludf.DUMMYFUNCTION("""COMPUTED_VALUE"""),0.0)</f>
        <v>0</v>
      </c>
      <c r="W491" s="447">
        <f>IFERROR(__xludf.DUMMYFUNCTION("""COMPUTED_VALUE"""),0.0)</f>
        <v>0</v>
      </c>
      <c r="X491" s="447">
        <f>IFERROR(__xludf.DUMMYFUNCTION("""COMPUTED_VALUE"""),0.0)</f>
        <v>0</v>
      </c>
      <c r="Y491" s="447">
        <f>IFERROR(__xludf.DUMMYFUNCTION("""COMPUTED_VALUE"""),0.0)</f>
        <v>0</v>
      </c>
      <c r="Z491" s="447">
        <f>IFERROR(__xludf.DUMMYFUNCTION("""COMPUTED_VALUE"""),0.0)</f>
        <v>0</v>
      </c>
      <c r="AA491" s="447">
        <f>IFERROR(__xludf.DUMMYFUNCTION("""COMPUTED_VALUE"""),0.0)</f>
        <v>0</v>
      </c>
      <c r="AB491" s="447">
        <f>IFERROR(__xludf.DUMMYFUNCTION("""COMPUTED_VALUE"""),0.0)</f>
        <v>0</v>
      </c>
      <c r="AC491" s="447">
        <f>IFERROR(__xludf.DUMMYFUNCTION("""COMPUTED_VALUE"""),0.0)</f>
        <v>0</v>
      </c>
      <c r="AD491" s="447">
        <f>IFERROR(__xludf.DUMMYFUNCTION("""COMPUTED_VALUE"""),0.0)</f>
        <v>0</v>
      </c>
      <c r="AE491" s="447">
        <f>IFERROR(__xludf.DUMMYFUNCTION("""COMPUTED_VALUE"""),0.0)</f>
        <v>0</v>
      </c>
      <c r="AF491" s="447">
        <f>IFERROR(__xludf.DUMMYFUNCTION("""COMPUTED_VALUE"""),0.0)</f>
        <v>0</v>
      </c>
      <c r="AG491" s="443" t="s">
        <v>117</v>
      </c>
      <c r="AH491" s="443" t="s">
        <v>961</v>
      </c>
      <c r="AI491" s="443"/>
      <c r="AJ491" s="443"/>
      <c r="AK491" s="443"/>
      <c r="AL491" s="443"/>
      <c r="AM491" s="443"/>
      <c r="AN491" s="443"/>
      <c r="AO491" s="443"/>
      <c r="AP491" s="443"/>
      <c r="AQ491" s="443"/>
      <c r="AR491" s="443"/>
      <c r="AS491" s="443"/>
      <c r="AT491" s="443"/>
      <c r="AU491" s="443"/>
      <c r="AV491" s="443"/>
      <c r="AW491" s="443"/>
      <c r="AX491" s="443"/>
      <c r="AY491" s="443"/>
      <c r="AZ491" s="443"/>
      <c r="BA491" s="443"/>
      <c r="BB491" s="443"/>
      <c r="BC491" s="443"/>
      <c r="BD491" s="443"/>
      <c r="BE491" s="443"/>
    </row>
    <row r="492" hidden="1">
      <c r="A492" s="445">
        <f t="shared" si="5"/>
        <v>45782</v>
      </c>
      <c r="B492" s="449">
        <v>631.0</v>
      </c>
      <c r="C492" s="462">
        <v>0.6</v>
      </c>
      <c r="D492" s="462">
        <v>1.0534722222222221</v>
      </c>
      <c r="E492" s="436">
        <f t="array" ref="E492">IF(B492=0,"",(J492+K492)/60)</f>
        <v>1.166666667</v>
      </c>
      <c r="F492" s="437">
        <f t="shared" si="1"/>
        <v>10.88333333</v>
      </c>
      <c r="G492" s="438">
        <f t="shared" si="8"/>
        <v>57.97856049</v>
      </c>
      <c r="H492" s="438">
        <f t="shared" si="3"/>
        <v>64.93996569</v>
      </c>
      <c r="I492" s="436">
        <f t="shared" si="6"/>
        <v>1.183235928</v>
      </c>
      <c r="J492" s="460">
        <v>60.0</v>
      </c>
      <c r="K492" s="464">
        <f>10</f>
        <v>10</v>
      </c>
      <c r="L492" s="443"/>
      <c r="M492" s="447">
        <f>IFERROR(__xludf.DUMMYFUNCTION("""COMPUTED_VALUE"""),57.0)</f>
        <v>57</v>
      </c>
      <c r="N492" s="447">
        <f>IFERROR(__xludf.DUMMYFUNCTION("""COMPUTED_VALUE"""),55.0)</f>
        <v>55</v>
      </c>
      <c r="O492" s="447">
        <f>IFERROR(__xludf.DUMMYFUNCTION("""COMPUTED_VALUE"""),0.0)</f>
        <v>0</v>
      </c>
      <c r="P492" s="447">
        <f>IFERROR(__xludf.DUMMYFUNCTION("""COMPUTED_VALUE"""),0.0)</f>
        <v>0</v>
      </c>
      <c r="Q492" s="447">
        <f>IFERROR(__xludf.DUMMYFUNCTION("""COMPUTED_VALUE"""),1.0)</f>
        <v>1</v>
      </c>
      <c r="R492" s="447">
        <f>IFERROR(__xludf.DUMMYFUNCTION("""COMPUTED_VALUE"""),0.0)</f>
        <v>0</v>
      </c>
      <c r="S492" s="447">
        <f>IFERROR(__xludf.DUMMYFUNCTION("""COMPUTED_VALUE"""),1.0)</f>
        <v>1</v>
      </c>
      <c r="T492" s="447">
        <f>IFERROR(__xludf.DUMMYFUNCTION("""COMPUTED_VALUE"""),0.0)</f>
        <v>0</v>
      </c>
      <c r="U492" s="447">
        <f>IFERROR(__xludf.DUMMYFUNCTION("""COMPUTED_VALUE"""),2.0)</f>
        <v>2</v>
      </c>
      <c r="V492" s="447">
        <f>IFERROR(__xludf.DUMMYFUNCTION("""COMPUTED_VALUE"""),2.0)</f>
        <v>2</v>
      </c>
      <c r="W492" s="447">
        <f>IFERROR(__xludf.DUMMYFUNCTION("""COMPUTED_VALUE"""),0.0)</f>
        <v>0</v>
      </c>
      <c r="X492" s="447">
        <f>IFERROR(__xludf.DUMMYFUNCTION("""COMPUTED_VALUE"""),0.0)</f>
        <v>0</v>
      </c>
      <c r="Y492" s="447">
        <f>IFERROR(__xludf.DUMMYFUNCTION("""COMPUTED_VALUE"""),0.0)</f>
        <v>0</v>
      </c>
      <c r="Z492" s="447">
        <f>IFERROR(__xludf.DUMMYFUNCTION("""COMPUTED_VALUE"""),0.0)</f>
        <v>0</v>
      </c>
      <c r="AA492" s="447">
        <f>IFERROR(__xludf.DUMMYFUNCTION("""COMPUTED_VALUE"""),0.0)</f>
        <v>0</v>
      </c>
      <c r="AB492" s="447">
        <f>IFERROR(__xludf.DUMMYFUNCTION("""COMPUTED_VALUE"""),0.0)</f>
        <v>0</v>
      </c>
      <c r="AC492" s="447">
        <f>IFERROR(__xludf.DUMMYFUNCTION("""COMPUTED_VALUE"""),0.0)</f>
        <v>0</v>
      </c>
      <c r="AD492" s="447">
        <f>IFERROR(__xludf.DUMMYFUNCTION("""COMPUTED_VALUE"""),49.0)</f>
        <v>49</v>
      </c>
      <c r="AE492" s="447">
        <f>IFERROR(__xludf.DUMMYFUNCTION("""COMPUTED_VALUE"""),6.0)</f>
        <v>6</v>
      </c>
      <c r="AF492" s="447">
        <f>IFERROR(__xludf.DUMMYFUNCTION("""COMPUTED_VALUE"""),2.0)</f>
        <v>2</v>
      </c>
      <c r="AG492" s="443" t="s">
        <v>117</v>
      </c>
      <c r="AH492" s="443" t="s">
        <v>961</v>
      </c>
      <c r="AI492" s="443"/>
      <c r="AJ492" s="443"/>
      <c r="AK492" s="443"/>
      <c r="AL492" s="443"/>
      <c r="AM492" s="443"/>
      <c r="AN492" s="443"/>
      <c r="AO492" s="443"/>
      <c r="AP492" s="443"/>
      <c r="AQ492" s="443"/>
      <c r="AR492" s="443"/>
      <c r="AS492" s="443"/>
      <c r="AT492" s="443"/>
      <c r="AU492" s="443"/>
      <c r="AV492" s="443"/>
      <c r="AW492" s="443"/>
      <c r="AX492" s="443"/>
      <c r="AY492" s="443"/>
      <c r="AZ492" s="443"/>
      <c r="BA492" s="443"/>
      <c r="BB492" s="443"/>
      <c r="BC492" s="443"/>
      <c r="BD492" s="443"/>
      <c r="BE492" s="443"/>
    </row>
    <row r="493" hidden="1">
      <c r="A493" s="445">
        <f t="shared" si="5"/>
        <v>45783</v>
      </c>
      <c r="B493" s="449">
        <v>383.0</v>
      </c>
      <c r="C493" s="462">
        <v>0.6416666666666667</v>
      </c>
      <c r="D493" s="462">
        <v>0.9458333333333333</v>
      </c>
      <c r="E493" s="436">
        <f t="array" ref="E493">IF(B493=0,"",(J493+K493)/60)</f>
        <v>0.85</v>
      </c>
      <c r="F493" s="437">
        <f t="shared" si="1"/>
        <v>7.3</v>
      </c>
      <c r="G493" s="438">
        <f t="shared" si="8"/>
        <v>52.46575342</v>
      </c>
      <c r="H493" s="438">
        <f t="shared" si="3"/>
        <v>59.37984496</v>
      </c>
      <c r="I493" s="436">
        <f t="shared" si="6"/>
        <v>1.09303653</v>
      </c>
      <c r="J493" s="460">
        <v>30.0</v>
      </c>
      <c r="K493" s="464">
        <f>7+4+10</f>
        <v>21</v>
      </c>
      <c r="L493" s="443"/>
      <c r="M493" s="447">
        <f>IFERROR(__xludf.DUMMYFUNCTION("""COMPUTED_VALUE"""),57.0)</f>
        <v>57</v>
      </c>
      <c r="N493" s="447">
        <f>IFERROR(__xludf.DUMMYFUNCTION("""COMPUTED_VALUE"""),55.0)</f>
        <v>55</v>
      </c>
      <c r="O493" s="447">
        <f>IFERROR(__xludf.DUMMYFUNCTION("""COMPUTED_VALUE"""),0.0)</f>
        <v>0</v>
      </c>
      <c r="P493" s="447">
        <f>IFERROR(__xludf.DUMMYFUNCTION("""COMPUTED_VALUE"""),0.0)</f>
        <v>0</v>
      </c>
      <c r="Q493" s="447">
        <f>IFERROR(__xludf.DUMMYFUNCTION("""COMPUTED_VALUE"""),0.0)</f>
        <v>0</v>
      </c>
      <c r="R493" s="447">
        <f>IFERROR(__xludf.DUMMYFUNCTION("""COMPUTED_VALUE"""),0.0)</f>
        <v>0</v>
      </c>
      <c r="S493" s="447">
        <f>IFERROR(__xludf.DUMMYFUNCTION("""COMPUTED_VALUE"""),2.0)</f>
        <v>2</v>
      </c>
      <c r="T493" s="447">
        <f>IFERROR(__xludf.DUMMYFUNCTION("""COMPUTED_VALUE"""),0.0)</f>
        <v>0</v>
      </c>
      <c r="U493" s="447">
        <f>IFERROR(__xludf.DUMMYFUNCTION("""COMPUTED_VALUE"""),2.0)</f>
        <v>2</v>
      </c>
      <c r="V493" s="447">
        <f>IFERROR(__xludf.DUMMYFUNCTION("""COMPUTED_VALUE"""),2.0)</f>
        <v>2</v>
      </c>
      <c r="W493" s="447">
        <f>IFERROR(__xludf.DUMMYFUNCTION("""COMPUTED_VALUE"""),0.0)</f>
        <v>0</v>
      </c>
      <c r="X493" s="447">
        <f>IFERROR(__xludf.DUMMYFUNCTION("""COMPUTED_VALUE"""),0.0)</f>
        <v>0</v>
      </c>
      <c r="Y493" s="447">
        <f>IFERROR(__xludf.DUMMYFUNCTION("""COMPUTED_VALUE"""),0.0)</f>
        <v>0</v>
      </c>
      <c r="Z493" s="447">
        <f>IFERROR(__xludf.DUMMYFUNCTION("""COMPUTED_VALUE"""),1.0)</f>
        <v>1</v>
      </c>
      <c r="AA493" s="447">
        <f>IFERROR(__xludf.DUMMYFUNCTION("""COMPUTED_VALUE"""),0.0)</f>
        <v>0</v>
      </c>
      <c r="AB493" s="447">
        <f>IFERROR(__xludf.DUMMYFUNCTION("""COMPUTED_VALUE"""),0.0)</f>
        <v>0</v>
      </c>
      <c r="AC493" s="447">
        <f>IFERROR(__xludf.DUMMYFUNCTION("""COMPUTED_VALUE"""),0.0)</f>
        <v>0</v>
      </c>
      <c r="AD493" s="447">
        <f>IFERROR(__xludf.DUMMYFUNCTION("""COMPUTED_VALUE"""),48.0)</f>
        <v>48</v>
      </c>
      <c r="AE493" s="447">
        <f>IFERROR(__xludf.DUMMYFUNCTION("""COMPUTED_VALUE"""),7.0)</f>
        <v>7</v>
      </c>
      <c r="AF493" s="447">
        <f>IFERROR(__xludf.DUMMYFUNCTION("""COMPUTED_VALUE"""),2.0)</f>
        <v>2</v>
      </c>
      <c r="AG493" s="443" t="s">
        <v>117</v>
      </c>
      <c r="AH493" s="443" t="s">
        <v>961</v>
      </c>
      <c r="AI493" s="443"/>
      <c r="AJ493" s="443"/>
      <c r="AK493" s="443"/>
      <c r="AL493" s="443"/>
      <c r="AM493" s="443"/>
      <c r="AN493" s="443"/>
      <c r="AO493" s="443"/>
      <c r="AP493" s="443"/>
      <c r="AQ493" s="443"/>
      <c r="AR493" s="443"/>
      <c r="AS493" s="443"/>
      <c r="AT493" s="443"/>
      <c r="AU493" s="443"/>
      <c r="AV493" s="443"/>
      <c r="AW493" s="443"/>
      <c r="AX493" s="443"/>
      <c r="AY493" s="443"/>
      <c r="AZ493" s="443"/>
      <c r="BA493" s="443"/>
      <c r="BB493" s="443"/>
      <c r="BC493" s="443"/>
      <c r="BD493" s="443"/>
      <c r="BE493" s="443"/>
    </row>
    <row r="494" hidden="1">
      <c r="A494" s="445">
        <f t="shared" si="5"/>
        <v>45784</v>
      </c>
      <c r="B494" s="449">
        <v>431.0</v>
      </c>
      <c r="C494" s="462">
        <v>0.6416666666666667</v>
      </c>
      <c r="D494" s="462">
        <v>0.9631944444444445</v>
      </c>
      <c r="E494" s="436">
        <f t="array" ref="E494">IF(B494=0,"",(J494+K494)/60)</f>
        <v>1.016666667</v>
      </c>
      <c r="F494" s="437">
        <f t="shared" si="1"/>
        <v>7.716666667</v>
      </c>
      <c r="G494" s="438">
        <f t="shared" si="8"/>
        <v>55.85313175</v>
      </c>
      <c r="H494" s="438">
        <f t="shared" si="3"/>
        <v>64.32835821</v>
      </c>
      <c r="I494" s="436">
        <f t="shared" si="6"/>
        <v>1.139859832</v>
      </c>
      <c r="J494" s="460">
        <v>30.0</v>
      </c>
      <c r="K494" s="464">
        <f>13+5+13</f>
        <v>31</v>
      </c>
      <c r="L494" s="443"/>
      <c r="M494" s="447">
        <f>IFERROR(__xludf.DUMMYFUNCTION("""COMPUTED_VALUE"""),57.0)</f>
        <v>57</v>
      </c>
      <c r="N494" s="447">
        <f>IFERROR(__xludf.DUMMYFUNCTION("""COMPUTED_VALUE"""),55.0)</f>
        <v>55</v>
      </c>
      <c r="O494" s="447">
        <f>IFERROR(__xludf.DUMMYFUNCTION("""COMPUTED_VALUE"""),0.0)</f>
        <v>0</v>
      </c>
      <c r="P494" s="447">
        <f>IFERROR(__xludf.DUMMYFUNCTION("""COMPUTED_VALUE"""),0.0)</f>
        <v>0</v>
      </c>
      <c r="Q494" s="447">
        <f>IFERROR(__xludf.DUMMYFUNCTION("""COMPUTED_VALUE"""),0.0)</f>
        <v>0</v>
      </c>
      <c r="R494" s="447">
        <f>IFERROR(__xludf.DUMMYFUNCTION("""COMPUTED_VALUE"""),0.0)</f>
        <v>0</v>
      </c>
      <c r="S494" s="447">
        <f>IFERROR(__xludf.DUMMYFUNCTION("""COMPUTED_VALUE"""),2.0)</f>
        <v>2</v>
      </c>
      <c r="T494" s="447">
        <f>IFERROR(__xludf.DUMMYFUNCTION("""COMPUTED_VALUE"""),0.0)</f>
        <v>0</v>
      </c>
      <c r="U494" s="447">
        <f>IFERROR(__xludf.DUMMYFUNCTION("""COMPUTED_VALUE"""),2.0)</f>
        <v>2</v>
      </c>
      <c r="V494" s="447">
        <f>IFERROR(__xludf.DUMMYFUNCTION("""COMPUTED_VALUE"""),2.0)</f>
        <v>2</v>
      </c>
      <c r="W494" s="447">
        <f>IFERROR(__xludf.DUMMYFUNCTION("""COMPUTED_VALUE"""),0.0)</f>
        <v>0</v>
      </c>
      <c r="X494" s="447">
        <f>IFERROR(__xludf.DUMMYFUNCTION("""COMPUTED_VALUE"""),0.0)</f>
        <v>0</v>
      </c>
      <c r="Y494" s="447">
        <f>IFERROR(__xludf.DUMMYFUNCTION("""COMPUTED_VALUE"""),0.0)</f>
        <v>0</v>
      </c>
      <c r="Z494" s="447">
        <f>IFERROR(__xludf.DUMMYFUNCTION("""COMPUTED_VALUE"""),0.0)</f>
        <v>0</v>
      </c>
      <c r="AA494" s="447">
        <f>IFERROR(__xludf.DUMMYFUNCTION("""COMPUTED_VALUE"""),0.0)</f>
        <v>0</v>
      </c>
      <c r="AB494" s="447">
        <f>IFERROR(__xludf.DUMMYFUNCTION("""COMPUTED_VALUE"""),0.0)</f>
        <v>0</v>
      </c>
      <c r="AC494" s="447">
        <f>IFERROR(__xludf.DUMMYFUNCTION("""COMPUTED_VALUE"""),0.0)</f>
        <v>0</v>
      </c>
      <c r="AD494" s="447">
        <f>IFERROR(__xludf.DUMMYFUNCTION("""COMPUTED_VALUE"""),49.0)</f>
        <v>49</v>
      </c>
      <c r="AE494" s="447">
        <f>IFERROR(__xludf.DUMMYFUNCTION("""COMPUTED_VALUE"""),6.0)</f>
        <v>6</v>
      </c>
      <c r="AF494" s="447">
        <f>IFERROR(__xludf.DUMMYFUNCTION("""COMPUTED_VALUE"""),2.0)</f>
        <v>2</v>
      </c>
      <c r="AG494" s="443" t="s">
        <v>117</v>
      </c>
      <c r="AH494" s="443" t="s">
        <v>961</v>
      </c>
      <c r="AI494" s="443"/>
      <c r="AJ494" s="443"/>
      <c r="AK494" s="443"/>
      <c r="AL494" s="443"/>
      <c r="AM494" s="443"/>
      <c r="AN494" s="443"/>
      <c r="AO494" s="443"/>
      <c r="AP494" s="443"/>
      <c r="AQ494" s="443"/>
      <c r="AR494" s="443"/>
      <c r="AS494" s="443"/>
      <c r="AT494" s="443"/>
      <c r="AU494" s="443"/>
      <c r="AV494" s="443"/>
      <c r="AW494" s="443"/>
      <c r="AX494" s="443"/>
      <c r="AY494" s="443"/>
      <c r="AZ494" s="443"/>
      <c r="BA494" s="443"/>
      <c r="BB494" s="443"/>
      <c r="BC494" s="443"/>
      <c r="BD494" s="443"/>
      <c r="BE494" s="443"/>
    </row>
    <row r="495" hidden="1">
      <c r="A495" s="445">
        <f t="shared" si="5"/>
        <v>45785</v>
      </c>
      <c r="B495" s="449">
        <v>564.0</v>
      </c>
      <c r="C495" s="462">
        <v>0.6</v>
      </c>
      <c r="D495" s="462">
        <v>1.0180555555555555</v>
      </c>
      <c r="E495" s="436">
        <f t="array" ref="E495">IF(B495=0,"",(J495+K495)/60)</f>
        <v>1.466666667</v>
      </c>
      <c r="F495" s="437">
        <f t="shared" si="1"/>
        <v>10.03333333</v>
      </c>
      <c r="G495" s="438">
        <f t="shared" si="8"/>
        <v>56.21262458</v>
      </c>
      <c r="H495" s="438">
        <f t="shared" si="3"/>
        <v>65.83657588</v>
      </c>
      <c r="I495" s="436">
        <f t="shared" si="6"/>
        <v>1.171096346</v>
      </c>
      <c r="J495" s="460">
        <v>60.0</v>
      </c>
      <c r="K495" s="464">
        <f>10+8+10</f>
        <v>28</v>
      </c>
      <c r="L495" s="443"/>
      <c r="M495" s="447">
        <f>IFERROR(__xludf.DUMMYFUNCTION("""COMPUTED_VALUE"""),57.0)</f>
        <v>57</v>
      </c>
      <c r="N495" s="447">
        <f>IFERROR(__xludf.DUMMYFUNCTION("""COMPUTED_VALUE"""),55.0)</f>
        <v>55</v>
      </c>
      <c r="O495" s="447">
        <f>IFERROR(__xludf.DUMMYFUNCTION("""COMPUTED_VALUE"""),0.0)</f>
        <v>0</v>
      </c>
      <c r="P495" s="447">
        <f>IFERROR(__xludf.DUMMYFUNCTION("""COMPUTED_VALUE"""),0.0)</f>
        <v>0</v>
      </c>
      <c r="Q495" s="447">
        <f>IFERROR(__xludf.DUMMYFUNCTION("""COMPUTED_VALUE"""),0.0)</f>
        <v>0</v>
      </c>
      <c r="R495" s="447">
        <f>IFERROR(__xludf.DUMMYFUNCTION("""COMPUTED_VALUE"""),1.0)</f>
        <v>1</v>
      </c>
      <c r="S495" s="447">
        <f>IFERROR(__xludf.DUMMYFUNCTION("""COMPUTED_VALUE"""),2.0)</f>
        <v>2</v>
      </c>
      <c r="T495" s="447">
        <f>IFERROR(__xludf.DUMMYFUNCTION("""COMPUTED_VALUE"""),0.0)</f>
        <v>0</v>
      </c>
      <c r="U495" s="447">
        <f>IFERROR(__xludf.DUMMYFUNCTION("""COMPUTED_VALUE"""),2.0)</f>
        <v>2</v>
      </c>
      <c r="V495" s="447">
        <f>IFERROR(__xludf.DUMMYFUNCTION("""COMPUTED_VALUE"""),2.0)</f>
        <v>2</v>
      </c>
      <c r="W495" s="447">
        <f>IFERROR(__xludf.DUMMYFUNCTION("""COMPUTED_VALUE"""),0.0)</f>
        <v>0</v>
      </c>
      <c r="X495" s="447">
        <f>IFERROR(__xludf.DUMMYFUNCTION("""COMPUTED_VALUE"""),0.0)</f>
        <v>0</v>
      </c>
      <c r="Y495" s="447">
        <f>IFERROR(__xludf.DUMMYFUNCTION("""COMPUTED_VALUE"""),0.0)</f>
        <v>0</v>
      </c>
      <c r="Z495" s="447">
        <f>IFERROR(__xludf.DUMMYFUNCTION("""COMPUTED_VALUE"""),0.0)</f>
        <v>0</v>
      </c>
      <c r="AA495" s="447">
        <f>IFERROR(__xludf.DUMMYFUNCTION("""COMPUTED_VALUE"""),0.0)</f>
        <v>0</v>
      </c>
      <c r="AB495" s="447">
        <f>IFERROR(__xludf.DUMMYFUNCTION("""COMPUTED_VALUE"""),0.0)</f>
        <v>0</v>
      </c>
      <c r="AC495" s="447">
        <f>IFERROR(__xludf.DUMMYFUNCTION("""COMPUTED_VALUE"""),0.0)</f>
        <v>0</v>
      </c>
      <c r="AD495" s="447">
        <f>IFERROR(__xludf.DUMMYFUNCTION("""COMPUTED_VALUE"""),48.0)</f>
        <v>48</v>
      </c>
      <c r="AE495" s="447">
        <f>IFERROR(__xludf.DUMMYFUNCTION("""COMPUTED_VALUE"""),6.0)</f>
        <v>6</v>
      </c>
      <c r="AF495" s="447">
        <f>IFERROR(__xludf.DUMMYFUNCTION("""COMPUTED_VALUE"""),2.0)</f>
        <v>2</v>
      </c>
      <c r="AG495" s="443" t="s">
        <v>117</v>
      </c>
      <c r="AH495" s="443" t="s">
        <v>961</v>
      </c>
      <c r="AI495" s="443"/>
      <c r="AJ495" s="443"/>
      <c r="AK495" s="443"/>
      <c r="AL495" s="443"/>
      <c r="AM495" s="443"/>
      <c r="AN495" s="443"/>
      <c r="AO495" s="443"/>
      <c r="AP495" s="443"/>
      <c r="AQ495" s="443"/>
      <c r="AR495" s="443"/>
      <c r="AS495" s="443"/>
      <c r="AT495" s="443"/>
      <c r="AU495" s="443"/>
      <c r="AV495" s="443"/>
      <c r="AW495" s="443"/>
      <c r="AX495" s="443"/>
      <c r="AY495" s="443"/>
      <c r="AZ495" s="443"/>
      <c r="BA495" s="443"/>
      <c r="BB495" s="443"/>
      <c r="BC495" s="443"/>
      <c r="BD495" s="443"/>
      <c r="BE495" s="443"/>
    </row>
    <row r="496" hidden="1">
      <c r="A496" s="445">
        <f t="shared" si="5"/>
        <v>45786</v>
      </c>
      <c r="B496" s="449">
        <v>555.0</v>
      </c>
      <c r="C496" s="462">
        <v>0.6</v>
      </c>
      <c r="D496" s="462">
        <v>1.0208333333333333</v>
      </c>
      <c r="E496" s="436">
        <f t="array" ref="E496">IF(B496=0,"",(J496+K496)/60)</f>
        <v>1.9</v>
      </c>
      <c r="F496" s="437">
        <f t="shared" si="1"/>
        <v>10.1</v>
      </c>
      <c r="G496" s="438">
        <f t="shared" si="8"/>
        <v>54.95049505</v>
      </c>
      <c r="H496" s="438">
        <f t="shared" si="3"/>
        <v>67.68292683</v>
      </c>
      <c r="I496" s="436">
        <f t="shared" si="6"/>
        <v>1.169159469</v>
      </c>
      <c r="J496" s="460">
        <v>60.0</v>
      </c>
      <c r="K496" s="464">
        <f>13+6+5+30</f>
        <v>54</v>
      </c>
      <c r="L496" s="443"/>
      <c r="M496" s="447">
        <f>IFERROR(__xludf.DUMMYFUNCTION("""COMPUTED_VALUE"""),57.0)</f>
        <v>57</v>
      </c>
      <c r="N496" s="447">
        <f>IFERROR(__xludf.DUMMYFUNCTION("""COMPUTED_VALUE"""),53.0)</f>
        <v>53</v>
      </c>
      <c r="O496" s="447">
        <f>IFERROR(__xludf.DUMMYFUNCTION("""COMPUTED_VALUE"""),0.0)</f>
        <v>0</v>
      </c>
      <c r="P496" s="447">
        <f>IFERROR(__xludf.DUMMYFUNCTION("""COMPUTED_VALUE"""),0.0)</f>
        <v>0</v>
      </c>
      <c r="Q496" s="447">
        <f>IFERROR(__xludf.DUMMYFUNCTION("""COMPUTED_VALUE"""),0.0)</f>
        <v>0</v>
      </c>
      <c r="R496" s="447">
        <f>IFERROR(__xludf.DUMMYFUNCTION("""COMPUTED_VALUE"""),0.0)</f>
        <v>0</v>
      </c>
      <c r="S496" s="447">
        <f>IFERROR(__xludf.DUMMYFUNCTION("""COMPUTED_VALUE"""),2.0)</f>
        <v>2</v>
      </c>
      <c r="T496" s="447">
        <f>IFERROR(__xludf.DUMMYFUNCTION("""COMPUTED_VALUE"""),0.0)</f>
        <v>0</v>
      </c>
      <c r="U496" s="447">
        <f>IFERROR(__xludf.DUMMYFUNCTION("""COMPUTED_VALUE"""),4.0)</f>
        <v>4</v>
      </c>
      <c r="V496" s="447">
        <f>IFERROR(__xludf.DUMMYFUNCTION("""COMPUTED_VALUE"""),2.0)</f>
        <v>2</v>
      </c>
      <c r="W496" s="447">
        <f>IFERROR(__xludf.DUMMYFUNCTION("""COMPUTED_VALUE"""),0.0)</f>
        <v>0</v>
      </c>
      <c r="X496" s="447">
        <f>IFERROR(__xludf.DUMMYFUNCTION("""COMPUTED_VALUE"""),0.0)</f>
        <v>0</v>
      </c>
      <c r="Y496" s="447">
        <f>IFERROR(__xludf.DUMMYFUNCTION("""COMPUTED_VALUE"""),0.0)</f>
        <v>0</v>
      </c>
      <c r="Z496" s="447">
        <f>IFERROR(__xludf.DUMMYFUNCTION("""COMPUTED_VALUE"""),0.0)</f>
        <v>0</v>
      </c>
      <c r="AA496" s="447">
        <f>IFERROR(__xludf.DUMMYFUNCTION("""COMPUTED_VALUE"""),0.0)</f>
        <v>0</v>
      </c>
      <c r="AB496" s="447">
        <f>IFERROR(__xludf.DUMMYFUNCTION("""COMPUTED_VALUE"""),0.0)</f>
        <v>0</v>
      </c>
      <c r="AC496" s="447">
        <f>IFERROR(__xludf.DUMMYFUNCTION("""COMPUTED_VALUE"""),0.0)</f>
        <v>0</v>
      </c>
      <c r="AD496" s="447">
        <f>IFERROR(__xludf.DUMMYFUNCTION("""COMPUTED_VALUE"""),47.0)</f>
        <v>47</v>
      </c>
      <c r="AE496" s="447">
        <f>IFERROR(__xludf.DUMMYFUNCTION("""COMPUTED_VALUE"""),8.0)</f>
        <v>8</v>
      </c>
      <c r="AF496" s="447">
        <f>IFERROR(__xludf.DUMMYFUNCTION("""COMPUTED_VALUE"""),4.0)</f>
        <v>4</v>
      </c>
      <c r="AG496" s="443" t="s">
        <v>117</v>
      </c>
      <c r="AH496" s="443" t="s">
        <v>961</v>
      </c>
      <c r="AI496" s="443"/>
      <c r="AJ496" s="443"/>
      <c r="AK496" s="443"/>
      <c r="AL496" s="443"/>
      <c r="AM496" s="443"/>
      <c r="AN496" s="443"/>
      <c r="AO496" s="443"/>
      <c r="AP496" s="443"/>
      <c r="AQ496" s="443"/>
      <c r="AR496" s="443"/>
      <c r="AS496" s="443"/>
      <c r="AT496" s="443"/>
      <c r="AU496" s="443"/>
      <c r="AV496" s="443"/>
      <c r="AW496" s="443"/>
      <c r="AX496" s="443"/>
      <c r="AY496" s="443"/>
      <c r="AZ496" s="443"/>
      <c r="BA496" s="443"/>
      <c r="BB496" s="443"/>
      <c r="BC496" s="443"/>
      <c r="BD496" s="443"/>
      <c r="BE496" s="443"/>
    </row>
    <row r="497" hidden="1">
      <c r="A497" s="445">
        <f t="shared" si="5"/>
        <v>45787</v>
      </c>
      <c r="B497" s="449">
        <v>273.0</v>
      </c>
      <c r="C497" s="462">
        <v>0.6</v>
      </c>
      <c r="D497" s="462">
        <v>0.80625</v>
      </c>
      <c r="E497" s="436">
        <f t="array" ref="E497">IF(B497=0,"",(J497+K497)/60)</f>
        <v>0.3166666667</v>
      </c>
      <c r="F497" s="437">
        <f t="shared" si="1"/>
        <v>4.95</v>
      </c>
      <c r="G497" s="438">
        <f t="shared" si="8"/>
        <v>55.15151515</v>
      </c>
      <c r="H497" s="438">
        <f t="shared" si="3"/>
        <v>58.92086331</v>
      </c>
      <c r="I497" s="436">
        <f t="shared" si="6"/>
        <v>1.225589226</v>
      </c>
      <c r="J497" s="464"/>
      <c r="K497" s="464">
        <f>6+5+8</f>
        <v>19</v>
      </c>
      <c r="L497" s="443"/>
      <c r="M497" s="447">
        <f>IFERROR(__xludf.DUMMYFUNCTION("""COMPUTED_VALUE"""),57.0)</f>
        <v>57</v>
      </c>
      <c r="N497" s="447">
        <f>IFERROR(__xludf.DUMMYFUNCTION("""COMPUTED_VALUE"""),53.0)</f>
        <v>53</v>
      </c>
      <c r="O497" s="447">
        <f>IFERROR(__xludf.DUMMYFUNCTION("""COMPUTED_VALUE"""),0.0)</f>
        <v>0</v>
      </c>
      <c r="P497" s="447">
        <f>IFERROR(__xludf.DUMMYFUNCTION("""COMPUTED_VALUE"""),1.0)</f>
        <v>1</v>
      </c>
      <c r="Q497" s="447">
        <f>IFERROR(__xludf.DUMMYFUNCTION("""COMPUTED_VALUE"""),0.0)</f>
        <v>0</v>
      </c>
      <c r="R497" s="447">
        <f>IFERROR(__xludf.DUMMYFUNCTION("""COMPUTED_VALUE"""),0.0)</f>
        <v>0</v>
      </c>
      <c r="S497" s="447">
        <f>IFERROR(__xludf.DUMMYFUNCTION("""COMPUTED_VALUE"""),2.0)</f>
        <v>2</v>
      </c>
      <c r="T497" s="447">
        <f>IFERROR(__xludf.DUMMYFUNCTION("""COMPUTED_VALUE"""),0.0)</f>
        <v>0</v>
      </c>
      <c r="U497" s="447">
        <f>IFERROR(__xludf.DUMMYFUNCTION("""COMPUTED_VALUE"""),4.0)</f>
        <v>4</v>
      </c>
      <c r="V497" s="447">
        <f>IFERROR(__xludf.DUMMYFUNCTION("""COMPUTED_VALUE"""),2.0)</f>
        <v>2</v>
      </c>
      <c r="W497" s="447">
        <f>IFERROR(__xludf.DUMMYFUNCTION("""COMPUTED_VALUE"""),0.0)</f>
        <v>0</v>
      </c>
      <c r="X497" s="447">
        <f>IFERROR(__xludf.DUMMYFUNCTION("""COMPUTED_VALUE"""),0.0)</f>
        <v>0</v>
      </c>
      <c r="Y497" s="447">
        <f>IFERROR(__xludf.DUMMYFUNCTION("""COMPUTED_VALUE"""),0.0)</f>
        <v>0</v>
      </c>
      <c r="Z497" s="447">
        <f>IFERROR(__xludf.DUMMYFUNCTION("""COMPUTED_VALUE"""),1.0)</f>
        <v>1</v>
      </c>
      <c r="AA497" s="447">
        <f>IFERROR(__xludf.DUMMYFUNCTION("""COMPUTED_VALUE"""),0.0)</f>
        <v>0</v>
      </c>
      <c r="AB497" s="447">
        <f>IFERROR(__xludf.DUMMYFUNCTION("""COMPUTED_VALUE"""),0.0)</f>
        <v>0</v>
      </c>
      <c r="AC497" s="447">
        <f>IFERROR(__xludf.DUMMYFUNCTION("""COMPUTED_VALUE"""),0.0)</f>
        <v>0</v>
      </c>
      <c r="AD497" s="447">
        <f>IFERROR(__xludf.DUMMYFUNCTION("""COMPUTED_VALUE"""),45.0)</f>
        <v>45</v>
      </c>
      <c r="AE497" s="447">
        <f>IFERROR(__xludf.DUMMYFUNCTION("""COMPUTED_VALUE"""),10.0)</f>
        <v>10</v>
      </c>
      <c r="AF497" s="447">
        <f>IFERROR(__xludf.DUMMYFUNCTION("""COMPUTED_VALUE"""),4.0)</f>
        <v>4</v>
      </c>
      <c r="AG497" s="443" t="s">
        <v>117</v>
      </c>
      <c r="AH497" s="443" t="s">
        <v>961</v>
      </c>
      <c r="AI497" s="443"/>
      <c r="AJ497" s="443"/>
      <c r="AK497" s="443"/>
      <c r="AL497" s="443"/>
      <c r="AM497" s="443"/>
      <c r="AN497" s="443"/>
      <c r="AO497" s="443"/>
      <c r="AP497" s="443"/>
      <c r="AQ497" s="443"/>
      <c r="AR497" s="443"/>
      <c r="AS497" s="443"/>
      <c r="AT497" s="443"/>
      <c r="AU497" s="443"/>
      <c r="AV497" s="443"/>
      <c r="AW497" s="443"/>
      <c r="AX497" s="443"/>
      <c r="AY497" s="443"/>
      <c r="AZ497" s="443"/>
      <c r="BA497" s="443"/>
      <c r="BB497" s="443"/>
      <c r="BC497" s="443"/>
      <c r="BD497" s="443"/>
      <c r="BE497" s="443"/>
    </row>
    <row r="498" hidden="1">
      <c r="A498" s="445">
        <f t="shared" si="5"/>
        <v>45788</v>
      </c>
      <c r="B498" s="449">
        <v>0.0</v>
      </c>
      <c r="C498" s="462">
        <v>0.6</v>
      </c>
      <c r="D498" s="462">
        <v>1.054861111111111</v>
      </c>
      <c r="E498" s="436" t="str">
        <f t="array" ref="E498">IF(B498=0,"",(J498+K498)/60)</f>
        <v/>
      </c>
      <c r="F498" s="437" t="str">
        <f t="shared" si="1"/>
        <v/>
      </c>
      <c r="G498" s="438" t="str">
        <f t="shared" si="8"/>
        <v>#DIV/0!</v>
      </c>
      <c r="H498" s="438" t="str">
        <f t="shared" si="3"/>
        <v/>
      </c>
      <c r="I498" s="436" t="str">
        <f t="shared" si="6"/>
        <v/>
      </c>
      <c r="J498" s="460"/>
      <c r="K498" s="464"/>
      <c r="L498" s="443"/>
      <c r="M498" s="447">
        <f>IFERROR(__xludf.DUMMYFUNCTION("""COMPUTED_VALUE"""),57.0)</f>
        <v>57</v>
      </c>
      <c r="N498" s="447">
        <f>IFERROR(__xludf.DUMMYFUNCTION("""COMPUTED_VALUE"""),57.0)</f>
        <v>57</v>
      </c>
      <c r="O498" s="447">
        <f>IFERROR(__xludf.DUMMYFUNCTION("""COMPUTED_VALUE"""),0.0)</f>
        <v>0</v>
      </c>
      <c r="P498" s="447">
        <f>IFERROR(__xludf.DUMMYFUNCTION("""COMPUTED_VALUE"""),0.0)</f>
        <v>0</v>
      </c>
      <c r="Q498" s="447">
        <f>IFERROR(__xludf.DUMMYFUNCTION("""COMPUTED_VALUE"""),0.0)</f>
        <v>0</v>
      </c>
      <c r="R498" s="447">
        <f>IFERROR(__xludf.DUMMYFUNCTION("""COMPUTED_VALUE"""),0.0)</f>
        <v>0</v>
      </c>
      <c r="S498" s="447">
        <f>IFERROR(__xludf.DUMMYFUNCTION("""COMPUTED_VALUE"""),0.0)</f>
        <v>0</v>
      </c>
      <c r="T498" s="447">
        <f>IFERROR(__xludf.DUMMYFUNCTION("""COMPUTED_VALUE"""),0.0)</f>
        <v>0</v>
      </c>
      <c r="U498" s="447">
        <f>IFERROR(__xludf.DUMMYFUNCTION("""COMPUTED_VALUE"""),0.0)</f>
        <v>0</v>
      </c>
      <c r="V498" s="447">
        <f>IFERROR(__xludf.DUMMYFUNCTION("""COMPUTED_VALUE"""),0.0)</f>
        <v>0</v>
      </c>
      <c r="W498" s="447">
        <f>IFERROR(__xludf.DUMMYFUNCTION("""COMPUTED_VALUE"""),0.0)</f>
        <v>0</v>
      </c>
      <c r="X498" s="447">
        <f>IFERROR(__xludf.DUMMYFUNCTION("""COMPUTED_VALUE"""),0.0)</f>
        <v>0</v>
      </c>
      <c r="Y498" s="447">
        <f>IFERROR(__xludf.DUMMYFUNCTION("""COMPUTED_VALUE"""),0.0)</f>
        <v>0</v>
      </c>
      <c r="Z498" s="447">
        <f>IFERROR(__xludf.DUMMYFUNCTION("""COMPUTED_VALUE"""),0.0)</f>
        <v>0</v>
      </c>
      <c r="AA498" s="447">
        <f>IFERROR(__xludf.DUMMYFUNCTION("""COMPUTED_VALUE"""),0.0)</f>
        <v>0</v>
      </c>
      <c r="AB498" s="447">
        <f>IFERROR(__xludf.DUMMYFUNCTION("""COMPUTED_VALUE"""),0.0)</f>
        <v>0</v>
      </c>
      <c r="AC498" s="447">
        <f>IFERROR(__xludf.DUMMYFUNCTION("""COMPUTED_VALUE"""),0.0)</f>
        <v>0</v>
      </c>
      <c r="AD498" s="447">
        <f>IFERROR(__xludf.DUMMYFUNCTION("""COMPUTED_VALUE"""),0.0)</f>
        <v>0</v>
      </c>
      <c r="AE498" s="447">
        <f>IFERROR(__xludf.DUMMYFUNCTION("""COMPUTED_VALUE"""),0.0)</f>
        <v>0</v>
      </c>
      <c r="AF498" s="447">
        <f>IFERROR(__xludf.DUMMYFUNCTION("""COMPUTED_VALUE"""),0.0)</f>
        <v>0</v>
      </c>
      <c r="AG498" s="443" t="s">
        <v>117</v>
      </c>
      <c r="AH498" s="443" t="s">
        <v>961</v>
      </c>
      <c r="AI498" s="443"/>
      <c r="AJ498" s="443"/>
      <c r="AK498" s="443"/>
      <c r="AL498" s="443"/>
      <c r="AM498" s="443"/>
      <c r="AN498" s="443"/>
      <c r="AO498" s="443"/>
      <c r="AP498" s="443"/>
      <c r="AQ498" s="443"/>
      <c r="AR498" s="443"/>
      <c r="AS498" s="443"/>
      <c r="AT498" s="443"/>
      <c r="AU498" s="443"/>
      <c r="AV498" s="443"/>
      <c r="AW498" s="443"/>
      <c r="AX498" s="443"/>
      <c r="AY498" s="443"/>
      <c r="AZ498" s="443"/>
      <c r="BA498" s="443"/>
      <c r="BB498" s="443"/>
      <c r="BC498" s="443"/>
      <c r="BD498" s="443"/>
      <c r="BE498" s="443"/>
    </row>
    <row r="499" hidden="1">
      <c r="A499" s="445">
        <f t="shared" si="5"/>
        <v>45789</v>
      </c>
      <c r="B499" s="449">
        <v>652.0</v>
      </c>
      <c r="C499" s="462">
        <v>0.6</v>
      </c>
      <c r="D499" s="462">
        <v>1.054861111111111</v>
      </c>
      <c r="E499" s="436">
        <f t="array" ref="E499">IF(B499=0,"",(J499+K499)/60)</f>
        <v>1.116666667</v>
      </c>
      <c r="F499" s="437">
        <f t="shared" si="1"/>
        <v>10.91666667</v>
      </c>
      <c r="G499" s="438">
        <f t="shared" si="8"/>
        <v>59.72519084</v>
      </c>
      <c r="H499" s="438">
        <f t="shared" si="3"/>
        <v>66.53061224</v>
      </c>
      <c r="I499" s="436">
        <f t="shared" si="6"/>
        <v>1.244274809</v>
      </c>
      <c r="J499" s="460">
        <v>60.0</v>
      </c>
      <c r="K499" s="464">
        <f>7</f>
        <v>7</v>
      </c>
      <c r="L499" s="443"/>
      <c r="M499" s="447">
        <f>IFERROR(__xludf.DUMMYFUNCTION("""COMPUTED_VALUE"""),57.0)</f>
        <v>57</v>
      </c>
      <c r="N499" s="447">
        <f>IFERROR(__xludf.DUMMYFUNCTION("""COMPUTED_VALUE"""),53.0)</f>
        <v>53</v>
      </c>
      <c r="O499" s="447">
        <f>IFERROR(__xludf.DUMMYFUNCTION("""COMPUTED_VALUE"""),0.0)</f>
        <v>0</v>
      </c>
      <c r="P499" s="447">
        <f>IFERROR(__xludf.DUMMYFUNCTION("""COMPUTED_VALUE"""),0.0)</f>
        <v>0</v>
      </c>
      <c r="Q499" s="447">
        <f>IFERROR(__xludf.DUMMYFUNCTION("""COMPUTED_VALUE"""),0.0)</f>
        <v>0</v>
      </c>
      <c r="R499" s="447">
        <f>IFERROR(__xludf.DUMMYFUNCTION("""COMPUTED_VALUE"""),0.0)</f>
        <v>0</v>
      </c>
      <c r="S499" s="447">
        <f>IFERROR(__xludf.DUMMYFUNCTION("""COMPUTED_VALUE"""),1.0)</f>
        <v>1</v>
      </c>
      <c r="T499" s="447">
        <f>IFERROR(__xludf.DUMMYFUNCTION("""COMPUTED_VALUE"""),0.0)</f>
        <v>0</v>
      </c>
      <c r="U499" s="447">
        <f>IFERROR(__xludf.DUMMYFUNCTION("""COMPUTED_VALUE"""),4.0)</f>
        <v>4</v>
      </c>
      <c r="V499" s="447">
        <f>IFERROR(__xludf.DUMMYFUNCTION("""COMPUTED_VALUE"""),2.0)</f>
        <v>2</v>
      </c>
      <c r="W499" s="447">
        <f>IFERROR(__xludf.DUMMYFUNCTION("""COMPUTED_VALUE"""),0.0)</f>
        <v>0</v>
      </c>
      <c r="X499" s="447">
        <f>IFERROR(__xludf.DUMMYFUNCTION("""COMPUTED_VALUE"""),0.0)</f>
        <v>0</v>
      </c>
      <c r="Y499" s="447">
        <f>IFERROR(__xludf.DUMMYFUNCTION("""COMPUTED_VALUE"""),0.0)</f>
        <v>0</v>
      </c>
      <c r="Z499" s="447">
        <f>IFERROR(__xludf.DUMMYFUNCTION("""COMPUTED_VALUE"""),0.0)</f>
        <v>0</v>
      </c>
      <c r="AA499" s="447">
        <f>IFERROR(__xludf.DUMMYFUNCTION("""COMPUTED_VALUE"""),0.0)</f>
        <v>0</v>
      </c>
      <c r="AB499" s="447">
        <f>IFERROR(__xludf.DUMMYFUNCTION("""COMPUTED_VALUE"""),0.0)</f>
        <v>0</v>
      </c>
      <c r="AC499" s="447">
        <f>IFERROR(__xludf.DUMMYFUNCTION("""COMPUTED_VALUE"""),0.0)</f>
        <v>0</v>
      </c>
      <c r="AD499" s="447">
        <f>IFERROR(__xludf.DUMMYFUNCTION("""COMPUTED_VALUE"""),48.0)</f>
        <v>48</v>
      </c>
      <c r="AE499" s="447">
        <f>IFERROR(__xludf.DUMMYFUNCTION("""COMPUTED_VALUE"""),7.0)</f>
        <v>7</v>
      </c>
      <c r="AF499" s="447">
        <f>IFERROR(__xludf.DUMMYFUNCTION("""COMPUTED_VALUE"""),4.0)</f>
        <v>4</v>
      </c>
      <c r="AG499" s="443" t="s">
        <v>117</v>
      </c>
      <c r="AH499" s="443" t="s">
        <v>961</v>
      </c>
      <c r="AI499" s="443"/>
      <c r="AJ499" s="443"/>
      <c r="AK499" s="443"/>
      <c r="AL499" s="443"/>
      <c r="AM499" s="443"/>
      <c r="AN499" s="443"/>
      <c r="AO499" s="443"/>
      <c r="AP499" s="443"/>
      <c r="AQ499" s="443"/>
      <c r="AR499" s="443"/>
      <c r="AS499" s="443"/>
      <c r="AT499" s="443"/>
      <c r="AU499" s="443"/>
      <c r="AV499" s="443"/>
      <c r="AW499" s="443"/>
      <c r="AX499" s="443"/>
      <c r="AY499" s="443"/>
      <c r="AZ499" s="443"/>
      <c r="BA499" s="443"/>
      <c r="BB499" s="443"/>
      <c r="BC499" s="443"/>
      <c r="BD499" s="443"/>
      <c r="BE499" s="443"/>
    </row>
    <row r="500" hidden="1">
      <c r="A500" s="445">
        <f t="shared" si="5"/>
        <v>45790</v>
      </c>
      <c r="B500" s="449">
        <v>512.0</v>
      </c>
      <c r="C500" s="462">
        <v>0.6</v>
      </c>
      <c r="D500" s="462">
        <v>0.9909722222222223</v>
      </c>
      <c r="E500" s="436">
        <f t="array" ref="E500">IF(B500=0,"",(J500+K500)/60)</f>
        <v>0.75</v>
      </c>
      <c r="F500" s="437">
        <f t="shared" si="1"/>
        <v>9.383333333</v>
      </c>
      <c r="G500" s="438">
        <f t="shared" si="8"/>
        <v>54.56483126</v>
      </c>
      <c r="H500" s="438">
        <f t="shared" si="3"/>
        <v>59.30501931</v>
      </c>
      <c r="I500" s="436">
        <f t="shared" si="6"/>
        <v>1.136767318</v>
      </c>
      <c r="J500" s="460">
        <v>30.0</v>
      </c>
      <c r="K500" s="464">
        <f>10+5</f>
        <v>15</v>
      </c>
      <c r="L500" s="443"/>
      <c r="M500" s="447">
        <f>IFERROR(__xludf.DUMMYFUNCTION("""COMPUTED_VALUE"""),57.0)</f>
        <v>57</v>
      </c>
      <c r="N500" s="447">
        <f>IFERROR(__xludf.DUMMYFUNCTION("""COMPUTED_VALUE"""),53.0)</f>
        <v>53</v>
      </c>
      <c r="O500" s="447">
        <f>IFERROR(__xludf.DUMMYFUNCTION("""COMPUTED_VALUE"""),0.0)</f>
        <v>0</v>
      </c>
      <c r="P500" s="447">
        <f>IFERROR(__xludf.DUMMYFUNCTION("""COMPUTED_VALUE"""),0.0)</f>
        <v>0</v>
      </c>
      <c r="Q500" s="447">
        <f>IFERROR(__xludf.DUMMYFUNCTION("""COMPUTED_VALUE"""),0.0)</f>
        <v>0</v>
      </c>
      <c r="R500" s="447">
        <f>IFERROR(__xludf.DUMMYFUNCTION("""COMPUTED_VALUE"""),0.0)</f>
        <v>0</v>
      </c>
      <c r="S500" s="447">
        <f>IFERROR(__xludf.DUMMYFUNCTION("""COMPUTED_VALUE"""),1.0)</f>
        <v>1</v>
      </c>
      <c r="T500" s="447">
        <f>IFERROR(__xludf.DUMMYFUNCTION("""COMPUTED_VALUE"""),0.0)</f>
        <v>0</v>
      </c>
      <c r="U500" s="447">
        <f>IFERROR(__xludf.DUMMYFUNCTION("""COMPUTED_VALUE"""),4.0)</f>
        <v>4</v>
      </c>
      <c r="V500" s="447">
        <f>IFERROR(__xludf.DUMMYFUNCTION("""COMPUTED_VALUE"""),2.0)</f>
        <v>2</v>
      </c>
      <c r="W500" s="447">
        <f>IFERROR(__xludf.DUMMYFUNCTION("""COMPUTED_VALUE"""),0.0)</f>
        <v>0</v>
      </c>
      <c r="X500" s="447">
        <f>IFERROR(__xludf.DUMMYFUNCTION("""COMPUTED_VALUE"""),0.0)</f>
        <v>0</v>
      </c>
      <c r="Y500" s="447">
        <f>IFERROR(__xludf.DUMMYFUNCTION("""COMPUTED_VALUE"""),0.0)</f>
        <v>0</v>
      </c>
      <c r="Z500" s="447">
        <f>IFERROR(__xludf.DUMMYFUNCTION("""COMPUTED_VALUE"""),0.0)</f>
        <v>0</v>
      </c>
      <c r="AA500" s="447">
        <f>IFERROR(__xludf.DUMMYFUNCTION("""COMPUTED_VALUE"""),0.0)</f>
        <v>0</v>
      </c>
      <c r="AB500" s="447">
        <f>IFERROR(__xludf.DUMMYFUNCTION("""COMPUTED_VALUE"""),0.0)</f>
        <v>0</v>
      </c>
      <c r="AC500" s="447">
        <f>IFERROR(__xludf.DUMMYFUNCTION("""COMPUTED_VALUE"""),0.0)</f>
        <v>0</v>
      </c>
      <c r="AD500" s="447">
        <f>IFERROR(__xludf.DUMMYFUNCTION("""COMPUTED_VALUE"""),48.0)</f>
        <v>48</v>
      </c>
      <c r="AE500" s="447">
        <f>IFERROR(__xludf.DUMMYFUNCTION("""COMPUTED_VALUE"""),7.0)</f>
        <v>7</v>
      </c>
      <c r="AF500" s="447">
        <f>IFERROR(__xludf.DUMMYFUNCTION("""COMPUTED_VALUE"""),4.0)</f>
        <v>4</v>
      </c>
      <c r="AG500" s="443" t="s">
        <v>117</v>
      </c>
      <c r="AH500" s="443" t="s">
        <v>961</v>
      </c>
      <c r="AI500" s="443"/>
      <c r="AJ500" s="443"/>
      <c r="AK500" s="443"/>
      <c r="AL500" s="443"/>
      <c r="AM500" s="443"/>
      <c r="AN500" s="443"/>
      <c r="AO500" s="443"/>
      <c r="AP500" s="443"/>
      <c r="AQ500" s="443"/>
      <c r="AR500" s="443"/>
      <c r="AS500" s="443"/>
      <c r="AT500" s="443"/>
      <c r="AU500" s="443"/>
      <c r="AV500" s="443"/>
      <c r="AW500" s="443"/>
      <c r="AX500" s="443"/>
      <c r="AY500" s="443"/>
      <c r="AZ500" s="443"/>
      <c r="BA500" s="443"/>
      <c r="BB500" s="443"/>
      <c r="BC500" s="443"/>
      <c r="BD500" s="443"/>
      <c r="BE500" s="443"/>
    </row>
    <row r="501" hidden="1">
      <c r="A501" s="445">
        <f t="shared" si="5"/>
        <v>45791</v>
      </c>
      <c r="B501" s="449">
        <v>482.0</v>
      </c>
      <c r="C501" s="462">
        <v>0.6</v>
      </c>
      <c r="D501" s="462">
        <v>0.9923611111111111</v>
      </c>
      <c r="E501" s="436">
        <f t="array" ref="E501">IF(B501=0,"",(J501+K501)/60)</f>
        <v>1.433333333</v>
      </c>
      <c r="F501" s="437">
        <f t="shared" si="1"/>
        <v>9.416666667</v>
      </c>
      <c r="G501" s="438">
        <f t="shared" si="8"/>
        <v>51.18584071</v>
      </c>
      <c r="H501" s="438">
        <f t="shared" si="3"/>
        <v>60.37578288</v>
      </c>
      <c r="I501" s="436">
        <f t="shared" si="6"/>
        <v>1.066371681</v>
      </c>
      <c r="J501" s="460">
        <v>30.0</v>
      </c>
      <c r="K501" s="464">
        <f>23+6+16+6+5</f>
        <v>56</v>
      </c>
      <c r="L501" s="443"/>
      <c r="M501" s="447">
        <f>IFERROR(__xludf.DUMMYFUNCTION("""COMPUTED_VALUE"""),57.0)</f>
        <v>57</v>
      </c>
      <c r="N501" s="447">
        <f>IFERROR(__xludf.DUMMYFUNCTION("""COMPUTED_VALUE"""),53.0)</f>
        <v>53</v>
      </c>
      <c r="O501" s="447">
        <f>IFERROR(__xludf.DUMMYFUNCTION("""COMPUTED_VALUE"""),0.0)</f>
        <v>0</v>
      </c>
      <c r="P501" s="447">
        <f>IFERROR(__xludf.DUMMYFUNCTION("""COMPUTED_VALUE"""),0.0)</f>
        <v>0</v>
      </c>
      <c r="Q501" s="447">
        <f>IFERROR(__xludf.DUMMYFUNCTION("""COMPUTED_VALUE"""),0.0)</f>
        <v>0</v>
      </c>
      <c r="R501" s="447">
        <f>IFERROR(__xludf.DUMMYFUNCTION("""COMPUTED_VALUE"""),0.0)</f>
        <v>0</v>
      </c>
      <c r="S501" s="447">
        <f>IFERROR(__xludf.DUMMYFUNCTION("""COMPUTED_VALUE"""),0.0)</f>
        <v>0</v>
      </c>
      <c r="T501" s="447">
        <f>IFERROR(__xludf.DUMMYFUNCTION("""COMPUTED_VALUE"""),0.0)</f>
        <v>0</v>
      </c>
      <c r="U501" s="447">
        <f>IFERROR(__xludf.DUMMYFUNCTION("""COMPUTED_VALUE"""),4.0)</f>
        <v>4</v>
      </c>
      <c r="V501" s="447">
        <f>IFERROR(__xludf.DUMMYFUNCTION("""COMPUTED_VALUE"""),2.0)</f>
        <v>2</v>
      </c>
      <c r="W501" s="447">
        <f>IFERROR(__xludf.DUMMYFUNCTION("""COMPUTED_VALUE"""),1.0)</f>
        <v>1</v>
      </c>
      <c r="X501" s="447">
        <f>IFERROR(__xludf.DUMMYFUNCTION("""COMPUTED_VALUE"""),0.0)</f>
        <v>0</v>
      </c>
      <c r="Y501" s="447">
        <f>IFERROR(__xludf.DUMMYFUNCTION("""COMPUTED_VALUE"""),0.0)</f>
        <v>0</v>
      </c>
      <c r="Z501" s="447">
        <f>IFERROR(__xludf.DUMMYFUNCTION("""COMPUTED_VALUE"""),0.0)</f>
        <v>0</v>
      </c>
      <c r="AA501" s="447">
        <f>IFERROR(__xludf.DUMMYFUNCTION("""COMPUTED_VALUE"""),0.0)</f>
        <v>0</v>
      </c>
      <c r="AB501" s="447">
        <f>IFERROR(__xludf.DUMMYFUNCTION("""COMPUTED_VALUE"""),0.0)</f>
        <v>0</v>
      </c>
      <c r="AC501" s="447">
        <f>IFERROR(__xludf.DUMMYFUNCTION("""COMPUTED_VALUE"""),0.0)</f>
        <v>0</v>
      </c>
      <c r="AD501" s="447">
        <f>IFERROR(__xludf.DUMMYFUNCTION("""COMPUTED_VALUE"""),48.0)</f>
        <v>48</v>
      </c>
      <c r="AE501" s="447">
        <f>IFERROR(__xludf.DUMMYFUNCTION("""COMPUTED_VALUE"""),7.0)</f>
        <v>7</v>
      </c>
      <c r="AF501" s="447">
        <f>IFERROR(__xludf.DUMMYFUNCTION("""COMPUTED_VALUE"""),4.0)</f>
        <v>4</v>
      </c>
      <c r="AG501" s="443" t="s">
        <v>117</v>
      </c>
      <c r="AH501" s="443" t="s">
        <v>961</v>
      </c>
      <c r="AI501" s="443"/>
      <c r="AJ501" s="443"/>
      <c r="AK501" s="443"/>
      <c r="AL501" s="443"/>
      <c r="AM501" s="443"/>
      <c r="AN501" s="443"/>
      <c r="AO501" s="443"/>
      <c r="AP501" s="443"/>
      <c r="AQ501" s="443"/>
      <c r="AR501" s="443"/>
      <c r="AS501" s="443"/>
      <c r="AT501" s="443"/>
      <c r="AU501" s="443"/>
      <c r="AV501" s="443"/>
      <c r="AW501" s="443"/>
      <c r="AX501" s="443"/>
      <c r="AY501" s="443"/>
      <c r="AZ501" s="443"/>
      <c r="BA501" s="443"/>
      <c r="BB501" s="443"/>
      <c r="BC501" s="443"/>
      <c r="BD501" s="443"/>
      <c r="BE501" s="443"/>
    </row>
    <row r="502" hidden="1">
      <c r="A502" s="445">
        <f t="shared" si="5"/>
        <v>45792</v>
      </c>
      <c r="B502" s="449">
        <v>457.0</v>
      </c>
      <c r="C502" s="462">
        <v>0.6</v>
      </c>
      <c r="D502" s="462">
        <v>0.9555555555555556</v>
      </c>
      <c r="E502" s="436">
        <f t="array" ref="E502">IF(B502=0,"",(J502+K502)/60)</f>
        <v>0.5</v>
      </c>
      <c r="F502" s="437">
        <f t="shared" si="1"/>
        <v>8.533333333</v>
      </c>
      <c r="G502" s="438">
        <f t="shared" si="8"/>
        <v>53.5546875</v>
      </c>
      <c r="H502" s="438">
        <f t="shared" si="3"/>
        <v>56.8879668</v>
      </c>
      <c r="I502" s="436">
        <f t="shared" si="6"/>
        <v>1.139461436</v>
      </c>
      <c r="J502" s="460">
        <v>30.0</v>
      </c>
      <c r="K502" s="464"/>
      <c r="L502" s="443"/>
      <c r="M502" s="447">
        <f>IFERROR(__xludf.DUMMYFUNCTION("""COMPUTED_VALUE"""),57.0)</f>
        <v>57</v>
      </c>
      <c r="N502" s="447">
        <f>IFERROR(__xludf.DUMMYFUNCTION("""COMPUTED_VALUE"""),53.0)</f>
        <v>53</v>
      </c>
      <c r="O502" s="447">
        <f>IFERROR(__xludf.DUMMYFUNCTION("""COMPUTED_VALUE"""),0.0)</f>
        <v>0</v>
      </c>
      <c r="P502" s="447">
        <f>IFERROR(__xludf.DUMMYFUNCTION("""COMPUTED_VALUE"""),0.0)</f>
        <v>0</v>
      </c>
      <c r="Q502" s="447">
        <f>IFERROR(__xludf.DUMMYFUNCTION("""COMPUTED_VALUE"""),1.0)</f>
        <v>1</v>
      </c>
      <c r="R502" s="447">
        <f>IFERROR(__xludf.DUMMYFUNCTION("""COMPUTED_VALUE"""),0.0)</f>
        <v>0</v>
      </c>
      <c r="S502" s="447">
        <f>IFERROR(__xludf.DUMMYFUNCTION("""COMPUTED_VALUE"""),0.0)</f>
        <v>0</v>
      </c>
      <c r="T502" s="447">
        <f>IFERROR(__xludf.DUMMYFUNCTION("""COMPUTED_VALUE"""),0.0)</f>
        <v>0</v>
      </c>
      <c r="U502" s="447">
        <f>IFERROR(__xludf.DUMMYFUNCTION("""COMPUTED_VALUE"""),4.0)</f>
        <v>4</v>
      </c>
      <c r="V502" s="447">
        <f>IFERROR(__xludf.DUMMYFUNCTION("""COMPUTED_VALUE"""),2.0)</f>
        <v>2</v>
      </c>
      <c r="W502" s="447">
        <f>IFERROR(__xludf.DUMMYFUNCTION("""COMPUTED_VALUE"""),1.0)</f>
        <v>1</v>
      </c>
      <c r="X502" s="447">
        <f>IFERROR(__xludf.DUMMYFUNCTION("""COMPUTED_VALUE"""),0.0)</f>
        <v>0</v>
      </c>
      <c r="Y502" s="447">
        <f>IFERROR(__xludf.DUMMYFUNCTION("""COMPUTED_VALUE"""),0.0)</f>
        <v>0</v>
      </c>
      <c r="Z502" s="447">
        <f>IFERROR(__xludf.DUMMYFUNCTION("""COMPUTED_VALUE"""),0.0)</f>
        <v>0</v>
      </c>
      <c r="AA502" s="447">
        <f>IFERROR(__xludf.DUMMYFUNCTION("""COMPUTED_VALUE"""),0.0)</f>
        <v>0</v>
      </c>
      <c r="AB502" s="447">
        <f>IFERROR(__xludf.DUMMYFUNCTION("""COMPUTED_VALUE"""),0.0)</f>
        <v>0</v>
      </c>
      <c r="AC502" s="447">
        <f>IFERROR(__xludf.DUMMYFUNCTION("""COMPUTED_VALUE"""),0.0)</f>
        <v>0</v>
      </c>
      <c r="AD502" s="447">
        <f>IFERROR(__xludf.DUMMYFUNCTION("""COMPUTED_VALUE"""),47.0)</f>
        <v>47</v>
      </c>
      <c r="AE502" s="447">
        <f>IFERROR(__xludf.DUMMYFUNCTION("""COMPUTED_VALUE"""),8.0)</f>
        <v>8</v>
      </c>
      <c r="AF502" s="447">
        <f>IFERROR(__xludf.DUMMYFUNCTION("""COMPUTED_VALUE"""),4.0)</f>
        <v>4</v>
      </c>
      <c r="AG502" s="443" t="s">
        <v>117</v>
      </c>
      <c r="AH502" s="443" t="s">
        <v>961</v>
      </c>
      <c r="AI502" s="443"/>
      <c r="AJ502" s="443"/>
      <c r="AK502" s="443"/>
      <c r="AL502" s="443"/>
      <c r="AM502" s="443"/>
      <c r="AN502" s="443"/>
      <c r="AO502" s="443"/>
      <c r="AP502" s="443"/>
      <c r="AQ502" s="443"/>
      <c r="AR502" s="443"/>
      <c r="AS502" s="443"/>
      <c r="AT502" s="443"/>
      <c r="AU502" s="443"/>
      <c r="AV502" s="443"/>
      <c r="AW502" s="443"/>
      <c r="AX502" s="443"/>
      <c r="AY502" s="443"/>
      <c r="AZ502" s="443"/>
      <c r="BA502" s="443"/>
      <c r="BB502" s="443"/>
      <c r="BC502" s="443"/>
      <c r="BD502" s="443"/>
      <c r="BE502" s="443"/>
    </row>
    <row r="503" hidden="1">
      <c r="A503" s="445">
        <f t="shared" si="5"/>
        <v>45793</v>
      </c>
      <c r="B503" s="449">
        <v>472.0</v>
      </c>
      <c r="C503" s="462">
        <v>0.6416666666666667</v>
      </c>
      <c r="D503" s="462">
        <v>0.9930555555555556</v>
      </c>
      <c r="E503" s="436">
        <f t="array" ref="E503">IF(B503=0,"",(J503+K503)/60)</f>
        <v>0.8333333333</v>
      </c>
      <c r="F503" s="437">
        <f t="shared" si="1"/>
        <v>8.433333333</v>
      </c>
      <c r="G503" s="438">
        <f t="shared" si="8"/>
        <v>55.96837945</v>
      </c>
      <c r="H503" s="438">
        <f t="shared" si="3"/>
        <v>62.10526316</v>
      </c>
      <c r="I503" s="436">
        <f t="shared" si="6"/>
        <v>1.190816584</v>
      </c>
      <c r="J503" s="460">
        <v>30.0</v>
      </c>
      <c r="K503" s="464">
        <f>12+8</f>
        <v>20</v>
      </c>
      <c r="L503" s="443"/>
      <c r="M503" s="447">
        <f>IFERROR(__xludf.DUMMYFUNCTION("""COMPUTED_VALUE"""),57.0)</f>
        <v>57</v>
      </c>
      <c r="N503" s="447">
        <f>IFERROR(__xludf.DUMMYFUNCTION("""COMPUTED_VALUE"""),55.0)</f>
        <v>55</v>
      </c>
      <c r="O503" s="447">
        <f>IFERROR(__xludf.DUMMYFUNCTION("""COMPUTED_VALUE"""),0.0)</f>
        <v>0</v>
      </c>
      <c r="P503" s="447">
        <f>IFERROR(__xludf.DUMMYFUNCTION("""COMPUTED_VALUE"""),0.0)</f>
        <v>0</v>
      </c>
      <c r="Q503" s="447">
        <f>IFERROR(__xludf.DUMMYFUNCTION("""COMPUTED_VALUE"""),2.0)</f>
        <v>2</v>
      </c>
      <c r="R503" s="447">
        <f>IFERROR(__xludf.DUMMYFUNCTION("""COMPUTED_VALUE"""),0.0)</f>
        <v>0</v>
      </c>
      <c r="S503" s="447">
        <f>IFERROR(__xludf.DUMMYFUNCTION("""COMPUTED_VALUE"""),2.0)</f>
        <v>2</v>
      </c>
      <c r="T503" s="447">
        <f>IFERROR(__xludf.DUMMYFUNCTION("""COMPUTED_VALUE"""),0.0)</f>
        <v>0</v>
      </c>
      <c r="U503" s="447">
        <f>IFERROR(__xludf.DUMMYFUNCTION("""COMPUTED_VALUE"""),2.0)</f>
        <v>2</v>
      </c>
      <c r="V503" s="447">
        <f>IFERROR(__xludf.DUMMYFUNCTION("""COMPUTED_VALUE"""),2.0)</f>
        <v>2</v>
      </c>
      <c r="W503" s="447">
        <f>IFERROR(__xludf.DUMMYFUNCTION("""COMPUTED_VALUE"""),0.0)</f>
        <v>0</v>
      </c>
      <c r="X503" s="447">
        <f>IFERROR(__xludf.DUMMYFUNCTION("""COMPUTED_VALUE"""),0.0)</f>
        <v>0</v>
      </c>
      <c r="Y503" s="447">
        <f>IFERROR(__xludf.DUMMYFUNCTION("""COMPUTED_VALUE"""),0.0)</f>
        <v>0</v>
      </c>
      <c r="Z503" s="447">
        <f>IFERROR(__xludf.DUMMYFUNCTION("""COMPUTED_VALUE"""),0.0)</f>
        <v>0</v>
      </c>
      <c r="AA503" s="447">
        <f>IFERROR(__xludf.DUMMYFUNCTION("""COMPUTED_VALUE"""),0.0)</f>
        <v>0</v>
      </c>
      <c r="AB503" s="447">
        <f>IFERROR(__xludf.DUMMYFUNCTION("""COMPUTED_VALUE"""),0.0)</f>
        <v>0</v>
      </c>
      <c r="AC503" s="447">
        <f>IFERROR(__xludf.DUMMYFUNCTION("""COMPUTED_VALUE"""),0.0)</f>
        <v>0</v>
      </c>
      <c r="AD503" s="447">
        <f>IFERROR(__xludf.DUMMYFUNCTION("""COMPUTED_VALUE"""),47.0)</f>
        <v>47</v>
      </c>
      <c r="AE503" s="447">
        <f>IFERROR(__xludf.DUMMYFUNCTION("""COMPUTED_VALUE"""),8.0)</f>
        <v>8</v>
      </c>
      <c r="AF503" s="447">
        <f>IFERROR(__xludf.DUMMYFUNCTION("""COMPUTED_VALUE"""),2.0)</f>
        <v>2</v>
      </c>
      <c r="AG503" s="443" t="s">
        <v>117</v>
      </c>
      <c r="AH503" s="443" t="s">
        <v>961</v>
      </c>
      <c r="AI503" s="443"/>
      <c r="AJ503" s="443"/>
      <c r="AK503" s="443"/>
      <c r="AL503" s="443"/>
      <c r="AM503" s="443"/>
      <c r="AN503" s="443"/>
      <c r="AO503" s="443"/>
      <c r="AP503" s="443"/>
      <c r="AQ503" s="443"/>
      <c r="AR503" s="443"/>
      <c r="AS503" s="443"/>
      <c r="AT503" s="443"/>
      <c r="AU503" s="443"/>
      <c r="AV503" s="443"/>
      <c r="AW503" s="443"/>
      <c r="AX503" s="443"/>
      <c r="AY503" s="443"/>
      <c r="AZ503" s="443"/>
      <c r="BA503" s="443"/>
      <c r="BB503" s="443"/>
      <c r="BC503" s="443"/>
      <c r="BD503" s="443"/>
      <c r="BE503" s="443"/>
    </row>
    <row r="504" hidden="1">
      <c r="A504" s="445">
        <f t="shared" si="5"/>
        <v>45794</v>
      </c>
      <c r="B504" s="449">
        <v>255.0</v>
      </c>
      <c r="C504" s="462">
        <v>0.6416666666666667</v>
      </c>
      <c r="D504" s="462">
        <v>0.8298611111111112</v>
      </c>
      <c r="E504" s="436">
        <f t="array" ref="E504">IF(B504=0,"",(J504+K504)/60)</f>
        <v>0</v>
      </c>
      <c r="F504" s="437">
        <f t="shared" si="1"/>
        <v>4.516666667</v>
      </c>
      <c r="G504" s="438">
        <f t="shared" si="8"/>
        <v>56.45756458</v>
      </c>
      <c r="H504" s="438">
        <f t="shared" si="3"/>
        <v>56.45756458</v>
      </c>
      <c r="I504" s="436">
        <f t="shared" si="6"/>
        <v>1.22733836</v>
      </c>
      <c r="J504" s="460">
        <v>0.0</v>
      </c>
      <c r="K504" s="460">
        <v>0.0</v>
      </c>
      <c r="L504" s="443"/>
      <c r="M504" s="447">
        <f>IFERROR(__xludf.DUMMYFUNCTION("""COMPUTED_VALUE"""),57.0)</f>
        <v>57</v>
      </c>
      <c r="N504" s="447">
        <f>IFERROR(__xludf.DUMMYFUNCTION("""COMPUTED_VALUE"""),55.0)</f>
        <v>55</v>
      </c>
      <c r="O504" s="447">
        <f>IFERROR(__xludf.DUMMYFUNCTION("""COMPUTED_VALUE"""),0.0)</f>
        <v>0</v>
      </c>
      <c r="P504" s="447">
        <f>IFERROR(__xludf.DUMMYFUNCTION("""COMPUTED_VALUE"""),0.0)</f>
        <v>0</v>
      </c>
      <c r="Q504" s="447">
        <f>IFERROR(__xludf.DUMMYFUNCTION("""COMPUTED_VALUE"""),3.0)</f>
        <v>3</v>
      </c>
      <c r="R504" s="447">
        <f>IFERROR(__xludf.DUMMYFUNCTION("""COMPUTED_VALUE"""),0.0)</f>
        <v>0</v>
      </c>
      <c r="S504" s="447">
        <f>IFERROR(__xludf.DUMMYFUNCTION("""COMPUTED_VALUE"""),1.0)</f>
        <v>1</v>
      </c>
      <c r="T504" s="447">
        <f>IFERROR(__xludf.DUMMYFUNCTION("""COMPUTED_VALUE"""),0.0)</f>
        <v>0</v>
      </c>
      <c r="U504" s="447">
        <f>IFERROR(__xludf.DUMMYFUNCTION("""COMPUTED_VALUE"""),2.0)</f>
        <v>2</v>
      </c>
      <c r="V504" s="447">
        <f>IFERROR(__xludf.DUMMYFUNCTION("""COMPUTED_VALUE"""),2.0)</f>
        <v>2</v>
      </c>
      <c r="W504" s="447">
        <f>IFERROR(__xludf.DUMMYFUNCTION("""COMPUTED_VALUE"""),0.0)</f>
        <v>0</v>
      </c>
      <c r="X504" s="447">
        <f>IFERROR(__xludf.DUMMYFUNCTION("""COMPUTED_VALUE"""),0.0)</f>
        <v>0</v>
      </c>
      <c r="Y504" s="447">
        <f>IFERROR(__xludf.DUMMYFUNCTION("""COMPUTED_VALUE"""),0.0)</f>
        <v>0</v>
      </c>
      <c r="Z504" s="447">
        <f>IFERROR(__xludf.DUMMYFUNCTION("""COMPUTED_VALUE"""),0.0)</f>
        <v>0</v>
      </c>
      <c r="AA504" s="447">
        <f>IFERROR(__xludf.DUMMYFUNCTION("""COMPUTED_VALUE"""),0.0)</f>
        <v>0</v>
      </c>
      <c r="AB504" s="447">
        <f>IFERROR(__xludf.DUMMYFUNCTION("""COMPUTED_VALUE"""),0.0)</f>
        <v>0</v>
      </c>
      <c r="AC504" s="447">
        <f>IFERROR(__xludf.DUMMYFUNCTION("""COMPUTED_VALUE"""),1.0)</f>
        <v>1</v>
      </c>
      <c r="AD504" s="447">
        <f>IFERROR(__xludf.DUMMYFUNCTION("""COMPUTED_VALUE"""),46.0)</f>
        <v>46</v>
      </c>
      <c r="AE504" s="447">
        <f>IFERROR(__xludf.DUMMYFUNCTION("""COMPUTED_VALUE"""),9.0)</f>
        <v>9</v>
      </c>
      <c r="AF504" s="447">
        <f>IFERROR(__xludf.DUMMYFUNCTION("""COMPUTED_VALUE"""),2.0)</f>
        <v>2</v>
      </c>
      <c r="AG504" s="443" t="s">
        <v>117</v>
      </c>
      <c r="AH504" s="443" t="s">
        <v>961</v>
      </c>
      <c r="AI504" s="443"/>
      <c r="AJ504" s="443"/>
      <c r="AK504" s="443"/>
      <c r="AL504" s="443"/>
      <c r="AM504" s="443"/>
      <c r="AN504" s="443"/>
      <c r="AO504" s="443"/>
      <c r="AP504" s="443"/>
      <c r="AQ504" s="443"/>
      <c r="AR504" s="443"/>
      <c r="AS504" s="443"/>
      <c r="AT504" s="443"/>
      <c r="AU504" s="443"/>
      <c r="AV504" s="443"/>
      <c r="AW504" s="443"/>
      <c r="AX504" s="443"/>
      <c r="AY504" s="443"/>
      <c r="AZ504" s="443"/>
      <c r="BA504" s="443"/>
      <c r="BB504" s="443"/>
      <c r="BC504" s="443"/>
      <c r="BD504" s="443"/>
      <c r="BE504" s="443"/>
    </row>
    <row r="505" hidden="1">
      <c r="A505" s="445">
        <f t="shared" si="5"/>
        <v>45795</v>
      </c>
      <c r="B505" s="449">
        <v>0.0</v>
      </c>
      <c r="C505" s="443"/>
      <c r="D505" s="462"/>
      <c r="E505" s="436" t="str">
        <f t="array" ref="E505">IF(B505=0,"",(J505+K505)/60)</f>
        <v/>
      </c>
      <c r="F505" s="437" t="str">
        <f t="shared" si="1"/>
        <v/>
      </c>
      <c r="G505" s="438" t="str">
        <f t="shared" si="8"/>
        <v>#DIV/0!</v>
      </c>
      <c r="H505" s="438" t="str">
        <f t="shared" si="3"/>
        <v/>
      </c>
      <c r="I505" s="436" t="str">
        <f t="shared" si="6"/>
        <v/>
      </c>
      <c r="J505" s="464"/>
      <c r="K505" s="464"/>
      <c r="L505" s="443"/>
      <c r="M505" s="447">
        <f>IFERROR(__xludf.DUMMYFUNCTION("""COMPUTED_VALUE"""),57.0)</f>
        <v>57</v>
      </c>
      <c r="N505" s="447">
        <f>IFERROR(__xludf.DUMMYFUNCTION("""COMPUTED_VALUE"""),57.0)</f>
        <v>57</v>
      </c>
      <c r="O505" s="447">
        <f>IFERROR(__xludf.DUMMYFUNCTION("""COMPUTED_VALUE"""),0.0)</f>
        <v>0</v>
      </c>
      <c r="P505" s="447">
        <f>IFERROR(__xludf.DUMMYFUNCTION("""COMPUTED_VALUE"""),0.0)</f>
        <v>0</v>
      </c>
      <c r="Q505" s="447">
        <f>IFERROR(__xludf.DUMMYFUNCTION("""COMPUTED_VALUE"""),0.0)</f>
        <v>0</v>
      </c>
      <c r="R505" s="447">
        <f>IFERROR(__xludf.DUMMYFUNCTION("""COMPUTED_VALUE"""),0.0)</f>
        <v>0</v>
      </c>
      <c r="S505" s="447">
        <f>IFERROR(__xludf.DUMMYFUNCTION("""COMPUTED_VALUE"""),0.0)</f>
        <v>0</v>
      </c>
      <c r="T505" s="447">
        <f>IFERROR(__xludf.DUMMYFUNCTION("""COMPUTED_VALUE"""),0.0)</f>
        <v>0</v>
      </c>
      <c r="U505" s="447">
        <f>IFERROR(__xludf.DUMMYFUNCTION("""COMPUTED_VALUE"""),0.0)</f>
        <v>0</v>
      </c>
      <c r="V505" s="447">
        <f>IFERROR(__xludf.DUMMYFUNCTION("""COMPUTED_VALUE"""),0.0)</f>
        <v>0</v>
      </c>
      <c r="W505" s="447">
        <f>IFERROR(__xludf.DUMMYFUNCTION("""COMPUTED_VALUE"""),0.0)</f>
        <v>0</v>
      </c>
      <c r="X505" s="447">
        <f>IFERROR(__xludf.DUMMYFUNCTION("""COMPUTED_VALUE"""),0.0)</f>
        <v>0</v>
      </c>
      <c r="Y505" s="447">
        <f>IFERROR(__xludf.DUMMYFUNCTION("""COMPUTED_VALUE"""),0.0)</f>
        <v>0</v>
      </c>
      <c r="Z505" s="447">
        <f>IFERROR(__xludf.DUMMYFUNCTION("""COMPUTED_VALUE"""),0.0)</f>
        <v>0</v>
      </c>
      <c r="AA505" s="447">
        <f>IFERROR(__xludf.DUMMYFUNCTION("""COMPUTED_VALUE"""),0.0)</f>
        <v>0</v>
      </c>
      <c r="AB505" s="447">
        <f>IFERROR(__xludf.DUMMYFUNCTION("""COMPUTED_VALUE"""),0.0)</f>
        <v>0</v>
      </c>
      <c r="AC505" s="447">
        <f>IFERROR(__xludf.DUMMYFUNCTION("""COMPUTED_VALUE"""),0.0)</f>
        <v>0</v>
      </c>
      <c r="AD505" s="447">
        <f>IFERROR(__xludf.DUMMYFUNCTION("""COMPUTED_VALUE"""),0.0)</f>
        <v>0</v>
      </c>
      <c r="AE505" s="447">
        <f>IFERROR(__xludf.DUMMYFUNCTION("""COMPUTED_VALUE"""),0.0)</f>
        <v>0</v>
      </c>
      <c r="AF505" s="447">
        <f>IFERROR(__xludf.DUMMYFUNCTION("""COMPUTED_VALUE"""),0.0)</f>
        <v>0</v>
      </c>
      <c r="AG505" s="443" t="s">
        <v>117</v>
      </c>
      <c r="AH505" s="443" t="s">
        <v>961</v>
      </c>
      <c r="AI505" s="443"/>
      <c r="AJ505" s="443"/>
      <c r="AK505" s="443"/>
      <c r="AL505" s="443"/>
      <c r="AM505" s="443"/>
      <c r="AN505" s="443"/>
      <c r="AO505" s="443"/>
      <c r="AP505" s="443"/>
      <c r="AQ505" s="443"/>
      <c r="AR505" s="443"/>
      <c r="AS505" s="443"/>
      <c r="AT505" s="443"/>
      <c r="AU505" s="443"/>
      <c r="AV505" s="443"/>
      <c r="AW505" s="443"/>
      <c r="AX505" s="443"/>
      <c r="AY505" s="443"/>
      <c r="AZ505" s="443"/>
      <c r="BA505" s="443"/>
      <c r="BB505" s="443"/>
      <c r="BC505" s="443"/>
      <c r="BD505" s="443"/>
      <c r="BE505" s="443"/>
    </row>
    <row r="506" hidden="1">
      <c r="A506" s="445">
        <f t="shared" si="5"/>
        <v>45796</v>
      </c>
      <c r="B506" s="449">
        <v>659.0</v>
      </c>
      <c r="C506" s="462">
        <v>0.6</v>
      </c>
      <c r="D506" s="462">
        <v>1.0986111111111112</v>
      </c>
      <c r="E506" s="436">
        <f t="array" ref="E506">IF(B506=0,"",(J506+K506)/60)</f>
        <v>1.666666667</v>
      </c>
      <c r="F506" s="437">
        <f t="shared" si="1"/>
        <v>11.96666667</v>
      </c>
      <c r="G506" s="438">
        <f t="shared" si="8"/>
        <v>55.06963788</v>
      </c>
      <c r="H506" s="438">
        <f t="shared" si="3"/>
        <v>63.98058252</v>
      </c>
      <c r="I506" s="436">
        <f t="shared" si="6"/>
        <v>1.223769731</v>
      </c>
      <c r="J506" s="460">
        <v>60.0</v>
      </c>
      <c r="K506" s="464">
        <f>18+4+18</f>
        <v>40</v>
      </c>
      <c r="L506" s="443"/>
      <c r="M506" s="447">
        <f>IFERROR(__xludf.DUMMYFUNCTION("""COMPUTED_VALUE"""),57.0)</f>
        <v>57</v>
      </c>
      <c r="N506" s="447">
        <f>IFERROR(__xludf.DUMMYFUNCTION("""COMPUTED_VALUE"""),55.0)</f>
        <v>55</v>
      </c>
      <c r="O506" s="447">
        <f>IFERROR(__xludf.DUMMYFUNCTION("""COMPUTED_VALUE"""),0.0)</f>
        <v>0</v>
      </c>
      <c r="P506" s="447">
        <f>IFERROR(__xludf.DUMMYFUNCTION("""COMPUTED_VALUE"""),1.0)</f>
        <v>1</v>
      </c>
      <c r="Q506" s="447">
        <f>IFERROR(__xludf.DUMMYFUNCTION("""COMPUTED_VALUE"""),3.0)</f>
        <v>3</v>
      </c>
      <c r="R506" s="447">
        <f>IFERROR(__xludf.DUMMYFUNCTION("""COMPUTED_VALUE"""),0.0)</f>
        <v>0</v>
      </c>
      <c r="S506" s="447">
        <f>IFERROR(__xludf.DUMMYFUNCTION("""COMPUTED_VALUE"""),1.0)</f>
        <v>1</v>
      </c>
      <c r="T506" s="447">
        <f>IFERROR(__xludf.DUMMYFUNCTION("""COMPUTED_VALUE"""),0.0)</f>
        <v>0</v>
      </c>
      <c r="U506" s="447">
        <f>IFERROR(__xludf.DUMMYFUNCTION("""COMPUTED_VALUE"""),2.0)</f>
        <v>2</v>
      </c>
      <c r="V506" s="447">
        <f>IFERROR(__xludf.DUMMYFUNCTION("""COMPUTED_VALUE"""),2.0)</f>
        <v>2</v>
      </c>
      <c r="W506" s="447">
        <f>IFERROR(__xludf.DUMMYFUNCTION("""COMPUTED_VALUE"""),0.0)</f>
        <v>0</v>
      </c>
      <c r="X506" s="447">
        <f>IFERROR(__xludf.DUMMYFUNCTION("""COMPUTED_VALUE"""),0.0)</f>
        <v>0</v>
      </c>
      <c r="Y506" s="447">
        <f>IFERROR(__xludf.DUMMYFUNCTION("""COMPUTED_VALUE"""),0.0)</f>
        <v>0</v>
      </c>
      <c r="Z506" s="447">
        <f>IFERROR(__xludf.DUMMYFUNCTION("""COMPUTED_VALUE"""),0.0)</f>
        <v>0</v>
      </c>
      <c r="AA506" s="447">
        <f>IFERROR(__xludf.DUMMYFUNCTION("""COMPUTED_VALUE"""),0.0)</f>
        <v>0</v>
      </c>
      <c r="AB506" s="447">
        <f>IFERROR(__xludf.DUMMYFUNCTION("""COMPUTED_VALUE"""),0.0)</f>
        <v>0</v>
      </c>
      <c r="AC506" s="447">
        <f>IFERROR(__xludf.DUMMYFUNCTION("""COMPUTED_VALUE"""),1.0)</f>
        <v>1</v>
      </c>
      <c r="AD506" s="447">
        <f>IFERROR(__xludf.DUMMYFUNCTION("""COMPUTED_VALUE"""),45.0)</f>
        <v>45</v>
      </c>
      <c r="AE506" s="447">
        <f>IFERROR(__xludf.DUMMYFUNCTION("""COMPUTED_VALUE"""),10.0)</f>
        <v>10</v>
      </c>
      <c r="AF506" s="447">
        <f>IFERROR(__xludf.DUMMYFUNCTION("""COMPUTED_VALUE"""),2.0)</f>
        <v>2</v>
      </c>
      <c r="AG506" s="443" t="s">
        <v>117</v>
      </c>
      <c r="AH506" s="443" t="s">
        <v>961</v>
      </c>
      <c r="AI506" s="443"/>
      <c r="AJ506" s="443"/>
      <c r="AK506" s="443"/>
      <c r="AL506" s="443"/>
      <c r="AM506" s="443"/>
      <c r="AN506" s="443"/>
      <c r="AO506" s="443"/>
      <c r="AP506" s="443"/>
      <c r="AQ506" s="443"/>
      <c r="AR506" s="443"/>
      <c r="AS506" s="443"/>
      <c r="AT506" s="443"/>
      <c r="AU506" s="443"/>
      <c r="AV506" s="443"/>
      <c r="AW506" s="443"/>
      <c r="AX506" s="443"/>
      <c r="AY506" s="443"/>
      <c r="AZ506" s="443"/>
      <c r="BA506" s="443"/>
      <c r="BB506" s="443"/>
      <c r="BC506" s="443"/>
      <c r="BD506" s="443"/>
      <c r="BE506" s="443"/>
    </row>
    <row r="507" hidden="1">
      <c r="A507" s="445">
        <f t="shared" si="5"/>
        <v>45797</v>
      </c>
      <c r="B507" s="449">
        <v>498.0</v>
      </c>
      <c r="C507" s="462">
        <v>0.6</v>
      </c>
      <c r="D507" s="462">
        <v>0.9986111111111111</v>
      </c>
      <c r="E507" s="436">
        <f t="array" ref="E507">IF(B507=0,"",(J507+K507)/60)</f>
        <v>0.8166666667</v>
      </c>
      <c r="F507" s="437">
        <f t="shared" si="1"/>
        <v>9.566666667</v>
      </c>
      <c r="G507" s="438">
        <f t="shared" si="8"/>
        <v>52.05574913</v>
      </c>
      <c r="H507" s="438">
        <f t="shared" si="3"/>
        <v>56.91428571</v>
      </c>
      <c r="I507" s="436">
        <f t="shared" si="6"/>
        <v>1.10756913</v>
      </c>
      <c r="J507" s="460">
        <v>30.0</v>
      </c>
      <c r="K507" s="464">
        <f>9+5+5</f>
        <v>19</v>
      </c>
      <c r="L507" s="443"/>
      <c r="M507" s="447">
        <f>IFERROR(__xludf.DUMMYFUNCTION("""COMPUTED_VALUE"""),57.0)</f>
        <v>57</v>
      </c>
      <c r="N507" s="447">
        <f>IFERROR(__xludf.DUMMYFUNCTION("""COMPUTED_VALUE"""),55.0)</f>
        <v>55</v>
      </c>
      <c r="O507" s="447">
        <f>IFERROR(__xludf.DUMMYFUNCTION("""COMPUTED_VALUE"""),0.0)</f>
        <v>0</v>
      </c>
      <c r="P507" s="447">
        <f>IFERROR(__xludf.DUMMYFUNCTION("""COMPUTED_VALUE"""),0.0)</f>
        <v>0</v>
      </c>
      <c r="Q507" s="447">
        <f>IFERROR(__xludf.DUMMYFUNCTION("""COMPUTED_VALUE"""),1.0)</f>
        <v>1</v>
      </c>
      <c r="R507" s="447">
        <f>IFERROR(__xludf.DUMMYFUNCTION("""COMPUTED_VALUE"""),0.0)</f>
        <v>0</v>
      </c>
      <c r="S507" s="447">
        <f>IFERROR(__xludf.DUMMYFUNCTION("""COMPUTED_VALUE"""),2.0)</f>
        <v>2</v>
      </c>
      <c r="T507" s="447">
        <f>IFERROR(__xludf.DUMMYFUNCTION("""COMPUTED_VALUE"""),0.0)</f>
        <v>0</v>
      </c>
      <c r="U507" s="447">
        <f>IFERROR(__xludf.DUMMYFUNCTION("""COMPUTED_VALUE"""),2.0)</f>
        <v>2</v>
      </c>
      <c r="V507" s="447">
        <f>IFERROR(__xludf.DUMMYFUNCTION("""COMPUTED_VALUE"""),2.0)</f>
        <v>2</v>
      </c>
      <c r="W507" s="447">
        <f>IFERROR(__xludf.DUMMYFUNCTION("""COMPUTED_VALUE"""),0.0)</f>
        <v>0</v>
      </c>
      <c r="X507" s="447">
        <f>IFERROR(__xludf.DUMMYFUNCTION("""COMPUTED_VALUE"""),0.0)</f>
        <v>0</v>
      </c>
      <c r="Y507" s="447">
        <f>IFERROR(__xludf.DUMMYFUNCTION("""COMPUTED_VALUE"""),0.0)</f>
        <v>0</v>
      </c>
      <c r="Z507" s="447">
        <f>IFERROR(__xludf.DUMMYFUNCTION("""COMPUTED_VALUE"""),0.0)</f>
        <v>0</v>
      </c>
      <c r="AA507" s="447">
        <f>IFERROR(__xludf.DUMMYFUNCTION("""COMPUTED_VALUE"""),0.0)</f>
        <v>0</v>
      </c>
      <c r="AB507" s="447">
        <f>IFERROR(__xludf.DUMMYFUNCTION("""COMPUTED_VALUE"""),0.0)</f>
        <v>0</v>
      </c>
      <c r="AC507" s="447">
        <f>IFERROR(__xludf.DUMMYFUNCTION("""COMPUTED_VALUE"""),1.0)</f>
        <v>1</v>
      </c>
      <c r="AD507" s="447">
        <f>IFERROR(__xludf.DUMMYFUNCTION("""COMPUTED_VALUE"""),47.0)</f>
        <v>47</v>
      </c>
      <c r="AE507" s="447">
        <f>IFERROR(__xludf.DUMMYFUNCTION("""COMPUTED_VALUE"""),8.0)</f>
        <v>8</v>
      </c>
      <c r="AF507" s="447">
        <f>IFERROR(__xludf.DUMMYFUNCTION("""COMPUTED_VALUE"""),2.0)</f>
        <v>2</v>
      </c>
      <c r="AG507" s="443" t="s">
        <v>117</v>
      </c>
      <c r="AH507" s="443" t="s">
        <v>961</v>
      </c>
      <c r="AI507" s="443"/>
      <c r="AJ507" s="443"/>
      <c r="AK507" s="443"/>
      <c r="AL507" s="443"/>
      <c r="AM507" s="443"/>
      <c r="AN507" s="443"/>
      <c r="AO507" s="443"/>
      <c r="AP507" s="443"/>
      <c r="AQ507" s="443"/>
      <c r="AR507" s="443"/>
      <c r="AS507" s="443"/>
      <c r="AT507" s="443"/>
      <c r="AU507" s="443"/>
      <c r="AV507" s="443"/>
      <c r="AW507" s="443"/>
      <c r="AX507" s="443"/>
      <c r="AY507" s="443"/>
      <c r="AZ507" s="443"/>
      <c r="BA507" s="443"/>
      <c r="BB507" s="443"/>
      <c r="BC507" s="443"/>
      <c r="BD507" s="443"/>
      <c r="BE507" s="443"/>
    </row>
    <row r="508" hidden="1">
      <c r="A508" s="445">
        <f t="shared" si="5"/>
        <v>45798</v>
      </c>
      <c r="B508" s="449">
        <v>430.0</v>
      </c>
      <c r="C508" s="462">
        <v>0.7368055555555556</v>
      </c>
      <c r="D508" s="462">
        <v>1.0090277777777779</v>
      </c>
      <c r="E508" s="436">
        <f t="array" ref="E508">IF(B508=0,"",(J508+K508)/60)</f>
        <v>0.3333333333</v>
      </c>
      <c r="F508" s="437">
        <f t="shared" si="1"/>
        <v>6.533333333</v>
      </c>
      <c r="G508" s="438">
        <f t="shared" si="8"/>
        <v>65.81632653</v>
      </c>
      <c r="H508" s="438">
        <f t="shared" si="3"/>
        <v>69.35483871</v>
      </c>
      <c r="I508" s="436">
        <f t="shared" si="6"/>
        <v>1.430789707</v>
      </c>
      <c r="J508" s="460">
        <v>20.0</v>
      </c>
      <c r="K508" s="464"/>
      <c r="L508" s="443"/>
      <c r="M508" s="447">
        <f>IFERROR(__xludf.DUMMYFUNCTION("""COMPUTED_VALUE"""),57.0)</f>
        <v>57</v>
      </c>
      <c r="N508" s="447">
        <f>IFERROR(__xludf.DUMMYFUNCTION("""COMPUTED_VALUE"""),54.0)</f>
        <v>54</v>
      </c>
      <c r="O508" s="447">
        <f>IFERROR(__xludf.DUMMYFUNCTION("""COMPUTED_VALUE"""),0.0)</f>
        <v>0</v>
      </c>
      <c r="P508" s="447">
        <f>IFERROR(__xludf.DUMMYFUNCTION("""COMPUTED_VALUE"""),0.0)</f>
        <v>0</v>
      </c>
      <c r="Q508" s="447">
        <f>IFERROR(__xludf.DUMMYFUNCTION("""COMPUTED_VALUE"""),0.0)</f>
        <v>0</v>
      </c>
      <c r="R508" s="447">
        <f>IFERROR(__xludf.DUMMYFUNCTION("""COMPUTED_VALUE"""),0.0)</f>
        <v>0</v>
      </c>
      <c r="S508" s="447">
        <f>IFERROR(__xludf.DUMMYFUNCTION("""COMPUTED_VALUE"""),3.0)</f>
        <v>3</v>
      </c>
      <c r="T508" s="447">
        <f>IFERROR(__xludf.DUMMYFUNCTION("""COMPUTED_VALUE"""),1.0)</f>
        <v>1</v>
      </c>
      <c r="U508" s="447">
        <f>IFERROR(__xludf.DUMMYFUNCTION("""COMPUTED_VALUE"""),3.0)</f>
        <v>3</v>
      </c>
      <c r="V508" s="447">
        <f>IFERROR(__xludf.DUMMYFUNCTION("""COMPUTED_VALUE"""),2.0)</f>
        <v>2</v>
      </c>
      <c r="W508" s="447">
        <f>IFERROR(__xludf.DUMMYFUNCTION("""COMPUTED_VALUE"""),0.0)</f>
        <v>0</v>
      </c>
      <c r="X508" s="447">
        <f>IFERROR(__xludf.DUMMYFUNCTION("""COMPUTED_VALUE"""),0.0)</f>
        <v>0</v>
      </c>
      <c r="Y508" s="447">
        <f>IFERROR(__xludf.DUMMYFUNCTION("""COMPUTED_VALUE"""),0.0)</f>
        <v>0</v>
      </c>
      <c r="Z508" s="447">
        <f>IFERROR(__xludf.DUMMYFUNCTION("""COMPUTED_VALUE"""),0.0)</f>
        <v>0</v>
      </c>
      <c r="AA508" s="447">
        <f>IFERROR(__xludf.DUMMYFUNCTION("""COMPUTED_VALUE"""),0.0)</f>
        <v>0</v>
      </c>
      <c r="AB508" s="447">
        <f>IFERROR(__xludf.DUMMYFUNCTION("""COMPUTED_VALUE"""),0.0)</f>
        <v>0</v>
      </c>
      <c r="AC508" s="447">
        <f>IFERROR(__xludf.DUMMYFUNCTION("""COMPUTED_VALUE"""),0.0)</f>
        <v>0</v>
      </c>
      <c r="AD508" s="447">
        <f>IFERROR(__xludf.DUMMYFUNCTION("""COMPUTED_VALUE"""),46.0)</f>
        <v>46</v>
      </c>
      <c r="AE508" s="447">
        <f>IFERROR(__xludf.DUMMYFUNCTION("""COMPUTED_VALUE"""),9.0)</f>
        <v>9</v>
      </c>
      <c r="AF508" s="447">
        <f>IFERROR(__xludf.DUMMYFUNCTION("""COMPUTED_VALUE"""),3.0)</f>
        <v>3</v>
      </c>
      <c r="AG508" s="443" t="s">
        <v>117</v>
      </c>
      <c r="AH508" s="443" t="s">
        <v>961</v>
      </c>
      <c r="AI508" s="443"/>
      <c r="AJ508" s="443"/>
      <c r="AK508" s="443"/>
      <c r="AL508" s="443"/>
      <c r="AM508" s="443"/>
      <c r="AN508" s="443"/>
      <c r="AO508" s="443"/>
      <c r="AP508" s="443"/>
      <c r="AQ508" s="443"/>
      <c r="AR508" s="443"/>
      <c r="AS508" s="443"/>
      <c r="AT508" s="443"/>
      <c r="AU508" s="443"/>
      <c r="AV508" s="443"/>
      <c r="AW508" s="443"/>
      <c r="AX508" s="443"/>
      <c r="AY508" s="443"/>
      <c r="AZ508" s="443"/>
      <c r="BA508" s="443"/>
      <c r="BB508" s="443"/>
      <c r="BC508" s="443"/>
      <c r="BD508" s="443"/>
      <c r="BE508" s="443"/>
    </row>
    <row r="509" hidden="1">
      <c r="A509" s="445">
        <f t="shared" si="5"/>
        <v>45799</v>
      </c>
      <c r="B509" s="449">
        <v>489.0</v>
      </c>
      <c r="C509" s="462">
        <v>0.6</v>
      </c>
      <c r="D509" s="462">
        <v>0.9791666666666666</v>
      </c>
      <c r="E509" s="436">
        <f t="array" ref="E509">IF(B509=0,"",(J509+K509)/60)</f>
        <v>0.5833333333</v>
      </c>
      <c r="F509" s="437">
        <f t="shared" si="1"/>
        <v>9.1</v>
      </c>
      <c r="G509" s="438">
        <f t="shared" si="8"/>
        <v>53.73626374</v>
      </c>
      <c r="H509" s="438">
        <f t="shared" si="3"/>
        <v>57.41682975</v>
      </c>
      <c r="I509" s="436">
        <f t="shared" si="6"/>
        <v>1.14332476</v>
      </c>
      <c r="J509" s="460">
        <v>30.0</v>
      </c>
      <c r="K509" s="460">
        <v>5.0</v>
      </c>
      <c r="L509" s="443"/>
      <c r="M509" s="447">
        <f>IFERROR(__xludf.DUMMYFUNCTION("""COMPUTED_VALUE"""),57.0)</f>
        <v>57</v>
      </c>
      <c r="N509" s="447">
        <f>IFERROR(__xludf.DUMMYFUNCTION("""COMPUTED_VALUE"""),56.0)</f>
        <v>56</v>
      </c>
      <c r="O509" s="447">
        <f>IFERROR(__xludf.DUMMYFUNCTION("""COMPUTED_VALUE"""),0.0)</f>
        <v>0</v>
      </c>
      <c r="P509" s="447">
        <f>IFERROR(__xludf.DUMMYFUNCTION("""COMPUTED_VALUE"""),0.0)</f>
        <v>0</v>
      </c>
      <c r="Q509" s="447">
        <f>IFERROR(__xludf.DUMMYFUNCTION("""COMPUTED_VALUE"""),0.0)</f>
        <v>0</v>
      </c>
      <c r="R509" s="447">
        <f>IFERROR(__xludf.DUMMYFUNCTION("""COMPUTED_VALUE"""),0.0)</f>
        <v>0</v>
      </c>
      <c r="S509" s="447">
        <f>IFERROR(__xludf.DUMMYFUNCTION("""COMPUTED_VALUE"""),2.0)</f>
        <v>2</v>
      </c>
      <c r="T509" s="447">
        <f>IFERROR(__xludf.DUMMYFUNCTION("""COMPUTED_VALUE"""),1.0)</f>
        <v>1</v>
      </c>
      <c r="U509" s="447">
        <f>IFERROR(__xludf.DUMMYFUNCTION("""COMPUTED_VALUE"""),1.0)</f>
        <v>1</v>
      </c>
      <c r="V509" s="447">
        <f>IFERROR(__xludf.DUMMYFUNCTION("""COMPUTED_VALUE"""),2.0)</f>
        <v>2</v>
      </c>
      <c r="W509" s="447">
        <f>IFERROR(__xludf.DUMMYFUNCTION("""COMPUTED_VALUE"""),0.0)</f>
        <v>0</v>
      </c>
      <c r="X509" s="447">
        <f>IFERROR(__xludf.DUMMYFUNCTION("""COMPUTED_VALUE"""),0.0)</f>
        <v>0</v>
      </c>
      <c r="Y509" s="447">
        <f>IFERROR(__xludf.DUMMYFUNCTION("""COMPUTED_VALUE"""),0.0)</f>
        <v>0</v>
      </c>
      <c r="Z509" s="447">
        <f>IFERROR(__xludf.DUMMYFUNCTION("""COMPUTED_VALUE"""),0.0)</f>
        <v>0</v>
      </c>
      <c r="AA509" s="447">
        <f>IFERROR(__xludf.DUMMYFUNCTION("""COMPUTED_VALUE"""),0.0)</f>
        <v>0</v>
      </c>
      <c r="AB509" s="447">
        <f>IFERROR(__xludf.DUMMYFUNCTION("""COMPUTED_VALUE"""),2.0)</f>
        <v>2</v>
      </c>
      <c r="AC509" s="447">
        <f>IFERROR(__xludf.DUMMYFUNCTION("""COMPUTED_VALUE"""),0.0)</f>
        <v>0</v>
      </c>
      <c r="AD509" s="447">
        <f>IFERROR(__xludf.DUMMYFUNCTION("""COMPUTED_VALUE"""),47.0)</f>
        <v>47</v>
      </c>
      <c r="AE509" s="447">
        <f>IFERROR(__xludf.DUMMYFUNCTION("""COMPUTED_VALUE"""),6.0)</f>
        <v>6</v>
      </c>
      <c r="AF509" s="447">
        <f>IFERROR(__xludf.DUMMYFUNCTION("""COMPUTED_VALUE"""),1.0)</f>
        <v>1</v>
      </c>
      <c r="AG509" s="443" t="s">
        <v>117</v>
      </c>
      <c r="AH509" s="443" t="s">
        <v>961</v>
      </c>
      <c r="AI509" s="443"/>
      <c r="AJ509" s="443"/>
      <c r="AK509" s="443"/>
      <c r="AL509" s="443"/>
      <c r="AM509" s="443"/>
      <c r="AN509" s="443"/>
      <c r="AO509" s="443"/>
      <c r="AP509" s="443"/>
      <c r="AQ509" s="443"/>
      <c r="AR509" s="443"/>
      <c r="AS509" s="443"/>
      <c r="AT509" s="443"/>
      <c r="AU509" s="443"/>
      <c r="AV509" s="443"/>
      <c r="AW509" s="443"/>
      <c r="AX509" s="443"/>
      <c r="AY509" s="443"/>
      <c r="AZ509" s="443"/>
      <c r="BA509" s="443"/>
      <c r="BB509" s="443"/>
      <c r="BC509" s="443"/>
      <c r="BD509" s="443"/>
      <c r="BE509" s="443"/>
    </row>
    <row r="510" hidden="1">
      <c r="A510" s="445">
        <f t="shared" si="5"/>
        <v>45800</v>
      </c>
      <c r="B510" s="449">
        <v>492.0</v>
      </c>
      <c r="C510" s="462">
        <v>0.6</v>
      </c>
      <c r="D510" s="462">
        <v>0.9395833333333333</v>
      </c>
      <c r="E510" s="436">
        <f t="array" ref="E510">IF(B510=0,"",(J510+K510)/60)</f>
        <v>0.5</v>
      </c>
      <c r="F510" s="437">
        <f t="shared" si="1"/>
        <v>8.15</v>
      </c>
      <c r="G510" s="438">
        <f t="shared" si="8"/>
        <v>60.36809816</v>
      </c>
      <c r="H510" s="438">
        <f t="shared" si="3"/>
        <v>64.31372549</v>
      </c>
      <c r="I510" s="436">
        <f t="shared" si="6"/>
        <v>1.257668712</v>
      </c>
      <c r="J510" s="460">
        <v>30.0</v>
      </c>
      <c r="K510" s="464"/>
      <c r="L510" s="443"/>
      <c r="M510" s="447">
        <f>IFERROR(__xludf.DUMMYFUNCTION("""COMPUTED_VALUE"""),57.0)</f>
        <v>57</v>
      </c>
      <c r="N510" s="447">
        <f>IFERROR(__xludf.DUMMYFUNCTION("""COMPUTED_VALUE"""),56.0)</f>
        <v>56</v>
      </c>
      <c r="O510" s="447">
        <f>IFERROR(__xludf.DUMMYFUNCTION("""COMPUTED_VALUE"""),0.0)</f>
        <v>0</v>
      </c>
      <c r="P510" s="447">
        <f>IFERROR(__xludf.DUMMYFUNCTION("""COMPUTED_VALUE"""),0.0)</f>
        <v>0</v>
      </c>
      <c r="Q510" s="447">
        <f>IFERROR(__xludf.DUMMYFUNCTION("""COMPUTED_VALUE"""),0.0)</f>
        <v>0</v>
      </c>
      <c r="R510" s="447">
        <f>IFERROR(__xludf.DUMMYFUNCTION("""COMPUTED_VALUE"""),0.0)</f>
        <v>0</v>
      </c>
      <c r="S510" s="447">
        <f>IFERROR(__xludf.DUMMYFUNCTION("""COMPUTED_VALUE"""),4.0)</f>
        <v>4</v>
      </c>
      <c r="T510" s="447">
        <f>IFERROR(__xludf.DUMMYFUNCTION("""COMPUTED_VALUE"""),0.0)</f>
        <v>0</v>
      </c>
      <c r="U510" s="447">
        <f>IFERROR(__xludf.DUMMYFUNCTION("""COMPUTED_VALUE"""),1.0)</f>
        <v>1</v>
      </c>
      <c r="V510" s="447">
        <f>IFERROR(__xludf.DUMMYFUNCTION("""COMPUTED_VALUE"""),2.0)</f>
        <v>2</v>
      </c>
      <c r="W510" s="447">
        <f>IFERROR(__xludf.DUMMYFUNCTION("""COMPUTED_VALUE"""),0.0)</f>
        <v>0</v>
      </c>
      <c r="X510" s="447">
        <f>IFERROR(__xludf.DUMMYFUNCTION("""COMPUTED_VALUE"""),0.0)</f>
        <v>0</v>
      </c>
      <c r="Y510" s="447">
        <f>IFERROR(__xludf.DUMMYFUNCTION("""COMPUTED_VALUE"""),0.0)</f>
        <v>0</v>
      </c>
      <c r="Z510" s="447">
        <f>IFERROR(__xludf.DUMMYFUNCTION("""COMPUTED_VALUE"""),0.0)</f>
        <v>0</v>
      </c>
      <c r="AA510" s="447">
        <f>IFERROR(__xludf.DUMMYFUNCTION("""COMPUTED_VALUE"""),0.0)</f>
        <v>0</v>
      </c>
      <c r="AB510" s="447">
        <f>IFERROR(__xludf.DUMMYFUNCTION("""COMPUTED_VALUE"""),0.0)</f>
        <v>0</v>
      </c>
      <c r="AC510" s="447">
        <f>IFERROR(__xludf.DUMMYFUNCTION("""COMPUTED_VALUE"""),0.0)</f>
        <v>0</v>
      </c>
      <c r="AD510" s="447">
        <f>IFERROR(__xludf.DUMMYFUNCTION("""COMPUTED_VALUE"""),48.0)</f>
        <v>48</v>
      </c>
      <c r="AE510" s="447">
        <f>IFERROR(__xludf.DUMMYFUNCTION("""COMPUTED_VALUE"""),7.0)</f>
        <v>7</v>
      </c>
      <c r="AF510" s="447">
        <f>IFERROR(__xludf.DUMMYFUNCTION("""COMPUTED_VALUE"""),1.0)</f>
        <v>1</v>
      </c>
      <c r="AG510" s="443" t="s">
        <v>117</v>
      </c>
      <c r="AH510" s="443" t="s">
        <v>961</v>
      </c>
      <c r="AI510" s="443"/>
      <c r="AJ510" s="443"/>
      <c r="AK510" s="443"/>
      <c r="AL510" s="443"/>
      <c r="AM510" s="443"/>
      <c r="AN510" s="443"/>
      <c r="AO510" s="443"/>
      <c r="AP510" s="443"/>
      <c r="AQ510" s="443"/>
      <c r="AR510" s="443"/>
      <c r="AS510" s="443"/>
      <c r="AT510" s="443"/>
      <c r="AU510" s="443"/>
      <c r="AV510" s="443"/>
      <c r="AW510" s="443"/>
      <c r="AX510" s="443"/>
      <c r="AY510" s="443"/>
      <c r="AZ510" s="443"/>
      <c r="BA510" s="443"/>
      <c r="BB510" s="443"/>
      <c r="BC510" s="443"/>
      <c r="BD510" s="443"/>
      <c r="BE510" s="443"/>
    </row>
    <row r="511" hidden="1">
      <c r="A511" s="445">
        <f t="shared" si="5"/>
        <v>45801</v>
      </c>
      <c r="B511" s="449">
        <v>301.0</v>
      </c>
      <c r="C511" s="462">
        <v>0.6</v>
      </c>
      <c r="D511" s="462">
        <v>0.8125</v>
      </c>
      <c r="E511" s="436">
        <f t="array" ref="E511">IF(B511=0,"",(J511+K511)/60)</f>
        <v>0</v>
      </c>
      <c r="F511" s="437">
        <f t="shared" si="1"/>
        <v>5.1</v>
      </c>
      <c r="G511" s="438">
        <f t="shared" si="8"/>
        <v>59.01960784</v>
      </c>
      <c r="H511" s="438">
        <f t="shared" si="3"/>
        <v>59.01960784</v>
      </c>
      <c r="I511" s="436">
        <f t="shared" si="6"/>
        <v>1.283034953</v>
      </c>
      <c r="J511" s="464"/>
      <c r="K511" s="464"/>
      <c r="L511" s="443"/>
      <c r="M511" s="447">
        <f>IFERROR(__xludf.DUMMYFUNCTION("""COMPUTED_VALUE"""),57.0)</f>
        <v>57</v>
      </c>
      <c r="N511" s="447">
        <f>IFERROR(__xludf.DUMMYFUNCTION("""COMPUTED_VALUE"""),56.0)</f>
        <v>56</v>
      </c>
      <c r="O511" s="447">
        <f>IFERROR(__xludf.DUMMYFUNCTION("""COMPUTED_VALUE"""),0.0)</f>
        <v>0</v>
      </c>
      <c r="P511" s="447">
        <f>IFERROR(__xludf.DUMMYFUNCTION("""COMPUTED_VALUE"""),0.0)</f>
        <v>0</v>
      </c>
      <c r="Q511" s="447">
        <f>IFERROR(__xludf.DUMMYFUNCTION("""COMPUTED_VALUE"""),0.0)</f>
        <v>0</v>
      </c>
      <c r="R511" s="447">
        <f>IFERROR(__xludf.DUMMYFUNCTION("""COMPUTED_VALUE"""),0.0)</f>
        <v>0</v>
      </c>
      <c r="S511" s="447">
        <f>IFERROR(__xludf.DUMMYFUNCTION("""COMPUTED_VALUE"""),5.0)</f>
        <v>5</v>
      </c>
      <c r="T511" s="447">
        <f>IFERROR(__xludf.DUMMYFUNCTION("""COMPUTED_VALUE"""),0.0)</f>
        <v>0</v>
      </c>
      <c r="U511" s="447">
        <f>IFERROR(__xludf.DUMMYFUNCTION("""COMPUTED_VALUE"""),1.0)</f>
        <v>1</v>
      </c>
      <c r="V511" s="447">
        <f>IFERROR(__xludf.DUMMYFUNCTION("""COMPUTED_VALUE"""),2.0)</f>
        <v>2</v>
      </c>
      <c r="W511" s="447">
        <f>IFERROR(__xludf.DUMMYFUNCTION("""COMPUTED_VALUE"""),0.0)</f>
        <v>0</v>
      </c>
      <c r="X511" s="447">
        <f>IFERROR(__xludf.DUMMYFUNCTION("""COMPUTED_VALUE"""),0.0)</f>
        <v>0</v>
      </c>
      <c r="Y511" s="447">
        <f>IFERROR(__xludf.DUMMYFUNCTION("""COMPUTED_VALUE"""),0.0)</f>
        <v>0</v>
      </c>
      <c r="Z511" s="447">
        <f>IFERROR(__xludf.DUMMYFUNCTION("""COMPUTED_VALUE"""),0.0)</f>
        <v>0</v>
      </c>
      <c r="AA511" s="447">
        <f>IFERROR(__xludf.DUMMYFUNCTION("""COMPUTED_VALUE"""),0.0)</f>
        <v>0</v>
      </c>
      <c r="AB511" s="447">
        <f>IFERROR(__xludf.DUMMYFUNCTION("""COMPUTED_VALUE"""),0.0)</f>
        <v>0</v>
      </c>
      <c r="AC511" s="447">
        <f>IFERROR(__xludf.DUMMYFUNCTION("""COMPUTED_VALUE"""),1.0)</f>
        <v>1</v>
      </c>
      <c r="AD511" s="447">
        <f>IFERROR(__xludf.DUMMYFUNCTION("""COMPUTED_VALUE"""),46.0)</f>
        <v>46</v>
      </c>
      <c r="AE511" s="447">
        <f>IFERROR(__xludf.DUMMYFUNCTION("""COMPUTED_VALUE"""),9.0)</f>
        <v>9</v>
      </c>
      <c r="AF511" s="447">
        <f>IFERROR(__xludf.DUMMYFUNCTION("""COMPUTED_VALUE"""),1.0)</f>
        <v>1</v>
      </c>
      <c r="AG511" s="443" t="s">
        <v>117</v>
      </c>
      <c r="AH511" s="443" t="s">
        <v>961</v>
      </c>
      <c r="AI511" s="443"/>
      <c r="AJ511" s="443"/>
      <c r="AK511" s="443"/>
      <c r="AL511" s="443"/>
      <c r="AM511" s="443"/>
      <c r="AN511" s="443"/>
      <c r="AO511" s="443"/>
      <c r="AP511" s="443"/>
      <c r="AQ511" s="443"/>
      <c r="AR511" s="443"/>
      <c r="AS511" s="443"/>
      <c r="AT511" s="443"/>
      <c r="AU511" s="443"/>
      <c r="AV511" s="443"/>
      <c r="AW511" s="443"/>
      <c r="AX511" s="443"/>
      <c r="AY511" s="443"/>
      <c r="AZ511" s="443"/>
      <c r="BA511" s="443"/>
      <c r="BB511" s="443"/>
      <c r="BC511" s="443"/>
      <c r="BD511" s="443"/>
      <c r="BE511" s="443"/>
    </row>
    <row r="512" hidden="1">
      <c r="A512" s="445">
        <f t="shared" si="5"/>
        <v>45802</v>
      </c>
      <c r="B512" s="449">
        <v>0.0</v>
      </c>
      <c r="C512" s="443"/>
      <c r="D512" s="462"/>
      <c r="E512" s="436" t="str">
        <f t="array" ref="E512">IF(B512=0,"",(J512+K512)/60)</f>
        <v/>
      </c>
      <c r="F512" s="437" t="str">
        <f t="shared" si="1"/>
        <v/>
      </c>
      <c r="G512" s="438" t="str">
        <f t="shared" si="8"/>
        <v>#DIV/0!</v>
      </c>
      <c r="H512" s="438" t="str">
        <f t="shared" si="3"/>
        <v/>
      </c>
      <c r="I512" s="436" t="str">
        <f t="shared" si="6"/>
        <v/>
      </c>
      <c r="J512" s="464"/>
      <c r="K512" s="464"/>
      <c r="L512" s="443"/>
      <c r="M512" s="447">
        <f>IFERROR(__xludf.DUMMYFUNCTION("""COMPUTED_VALUE"""),57.0)</f>
        <v>57</v>
      </c>
      <c r="N512" s="447">
        <f>IFERROR(__xludf.DUMMYFUNCTION("""COMPUTED_VALUE"""),56.0)</f>
        <v>56</v>
      </c>
      <c r="O512" s="447">
        <f>IFERROR(__xludf.DUMMYFUNCTION("""COMPUTED_VALUE"""),0.0)</f>
        <v>0</v>
      </c>
      <c r="P512" s="447">
        <f>IFERROR(__xludf.DUMMYFUNCTION("""COMPUTED_VALUE"""),0.0)</f>
        <v>0</v>
      </c>
      <c r="Q512" s="447">
        <f>IFERROR(__xludf.DUMMYFUNCTION("""COMPUTED_VALUE"""),0.0)</f>
        <v>0</v>
      </c>
      <c r="R512" s="447">
        <f>IFERROR(__xludf.DUMMYFUNCTION("""COMPUTED_VALUE"""),0.0)</f>
        <v>0</v>
      </c>
      <c r="S512" s="447">
        <f>IFERROR(__xludf.DUMMYFUNCTION("""COMPUTED_VALUE"""),0.0)</f>
        <v>0</v>
      </c>
      <c r="T512" s="447">
        <f>IFERROR(__xludf.DUMMYFUNCTION("""COMPUTED_VALUE"""),0.0)</f>
        <v>0</v>
      </c>
      <c r="U512" s="447">
        <f>IFERROR(__xludf.DUMMYFUNCTION("""COMPUTED_VALUE"""),1.0)</f>
        <v>1</v>
      </c>
      <c r="V512" s="447">
        <f>IFERROR(__xludf.DUMMYFUNCTION("""COMPUTED_VALUE"""),0.0)</f>
        <v>0</v>
      </c>
      <c r="W512" s="447">
        <f>IFERROR(__xludf.DUMMYFUNCTION("""COMPUTED_VALUE"""),0.0)</f>
        <v>0</v>
      </c>
      <c r="X512" s="447">
        <f>IFERROR(__xludf.DUMMYFUNCTION("""COMPUTED_VALUE"""),0.0)</f>
        <v>0</v>
      </c>
      <c r="Y512" s="447">
        <f>IFERROR(__xludf.DUMMYFUNCTION("""COMPUTED_VALUE"""),0.0)</f>
        <v>0</v>
      </c>
      <c r="Z512" s="447">
        <f>IFERROR(__xludf.DUMMYFUNCTION("""COMPUTED_VALUE"""),0.0)</f>
        <v>0</v>
      </c>
      <c r="AA512" s="447">
        <f>IFERROR(__xludf.DUMMYFUNCTION("""COMPUTED_VALUE"""),0.0)</f>
        <v>0</v>
      </c>
      <c r="AB512" s="447">
        <f>IFERROR(__xludf.DUMMYFUNCTION("""COMPUTED_VALUE"""),0.0)</f>
        <v>0</v>
      </c>
      <c r="AC512" s="447">
        <f>IFERROR(__xludf.DUMMYFUNCTION("""COMPUTED_VALUE"""),0.0)</f>
        <v>0</v>
      </c>
      <c r="AD512" s="447">
        <f>IFERROR(__xludf.DUMMYFUNCTION("""COMPUTED_VALUE"""),0.0)</f>
        <v>0</v>
      </c>
      <c r="AE512" s="447">
        <f>IFERROR(__xludf.DUMMYFUNCTION("""COMPUTED_VALUE"""),1.0)</f>
        <v>1</v>
      </c>
      <c r="AF512" s="447">
        <f>IFERROR(__xludf.DUMMYFUNCTION("""COMPUTED_VALUE"""),1.0)</f>
        <v>1</v>
      </c>
      <c r="AG512" s="443" t="s">
        <v>117</v>
      </c>
      <c r="AH512" s="443" t="s">
        <v>961</v>
      </c>
      <c r="AI512" s="443"/>
      <c r="AJ512" s="443"/>
      <c r="AK512" s="443"/>
      <c r="AL512" s="443"/>
      <c r="AM512" s="443"/>
      <c r="AN512" s="443"/>
      <c r="AO512" s="443"/>
      <c r="AP512" s="443"/>
      <c r="AQ512" s="443"/>
      <c r="AR512" s="443"/>
      <c r="AS512" s="443"/>
      <c r="AT512" s="443"/>
      <c r="AU512" s="443"/>
      <c r="AV512" s="443"/>
      <c r="AW512" s="443"/>
      <c r="AX512" s="443"/>
      <c r="AY512" s="443"/>
      <c r="AZ512" s="443"/>
      <c r="BA512" s="443"/>
      <c r="BB512" s="443"/>
      <c r="BC512" s="443"/>
      <c r="BD512" s="443"/>
      <c r="BE512" s="443"/>
    </row>
    <row r="513" hidden="1">
      <c r="A513" s="445">
        <f t="shared" si="5"/>
        <v>45803</v>
      </c>
      <c r="B513" s="449">
        <v>574.0</v>
      </c>
      <c r="C513" s="462">
        <v>0.5583333333333333</v>
      </c>
      <c r="D513" s="462">
        <v>0.9284722222222223</v>
      </c>
      <c r="E513" s="436">
        <f t="array" ref="E513">IF(B513=0,"",(J513+K513)/60)</f>
        <v>0.3333333333</v>
      </c>
      <c r="F513" s="437">
        <f t="shared" si="1"/>
        <v>8.883333333</v>
      </c>
      <c r="G513" s="438">
        <f t="shared" si="8"/>
        <v>64.61538462</v>
      </c>
      <c r="H513" s="438">
        <f t="shared" si="3"/>
        <v>67.13450292</v>
      </c>
      <c r="I513" s="436">
        <f t="shared" si="6"/>
        <v>1.374795417</v>
      </c>
      <c r="J513" s="460">
        <v>20.0</v>
      </c>
      <c r="K513" s="464"/>
      <c r="L513" s="443"/>
      <c r="M513" s="447">
        <f>IFERROR(__xludf.DUMMYFUNCTION("""COMPUTED_VALUE"""),57.0)</f>
        <v>57</v>
      </c>
      <c r="N513" s="447">
        <f>IFERROR(__xludf.DUMMYFUNCTION("""COMPUTED_VALUE"""),56.0)</f>
        <v>56</v>
      </c>
      <c r="O513" s="447">
        <f>IFERROR(__xludf.DUMMYFUNCTION("""COMPUTED_VALUE"""),0.0)</f>
        <v>0</v>
      </c>
      <c r="P513" s="447">
        <f>IFERROR(__xludf.DUMMYFUNCTION("""COMPUTED_VALUE"""),0.0)</f>
        <v>0</v>
      </c>
      <c r="Q513" s="447">
        <f>IFERROR(__xludf.DUMMYFUNCTION("""COMPUTED_VALUE"""),0.0)</f>
        <v>0</v>
      </c>
      <c r="R513" s="447">
        <f>IFERROR(__xludf.DUMMYFUNCTION("""COMPUTED_VALUE"""),1.0)</f>
        <v>1</v>
      </c>
      <c r="S513" s="447">
        <f>IFERROR(__xludf.DUMMYFUNCTION("""COMPUTED_VALUE"""),2.0)</f>
        <v>2</v>
      </c>
      <c r="T513" s="447">
        <f>IFERROR(__xludf.DUMMYFUNCTION("""COMPUTED_VALUE"""),1.0)</f>
        <v>1</v>
      </c>
      <c r="U513" s="447">
        <f>IFERROR(__xludf.DUMMYFUNCTION("""COMPUTED_VALUE"""),1.0)</f>
        <v>1</v>
      </c>
      <c r="V513" s="447">
        <f>IFERROR(__xludf.DUMMYFUNCTION("""COMPUTED_VALUE"""),2.0)</f>
        <v>2</v>
      </c>
      <c r="W513" s="447">
        <f>IFERROR(__xludf.DUMMYFUNCTION("""COMPUTED_VALUE"""),0.0)</f>
        <v>0</v>
      </c>
      <c r="X513" s="447">
        <f>IFERROR(__xludf.DUMMYFUNCTION("""COMPUTED_VALUE"""),1.0)</f>
        <v>1</v>
      </c>
      <c r="Y513" s="447">
        <f>IFERROR(__xludf.DUMMYFUNCTION("""COMPUTED_VALUE"""),0.0)</f>
        <v>0</v>
      </c>
      <c r="Z513" s="447">
        <f>IFERROR(__xludf.DUMMYFUNCTION("""COMPUTED_VALUE"""),0.0)</f>
        <v>0</v>
      </c>
      <c r="AA513" s="447">
        <f>IFERROR(__xludf.DUMMYFUNCTION("""COMPUTED_VALUE"""),0.0)</f>
        <v>0</v>
      </c>
      <c r="AB513" s="447">
        <f>IFERROR(__xludf.DUMMYFUNCTION("""COMPUTED_VALUE"""),0.0)</f>
        <v>0</v>
      </c>
      <c r="AC513" s="447">
        <f>IFERROR(__xludf.DUMMYFUNCTION("""COMPUTED_VALUE"""),0.0)</f>
        <v>0</v>
      </c>
      <c r="AD513" s="447">
        <f>IFERROR(__xludf.DUMMYFUNCTION("""COMPUTED_VALUE"""),47.0)</f>
        <v>47</v>
      </c>
      <c r="AE513" s="447">
        <f>IFERROR(__xludf.DUMMYFUNCTION("""COMPUTED_VALUE"""),7.0)</f>
        <v>7</v>
      </c>
      <c r="AF513" s="447">
        <f>IFERROR(__xludf.DUMMYFUNCTION("""COMPUTED_VALUE"""),1.0)</f>
        <v>1</v>
      </c>
      <c r="AG513" s="443" t="s">
        <v>117</v>
      </c>
      <c r="AH513" s="443" t="s">
        <v>961</v>
      </c>
      <c r="AI513" s="443"/>
      <c r="AJ513" s="443"/>
      <c r="AK513" s="443"/>
      <c r="AL513" s="443"/>
      <c r="AM513" s="443"/>
      <c r="AN513" s="443"/>
      <c r="AO513" s="443"/>
      <c r="AP513" s="443"/>
      <c r="AQ513" s="443"/>
      <c r="AR513" s="443"/>
      <c r="AS513" s="443"/>
      <c r="AT513" s="443"/>
      <c r="AU513" s="443"/>
      <c r="AV513" s="443"/>
      <c r="AW513" s="443"/>
      <c r="AX513" s="443"/>
      <c r="AY513" s="443"/>
      <c r="AZ513" s="443"/>
      <c r="BA513" s="443"/>
      <c r="BB513" s="443"/>
      <c r="BC513" s="443"/>
      <c r="BD513" s="443"/>
      <c r="BE513" s="443"/>
    </row>
    <row r="514" hidden="1">
      <c r="A514" s="445">
        <f t="shared" si="5"/>
        <v>45804</v>
      </c>
      <c r="B514" s="449">
        <v>473.0</v>
      </c>
      <c r="C514" s="462">
        <v>0.6</v>
      </c>
      <c r="D514" s="462">
        <v>0.9340277777777778</v>
      </c>
      <c r="E514" s="436">
        <f t="array" ref="E514">IF(B514=0,"",(J514+K514)/60)</f>
        <v>0.8166666667</v>
      </c>
      <c r="F514" s="437">
        <f t="shared" si="1"/>
        <v>8.016666667</v>
      </c>
      <c r="G514" s="438">
        <f t="shared" si="8"/>
        <v>59.002079</v>
      </c>
      <c r="H514" s="438">
        <f t="shared" si="3"/>
        <v>65.69444444</v>
      </c>
      <c r="I514" s="436">
        <f t="shared" si="6"/>
        <v>1.282653891</v>
      </c>
      <c r="J514" s="460">
        <v>30.0</v>
      </c>
      <c r="K514" s="460">
        <v>19.0</v>
      </c>
      <c r="L514" s="443"/>
      <c r="M514" s="447">
        <f>IFERROR(__xludf.DUMMYFUNCTION("""COMPUTED_VALUE"""),57.0)</f>
        <v>57</v>
      </c>
      <c r="N514" s="447">
        <f>IFERROR(__xludf.DUMMYFUNCTION("""COMPUTED_VALUE"""),55.0)</f>
        <v>55</v>
      </c>
      <c r="O514" s="447">
        <f>IFERROR(__xludf.DUMMYFUNCTION("""COMPUTED_VALUE"""),0.0)</f>
        <v>0</v>
      </c>
      <c r="P514" s="447">
        <f>IFERROR(__xludf.DUMMYFUNCTION("""COMPUTED_VALUE"""),0.0)</f>
        <v>0</v>
      </c>
      <c r="Q514" s="447">
        <f>IFERROR(__xludf.DUMMYFUNCTION("""COMPUTED_VALUE"""),0.0)</f>
        <v>0</v>
      </c>
      <c r="R514" s="447">
        <f>IFERROR(__xludf.DUMMYFUNCTION("""COMPUTED_VALUE"""),0.0)</f>
        <v>0</v>
      </c>
      <c r="S514" s="447">
        <f>IFERROR(__xludf.DUMMYFUNCTION("""COMPUTED_VALUE"""),2.0)</f>
        <v>2</v>
      </c>
      <c r="T514" s="447">
        <f>IFERROR(__xludf.DUMMYFUNCTION("""COMPUTED_VALUE"""),1.0)</f>
        <v>1</v>
      </c>
      <c r="U514" s="447">
        <f>IFERROR(__xludf.DUMMYFUNCTION("""COMPUTED_VALUE"""),2.0)</f>
        <v>2</v>
      </c>
      <c r="V514" s="447">
        <f>IFERROR(__xludf.DUMMYFUNCTION("""COMPUTED_VALUE"""),2.0)</f>
        <v>2</v>
      </c>
      <c r="W514" s="447">
        <f>IFERROR(__xludf.DUMMYFUNCTION("""COMPUTED_VALUE"""),1.0)</f>
        <v>1</v>
      </c>
      <c r="X514" s="447">
        <f>IFERROR(__xludf.DUMMYFUNCTION("""COMPUTED_VALUE"""),1.0)</f>
        <v>1</v>
      </c>
      <c r="Y514" s="447">
        <f>IFERROR(__xludf.DUMMYFUNCTION("""COMPUTED_VALUE"""),0.0)</f>
        <v>0</v>
      </c>
      <c r="Z514" s="447">
        <f>IFERROR(__xludf.DUMMYFUNCTION("""COMPUTED_VALUE"""),0.0)</f>
        <v>0</v>
      </c>
      <c r="AA514" s="447">
        <f>IFERROR(__xludf.DUMMYFUNCTION("""COMPUTED_VALUE"""),0.0)</f>
        <v>0</v>
      </c>
      <c r="AB514" s="447">
        <f>IFERROR(__xludf.DUMMYFUNCTION("""COMPUTED_VALUE"""),0.0)</f>
        <v>0</v>
      </c>
      <c r="AC514" s="447">
        <f>IFERROR(__xludf.DUMMYFUNCTION("""COMPUTED_VALUE"""),0.0)</f>
        <v>0</v>
      </c>
      <c r="AD514" s="447">
        <f>IFERROR(__xludf.DUMMYFUNCTION("""COMPUTED_VALUE"""),46.0)</f>
        <v>46</v>
      </c>
      <c r="AE514" s="447">
        <f>IFERROR(__xludf.DUMMYFUNCTION("""COMPUTED_VALUE"""),9.0)</f>
        <v>9</v>
      </c>
      <c r="AF514" s="447">
        <f>IFERROR(__xludf.DUMMYFUNCTION("""COMPUTED_VALUE"""),2.0)</f>
        <v>2</v>
      </c>
      <c r="AG514" s="443" t="s">
        <v>117</v>
      </c>
      <c r="AH514" s="443" t="s">
        <v>961</v>
      </c>
      <c r="AI514" s="443"/>
      <c r="AJ514" s="443"/>
      <c r="AK514" s="443"/>
      <c r="AL514" s="443"/>
      <c r="AM514" s="443"/>
      <c r="AN514" s="443"/>
      <c r="AO514" s="443"/>
      <c r="AP514" s="443"/>
      <c r="AQ514" s="443"/>
      <c r="AR514" s="443"/>
      <c r="AS514" s="443"/>
      <c r="AT514" s="443"/>
      <c r="AU514" s="443"/>
      <c r="AV514" s="443"/>
      <c r="AW514" s="443"/>
      <c r="AX514" s="443"/>
      <c r="AY514" s="443"/>
      <c r="AZ514" s="443"/>
      <c r="BA514" s="443"/>
      <c r="BB514" s="443"/>
      <c r="BC514" s="443"/>
      <c r="BD514" s="443"/>
      <c r="BE514" s="443"/>
    </row>
    <row r="515" hidden="1">
      <c r="A515" s="445">
        <f t="shared" si="5"/>
        <v>45805</v>
      </c>
      <c r="B515" s="449">
        <v>453.0</v>
      </c>
      <c r="C515" s="462">
        <v>0.6833333333333333</v>
      </c>
      <c r="D515" s="462">
        <v>0.99375</v>
      </c>
      <c r="E515" s="436">
        <f t="array" ref="E515">IF(B515=0,"",(J515+K515)/60)</f>
        <v>1.05</v>
      </c>
      <c r="F515" s="437">
        <f t="shared" si="1"/>
        <v>7.45</v>
      </c>
      <c r="G515" s="438">
        <f t="shared" si="8"/>
        <v>60.80536913</v>
      </c>
      <c r="H515" s="438">
        <f t="shared" si="3"/>
        <v>70.78125</v>
      </c>
      <c r="I515" s="436">
        <f t="shared" si="6"/>
        <v>1.266778523</v>
      </c>
      <c r="J515" s="460">
        <v>30.0</v>
      </c>
      <c r="K515" s="464">
        <f>20+13</f>
        <v>33</v>
      </c>
      <c r="L515" s="443"/>
      <c r="M515" s="447">
        <f>IFERROR(__xludf.DUMMYFUNCTION("""COMPUTED_VALUE"""),57.0)</f>
        <v>57</v>
      </c>
      <c r="N515" s="447">
        <f>IFERROR(__xludf.DUMMYFUNCTION("""COMPUTED_VALUE"""),55.0)</f>
        <v>55</v>
      </c>
      <c r="O515" s="447">
        <f>IFERROR(__xludf.DUMMYFUNCTION("""COMPUTED_VALUE"""),0.0)</f>
        <v>0</v>
      </c>
      <c r="P515" s="447">
        <f>IFERROR(__xludf.DUMMYFUNCTION("""COMPUTED_VALUE"""),0.0)</f>
        <v>0</v>
      </c>
      <c r="Q515" s="447">
        <f>IFERROR(__xludf.DUMMYFUNCTION("""COMPUTED_VALUE"""),0.0)</f>
        <v>0</v>
      </c>
      <c r="R515" s="447">
        <f>IFERROR(__xludf.DUMMYFUNCTION("""COMPUTED_VALUE"""),0.0)</f>
        <v>0</v>
      </c>
      <c r="S515" s="447">
        <f>IFERROR(__xludf.DUMMYFUNCTION("""COMPUTED_VALUE"""),2.0)</f>
        <v>2</v>
      </c>
      <c r="T515" s="447">
        <f>IFERROR(__xludf.DUMMYFUNCTION("""COMPUTED_VALUE"""),0.0)</f>
        <v>0</v>
      </c>
      <c r="U515" s="447">
        <f>IFERROR(__xludf.DUMMYFUNCTION("""COMPUTED_VALUE"""),2.0)</f>
        <v>2</v>
      </c>
      <c r="V515" s="447">
        <f>IFERROR(__xludf.DUMMYFUNCTION("""COMPUTED_VALUE"""),2.0)</f>
        <v>2</v>
      </c>
      <c r="W515" s="447">
        <f>IFERROR(__xludf.DUMMYFUNCTION("""COMPUTED_VALUE"""),0.0)</f>
        <v>0</v>
      </c>
      <c r="X515" s="447">
        <f>IFERROR(__xludf.DUMMYFUNCTION("""COMPUTED_VALUE"""),1.0)</f>
        <v>1</v>
      </c>
      <c r="Y515" s="447">
        <f>IFERROR(__xludf.DUMMYFUNCTION("""COMPUTED_VALUE"""),0.0)</f>
        <v>0</v>
      </c>
      <c r="Z515" s="447">
        <f>IFERROR(__xludf.DUMMYFUNCTION("""COMPUTED_VALUE"""),0.0)</f>
        <v>0</v>
      </c>
      <c r="AA515" s="447">
        <f>IFERROR(__xludf.DUMMYFUNCTION("""COMPUTED_VALUE"""),0.0)</f>
        <v>0</v>
      </c>
      <c r="AB515" s="447">
        <f>IFERROR(__xludf.DUMMYFUNCTION("""COMPUTED_VALUE"""),0.0)</f>
        <v>0</v>
      </c>
      <c r="AC515" s="447">
        <f>IFERROR(__xludf.DUMMYFUNCTION("""COMPUTED_VALUE"""),0.0)</f>
        <v>0</v>
      </c>
      <c r="AD515" s="447">
        <f>IFERROR(__xludf.DUMMYFUNCTION("""COMPUTED_VALUE"""),48.0)</f>
        <v>48</v>
      </c>
      <c r="AE515" s="447">
        <f>IFERROR(__xludf.DUMMYFUNCTION("""COMPUTED_VALUE"""),7.0)</f>
        <v>7</v>
      </c>
      <c r="AF515" s="447">
        <f>IFERROR(__xludf.DUMMYFUNCTION("""COMPUTED_VALUE"""),2.0)</f>
        <v>2</v>
      </c>
      <c r="AG515" s="443" t="s">
        <v>117</v>
      </c>
      <c r="AH515" s="443" t="s">
        <v>961</v>
      </c>
      <c r="AI515" s="443"/>
      <c r="AJ515" s="443"/>
      <c r="AK515" s="443"/>
      <c r="AL515" s="443"/>
      <c r="AM515" s="443"/>
      <c r="AN515" s="443"/>
      <c r="AO515" s="443"/>
      <c r="AP515" s="443"/>
      <c r="AQ515" s="443"/>
      <c r="AR515" s="443"/>
      <c r="AS515" s="443"/>
      <c r="AT515" s="443"/>
      <c r="AU515" s="443"/>
      <c r="AV515" s="443"/>
      <c r="AW515" s="443"/>
      <c r="AX515" s="443"/>
      <c r="AY515" s="443"/>
      <c r="AZ515" s="443"/>
      <c r="BA515" s="443"/>
      <c r="BB515" s="443"/>
      <c r="BC515" s="443"/>
      <c r="BD515" s="443"/>
      <c r="BE515" s="443"/>
    </row>
    <row r="516" hidden="1">
      <c r="A516" s="445">
        <f t="shared" si="5"/>
        <v>45806</v>
      </c>
      <c r="B516" s="449">
        <v>433.0</v>
      </c>
      <c r="C516" s="462">
        <v>0.6</v>
      </c>
      <c r="D516" s="462">
        <v>0.9125</v>
      </c>
      <c r="E516" s="436">
        <f t="array" ref="E516">IF(B516=0,"",(J516+K516)/60)</f>
        <v>0.5</v>
      </c>
      <c r="F516" s="437">
        <f t="shared" si="1"/>
        <v>7.5</v>
      </c>
      <c r="G516" s="438">
        <f t="shared" si="8"/>
        <v>57.73333333</v>
      </c>
      <c r="H516" s="438">
        <f t="shared" si="3"/>
        <v>61.85714286</v>
      </c>
      <c r="I516" s="436">
        <f t="shared" si="6"/>
        <v>1.228368794</v>
      </c>
      <c r="J516" s="460">
        <v>30.0</v>
      </c>
      <c r="K516" s="464"/>
      <c r="L516" s="443"/>
      <c r="M516" s="447">
        <f>IFERROR(__xludf.DUMMYFUNCTION("""COMPUTED_VALUE"""),57.0)</f>
        <v>57</v>
      </c>
      <c r="N516" s="447">
        <f>IFERROR(__xludf.DUMMYFUNCTION("""COMPUTED_VALUE"""),55.0)</f>
        <v>55</v>
      </c>
      <c r="O516" s="447">
        <f>IFERROR(__xludf.DUMMYFUNCTION("""COMPUTED_VALUE"""),0.0)</f>
        <v>0</v>
      </c>
      <c r="P516" s="447">
        <f>IFERROR(__xludf.DUMMYFUNCTION("""COMPUTED_VALUE"""),0.0)</f>
        <v>0</v>
      </c>
      <c r="Q516" s="447">
        <f>IFERROR(__xludf.DUMMYFUNCTION("""COMPUTED_VALUE"""),0.0)</f>
        <v>0</v>
      </c>
      <c r="R516" s="447">
        <f>IFERROR(__xludf.DUMMYFUNCTION("""COMPUTED_VALUE"""),0.0)</f>
        <v>0</v>
      </c>
      <c r="S516" s="447">
        <f>IFERROR(__xludf.DUMMYFUNCTION("""COMPUTED_VALUE"""),3.0)</f>
        <v>3</v>
      </c>
      <c r="T516" s="447">
        <f>IFERROR(__xludf.DUMMYFUNCTION("""COMPUTED_VALUE"""),0.0)</f>
        <v>0</v>
      </c>
      <c r="U516" s="447">
        <f>IFERROR(__xludf.DUMMYFUNCTION("""COMPUTED_VALUE"""),2.0)</f>
        <v>2</v>
      </c>
      <c r="V516" s="447">
        <f>IFERROR(__xludf.DUMMYFUNCTION("""COMPUTED_VALUE"""),2.0)</f>
        <v>2</v>
      </c>
      <c r="W516" s="447">
        <f>IFERROR(__xludf.DUMMYFUNCTION("""COMPUTED_VALUE"""),0.0)</f>
        <v>0</v>
      </c>
      <c r="X516" s="447">
        <f>IFERROR(__xludf.DUMMYFUNCTION("""COMPUTED_VALUE"""),1.0)</f>
        <v>1</v>
      </c>
      <c r="Y516" s="447">
        <f>IFERROR(__xludf.DUMMYFUNCTION("""COMPUTED_VALUE"""),0.0)</f>
        <v>0</v>
      </c>
      <c r="Z516" s="447">
        <f>IFERROR(__xludf.DUMMYFUNCTION("""COMPUTED_VALUE"""),0.0)</f>
        <v>0</v>
      </c>
      <c r="AA516" s="447">
        <f>IFERROR(__xludf.DUMMYFUNCTION("""COMPUTED_VALUE"""),0.0)</f>
        <v>0</v>
      </c>
      <c r="AB516" s="447">
        <f>IFERROR(__xludf.DUMMYFUNCTION("""COMPUTED_VALUE"""),0.0)</f>
        <v>0</v>
      </c>
      <c r="AC516" s="447">
        <f>IFERROR(__xludf.DUMMYFUNCTION("""COMPUTED_VALUE"""),0.0)</f>
        <v>0</v>
      </c>
      <c r="AD516" s="447">
        <f>IFERROR(__xludf.DUMMYFUNCTION("""COMPUTED_VALUE"""),47.0)</f>
        <v>47</v>
      </c>
      <c r="AE516" s="447">
        <f>IFERROR(__xludf.DUMMYFUNCTION("""COMPUTED_VALUE"""),8.0)</f>
        <v>8</v>
      </c>
      <c r="AF516" s="447">
        <f>IFERROR(__xludf.DUMMYFUNCTION("""COMPUTED_VALUE"""),2.0)</f>
        <v>2</v>
      </c>
      <c r="AG516" s="443" t="s">
        <v>117</v>
      </c>
      <c r="AH516" s="443" t="s">
        <v>961</v>
      </c>
      <c r="AI516" s="443"/>
      <c r="AJ516" s="443"/>
      <c r="AK516" s="443"/>
      <c r="AL516" s="443"/>
      <c r="AM516" s="443"/>
      <c r="AN516" s="443"/>
      <c r="AO516" s="443"/>
      <c r="AP516" s="443"/>
      <c r="AQ516" s="443"/>
      <c r="AR516" s="443"/>
      <c r="AS516" s="443"/>
      <c r="AT516" s="443"/>
      <c r="AU516" s="443"/>
      <c r="AV516" s="443"/>
      <c r="AW516" s="443"/>
      <c r="AX516" s="443"/>
      <c r="AY516" s="443"/>
      <c r="AZ516" s="443"/>
      <c r="BA516" s="443"/>
      <c r="BB516" s="443"/>
      <c r="BC516" s="443"/>
      <c r="BD516" s="443"/>
      <c r="BE516" s="443"/>
    </row>
    <row r="517" hidden="1">
      <c r="A517" s="445">
        <f t="shared" si="5"/>
        <v>45807</v>
      </c>
      <c r="B517" s="449">
        <v>403.0</v>
      </c>
      <c r="C517" s="462">
        <v>0.6</v>
      </c>
      <c r="D517" s="462">
        <v>0.90625</v>
      </c>
      <c r="E517" s="436">
        <f t="array" ref="E517">IF(B517=0,"",(J517+K517)/60)</f>
        <v>0.5</v>
      </c>
      <c r="F517" s="437">
        <f t="shared" si="1"/>
        <v>7.35</v>
      </c>
      <c r="G517" s="438">
        <f t="shared" si="8"/>
        <v>54.82993197</v>
      </c>
      <c r="H517" s="438">
        <f t="shared" si="3"/>
        <v>58.83211679</v>
      </c>
      <c r="I517" s="436">
        <f t="shared" si="6"/>
        <v>1.166594297</v>
      </c>
      <c r="J517" s="460">
        <v>30.0</v>
      </c>
      <c r="K517" s="464"/>
      <c r="L517" s="443"/>
      <c r="M517" s="447">
        <f>IFERROR(__xludf.DUMMYFUNCTION("""COMPUTED_VALUE"""),57.0)</f>
        <v>57</v>
      </c>
      <c r="N517" s="447">
        <f>IFERROR(__xludf.DUMMYFUNCTION("""COMPUTED_VALUE"""),55.0)</f>
        <v>55</v>
      </c>
      <c r="O517" s="447">
        <f>IFERROR(__xludf.DUMMYFUNCTION("""COMPUTED_VALUE"""),0.0)</f>
        <v>0</v>
      </c>
      <c r="P517" s="447">
        <f>IFERROR(__xludf.DUMMYFUNCTION("""COMPUTED_VALUE"""),0.0)</f>
        <v>0</v>
      </c>
      <c r="Q517" s="447">
        <f>IFERROR(__xludf.DUMMYFUNCTION("""COMPUTED_VALUE"""),0.0)</f>
        <v>0</v>
      </c>
      <c r="R517" s="447">
        <f>IFERROR(__xludf.DUMMYFUNCTION("""COMPUTED_VALUE"""),0.0)</f>
        <v>0</v>
      </c>
      <c r="S517" s="447">
        <f>IFERROR(__xludf.DUMMYFUNCTION("""COMPUTED_VALUE"""),3.0)</f>
        <v>3</v>
      </c>
      <c r="T517" s="447">
        <f>IFERROR(__xludf.DUMMYFUNCTION("""COMPUTED_VALUE"""),0.0)</f>
        <v>0</v>
      </c>
      <c r="U517" s="447">
        <f>IFERROR(__xludf.DUMMYFUNCTION("""COMPUTED_VALUE"""),2.0)</f>
        <v>2</v>
      </c>
      <c r="V517" s="447">
        <f>IFERROR(__xludf.DUMMYFUNCTION("""COMPUTED_VALUE"""),2.0)</f>
        <v>2</v>
      </c>
      <c r="W517" s="447">
        <f>IFERROR(__xludf.DUMMYFUNCTION("""COMPUTED_VALUE"""),0.0)</f>
        <v>0</v>
      </c>
      <c r="X517" s="447">
        <f>IFERROR(__xludf.DUMMYFUNCTION("""COMPUTED_VALUE"""),1.0)</f>
        <v>1</v>
      </c>
      <c r="Y517" s="447">
        <f>IFERROR(__xludf.DUMMYFUNCTION("""COMPUTED_VALUE"""),0.0)</f>
        <v>0</v>
      </c>
      <c r="Z517" s="447">
        <f>IFERROR(__xludf.DUMMYFUNCTION("""COMPUTED_VALUE"""),0.0)</f>
        <v>0</v>
      </c>
      <c r="AA517" s="447">
        <f>IFERROR(__xludf.DUMMYFUNCTION("""COMPUTED_VALUE"""),0.0)</f>
        <v>0</v>
      </c>
      <c r="AB517" s="447">
        <f>IFERROR(__xludf.DUMMYFUNCTION("""COMPUTED_VALUE"""),0.0)</f>
        <v>0</v>
      </c>
      <c r="AC517" s="447">
        <f>IFERROR(__xludf.DUMMYFUNCTION("""COMPUTED_VALUE"""),0.0)</f>
        <v>0</v>
      </c>
      <c r="AD517" s="447">
        <f>IFERROR(__xludf.DUMMYFUNCTION("""COMPUTED_VALUE"""),47.0)</f>
        <v>47</v>
      </c>
      <c r="AE517" s="447">
        <f>IFERROR(__xludf.DUMMYFUNCTION("""COMPUTED_VALUE"""),8.0)</f>
        <v>8</v>
      </c>
      <c r="AF517" s="447">
        <f>IFERROR(__xludf.DUMMYFUNCTION("""COMPUTED_VALUE"""),2.0)</f>
        <v>2</v>
      </c>
      <c r="AG517" s="443" t="s">
        <v>117</v>
      </c>
      <c r="AH517" s="443" t="s">
        <v>961</v>
      </c>
      <c r="AI517" s="443"/>
      <c r="AJ517" s="443"/>
      <c r="AK517" s="443"/>
      <c r="AL517" s="443"/>
      <c r="AM517" s="443"/>
      <c r="AN517" s="443"/>
      <c r="AO517" s="443"/>
      <c r="AP517" s="443"/>
      <c r="AQ517" s="443"/>
      <c r="AR517" s="443"/>
      <c r="AS517" s="443"/>
      <c r="AT517" s="443"/>
      <c r="AU517" s="443"/>
      <c r="AV517" s="443"/>
      <c r="AW517" s="443"/>
      <c r="AX517" s="443"/>
      <c r="AY517" s="443"/>
      <c r="AZ517" s="443"/>
      <c r="BA517" s="443"/>
      <c r="BB517" s="443"/>
      <c r="BC517" s="443"/>
      <c r="BD517" s="443"/>
      <c r="BE517" s="443"/>
    </row>
    <row r="518" hidden="1">
      <c r="A518" s="445">
        <f t="shared" si="5"/>
        <v>45808</v>
      </c>
      <c r="B518" s="449">
        <v>317.0</v>
      </c>
      <c r="C518" s="462">
        <v>0.6</v>
      </c>
      <c r="D518" s="462">
        <v>0.8458333333333333</v>
      </c>
      <c r="E518" s="436">
        <f t="array" ref="E518">IF(B518=0,"",(J518+K518)/60)</f>
        <v>0.2666666667</v>
      </c>
      <c r="F518" s="437">
        <f t="shared" si="1"/>
        <v>5.9</v>
      </c>
      <c r="G518" s="438">
        <f t="shared" si="8"/>
        <v>53.72881356</v>
      </c>
      <c r="H518" s="438">
        <f t="shared" si="3"/>
        <v>56.27218935</v>
      </c>
      <c r="I518" s="436">
        <f t="shared" si="6"/>
        <v>1.193973635</v>
      </c>
      <c r="J518" s="464"/>
      <c r="K518" s="460">
        <v>16.0</v>
      </c>
      <c r="L518" s="443"/>
      <c r="M518" s="447">
        <f>IFERROR(__xludf.DUMMYFUNCTION("""COMPUTED_VALUE"""),57.0)</f>
        <v>57</v>
      </c>
      <c r="N518" s="447">
        <f>IFERROR(__xludf.DUMMYFUNCTION("""COMPUTED_VALUE"""),55.0)</f>
        <v>55</v>
      </c>
      <c r="O518" s="447">
        <f>IFERROR(__xludf.DUMMYFUNCTION("""COMPUTED_VALUE"""),0.0)</f>
        <v>0</v>
      </c>
      <c r="P518" s="447">
        <f>IFERROR(__xludf.DUMMYFUNCTION("""COMPUTED_VALUE"""),1.0)</f>
        <v>1</v>
      </c>
      <c r="Q518" s="447">
        <f>IFERROR(__xludf.DUMMYFUNCTION("""COMPUTED_VALUE"""),0.0)</f>
        <v>0</v>
      </c>
      <c r="R518" s="447">
        <f>IFERROR(__xludf.DUMMYFUNCTION("""COMPUTED_VALUE"""),0.0)</f>
        <v>0</v>
      </c>
      <c r="S518" s="447">
        <f>IFERROR(__xludf.DUMMYFUNCTION("""COMPUTED_VALUE"""),3.0)</f>
        <v>3</v>
      </c>
      <c r="T518" s="447">
        <f>IFERROR(__xludf.DUMMYFUNCTION("""COMPUTED_VALUE"""),0.0)</f>
        <v>0</v>
      </c>
      <c r="U518" s="447">
        <f>IFERROR(__xludf.DUMMYFUNCTION("""COMPUTED_VALUE"""),2.0)</f>
        <v>2</v>
      </c>
      <c r="V518" s="447">
        <f>IFERROR(__xludf.DUMMYFUNCTION("""COMPUTED_VALUE"""),2.0)</f>
        <v>2</v>
      </c>
      <c r="W518" s="447">
        <f>IFERROR(__xludf.DUMMYFUNCTION("""COMPUTED_VALUE"""),0.0)</f>
        <v>0</v>
      </c>
      <c r="X518" s="447">
        <f>IFERROR(__xludf.DUMMYFUNCTION("""COMPUTED_VALUE"""),1.0)</f>
        <v>1</v>
      </c>
      <c r="Y518" s="447">
        <f>IFERROR(__xludf.DUMMYFUNCTION("""COMPUTED_VALUE"""),0.0)</f>
        <v>0</v>
      </c>
      <c r="Z518" s="447">
        <f>IFERROR(__xludf.DUMMYFUNCTION("""COMPUTED_VALUE"""),0.0)</f>
        <v>0</v>
      </c>
      <c r="AA518" s="447">
        <f>IFERROR(__xludf.DUMMYFUNCTION("""COMPUTED_VALUE"""),0.0)</f>
        <v>0</v>
      </c>
      <c r="AB518" s="447">
        <f>IFERROR(__xludf.DUMMYFUNCTION("""COMPUTED_VALUE"""),0.0)</f>
        <v>0</v>
      </c>
      <c r="AC518" s="447">
        <f>IFERROR(__xludf.DUMMYFUNCTION("""COMPUTED_VALUE"""),1.0)</f>
        <v>1</v>
      </c>
      <c r="AD518" s="447">
        <f>IFERROR(__xludf.DUMMYFUNCTION("""COMPUTED_VALUE"""),45.0)</f>
        <v>45</v>
      </c>
      <c r="AE518" s="447">
        <f>IFERROR(__xludf.DUMMYFUNCTION("""COMPUTED_VALUE"""),10.0)</f>
        <v>10</v>
      </c>
      <c r="AF518" s="447">
        <f>IFERROR(__xludf.DUMMYFUNCTION("""COMPUTED_VALUE"""),2.0)</f>
        <v>2</v>
      </c>
      <c r="AG518" s="443" t="s">
        <v>117</v>
      </c>
      <c r="AH518" s="443" t="s">
        <v>961</v>
      </c>
      <c r="AI518" s="443"/>
      <c r="AJ518" s="443"/>
      <c r="AK518" s="443"/>
      <c r="AL518" s="443"/>
      <c r="AM518" s="443"/>
      <c r="AN518" s="443"/>
      <c r="AO518" s="443"/>
      <c r="AP518" s="443"/>
      <c r="AQ518" s="443"/>
      <c r="AR518" s="443"/>
      <c r="AS518" s="443"/>
      <c r="AT518" s="443"/>
      <c r="AU518" s="443"/>
      <c r="AV518" s="443"/>
      <c r="AW518" s="443"/>
      <c r="AX518" s="443"/>
      <c r="AY518" s="443"/>
      <c r="AZ518" s="443"/>
      <c r="BA518" s="443"/>
      <c r="BB518" s="443"/>
      <c r="BC518" s="443"/>
      <c r="BD518" s="443"/>
      <c r="BE518" s="443"/>
    </row>
    <row r="519" hidden="1">
      <c r="A519" s="445">
        <f t="shared" si="5"/>
        <v>45809</v>
      </c>
      <c r="B519" s="449">
        <v>0.0</v>
      </c>
      <c r="C519" s="443"/>
      <c r="D519" s="462"/>
      <c r="E519" s="436" t="str">
        <f t="array" ref="E519">IF(B519=0,"",(J519+K519)/60)</f>
        <v/>
      </c>
      <c r="F519" s="437" t="str">
        <f t="shared" si="1"/>
        <v/>
      </c>
      <c r="G519" s="438" t="str">
        <f t="shared" si="8"/>
        <v>#DIV/0!</v>
      </c>
      <c r="H519" s="438" t="str">
        <f t="shared" si="3"/>
        <v/>
      </c>
      <c r="I519" s="436" t="str">
        <f t="shared" si="6"/>
        <v/>
      </c>
      <c r="J519" s="464"/>
      <c r="K519" s="464"/>
      <c r="L519" s="443"/>
      <c r="M519" s="469">
        <f>IFERROR(__xludf.DUMMYFUNCTION("TRANSPOSE(IMPORTRANGE(""https://docs.google.com/spreadsheets/d/1CNeKSHTeNNJnfn5EymHwGg5Mkuk6EcepW7_9QkJxalc/edit#gid=1218471306"",""JUNIO 2025!F2:AI21""))"),57.0)</f>
        <v>57</v>
      </c>
      <c r="N519" s="447">
        <f>IFERROR(__xludf.DUMMYFUNCTION("""COMPUTED_VALUE"""),57.0)</f>
        <v>57</v>
      </c>
      <c r="O519" s="447">
        <f>IFERROR(__xludf.DUMMYFUNCTION("""COMPUTED_VALUE"""),0.0)</f>
        <v>0</v>
      </c>
      <c r="P519" s="447">
        <f>IFERROR(__xludf.DUMMYFUNCTION("""COMPUTED_VALUE"""),0.0)</f>
        <v>0</v>
      </c>
      <c r="Q519" s="447">
        <f>IFERROR(__xludf.DUMMYFUNCTION("""COMPUTED_VALUE"""),0.0)</f>
        <v>0</v>
      </c>
      <c r="R519" s="447">
        <f>IFERROR(__xludf.DUMMYFUNCTION("""COMPUTED_VALUE"""),0.0)</f>
        <v>0</v>
      </c>
      <c r="S519" s="447">
        <f>IFERROR(__xludf.DUMMYFUNCTION("""COMPUTED_VALUE"""),0.0)</f>
        <v>0</v>
      </c>
      <c r="T519" s="447">
        <f>IFERROR(__xludf.DUMMYFUNCTION("""COMPUTED_VALUE"""),0.0)</f>
        <v>0</v>
      </c>
      <c r="U519" s="447">
        <f>IFERROR(__xludf.DUMMYFUNCTION("""COMPUTED_VALUE"""),0.0)</f>
        <v>0</v>
      </c>
      <c r="V519" s="447">
        <f>IFERROR(__xludf.DUMMYFUNCTION("""COMPUTED_VALUE"""),0.0)</f>
        <v>0</v>
      </c>
      <c r="W519" s="447">
        <f>IFERROR(__xludf.DUMMYFUNCTION("""COMPUTED_VALUE"""),0.0)</f>
        <v>0</v>
      </c>
      <c r="X519" s="447">
        <f>IFERROR(__xludf.DUMMYFUNCTION("""COMPUTED_VALUE"""),0.0)</f>
        <v>0</v>
      </c>
      <c r="Y519" s="447">
        <f>IFERROR(__xludf.DUMMYFUNCTION("""COMPUTED_VALUE"""),0.0)</f>
        <v>0</v>
      </c>
      <c r="Z519" s="447">
        <f>IFERROR(__xludf.DUMMYFUNCTION("""COMPUTED_VALUE"""),0.0)</f>
        <v>0</v>
      </c>
      <c r="AA519" s="447">
        <f>IFERROR(__xludf.DUMMYFUNCTION("""COMPUTED_VALUE"""),0.0)</f>
        <v>0</v>
      </c>
      <c r="AB519" s="447">
        <f>IFERROR(__xludf.DUMMYFUNCTION("""COMPUTED_VALUE"""),0.0)</f>
        <v>0</v>
      </c>
      <c r="AC519" s="447">
        <f>IFERROR(__xludf.DUMMYFUNCTION("""COMPUTED_VALUE"""),0.0)</f>
        <v>0</v>
      </c>
      <c r="AD519" s="447">
        <f>IFERROR(__xludf.DUMMYFUNCTION("""COMPUTED_VALUE"""),0.0)</f>
        <v>0</v>
      </c>
      <c r="AE519" s="447">
        <f>IFERROR(__xludf.DUMMYFUNCTION("""COMPUTED_VALUE"""),0.0)</f>
        <v>0</v>
      </c>
      <c r="AF519" s="447">
        <f>IFERROR(__xludf.DUMMYFUNCTION("""COMPUTED_VALUE"""),0.0)</f>
        <v>0</v>
      </c>
      <c r="AG519" s="443" t="s">
        <v>122</v>
      </c>
      <c r="AH519" s="443" t="s">
        <v>961</v>
      </c>
      <c r="AI519" s="443"/>
      <c r="AJ519" s="443"/>
      <c r="AK519" s="443"/>
      <c r="AL519" s="443"/>
      <c r="AM519" s="443"/>
      <c r="AN519" s="443"/>
      <c r="AO519" s="443"/>
      <c r="AP519" s="443"/>
      <c r="AQ519" s="443"/>
      <c r="AR519" s="443"/>
      <c r="AS519" s="443"/>
      <c r="AT519" s="443"/>
      <c r="AU519" s="443"/>
      <c r="AV519" s="443"/>
      <c r="AW519" s="443"/>
      <c r="AX519" s="443"/>
      <c r="AY519" s="443"/>
      <c r="AZ519" s="443"/>
      <c r="BA519" s="443"/>
      <c r="BB519" s="443"/>
      <c r="BC519" s="443"/>
      <c r="BD519" s="443"/>
      <c r="BE519" s="443"/>
    </row>
    <row r="520" hidden="1">
      <c r="A520" s="445">
        <f t="shared" si="5"/>
        <v>45810</v>
      </c>
      <c r="B520" s="449">
        <v>583.0</v>
      </c>
      <c r="C520" s="462">
        <v>0.5583333333333333</v>
      </c>
      <c r="D520" s="462">
        <v>0.9986111111111111</v>
      </c>
      <c r="E520" s="436">
        <f t="array" ref="E520">IF(B520=0,"",(J520+K520)/60)</f>
        <v>1.15</v>
      </c>
      <c r="F520" s="437">
        <f t="shared" si="1"/>
        <v>10.56666667</v>
      </c>
      <c r="G520" s="438">
        <f t="shared" si="8"/>
        <v>55.17350158</v>
      </c>
      <c r="H520" s="438">
        <f t="shared" si="3"/>
        <v>61.91150442</v>
      </c>
      <c r="I520" s="436">
        <f t="shared" si="6"/>
        <v>1.14944795</v>
      </c>
      <c r="J520" s="460">
        <v>60.0</v>
      </c>
      <c r="K520" s="464">
        <f>5+4</f>
        <v>9</v>
      </c>
      <c r="L520" s="443"/>
      <c r="M520" s="447">
        <f>IFERROR(__xludf.DUMMYFUNCTION("""COMPUTED_VALUE"""),57.0)</f>
        <v>57</v>
      </c>
      <c r="N520" s="447">
        <f>IFERROR(__xludf.DUMMYFUNCTION("""COMPUTED_VALUE"""),55.0)</f>
        <v>55</v>
      </c>
      <c r="O520" s="447">
        <f>IFERROR(__xludf.DUMMYFUNCTION("""COMPUTED_VALUE"""),0.0)</f>
        <v>0</v>
      </c>
      <c r="P520" s="447">
        <f>IFERROR(__xludf.DUMMYFUNCTION("""COMPUTED_VALUE"""),0.0)</f>
        <v>0</v>
      </c>
      <c r="Q520" s="447">
        <f>IFERROR(__xludf.DUMMYFUNCTION("""COMPUTED_VALUE"""),0.0)</f>
        <v>0</v>
      </c>
      <c r="R520" s="447">
        <f>IFERROR(__xludf.DUMMYFUNCTION("""COMPUTED_VALUE"""),0.0)</f>
        <v>0</v>
      </c>
      <c r="S520" s="447">
        <f>IFERROR(__xludf.DUMMYFUNCTION("""COMPUTED_VALUE"""),2.0)</f>
        <v>2</v>
      </c>
      <c r="T520" s="447">
        <f>IFERROR(__xludf.DUMMYFUNCTION("""COMPUTED_VALUE"""),0.0)</f>
        <v>0</v>
      </c>
      <c r="U520" s="447">
        <f>IFERROR(__xludf.DUMMYFUNCTION("""COMPUTED_VALUE"""),2.0)</f>
        <v>2</v>
      </c>
      <c r="V520" s="447">
        <f>IFERROR(__xludf.DUMMYFUNCTION("""COMPUTED_VALUE"""),2.0)</f>
        <v>2</v>
      </c>
      <c r="W520" s="447">
        <f>IFERROR(__xludf.DUMMYFUNCTION("""COMPUTED_VALUE"""),0.0)</f>
        <v>0</v>
      </c>
      <c r="X520" s="447">
        <f>IFERROR(__xludf.DUMMYFUNCTION("""COMPUTED_VALUE"""),1.0)</f>
        <v>1</v>
      </c>
      <c r="Y520" s="447">
        <f>IFERROR(__xludf.DUMMYFUNCTION("""COMPUTED_VALUE"""),0.0)</f>
        <v>0</v>
      </c>
      <c r="Z520" s="447">
        <f>IFERROR(__xludf.DUMMYFUNCTION("""COMPUTED_VALUE"""),0.0)</f>
        <v>0</v>
      </c>
      <c r="AA520" s="447">
        <f>IFERROR(__xludf.DUMMYFUNCTION("""COMPUTED_VALUE"""),0.0)</f>
        <v>0</v>
      </c>
      <c r="AB520" s="447">
        <f>IFERROR(__xludf.DUMMYFUNCTION("""COMPUTED_VALUE"""),0.0)</f>
        <v>0</v>
      </c>
      <c r="AC520" s="447">
        <f>IFERROR(__xludf.DUMMYFUNCTION("""COMPUTED_VALUE"""),0.0)</f>
        <v>0</v>
      </c>
      <c r="AD520" s="447">
        <f>IFERROR(__xludf.DUMMYFUNCTION("""COMPUTED_VALUE"""),48.0)</f>
        <v>48</v>
      </c>
      <c r="AE520" s="447">
        <f>IFERROR(__xludf.DUMMYFUNCTION("""COMPUTED_VALUE"""),7.0)</f>
        <v>7</v>
      </c>
      <c r="AF520" s="447">
        <f>IFERROR(__xludf.DUMMYFUNCTION("""COMPUTED_VALUE"""),2.0)</f>
        <v>2</v>
      </c>
      <c r="AG520" s="443" t="s">
        <v>122</v>
      </c>
      <c r="AH520" s="443" t="s">
        <v>961</v>
      </c>
      <c r="AI520" s="443"/>
      <c r="AJ520" s="443"/>
      <c r="AK520" s="443"/>
      <c r="AL520" s="443"/>
      <c r="AM520" s="443"/>
      <c r="AN520" s="443"/>
      <c r="AO520" s="443"/>
      <c r="AP520" s="443"/>
      <c r="AQ520" s="443"/>
      <c r="AR520" s="443"/>
      <c r="AS520" s="443"/>
      <c r="AT520" s="443"/>
      <c r="AU520" s="443"/>
      <c r="AV520" s="443"/>
      <c r="AW520" s="443"/>
      <c r="AX520" s="443"/>
      <c r="AY520" s="443"/>
      <c r="AZ520" s="443"/>
      <c r="BA520" s="443"/>
      <c r="BB520" s="443"/>
      <c r="BC520" s="443"/>
      <c r="BD520" s="443"/>
      <c r="BE520" s="443"/>
    </row>
    <row r="521" hidden="1">
      <c r="A521" s="445">
        <f t="shared" si="5"/>
        <v>45811</v>
      </c>
      <c r="B521" s="449">
        <v>375.0</v>
      </c>
      <c r="C521" s="462">
        <v>0.6416666666666667</v>
      </c>
      <c r="D521" s="462">
        <v>0.9527777777777777</v>
      </c>
      <c r="E521" s="436">
        <f t="array" ref="E521">IF(B521=0,"",(J521+K521)/60)</f>
        <v>0.75</v>
      </c>
      <c r="F521" s="437">
        <f t="shared" si="1"/>
        <v>7.466666667</v>
      </c>
      <c r="G521" s="438">
        <f t="shared" si="8"/>
        <v>50.22321429</v>
      </c>
      <c r="H521" s="438">
        <f t="shared" si="3"/>
        <v>55.83126551</v>
      </c>
      <c r="I521" s="436">
        <f t="shared" si="6"/>
        <v>1.046316964</v>
      </c>
      <c r="J521" s="460">
        <v>30.0</v>
      </c>
      <c r="K521" s="460">
        <v>15.0</v>
      </c>
      <c r="L521" s="443"/>
      <c r="M521" s="447">
        <f>IFERROR(__xludf.DUMMYFUNCTION("""COMPUTED_VALUE"""),57.0)</f>
        <v>57</v>
      </c>
      <c r="N521" s="447">
        <f>IFERROR(__xludf.DUMMYFUNCTION("""COMPUTED_VALUE"""),57.0)</f>
        <v>57</v>
      </c>
      <c r="O521" s="447">
        <f>IFERROR(__xludf.DUMMYFUNCTION("""COMPUTED_VALUE"""),0.0)</f>
        <v>0</v>
      </c>
      <c r="P521" s="447">
        <f>IFERROR(__xludf.DUMMYFUNCTION("""COMPUTED_VALUE"""),0.0)</f>
        <v>0</v>
      </c>
      <c r="Q521" s="447">
        <f>IFERROR(__xludf.DUMMYFUNCTION("""COMPUTED_VALUE"""),0.0)</f>
        <v>0</v>
      </c>
      <c r="R521" s="447">
        <f>IFERROR(__xludf.DUMMYFUNCTION("""COMPUTED_VALUE"""),0.0)</f>
        <v>0</v>
      </c>
      <c r="S521" s="447">
        <f>IFERROR(__xludf.DUMMYFUNCTION("""COMPUTED_VALUE"""),2.0)</f>
        <v>2</v>
      </c>
      <c r="T521" s="447">
        <f>IFERROR(__xludf.DUMMYFUNCTION("""COMPUTED_VALUE"""),0.0)</f>
        <v>0</v>
      </c>
      <c r="U521" s="447">
        <f>IFERROR(__xludf.DUMMYFUNCTION("""COMPUTED_VALUE"""),0.0)</f>
        <v>0</v>
      </c>
      <c r="V521" s="447">
        <f>IFERROR(__xludf.DUMMYFUNCTION("""COMPUTED_VALUE"""),2.0)</f>
        <v>2</v>
      </c>
      <c r="W521" s="447">
        <f>IFERROR(__xludf.DUMMYFUNCTION("""COMPUTED_VALUE"""),0.0)</f>
        <v>0</v>
      </c>
      <c r="X521" s="447">
        <f>IFERROR(__xludf.DUMMYFUNCTION("""COMPUTED_VALUE"""),1.0)</f>
        <v>1</v>
      </c>
      <c r="Y521" s="447">
        <f>IFERROR(__xludf.DUMMYFUNCTION("""COMPUTED_VALUE"""),0.0)</f>
        <v>0</v>
      </c>
      <c r="Z521" s="447">
        <f>IFERROR(__xludf.DUMMYFUNCTION("""COMPUTED_VALUE"""),0.0)</f>
        <v>0</v>
      </c>
      <c r="AA521" s="447">
        <f>IFERROR(__xludf.DUMMYFUNCTION("""COMPUTED_VALUE"""),0.0)</f>
        <v>0</v>
      </c>
      <c r="AB521" s="447">
        <f>IFERROR(__xludf.DUMMYFUNCTION("""COMPUTED_VALUE"""),2.0)</f>
        <v>2</v>
      </c>
      <c r="AC521" s="447">
        <f>IFERROR(__xludf.DUMMYFUNCTION("""COMPUTED_VALUE"""),0.0)</f>
        <v>0</v>
      </c>
      <c r="AD521" s="447">
        <f>IFERROR(__xludf.DUMMYFUNCTION("""COMPUTED_VALUE"""),48.0)</f>
        <v>48</v>
      </c>
      <c r="AE521" s="447">
        <f>IFERROR(__xludf.DUMMYFUNCTION("""COMPUTED_VALUE"""),5.0)</f>
        <v>5</v>
      </c>
      <c r="AF521" s="447">
        <f>IFERROR(__xludf.DUMMYFUNCTION("""COMPUTED_VALUE"""),0.0)</f>
        <v>0</v>
      </c>
      <c r="AG521" s="443" t="s">
        <v>122</v>
      </c>
      <c r="AH521" s="443" t="s">
        <v>961</v>
      </c>
      <c r="AI521" s="443"/>
      <c r="AJ521" s="443"/>
      <c r="AK521" s="443"/>
      <c r="AL521" s="443"/>
      <c r="AM521" s="443"/>
      <c r="AN521" s="443"/>
      <c r="AO521" s="443"/>
      <c r="AP521" s="443"/>
      <c r="AQ521" s="443"/>
      <c r="AR521" s="443"/>
      <c r="AS521" s="443"/>
      <c r="AT521" s="443"/>
      <c r="AU521" s="443"/>
      <c r="AV521" s="443"/>
      <c r="AW521" s="443"/>
      <c r="AX521" s="443"/>
      <c r="AY521" s="443"/>
      <c r="AZ521" s="443"/>
      <c r="BA521" s="443"/>
      <c r="BB521" s="443"/>
      <c r="BC521" s="443"/>
      <c r="BD521" s="443"/>
      <c r="BE521" s="443"/>
    </row>
    <row r="522" hidden="1">
      <c r="A522" s="445">
        <f t="shared" si="5"/>
        <v>45812</v>
      </c>
      <c r="B522" s="449">
        <v>459.0</v>
      </c>
      <c r="C522" s="462">
        <v>0.6416666666666667</v>
      </c>
      <c r="D522" s="462">
        <v>1.0152777777777777</v>
      </c>
      <c r="E522" s="436">
        <f t="array" ref="E522">IF(B522=0,"",(J522+K522)/60)</f>
        <v>0.6333333333</v>
      </c>
      <c r="F522" s="437">
        <f t="shared" si="1"/>
        <v>8.966666667</v>
      </c>
      <c r="G522" s="438">
        <f t="shared" si="8"/>
        <v>51.18959108</v>
      </c>
      <c r="H522" s="438">
        <f t="shared" si="3"/>
        <v>55.08</v>
      </c>
      <c r="I522" s="436">
        <f t="shared" si="6"/>
        <v>1.023791822</v>
      </c>
      <c r="J522" s="460">
        <v>30.0</v>
      </c>
      <c r="K522" s="460">
        <v>8.0</v>
      </c>
      <c r="L522" s="443"/>
      <c r="M522" s="447">
        <f>IFERROR(__xludf.DUMMYFUNCTION("""COMPUTED_VALUE"""),57.0)</f>
        <v>57</v>
      </c>
      <c r="N522" s="447">
        <f>IFERROR(__xludf.DUMMYFUNCTION("""COMPUTED_VALUE"""),57.0)</f>
        <v>57</v>
      </c>
      <c r="O522" s="447">
        <f>IFERROR(__xludf.DUMMYFUNCTION("""COMPUTED_VALUE"""),0.0)</f>
        <v>0</v>
      </c>
      <c r="P522" s="447">
        <f>IFERROR(__xludf.DUMMYFUNCTION("""COMPUTED_VALUE"""),0.0)</f>
        <v>0</v>
      </c>
      <c r="Q522" s="447">
        <f>IFERROR(__xludf.DUMMYFUNCTION("""COMPUTED_VALUE"""),0.0)</f>
        <v>0</v>
      </c>
      <c r="R522" s="447">
        <f>IFERROR(__xludf.DUMMYFUNCTION("""COMPUTED_VALUE"""),0.0)</f>
        <v>0</v>
      </c>
      <c r="S522" s="447">
        <f>IFERROR(__xludf.DUMMYFUNCTION("""COMPUTED_VALUE"""),2.0)</f>
        <v>2</v>
      </c>
      <c r="T522" s="447">
        <f>IFERROR(__xludf.DUMMYFUNCTION("""COMPUTED_VALUE"""),0.0)</f>
        <v>0</v>
      </c>
      <c r="U522" s="447">
        <f>IFERROR(__xludf.DUMMYFUNCTION("""COMPUTED_VALUE"""),0.0)</f>
        <v>0</v>
      </c>
      <c r="V522" s="447">
        <f>IFERROR(__xludf.DUMMYFUNCTION("""COMPUTED_VALUE"""),2.0)</f>
        <v>2</v>
      </c>
      <c r="W522" s="447">
        <f>IFERROR(__xludf.DUMMYFUNCTION("""COMPUTED_VALUE"""),0.0)</f>
        <v>0</v>
      </c>
      <c r="X522" s="447">
        <f>IFERROR(__xludf.DUMMYFUNCTION("""COMPUTED_VALUE"""),1.0)</f>
        <v>1</v>
      </c>
      <c r="Y522" s="447">
        <f>IFERROR(__xludf.DUMMYFUNCTION("""COMPUTED_VALUE"""),0.0)</f>
        <v>0</v>
      </c>
      <c r="Z522" s="447">
        <f>IFERROR(__xludf.DUMMYFUNCTION("""COMPUTED_VALUE"""),0.0)</f>
        <v>0</v>
      </c>
      <c r="AA522" s="447">
        <f>IFERROR(__xludf.DUMMYFUNCTION("""COMPUTED_VALUE"""),0.0)</f>
        <v>0</v>
      </c>
      <c r="AB522" s="447">
        <f>IFERROR(__xludf.DUMMYFUNCTION("""COMPUTED_VALUE"""),0.0)</f>
        <v>0</v>
      </c>
      <c r="AC522" s="447">
        <f>IFERROR(__xludf.DUMMYFUNCTION("""COMPUTED_VALUE"""),0.0)</f>
        <v>0</v>
      </c>
      <c r="AD522" s="447">
        <f>IFERROR(__xludf.DUMMYFUNCTION("""COMPUTED_VALUE"""),50.0)</f>
        <v>50</v>
      </c>
      <c r="AE522" s="447">
        <f>IFERROR(__xludf.DUMMYFUNCTION("""COMPUTED_VALUE"""),5.0)</f>
        <v>5</v>
      </c>
      <c r="AF522" s="447">
        <f>IFERROR(__xludf.DUMMYFUNCTION("""COMPUTED_VALUE"""),0.0)</f>
        <v>0</v>
      </c>
      <c r="AG522" s="443" t="s">
        <v>122</v>
      </c>
      <c r="AH522" s="443" t="s">
        <v>961</v>
      </c>
      <c r="AI522" s="443"/>
      <c r="AJ522" s="443"/>
      <c r="AK522" s="443"/>
      <c r="AL522" s="443"/>
      <c r="AM522" s="443"/>
      <c r="AN522" s="443"/>
      <c r="AO522" s="443"/>
      <c r="AP522" s="443"/>
      <c r="AQ522" s="443"/>
      <c r="AR522" s="443"/>
      <c r="AS522" s="443"/>
      <c r="AT522" s="443"/>
      <c r="AU522" s="443"/>
      <c r="AV522" s="443"/>
      <c r="AW522" s="443"/>
      <c r="AX522" s="443"/>
      <c r="AY522" s="443"/>
      <c r="AZ522" s="443"/>
      <c r="BA522" s="443"/>
      <c r="BB522" s="443"/>
      <c r="BC522" s="443"/>
      <c r="BD522" s="443"/>
      <c r="BE522" s="443"/>
    </row>
    <row r="523" hidden="1">
      <c r="A523" s="445">
        <f t="shared" si="5"/>
        <v>45813</v>
      </c>
      <c r="B523" s="449">
        <v>575.0</v>
      </c>
      <c r="C523" s="462">
        <v>0.6</v>
      </c>
      <c r="D523" s="462">
        <v>1.0208333333333333</v>
      </c>
      <c r="E523" s="436">
        <f t="array" ref="E523">IF(B523=0,"",(J523+K523)/60)</f>
        <v>1.8</v>
      </c>
      <c r="F523" s="437">
        <f t="shared" si="1"/>
        <v>10.1</v>
      </c>
      <c r="G523" s="438">
        <f t="shared" si="8"/>
        <v>56.93069307</v>
      </c>
      <c r="H523" s="438">
        <f t="shared" si="3"/>
        <v>69.27710843</v>
      </c>
      <c r="I523" s="436">
        <f t="shared" si="6"/>
        <v>1.186056106</v>
      </c>
      <c r="J523" s="460">
        <v>60.0</v>
      </c>
      <c r="K523" s="460">
        <f>33+7+8</f>
        <v>48</v>
      </c>
      <c r="L523" s="443"/>
      <c r="M523" s="447">
        <f>IFERROR(__xludf.DUMMYFUNCTION("""COMPUTED_VALUE"""),57.0)</f>
        <v>57</v>
      </c>
      <c r="N523" s="447">
        <f>IFERROR(__xludf.DUMMYFUNCTION("""COMPUTED_VALUE"""),57.0)</f>
        <v>57</v>
      </c>
      <c r="O523" s="447">
        <f>IFERROR(__xludf.DUMMYFUNCTION("""COMPUTED_VALUE"""),0.0)</f>
        <v>0</v>
      </c>
      <c r="P523" s="447">
        <f>IFERROR(__xludf.DUMMYFUNCTION("""COMPUTED_VALUE"""),0.0)</f>
        <v>0</v>
      </c>
      <c r="Q523" s="447">
        <f>IFERROR(__xludf.DUMMYFUNCTION("""COMPUTED_VALUE"""),0.0)</f>
        <v>0</v>
      </c>
      <c r="R523" s="447">
        <f>IFERROR(__xludf.DUMMYFUNCTION("""COMPUTED_VALUE"""),0.0)</f>
        <v>0</v>
      </c>
      <c r="S523" s="447">
        <f>IFERROR(__xludf.DUMMYFUNCTION("""COMPUTED_VALUE"""),4.0)</f>
        <v>4</v>
      </c>
      <c r="T523" s="447">
        <f>IFERROR(__xludf.DUMMYFUNCTION("""COMPUTED_VALUE"""),0.0)</f>
        <v>0</v>
      </c>
      <c r="U523" s="447">
        <f>IFERROR(__xludf.DUMMYFUNCTION("""COMPUTED_VALUE"""),0.0)</f>
        <v>0</v>
      </c>
      <c r="V523" s="447">
        <f>IFERROR(__xludf.DUMMYFUNCTION("""COMPUTED_VALUE"""),2.0)</f>
        <v>2</v>
      </c>
      <c r="W523" s="447">
        <f>IFERROR(__xludf.DUMMYFUNCTION("""COMPUTED_VALUE"""),0.0)</f>
        <v>0</v>
      </c>
      <c r="X523" s="447">
        <f>IFERROR(__xludf.DUMMYFUNCTION("""COMPUTED_VALUE"""),1.0)</f>
        <v>1</v>
      </c>
      <c r="Y523" s="447">
        <f>IFERROR(__xludf.DUMMYFUNCTION("""COMPUTED_VALUE"""),0.0)</f>
        <v>0</v>
      </c>
      <c r="Z523" s="447">
        <f>IFERROR(__xludf.DUMMYFUNCTION("""COMPUTED_VALUE"""),0.0)</f>
        <v>0</v>
      </c>
      <c r="AA523" s="447">
        <f>IFERROR(__xludf.DUMMYFUNCTION("""COMPUTED_VALUE"""),0.0)</f>
        <v>0</v>
      </c>
      <c r="AB523" s="447">
        <f>IFERROR(__xludf.DUMMYFUNCTION("""COMPUTED_VALUE"""),0.0)</f>
        <v>0</v>
      </c>
      <c r="AC523" s="447">
        <f>IFERROR(__xludf.DUMMYFUNCTION("""COMPUTED_VALUE"""),0.0)</f>
        <v>0</v>
      </c>
      <c r="AD523" s="447">
        <f>IFERROR(__xludf.DUMMYFUNCTION("""COMPUTED_VALUE"""),48.0)</f>
        <v>48</v>
      </c>
      <c r="AE523" s="447">
        <f>IFERROR(__xludf.DUMMYFUNCTION("""COMPUTED_VALUE"""),7.0)</f>
        <v>7</v>
      </c>
      <c r="AF523" s="447">
        <f>IFERROR(__xludf.DUMMYFUNCTION("""COMPUTED_VALUE"""),0.0)</f>
        <v>0</v>
      </c>
      <c r="AG523" s="443" t="s">
        <v>122</v>
      </c>
      <c r="AH523" s="443" t="s">
        <v>961</v>
      </c>
      <c r="AI523" s="443"/>
      <c r="AJ523" s="443"/>
      <c r="AK523" s="443"/>
      <c r="AL523" s="443"/>
      <c r="AM523" s="443"/>
      <c r="AN523" s="443"/>
      <c r="AO523" s="443"/>
      <c r="AP523" s="443"/>
      <c r="AQ523" s="443"/>
      <c r="AR523" s="443"/>
      <c r="AS523" s="443"/>
      <c r="AT523" s="443"/>
      <c r="AU523" s="443"/>
      <c r="AV523" s="443"/>
      <c r="AW523" s="443"/>
      <c r="AX523" s="443"/>
      <c r="AY523" s="443"/>
      <c r="AZ523" s="443"/>
      <c r="BA523" s="443"/>
      <c r="BB523" s="443"/>
      <c r="BC523" s="443"/>
      <c r="BD523" s="443"/>
      <c r="BE523" s="443"/>
    </row>
    <row r="524" hidden="1">
      <c r="A524" s="445">
        <f t="shared" si="5"/>
        <v>45814</v>
      </c>
      <c r="B524" s="449">
        <v>606.0</v>
      </c>
      <c r="C524" s="462">
        <v>0.6</v>
      </c>
      <c r="D524" s="462">
        <v>1.101388888888889</v>
      </c>
      <c r="E524" s="436">
        <f t="array" ref="E524">IF(B524=0,"",(J524+K524)/60)</f>
        <v>0</v>
      </c>
      <c r="F524" s="437">
        <f t="shared" si="1"/>
        <v>12.03333333</v>
      </c>
      <c r="G524" s="438">
        <f t="shared" si="8"/>
        <v>50.3601108</v>
      </c>
      <c r="H524" s="438">
        <f t="shared" si="3"/>
        <v>50.3601108</v>
      </c>
      <c r="I524" s="436">
        <f t="shared" si="6"/>
        <v>1.071491719</v>
      </c>
      <c r="J524" s="464"/>
      <c r="K524" s="464"/>
      <c r="L524" s="528" t="s">
        <v>967</v>
      </c>
      <c r="M524" s="447">
        <f>IFERROR(__xludf.DUMMYFUNCTION("""COMPUTED_VALUE"""),57.0)</f>
        <v>57</v>
      </c>
      <c r="N524" s="447">
        <f>IFERROR(__xludf.DUMMYFUNCTION("""COMPUTED_VALUE"""),57.0)</f>
        <v>57</v>
      </c>
      <c r="O524" s="447">
        <f>IFERROR(__xludf.DUMMYFUNCTION("""COMPUTED_VALUE"""),0.0)</f>
        <v>0</v>
      </c>
      <c r="P524" s="447">
        <f>IFERROR(__xludf.DUMMYFUNCTION("""COMPUTED_VALUE"""),0.0)</f>
        <v>0</v>
      </c>
      <c r="Q524" s="447">
        <f>IFERROR(__xludf.DUMMYFUNCTION("""COMPUTED_VALUE"""),0.0)</f>
        <v>0</v>
      </c>
      <c r="R524" s="447">
        <f>IFERROR(__xludf.DUMMYFUNCTION("""COMPUTED_VALUE"""),0.0)</f>
        <v>0</v>
      </c>
      <c r="S524" s="447">
        <f>IFERROR(__xludf.DUMMYFUNCTION("""COMPUTED_VALUE"""),4.0)</f>
        <v>4</v>
      </c>
      <c r="T524" s="447">
        <f>IFERROR(__xludf.DUMMYFUNCTION("""COMPUTED_VALUE"""),0.0)</f>
        <v>0</v>
      </c>
      <c r="U524" s="447">
        <f>IFERROR(__xludf.DUMMYFUNCTION("""COMPUTED_VALUE"""),0.0)</f>
        <v>0</v>
      </c>
      <c r="V524" s="447">
        <f>IFERROR(__xludf.DUMMYFUNCTION("""COMPUTED_VALUE"""),2.0)</f>
        <v>2</v>
      </c>
      <c r="W524" s="447">
        <f>IFERROR(__xludf.DUMMYFUNCTION("""COMPUTED_VALUE"""),0.0)</f>
        <v>0</v>
      </c>
      <c r="X524" s="447">
        <f>IFERROR(__xludf.DUMMYFUNCTION("""COMPUTED_VALUE"""),1.0)</f>
        <v>1</v>
      </c>
      <c r="Y524" s="447">
        <f>IFERROR(__xludf.DUMMYFUNCTION("""COMPUTED_VALUE"""),0.0)</f>
        <v>0</v>
      </c>
      <c r="Z524" s="447">
        <f>IFERROR(__xludf.DUMMYFUNCTION("""COMPUTED_VALUE"""),0.0)</f>
        <v>0</v>
      </c>
      <c r="AA524" s="447">
        <f>IFERROR(__xludf.DUMMYFUNCTION("""COMPUTED_VALUE"""),0.0)</f>
        <v>0</v>
      </c>
      <c r="AB524" s="447">
        <f>IFERROR(__xludf.DUMMYFUNCTION("""COMPUTED_VALUE"""),0.0)</f>
        <v>0</v>
      </c>
      <c r="AC524" s="447">
        <f>IFERROR(__xludf.DUMMYFUNCTION("""COMPUTED_VALUE"""),1.0)</f>
        <v>1</v>
      </c>
      <c r="AD524" s="447">
        <f>IFERROR(__xludf.DUMMYFUNCTION("""COMPUTED_VALUE"""),47.0)</f>
        <v>47</v>
      </c>
      <c r="AE524" s="447">
        <f>IFERROR(__xludf.DUMMYFUNCTION("""COMPUTED_VALUE"""),8.0)</f>
        <v>8</v>
      </c>
      <c r="AF524" s="447">
        <f>IFERROR(__xludf.DUMMYFUNCTION("""COMPUTED_VALUE"""),0.0)</f>
        <v>0</v>
      </c>
      <c r="AG524" s="443" t="s">
        <v>122</v>
      </c>
      <c r="AH524" s="443" t="s">
        <v>961</v>
      </c>
      <c r="AI524" s="443"/>
      <c r="AJ524" s="443"/>
      <c r="AK524" s="443"/>
      <c r="AL524" s="443"/>
      <c r="AM524" s="443"/>
      <c r="AN524" s="443"/>
      <c r="AO524" s="443"/>
      <c r="AP524" s="443"/>
      <c r="AQ524" s="443"/>
      <c r="AR524" s="443"/>
      <c r="AS524" s="443"/>
      <c r="AT524" s="443"/>
      <c r="AU524" s="443"/>
      <c r="AV524" s="443"/>
      <c r="AW524" s="443"/>
      <c r="AX524" s="443"/>
      <c r="AY524" s="443"/>
      <c r="AZ524" s="443"/>
      <c r="BA524" s="443"/>
      <c r="BB524" s="443"/>
      <c r="BC524" s="443"/>
      <c r="BD524" s="443"/>
      <c r="BE524" s="443"/>
    </row>
    <row r="525" hidden="1">
      <c r="A525" s="445">
        <f t="shared" si="5"/>
        <v>45815</v>
      </c>
      <c r="B525" s="449">
        <v>231.0</v>
      </c>
      <c r="C525" s="462">
        <v>0.6</v>
      </c>
      <c r="D525" s="462">
        <v>0.8541666666666666</v>
      </c>
      <c r="E525" s="436">
        <f t="array" ref="E525">IF(B525=0,"",(J525+K525)/60)</f>
        <v>0</v>
      </c>
      <c r="F525" s="437">
        <f t="shared" si="1"/>
        <v>6.1</v>
      </c>
      <c r="G525" s="438">
        <f t="shared" si="8"/>
        <v>37.86885246</v>
      </c>
      <c r="H525" s="438">
        <f t="shared" si="3"/>
        <v>37.86885246</v>
      </c>
      <c r="I525" s="436">
        <f t="shared" si="6"/>
        <v>0.8606557377</v>
      </c>
      <c r="J525" s="464"/>
      <c r="K525" s="464"/>
      <c r="L525" s="443"/>
      <c r="M525" s="447">
        <f>IFERROR(__xludf.DUMMYFUNCTION("""COMPUTED_VALUE"""),57.0)</f>
        <v>57</v>
      </c>
      <c r="N525" s="447">
        <f>IFERROR(__xludf.DUMMYFUNCTION("""COMPUTED_VALUE"""),57.0)</f>
        <v>57</v>
      </c>
      <c r="O525" s="447">
        <f>IFERROR(__xludf.DUMMYFUNCTION("""COMPUTED_VALUE"""),0.0)</f>
        <v>0</v>
      </c>
      <c r="P525" s="447">
        <f>IFERROR(__xludf.DUMMYFUNCTION("""COMPUTED_VALUE"""),0.0)</f>
        <v>0</v>
      </c>
      <c r="Q525" s="447">
        <f>IFERROR(__xludf.DUMMYFUNCTION("""COMPUTED_VALUE"""),0.0)</f>
        <v>0</v>
      </c>
      <c r="R525" s="447">
        <f>IFERROR(__xludf.DUMMYFUNCTION("""COMPUTED_VALUE"""),0.0)</f>
        <v>0</v>
      </c>
      <c r="S525" s="447">
        <f>IFERROR(__xludf.DUMMYFUNCTION("""COMPUTED_VALUE"""),4.0)</f>
        <v>4</v>
      </c>
      <c r="T525" s="447">
        <f>IFERROR(__xludf.DUMMYFUNCTION("""COMPUTED_VALUE"""),1.0)</f>
        <v>1</v>
      </c>
      <c r="U525" s="447">
        <f>IFERROR(__xludf.DUMMYFUNCTION("""COMPUTED_VALUE"""),0.0)</f>
        <v>0</v>
      </c>
      <c r="V525" s="447">
        <f>IFERROR(__xludf.DUMMYFUNCTION("""COMPUTED_VALUE"""),3.0)</f>
        <v>3</v>
      </c>
      <c r="W525" s="447">
        <f>IFERROR(__xludf.DUMMYFUNCTION("""COMPUTED_VALUE"""),0.0)</f>
        <v>0</v>
      </c>
      <c r="X525" s="447">
        <f>IFERROR(__xludf.DUMMYFUNCTION("""COMPUTED_VALUE"""),1.0)</f>
        <v>1</v>
      </c>
      <c r="Y525" s="447">
        <f>IFERROR(__xludf.DUMMYFUNCTION("""COMPUTED_VALUE"""),0.0)</f>
        <v>0</v>
      </c>
      <c r="Z525" s="447">
        <f>IFERROR(__xludf.DUMMYFUNCTION("""COMPUTED_VALUE"""),0.0)</f>
        <v>0</v>
      </c>
      <c r="AA525" s="447">
        <f>IFERROR(__xludf.DUMMYFUNCTION("""COMPUTED_VALUE"""),0.0)</f>
        <v>0</v>
      </c>
      <c r="AB525" s="447">
        <f>IFERROR(__xludf.DUMMYFUNCTION("""COMPUTED_VALUE"""),0.0)</f>
        <v>0</v>
      </c>
      <c r="AC525" s="447">
        <f>IFERROR(__xludf.DUMMYFUNCTION("""COMPUTED_VALUE"""),2.0)</f>
        <v>2</v>
      </c>
      <c r="AD525" s="447">
        <f>IFERROR(__xludf.DUMMYFUNCTION("""COMPUTED_VALUE"""),44.0)</f>
        <v>44</v>
      </c>
      <c r="AE525" s="447">
        <f>IFERROR(__xludf.DUMMYFUNCTION("""COMPUTED_VALUE"""),11.0)</f>
        <v>11</v>
      </c>
      <c r="AF525" s="447">
        <f>IFERROR(__xludf.DUMMYFUNCTION("""COMPUTED_VALUE"""),0.0)</f>
        <v>0</v>
      </c>
      <c r="AG525" s="443" t="s">
        <v>122</v>
      </c>
      <c r="AH525" s="443" t="s">
        <v>961</v>
      </c>
      <c r="AI525" s="443"/>
      <c r="AJ525" s="443"/>
      <c r="AK525" s="443"/>
      <c r="AL525" s="443"/>
      <c r="AM525" s="443"/>
      <c r="AN525" s="443"/>
      <c r="AO525" s="443"/>
      <c r="AP525" s="443"/>
      <c r="AQ525" s="443"/>
      <c r="AR525" s="443"/>
      <c r="AS525" s="443"/>
      <c r="AT525" s="443"/>
      <c r="AU525" s="443"/>
      <c r="AV525" s="443"/>
      <c r="AW525" s="443"/>
      <c r="AX525" s="443"/>
      <c r="AY525" s="443"/>
      <c r="AZ525" s="443"/>
      <c r="BA525" s="443"/>
      <c r="BB525" s="443"/>
      <c r="BC525" s="443"/>
      <c r="BD525" s="443"/>
      <c r="BE525" s="443"/>
    </row>
    <row r="526" hidden="1">
      <c r="A526" s="445">
        <f t="shared" si="5"/>
        <v>45816</v>
      </c>
      <c r="B526" s="449">
        <v>0.0</v>
      </c>
      <c r="C526" s="443"/>
      <c r="D526" s="462"/>
      <c r="E526" s="436" t="str">
        <f t="array" ref="E526">IF(B526=0,"",(J526+K526)/60)</f>
        <v/>
      </c>
      <c r="F526" s="437" t="str">
        <f t="shared" si="1"/>
        <v/>
      </c>
      <c r="G526" s="438" t="str">
        <f t="shared" si="8"/>
        <v>#DIV/0!</v>
      </c>
      <c r="H526" s="438" t="str">
        <f t="shared" si="3"/>
        <v/>
      </c>
      <c r="I526" s="436" t="str">
        <f t="shared" si="6"/>
        <v/>
      </c>
      <c r="J526" s="460"/>
      <c r="K526" s="464"/>
      <c r="L526" s="443"/>
      <c r="M526" s="447">
        <f>IFERROR(__xludf.DUMMYFUNCTION("""COMPUTED_VALUE"""),57.0)</f>
        <v>57</v>
      </c>
      <c r="N526" s="447">
        <f>IFERROR(__xludf.DUMMYFUNCTION("""COMPUTED_VALUE"""),57.0)</f>
        <v>57</v>
      </c>
      <c r="O526" s="447">
        <f>IFERROR(__xludf.DUMMYFUNCTION("""COMPUTED_VALUE"""),0.0)</f>
        <v>0</v>
      </c>
      <c r="P526" s="447">
        <f>IFERROR(__xludf.DUMMYFUNCTION("""COMPUTED_VALUE"""),0.0)</f>
        <v>0</v>
      </c>
      <c r="Q526" s="447">
        <f>IFERROR(__xludf.DUMMYFUNCTION("""COMPUTED_VALUE"""),0.0)</f>
        <v>0</v>
      </c>
      <c r="R526" s="447">
        <f>IFERROR(__xludf.DUMMYFUNCTION("""COMPUTED_VALUE"""),0.0)</f>
        <v>0</v>
      </c>
      <c r="S526" s="447">
        <f>IFERROR(__xludf.DUMMYFUNCTION("""COMPUTED_VALUE"""),1.0)</f>
        <v>1</v>
      </c>
      <c r="T526" s="447">
        <f>IFERROR(__xludf.DUMMYFUNCTION("""COMPUTED_VALUE"""),0.0)</f>
        <v>0</v>
      </c>
      <c r="U526" s="447">
        <f>IFERROR(__xludf.DUMMYFUNCTION("""COMPUTED_VALUE"""),0.0)</f>
        <v>0</v>
      </c>
      <c r="V526" s="447">
        <f>IFERROR(__xludf.DUMMYFUNCTION("""COMPUTED_VALUE"""),3.0)</f>
        <v>3</v>
      </c>
      <c r="W526" s="447">
        <f>IFERROR(__xludf.DUMMYFUNCTION("""COMPUTED_VALUE"""),0.0)</f>
        <v>0</v>
      </c>
      <c r="X526" s="447">
        <f>IFERROR(__xludf.DUMMYFUNCTION("""COMPUTED_VALUE"""),0.0)</f>
        <v>0</v>
      </c>
      <c r="Y526" s="447">
        <f>IFERROR(__xludf.DUMMYFUNCTION("""COMPUTED_VALUE"""),0.0)</f>
        <v>0</v>
      </c>
      <c r="Z526" s="447">
        <f>IFERROR(__xludf.DUMMYFUNCTION("""COMPUTED_VALUE"""),0.0)</f>
        <v>0</v>
      </c>
      <c r="AA526" s="447">
        <f>IFERROR(__xludf.DUMMYFUNCTION("""COMPUTED_VALUE"""),0.0)</f>
        <v>0</v>
      </c>
      <c r="AB526" s="447">
        <f>IFERROR(__xludf.DUMMYFUNCTION("""COMPUTED_VALUE"""),0.0)</f>
        <v>0</v>
      </c>
      <c r="AC526" s="447">
        <f>IFERROR(__xludf.DUMMYFUNCTION("""COMPUTED_VALUE"""),0.0)</f>
        <v>0</v>
      </c>
      <c r="AD526" s="447">
        <f>IFERROR(__xludf.DUMMYFUNCTION("""COMPUTED_VALUE"""),0.0)</f>
        <v>0</v>
      </c>
      <c r="AE526" s="447">
        <f>IFERROR(__xludf.DUMMYFUNCTION("""COMPUTED_VALUE"""),4.0)</f>
        <v>4</v>
      </c>
      <c r="AF526" s="447">
        <f>IFERROR(__xludf.DUMMYFUNCTION("""COMPUTED_VALUE"""),0.0)</f>
        <v>0</v>
      </c>
      <c r="AG526" s="443" t="s">
        <v>122</v>
      </c>
      <c r="AH526" s="443" t="s">
        <v>961</v>
      </c>
      <c r="AI526" s="443"/>
      <c r="AJ526" s="443"/>
      <c r="AK526" s="443"/>
      <c r="AL526" s="443"/>
      <c r="AM526" s="443"/>
      <c r="AN526" s="443"/>
      <c r="AO526" s="443"/>
      <c r="AP526" s="443"/>
      <c r="AQ526" s="443"/>
      <c r="AR526" s="443"/>
      <c r="AS526" s="443"/>
      <c r="AT526" s="443"/>
      <c r="AU526" s="443"/>
      <c r="AV526" s="443"/>
      <c r="AW526" s="443"/>
      <c r="AX526" s="443"/>
      <c r="AY526" s="443"/>
      <c r="AZ526" s="443"/>
      <c r="BA526" s="443"/>
      <c r="BB526" s="443"/>
      <c r="BC526" s="443"/>
      <c r="BD526" s="443"/>
      <c r="BE526" s="443"/>
    </row>
    <row r="527" hidden="1">
      <c r="A527" s="445">
        <f t="shared" si="5"/>
        <v>45817</v>
      </c>
      <c r="B527" s="449">
        <v>624.0</v>
      </c>
      <c r="C527" s="462">
        <v>0.61875</v>
      </c>
      <c r="D527" s="462">
        <v>1.075</v>
      </c>
      <c r="E527" s="436">
        <f t="array" ref="E527">IF(B527=0,"",(J527+K527)/60)</f>
        <v>2.683333333</v>
      </c>
      <c r="F527" s="437">
        <f t="shared" si="1"/>
        <v>10.95</v>
      </c>
      <c r="G527" s="438">
        <f t="shared" si="8"/>
        <v>56.98630137</v>
      </c>
      <c r="H527" s="438">
        <f t="shared" si="3"/>
        <v>75.48387097</v>
      </c>
      <c r="I527" s="436">
        <f t="shared" si="6"/>
        <v>1.238832638</v>
      </c>
      <c r="J527" s="460">
        <v>60.0</v>
      </c>
      <c r="K527" s="464">
        <f>35+13+22+31</f>
        <v>101</v>
      </c>
      <c r="L527" s="443"/>
      <c r="M527" s="447">
        <f>IFERROR(__xludf.DUMMYFUNCTION("""COMPUTED_VALUE"""),57.0)</f>
        <v>57</v>
      </c>
      <c r="N527" s="447">
        <f>IFERROR(__xludf.DUMMYFUNCTION("""COMPUTED_VALUE"""),57.0)</f>
        <v>57</v>
      </c>
      <c r="O527" s="447">
        <f>IFERROR(__xludf.DUMMYFUNCTION("""COMPUTED_VALUE"""),0.0)</f>
        <v>0</v>
      </c>
      <c r="P527" s="447">
        <f>IFERROR(__xludf.DUMMYFUNCTION("""COMPUTED_VALUE"""),0.0)</f>
        <v>0</v>
      </c>
      <c r="Q527" s="447">
        <f>IFERROR(__xludf.DUMMYFUNCTION("""COMPUTED_VALUE"""),0.0)</f>
        <v>0</v>
      </c>
      <c r="R527" s="447">
        <f>IFERROR(__xludf.DUMMYFUNCTION("""COMPUTED_VALUE"""),0.0)</f>
        <v>0</v>
      </c>
      <c r="S527" s="447">
        <f>IFERROR(__xludf.DUMMYFUNCTION("""COMPUTED_VALUE"""),3.0)</f>
        <v>3</v>
      </c>
      <c r="T527" s="447">
        <f>IFERROR(__xludf.DUMMYFUNCTION("""COMPUTED_VALUE"""),0.0)</f>
        <v>0</v>
      </c>
      <c r="U527" s="447">
        <f>IFERROR(__xludf.DUMMYFUNCTION("""COMPUTED_VALUE"""),0.0)</f>
        <v>0</v>
      </c>
      <c r="V527" s="447">
        <f>IFERROR(__xludf.DUMMYFUNCTION("""COMPUTED_VALUE"""),3.0)</f>
        <v>3</v>
      </c>
      <c r="W527" s="447">
        <f>IFERROR(__xludf.DUMMYFUNCTION("""COMPUTED_VALUE"""),0.0)</f>
        <v>0</v>
      </c>
      <c r="X527" s="447">
        <f>IFERROR(__xludf.DUMMYFUNCTION("""COMPUTED_VALUE"""),1.0)</f>
        <v>1</v>
      </c>
      <c r="Y527" s="447">
        <f>IFERROR(__xludf.DUMMYFUNCTION("""COMPUTED_VALUE"""),1.0)</f>
        <v>1</v>
      </c>
      <c r="Z527" s="447">
        <f>IFERROR(__xludf.DUMMYFUNCTION("""COMPUTED_VALUE"""),0.0)</f>
        <v>0</v>
      </c>
      <c r="AA527" s="447">
        <f>IFERROR(__xludf.DUMMYFUNCTION("""COMPUTED_VALUE"""),0.0)</f>
        <v>0</v>
      </c>
      <c r="AB527" s="447">
        <f>IFERROR(__xludf.DUMMYFUNCTION("""COMPUTED_VALUE"""),0.0)</f>
        <v>0</v>
      </c>
      <c r="AC527" s="447">
        <f>IFERROR(__xludf.DUMMYFUNCTION("""COMPUTED_VALUE"""),1.0)</f>
        <v>1</v>
      </c>
      <c r="AD527" s="447">
        <f>IFERROR(__xludf.DUMMYFUNCTION("""COMPUTED_VALUE"""),46.0)</f>
        <v>46</v>
      </c>
      <c r="AE527" s="447">
        <f>IFERROR(__xludf.DUMMYFUNCTION("""COMPUTED_VALUE"""),9.0)</f>
        <v>9</v>
      </c>
      <c r="AF527" s="447">
        <f>IFERROR(__xludf.DUMMYFUNCTION("""COMPUTED_VALUE"""),0.0)</f>
        <v>0</v>
      </c>
      <c r="AG527" s="443" t="s">
        <v>122</v>
      </c>
      <c r="AH527" s="443" t="s">
        <v>961</v>
      </c>
      <c r="AI527" s="443"/>
      <c r="AJ527" s="443"/>
      <c r="AK527" s="443"/>
      <c r="AL527" s="443"/>
      <c r="AM527" s="443"/>
      <c r="AN527" s="443"/>
      <c r="AO527" s="443"/>
      <c r="AP527" s="443"/>
      <c r="AQ527" s="443"/>
      <c r="AR527" s="443"/>
      <c r="AS527" s="443"/>
      <c r="AT527" s="443"/>
      <c r="AU527" s="443"/>
      <c r="AV527" s="443"/>
      <c r="AW527" s="443"/>
      <c r="AX527" s="443"/>
      <c r="AY527" s="443"/>
      <c r="AZ527" s="443"/>
      <c r="BA527" s="443"/>
      <c r="BB527" s="443"/>
      <c r="BC527" s="443"/>
      <c r="BD527" s="443"/>
      <c r="BE527" s="443"/>
    </row>
    <row r="528" hidden="1">
      <c r="A528" s="445">
        <f t="shared" si="5"/>
        <v>45818</v>
      </c>
      <c r="B528" s="449">
        <v>541.0</v>
      </c>
      <c r="C528" s="462">
        <v>0.61875</v>
      </c>
      <c r="D528" s="462">
        <v>1.0416666666666667</v>
      </c>
      <c r="E528" s="436">
        <f t="array" ref="E528">IF(B528=0,"",(J528+K528)/60)</f>
        <v>1.983333333</v>
      </c>
      <c r="F528" s="437">
        <f t="shared" si="1"/>
        <v>10.15</v>
      </c>
      <c r="G528" s="438">
        <f t="shared" si="8"/>
        <v>53.30049261</v>
      </c>
      <c r="H528" s="438">
        <f t="shared" si="3"/>
        <v>66.24489796</v>
      </c>
      <c r="I528" s="436">
        <f t="shared" si="6"/>
        <v>1.184455391</v>
      </c>
      <c r="J528" s="460">
        <v>60.0</v>
      </c>
      <c r="K528" s="464">
        <f>5+5+4+40+5</f>
        <v>59</v>
      </c>
      <c r="L528" s="443"/>
      <c r="M528" s="447">
        <f>IFERROR(__xludf.DUMMYFUNCTION("""COMPUTED_VALUE"""),57.0)</f>
        <v>57</v>
      </c>
      <c r="N528" s="447">
        <f>IFERROR(__xludf.DUMMYFUNCTION("""COMPUTED_VALUE"""),57.0)</f>
        <v>57</v>
      </c>
      <c r="O528" s="447">
        <f>IFERROR(__xludf.DUMMYFUNCTION("""COMPUTED_VALUE"""),0.0)</f>
        <v>0</v>
      </c>
      <c r="P528" s="447">
        <f>IFERROR(__xludf.DUMMYFUNCTION("""COMPUTED_VALUE"""),1.0)</f>
        <v>1</v>
      </c>
      <c r="Q528" s="447">
        <f>IFERROR(__xludf.DUMMYFUNCTION("""COMPUTED_VALUE"""),0.0)</f>
        <v>0</v>
      </c>
      <c r="R528" s="447">
        <f>IFERROR(__xludf.DUMMYFUNCTION("""COMPUTED_VALUE"""),0.0)</f>
        <v>0</v>
      </c>
      <c r="S528" s="447">
        <f>IFERROR(__xludf.DUMMYFUNCTION("""COMPUTED_VALUE"""),3.0)</f>
        <v>3</v>
      </c>
      <c r="T528" s="447">
        <f>IFERROR(__xludf.DUMMYFUNCTION("""COMPUTED_VALUE"""),0.0)</f>
        <v>0</v>
      </c>
      <c r="U528" s="447">
        <f>IFERROR(__xludf.DUMMYFUNCTION("""COMPUTED_VALUE"""),0.0)</f>
        <v>0</v>
      </c>
      <c r="V528" s="447">
        <f>IFERROR(__xludf.DUMMYFUNCTION("""COMPUTED_VALUE"""),3.0)</f>
        <v>3</v>
      </c>
      <c r="W528" s="447">
        <f>IFERROR(__xludf.DUMMYFUNCTION("""COMPUTED_VALUE"""),1.0)</f>
        <v>1</v>
      </c>
      <c r="X528" s="447">
        <f>IFERROR(__xludf.DUMMYFUNCTION("""COMPUTED_VALUE"""),1.0)</f>
        <v>1</v>
      </c>
      <c r="Y528" s="447">
        <f>IFERROR(__xludf.DUMMYFUNCTION("""COMPUTED_VALUE"""),1.0)</f>
        <v>1</v>
      </c>
      <c r="Z528" s="447">
        <f>IFERROR(__xludf.DUMMYFUNCTION("""COMPUTED_VALUE"""),0.0)</f>
        <v>0</v>
      </c>
      <c r="AA528" s="447">
        <f>IFERROR(__xludf.DUMMYFUNCTION("""COMPUTED_VALUE"""),0.0)</f>
        <v>0</v>
      </c>
      <c r="AB528" s="447">
        <f>IFERROR(__xludf.DUMMYFUNCTION("""COMPUTED_VALUE"""),0.0)</f>
        <v>0</v>
      </c>
      <c r="AC528" s="447">
        <f>IFERROR(__xludf.DUMMYFUNCTION("""COMPUTED_VALUE"""),0.0)</f>
        <v>0</v>
      </c>
      <c r="AD528" s="447">
        <f>IFERROR(__xludf.DUMMYFUNCTION("""COMPUTED_VALUE"""),45.0)</f>
        <v>45</v>
      </c>
      <c r="AE528" s="447">
        <f>IFERROR(__xludf.DUMMYFUNCTION("""COMPUTED_VALUE"""),10.0)</f>
        <v>10</v>
      </c>
      <c r="AF528" s="447">
        <f>IFERROR(__xludf.DUMMYFUNCTION("""COMPUTED_VALUE"""),0.0)</f>
        <v>0</v>
      </c>
      <c r="AG528" s="443" t="s">
        <v>122</v>
      </c>
      <c r="AH528" s="443" t="s">
        <v>961</v>
      </c>
      <c r="AI528" s="443"/>
      <c r="AJ528" s="443"/>
      <c r="AK528" s="443"/>
      <c r="AL528" s="443"/>
      <c r="AM528" s="443"/>
      <c r="AN528" s="443"/>
      <c r="AO528" s="443"/>
      <c r="AP528" s="443"/>
      <c r="AQ528" s="443"/>
      <c r="AR528" s="443"/>
      <c r="AS528" s="443"/>
      <c r="AT528" s="443"/>
      <c r="AU528" s="443"/>
      <c r="AV528" s="443"/>
      <c r="AW528" s="443"/>
      <c r="AX528" s="443"/>
      <c r="AY528" s="443"/>
      <c r="AZ528" s="443"/>
      <c r="BA528" s="443"/>
      <c r="BB528" s="443"/>
      <c r="BC528" s="443"/>
      <c r="BD528" s="443"/>
      <c r="BE528" s="443"/>
    </row>
    <row r="529" hidden="1">
      <c r="A529" s="445">
        <f t="shared" si="5"/>
        <v>45819</v>
      </c>
      <c r="B529" s="449">
        <v>571.0</v>
      </c>
      <c r="C529" s="462">
        <v>0.6416666666666667</v>
      </c>
      <c r="D529" s="462">
        <v>1.0756944444444445</v>
      </c>
      <c r="E529" s="436">
        <f t="array" ref="E529">IF(B529=0,"",(J529+K529)/60)</f>
        <v>2.1</v>
      </c>
      <c r="F529" s="437">
        <f t="shared" si="1"/>
        <v>10.41666667</v>
      </c>
      <c r="G529" s="438">
        <f t="shared" si="8"/>
        <v>54.816</v>
      </c>
      <c r="H529" s="438">
        <f t="shared" si="3"/>
        <v>68.65731463</v>
      </c>
      <c r="I529" s="436">
        <f t="shared" si="6"/>
        <v>1.218133333</v>
      </c>
      <c r="J529" s="460">
        <v>60.0</v>
      </c>
      <c r="K529" s="464">
        <f>15+11+5+5+30</f>
        <v>66</v>
      </c>
      <c r="L529" s="443"/>
      <c r="M529" s="447">
        <f>IFERROR(__xludf.DUMMYFUNCTION("""COMPUTED_VALUE"""),57.0)</f>
        <v>57</v>
      </c>
      <c r="N529" s="447">
        <f>IFERROR(__xludf.DUMMYFUNCTION("""COMPUTED_VALUE"""),57.0)</f>
        <v>57</v>
      </c>
      <c r="O529" s="447">
        <f>IFERROR(__xludf.DUMMYFUNCTION("""COMPUTED_VALUE"""),0.0)</f>
        <v>0</v>
      </c>
      <c r="P529" s="447">
        <f>IFERROR(__xludf.DUMMYFUNCTION("""COMPUTED_VALUE"""),0.0)</f>
        <v>0</v>
      </c>
      <c r="Q529" s="447">
        <f>IFERROR(__xludf.DUMMYFUNCTION("""COMPUTED_VALUE"""),1.0)</f>
        <v>1</v>
      </c>
      <c r="R529" s="447">
        <f>IFERROR(__xludf.DUMMYFUNCTION("""COMPUTED_VALUE"""),0.0)</f>
        <v>0</v>
      </c>
      <c r="S529" s="447">
        <f>IFERROR(__xludf.DUMMYFUNCTION("""COMPUTED_VALUE"""),1.0)</f>
        <v>1</v>
      </c>
      <c r="T529" s="447">
        <f>IFERROR(__xludf.DUMMYFUNCTION("""COMPUTED_VALUE"""),2.0)</f>
        <v>2</v>
      </c>
      <c r="U529" s="447">
        <f>IFERROR(__xludf.DUMMYFUNCTION("""COMPUTED_VALUE"""),0.0)</f>
        <v>0</v>
      </c>
      <c r="V529" s="447">
        <f>IFERROR(__xludf.DUMMYFUNCTION("""COMPUTED_VALUE"""),3.0)</f>
        <v>3</v>
      </c>
      <c r="W529" s="447">
        <f>IFERROR(__xludf.DUMMYFUNCTION("""COMPUTED_VALUE"""),1.0)</f>
        <v>1</v>
      </c>
      <c r="X529" s="447">
        <f>IFERROR(__xludf.DUMMYFUNCTION("""COMPUTED_VALUE"""),1.0)</f>
        <v>1</v>
      </c>
      <c r="Y529" s="447">
        <f>IFERROR(__xludf.DUMMYFUNCTION("""COMPUTED_VALUE"""),1.0)</f>
        <v>1</v>
      </c>
      <c r="Z529" s="447">
        <f>IFERROR(__xludf.DUMMYFUNCTION("""COMPUTED_VALUE"""),0.0)</f>
        <v>0</v>
      </c>
      <c r="AA529" s="447">
        <f>IFERROR(__xludf.DUMMYFUNCTION("""COMPUTED_VALUE"""),0.0)</f>
        <v>0</v>
      </c>
      <c r="AB529" s="447">
        <f>IFERROR(__xludf.DUMMYFUNCTION("""COMPUTED_VALUE"""),0.0)</f>
        <v>0</v>
      </c>
      <c r="AC529" s="447">
        <f>IFERROR(__xludf.DUMMYFUNCTION("""COMPUTED_VALUE"""),0.0)</f>
        <v>0</v>
      </c>
      <c r="AD529" s="447">
        <f>IFERROR(__xludf.DUMMYFUNCTION("""COMPUTED_VALUE"""),45.0)</f>
        <v>45</v>
      </c>
      <c r="AE529" s="447">
        <f>IFERROR(__xludf.DUMMYFUNCTION("""COMPUTED_VALUE"""),10.0)</f>
        <v>10</v>
      </c>
      <c r="AF529" s="447">
        <f>IFERROR(__xludf.DUMMYFUNCTION("""COMPUTED_VALUE"""),0.0)</f>
        <v>0</v>
      </c>
      <c r="AG529" s="443" t="s">
        <v>122</v>
      </c>
      <c r="AH529" s="443" t="s">
        <v>961</v>
      </c>
      <c r="AI529" s="443"/>
      <c r="AJ529" s="443"/>
      <c r="AK529" s="443"/>
      <c r="AL529" s="443"/>
      <c r="AM529" s="443"/>
      <c r="AN529" s="443"/>
      <c r="AO529" s="443"/>
      <c r="AP529" s="443"/>
      <c r="AQ529" s="443"/>
      <c r="AR529" s="443"/>
      <c r="AS529" s="443"/>
      <c r="AT529" s="443"/>
      <c r="AU529" s="443"/>
      <c r="AV529" s="443"/>
      <c r="AW529" s="443"/>
      <c r="AX529" s="443"/>
      <c r="AY529" s="443"/>
      <c r="AZ529" s="443"/>
      <c r="BA529" s="443"/>
      <c r="BB529" s="443"/>
      <c r="BC529" s="443"/>
      <c r="BD529" s="443"/>
      <c r="BE529" s="443"/>
    </row>
    <row r="530" hidden="1">
      <c r="A530" s="445">
        <f t="shared" si="5"/>
        <v>45820</v>
      </c>
      <c r="B530" s="449">
        <v>487.0</v>
      </c>
      <c r="C530" s="462">
        <v>0.6416666666666667</v>
      </c>
      <c r="D530" s="462">
        <v>1.0152777777777777</v>
      </c>
      <c r="E530" s="436">
        <f t="array" ref="E530">IF(B530=0,"",(J530+K530)/60)</f>
        <v>1.8</v>
      </c>
      <c r="F530" s="437">
        <f t="shared" si="1"/>
        <v>8.966666667</v>
      </c>
      <c r="G530" s="438">
        <f t="shared" si="8"/>
        <v>54.31226766</v>
      </c>
      <c r="H530" s="438">
        <f t="shared" si="3"/>
        <v>67.95348837</v>
      </c>
      <c r="I530" s="436">
        <f t="shared" si="6"/>
        <v>1.131505576</v>
      </c>
      <c r="J530" s="460">
        <v>30.0</v>
      </c>
      <c r="K530" s="464">
        <f>18+34+6+7+8+5</f>
        <v>78</v>
      </c>
      <c r="L530" s="443"/>
      <c r="M530" s="447">
        <f>IFERROR(__xludf.DUMMYFUNCTION("""COMPUTED_VALUE"""),57.0)</f>
        <v>57</v>
      </c>
      <c r="N530" s="447">
        <f>IFERROR(__xludf.DUMMYFUNCTION("""COMPUTED_VALUE"""),57.0)</f>
        <v>57</v>
      </c>
      <c r="O530" s="447">
        <f>IFERROR(__xludf.DUMMYFUNCTION("""COMPUTED_VALUE"""),0.0)</f>
        <v>0</v>
      </c>
      <c r="P530" s="447">
        <f>IFERROR(__xludf.DUMMYFUNCTION("""COMPUTED_VALUE"""),0.0)</f>
        <v>0</v>
      </c>
      <c r="Q530" s="447">
        <f>IFERROR(__xludf.DUMMYFUNCTION("""COMPUTED_VALUE"""),0.0)</f>
        <v>0</v>
      </c>
      <c r="R530" s="447">
        <f>IFERROR(__xludf.DUMMYFUNCTION("""COMPUTED_VALUE"""),0.0)</f>
        <v>0</v>
      </c>
      <c r="S530" s="447">
        <f>IFERROR(__xludf.DUMMYFUNCTION("""COMPUTED_VALUE"""),1.0)</f>
        <v>1</v>
      </c>
      <c r="T530" s="447">
        <f>IFERROR(__xludf.DUMMYFUNCTION("""COMPUTED_VALUE"""),1.0)</f>
        <v>1</v>
      </c>
      <c r="U530" s="447">
        <f>IFERROR(__xludf.DUMMYFUNCTION("""COMPUTED_VALUE"""),0.0)</f>
        <v>0</v>
      </c>
      <c r="V530" s="447">
        <f>IFERROR(__xludf.DUMMYFUNCTION("""COMPUTED_VALUE"""),3.0)</f>
        <v>3</v>
      </c>
      <c r="W530" s="447">
        <f>IFERROR(__xludf.DUMMYFUNCTION("""COMPUTED_VALUE"""),0.0)</f>
        <v>0</v>
      </c>
      <c r="X530" s="447">
        <f>IFERROR(__xludf.DUMMYFUNCTION("""COMPUTED_VALUE"""),1.0)</f>
        <v>1</v>
      </c>
      <c r="Y530" s="447">
        <f>IFERROR(__xludf.DUMMYFUNCTION("""COMPUTED_VALUE"""),1.0)</f>
        <v>1</v>
      </c>
      <c r="Z530" s="447">
        <f>IFERROR(__xludf.DUMMYFUNCTION("""COMPUTED_VALUE"""),0.0)</f>
        <v>0</v>
      </c>
      <c r="AA530" s="447">
        <f>IFERROR(__xludf.DUMMYFUNCTION("""COMPUTED_VALUE"""),0.0)</f>
        <v>0</v>
      </c>
      <c r="AB530" s="447">
        <f>IFERROR(__xludf.DUMMYFUNCTION("""COMPUTED_VALUE"""),0.0)</f>
        <v>0</v>
      </c>
      <c r="AC530" s="447">
        <f>IFERROR(__xludf.DUMMYFUNCTION("""COMPUTED_VALUE"""),0.0)</f>
        <v>0</v>
      </c>
      <c r="AD530" s="447">
        <f>IFERROR(__xludf.DUMMYFUNCTION("""COMPUTED_VALUE"""),48.0)</f>
        <v>48</v>
      </c>
      <c r="AE530" s="447">
        <f>IFERROR(__xludf.DUMMYFUNCTION("""COMPUTED_VALUE"""),7.0)</f>
        <v>7</v>
      </c>
      <c r="AF530" s="447">
        <f>IFERROR(__xludf.DUMMYFUNCTION("""COMPUTED_VALUE"""),0.0)</f>
        <v>0</v>
      </c>
      <c r="AG530" s="443" t="s">
        <v>122</v>
      </c>
      <c r="AH530" s="443" t="s">
        <v>961</v>
      </c>
      <c r="AI530" s="443"/>
      <c r="AJ530" s="443"/>
      <c r="AK530" s="443"/>
      <c r="AL530" s="443"/>
      <c r="AM530" s="443"/>
      <c r="AN530" s="443"/>
      <c r="AO530" s="443"/>
      <c r="AP530" s="443"/>
      <c r="AQ530" s="443"/>
      <c r="AR530" s="443"/>
      <c r="AS530" s="443"/>
      <c r="AT530" s="443"/>
      <c r="AU530" s="443"/>
      <c r="AV530" s="443"/>
      <c r="AW530" s="443"/>
      <c r="AX530" s="443"/>
      <c r="AY530" s="443"/>
      <c r="AZ530" s="443"/>
      <c r="BA530" s="443"/>
      <c r="BB530" s="443"/>
      <c r="BC530" s="443"/>
      <c r="BD530" s="443"/>
      <c r="BE530" s="443"/>
    </row>
    <row r="531" hidden="1">
      <c r="A531" s="445">
        <f t="shared" si="5"/>
        <v>45821</v>
      </c>
      <c r="B531" s="449">
        <v>363.0</v>
      </c>
      <c r="C531" s="462">
        <v>0.6833333333333333</v>
      </c>
      <c r="D531" s="462">
        <v>0.9673611111111111</v>
      </c>
      <c r="E531" s="436">
        <f t="array" ref="E531">IF(B531=0,"",(J531+K531)/60)</f>
        <v>0.6166666667</v>
      </c>
      <c r="F531" s="437">
        <f t="shared" si="1"/>
        <v>6.816666667</v>
      </c>
      <c r="G531" s="438">
        <f t="shared" si="8"/>
        <v>53.25183374</v>
      </c>
      <c r="H531" s="438">
        <f t="shared" si="3"/>
        <v>58.5483871</v>
      </c>
      <c r="I531" s="436">
        <f t="shared" si="6"/>
        <v>1.133017739</v>
      </c>
      <c r="J531" s="460">
        <v>30.0</v>
      </c>
      <c r="K531" s="460">
        <v>7.0</v>
      </c>
      <c r="L531" s="443"/>
      <c r="M531" s="447">
        <f>IFERROR(__xludf.DUMMYFUNCTION("""COMPUTED_VALUE"""),57.0)</f>
        <v>57</v>
      </c>
      <c r="N531" s="447">
        <f>IFERROR(__xludf.DUMMYFUNCTION("""COMPUTED_VALUE"""),57.0)</f>
        <v>57</v>
      </c>
      <c r="O531" s="447">
        <f>IFERROR(__xludf.DUMMYFUNCTION("""COMPUTED_VALUE"""),0.0)</f>
        <v>0</v>
      </c>
      <c r="P531" s="447">
        <f>IFERROR(__xludf.DUMMYFUNCTION("""COMPUTED_VALUE"""),0.0)</f>
        <v>0</v>
      </c>
      <c r="Q531" s="447">
        <f>IFERROR(__xludf.DUMMYFUNCTION("""COMPUTED_VALUE"""),0.0)</f>
        <v>0</v>
      </c>
      <c r="R531" s="447">
        <f>IFERROR(__xludf.DUMMYFUNCTION("""COMPUTED_VALUE"""),0.0)</f>
        <v>0</v>
      </c>
      <c r="S531" s="447">
        <f>IFERROR(__xludf.DUMMYFUNCTION("""COMPUTED_VALUE"""),2.0)</f>
        <v>2</v>
      </c>
      <c r="T531" s="447">
        <f>IFERROR(__xludf.DUMMYFUNCTION("""COMPUTED_VALUE"""),1.0)</f>
        <v>1</v>
      </c>
      <c r="U531" s="447">
        <f>IFERROR(__xludf.DUMMYFUNCTION("""COMPUTED_VALUE"""),0.0)</f>
        <v>0</v>
      </c>
      <c r="V531" s="447">
        <f>IFERROR(__xludf.DUMMYFUNCTION("""COMPUTED_VALUE"""),3.0)</f>
        <v>3</v>
      </c>
      <c r="W531" s="447">
        <f>IFERROR(__xludf.DUMMYFUNCTION("""COMPUTED_VALUE"""),0.0)</f>
        <v>0</v>
      </c>
      <c r="X531" s="447">
        <f>IFERROR(__xludf.DUMMYFUNCTION("""COMPUTED_VALUE"""),1.0)</f>
        <v>1</v>
      </c>
      <c r="Y531" s="447">
        <f>IFERROR(__xludf.DUMMYFUNCTION("""COMPUTED_VALUE"""),1.0)</f>
        <v>1</v>
      </c>
      <c r="Z531" s="447">
        <f>IFERROR(__xludf.DUMMYFUNCTION("""COMPUTED_VALUE"""),0.0)</f>
        <v>0</v>
      </c>
      <c r="AA531" s="447">
        <f>IFERROR(__xludf.DUMMYFUNCTION("""COMPUTED_VALUE"""),0.0)</f>
        <v>0</v>
      </c>
      <c r="AB531" s="447">
        <f>IFERROR(__xludf.DUMMYFUNCTION("""COMPUTED_VALUE"""),0.0)</f>
        <v>0</v>
      </c>
      <c r="AC531" s="447">
        <f>IFERROR(__xludf.DUMMYFUNCTION("""COMPUTED_VALUE"""),0.0)</f>
        <v>0</v>
      </c>
      <c r="AD531" s="447">
        <f>IFERROR(__xludf.DUMMYFUNCTION("""COMPUTED_VALUE"""),47.0)</f>
        <v>47</v>
      </c>
      <c r="AE531" s="447">
        <f>IFERROR(__xludf.DUMMYFUNCTION("""COMPUTED_VALUE"""),8.0)</f>
        <v>8</v>
      </c>
      <c r="AF531" s="447">
        <f>IFERROR(__xludf.DUMMYFUNCTION("""COMPUTED_VALUE"""),0.0)</f>
        <v>0</v>
      </c>
      <c r="AG531" s="443" t="s">
        <v>122</v>
      </c>
      <c r="AH531" s="443" t="s">
        <v>961</v>
      </c>
      <c r="AI531" s="443"/>
      <c r="AJ531" s="443"/>
      <c r="AK531" s="443"/>
      <c r="AL531" s="443"/>
      <c r="AM531" s="443"/>
      <c r="AN531" s="443"/>
      <c r="AO531" s="443"/>
      <c r="AP531" s="443"/>
      <c r="AQ531" s="443"/>
      <c r="AR531" s="443"/>
      <c r="AS531" s="443"/>
      <c r="AT531" s="443"/>
      <c r="AU531" s="443"/>
      <c r="AV531" s="443"/>
      <c r="AW531" s="443"/>
      <c r="AX531" s="443"/>
      <c r="AY531" s="443"/>
      <c r="AZ531" s="443"/>
      <c r="BA531" s="443"/>
      <c r="BB531" s="443"/>
      <c r="BC531" s="443"/>
      <c r="BD531" s="443"/>
      <c r="BE531" s="443"/>
    </row>
    <row r="532" hidden="1">
      <c r="A532" s="445">
        <f t="shared" si="5"/>
        <v>45822</v>
      </c>
      <c r="B532" s="449">
        <v>509.0</v>
      </c>
      <c r="C532" s="462">
        <v>0.6416666666666667</v>
      </c>
      <c r="D532" s="462">
        <v>1.0138888888888888</v>
      </c>
      <c r="E532" s="436">
        <f t="array" ref="E532">IF(B532=0,"",(J532+K532)/60)</f>
        <v>0.8666666667</v>
      </c>
      <c r="F532" s="437">
        <f t="shared" si="1"/>
        <v>8.933333333</v>
      </c>
      <c r="G532" s="438">
        <f t="shared" si="8"/>
        <v>56.97761194</v>
      </c>
      <c r="H532" s="438">
        <f t="shared" si="3"/>
        <v>63.09917355</v>
      </c>
      <c r="I532" s="436">
        <f t="shared" si="6"/>
        <v>1.266169154</v>
      </c>
      <c r="J532" s="460">
        <v>30.0</v>
      </c>
      <c r="K532" s="464">
        <f>5+4+13</f>
        <v>22</v>
      </c>
      <c r="L532" s="443"/>
      <c r="M532" s="447">
        <f>IFERROR(__xludf.DUMMYFUNCTION("""COMPUTED_VALUE"""),57.0)</f>
        <v>57</v>
      </c>
      <c r="N532" s="447">
        <f>IFERROR(__xludf.DUMMYFUNCTION("""COMPUTED_VALUE"""),57.0)</f>
        <v>57</v>
      </c>
      <c r="O532" s="447">
        <f>IFERROR(__xludf.DUMMYFUNCTION("""COMPUTED_VALUE"""),0.0)</f>
        <v>0</v>
      </c>
      <c r="P532" s="447">
        <f>IFERROR(__xludf.DUMMYFUNCTION("""COMPUTED_VALUE"""),0.0)</f>
        <v>0</v>
      </c>
      <c r="Q532" s="447">
        <f>IFERROR(__xludf.DUMMYFUNCTION("""COMPUTED_VALUE"""),0.0)</f>
        <v>0</v>
      </c>
      <c r="R532" s="447">
        <f>IFERROR(__xludf.DUMMYFUNCTION("""COMPUTED_VALUE"""),0.0)</f>
        <v>0</v>
      </c>
      <c r="S532" s="447">
        <f>IFERROR(__xludf.DUMMYFUNCTION("""COMPUTED_VALUE"""),2.0)</f>
        <v>2</v>
      </c>
      <c r="T532" s="447">
        <f>IFERROR(__xludf.DUMMYFUNCTION("""COMPUTED_VALUE"""),2.0)</f>
        <v>2</v>
      </c>
      <c r="U532" s="447">
        <f>IFERROR(__xludf.DUMMYFUNCTION("""COMPUTED_VALUE"""),0.0)</f>
        <v>0</v>
      </c>
      <c r="V532" s="447">
        <f>IFERROR(__xludf.DUMMYFUNCTION("""COMPUTED_VALUE"""),3.0)</f>
        <v>3</v>
      </c>
      <c r="W532" s="447">
        <f>IFERROR(__xludf.DUMMYFUNCTION("""COMPUTED_VALUE"""),0.0)</f>
        <v>0</v>
      </c>
      <c r="X532" s="447">
        <f>IFERROR(__xludf.DUMMYFUNCTION("""COMPUTED_VALUE"""),1.0)</f>
        <v>1</v>
      </c>
      <c r="Y532" s="447">
        <f>IFERROR(__xludf.DUMMYFUNCTION("""COMPUTED_VALUE"""),1.0)</f>
        <v>1</v>
      </c>
      <c r="Z532" s="447">
        <f>IFERROR(__xludf.DUMMYFUNCTION("""COMPUTED_VALUE"""),0.0)</f>
        <v>0</v>
      </c>
      <c r="AA532" s="447">
        <f>IFERROR(__xludf.DUMMYFUNCTION("""COMPUTED_VALUE"""),0.0)</f>
        <v>0</v>
      </c>
      <c r="AB532" s="447">
        <f>IFERROR(__xludf.DUMMYFUNCTION("""COMPUTED_VALUE"""),0.0)</f>
        <v>0</v>
      </c>
      <c r="AC532" s="447">
        <f>IFERROR(__xludf.DUMMYFUNCTION("""COMPUTED_VALUE"""),1.0)</f>
        <v>1</v>
      </c>
      <c r="AD532" s="447">
        <f>IFERROR(__xludf.DUMMYFUNCTION("""COMPUTED_VALUE"""),45.0)</f>
        <v>45</v>
      </c>
      <c r="AE532" s="447">
        <f>IFERROR(__xludf.DUMMYFUNCTION("""COMPUTED_VALUE"""),10.0)</f>
        <v>10</v>
      </c>
      <c r="AF532" s="447">
        <f>IFERROR(__xludf.DUMMYFUNCTION("""COMPUTED_VALUE"""),0.0)</f>
        <v>0</v>
      </c>
      <c r="AG532" s="443" t="s">
        <v>122</v>
      </c>
      <c r="AH532" s="443" t="s">
        <v>961</v>
      </c>
      <c r="AI532" s="443"/>
      <c r="AJ532" s="443"/>
      <c r="AK532" s="443"/>
      <c r="AL532" s="443"/>
      <c r="AM532" s="443"/>
      <c r="AN532" s="443"/>
      <c r="AO532" s="443"/>
      <c r="AP532" s="443"/>
      <c r="AQ532" s="443"/>
      <c r="AR532" s="443"/>
      <c r="AS532" s="443"/>
      <c r="AT532" s="443"/>
      <c r="AU532" s="443"/>
      <c r="AV532" s="443"/>
      <c r="AW532" s="443"/>
      <c r="AX532" s="443"/>
      <c r="AY532" s="443"/>
      <c r="AZ532" s="443"/>
      <c r="BA532" s="443"/>
      <c r="BB532" s="443"/>
      <c r="BC532" s="443"/>
      <c r="BD532" s="443"/>
      <c r="BE532" s="443"/>
    </row>
    <row r="533" hidden="1">
      <c r="A533" s="445">
        <f t="shared" si="5"/>
        <v>45823</v>
      </c>
      <c r="B533" s="449">
        <v>0.0</v>
      </c>
      <c r="C533" s="462"/>
      <c r="D533" s="462"/>
      <c r="E533" s="436" t="str">
        <f t="array" ref="E533">IF(B533=0,"",(J533+K533)/60)</f>
        <v/>
      </c>
      <c r="F533" s="437" t="str">
        <f t="shared" si="1"/>
        <v/>
      </c>
      <c r="G533" s="438" t="str">
        <f t="shared" si="8"/>
        <v>#DIV/0!</v>
      </c>
      <c r="H533" s="438" t="str">
        <f t="shared" si="3"/>
        <v/>
      </c>
      <c r="I533" s="436" t="str">
        <f t="shared" si="6"/>
        <v/>
      </c>
      <c r="J533" s="464"/>
      <c r="K533" s="464"/>
      <c r="L533" s="443"/>
      <c r="M533" s="447">
        <f>IFERROR(__xludf.DUMMYFUNCTION("""COMPUTED_VALUE"""),57.0)</f>
        <v>57</v>
      </c>
      <c r="N533" s="447">
        <f>IFERROR(__xludf.DUMMYFUNCTION("""COMPUTED_VALUE"""),57.0)</f>
        <v>57</v>
      </c>
      <c r="O533" s="447">
        <f>IFERROR(__xludf.DUMMYFUNCTION("""COMPUTED_VALUE"""),0.0)</f>
        <v>0</v>
      </c>
      <c r="P533" s="447">
        <f>IFERROR(__xludf.DUMMYFUNCTION("""COMPUTED_VALUE"""),0.0)</f>
        <v>0</v>
      </c>
      <c r="Q533" s="447">
        <f>IFERROR(__xludf.DUMMYFUNCTION("""COMPUTED_VALUE"""),0.0)</f>
        <v>0</v>
      </c>
      <c r="R533" s="447">
        <f>IFERROR(__xludf.DUMMYFUNCTION("""COMPUTED_VALUE"""),0.0)</f>
        <v>0</v>
      </c>
      <c r="S533" s="447">
        <f>IFERROR(__xludf.DUMMYFUNCTION("""COMPUTED_VALUE"""),0.0)</f>
        <v>0</v>
      </c>
      <c r="T533" s="447">
        <f>IFERROR(__xludf.DUMMYFUNCTION("""COMPUTED_VALUE"""),1.0)</f>
        <v>1</v>
      </c>
      <c r="U533" s="447">
        <f>IFERROR(__xludf.DUMMYFUNCTION("""COMPUTED_VALUE"""),0.0)</f>
        <v>0</v>
      </c>
      <c r="V533" s="447">
        <f>IFERROR(__xludf.DUMMYFUNCTION("""COMPUTED_VALUE"""),3.0)</f>
        <v>3</v>
      </c>
      <c r="W533" s="447">
        <f>IFERROR(__xludf.DUMMYFUNCTION("""COMPUTED_VALUE"""),0.0)</f>
        <v>0</v>
      </c>
      <c r="X533" s="447">
        <f>IFERROR(__xludf.DUMMYFUNCTION("""COMPUTED_VALUE"""),0.0)</f>
        <v>0</v>
      </c>
      <c r="Y533" s="447">
        <f>IFERROR(__xludf.DUMMYFUNCTION("""COMPUTED_VALUE"""),0.0)</f>
        <v>0</v>
      </c>
      <c r="Z533" s="447">
        <f>IFERROR(__xludf.DUMMYFUNCTION("""COMPUTED_VALUE"""),0.0)</f>
        <v>0</v>
      </c>
      <c r="AA533" s="447">
        <f>IFERROR(__xludf.DUMMYFUNCTION("""COMPUTED_VALUE"""),0.0)</f>
        <v>0</v>
      </c>
      <c r="AB533" s="447">
        <f>IFERROR(__xludf.DUMMYFUNCTION("""COMPUTED_VALUE"""),0.0)</f>
        <v>0</v>
      </c>
      <c r="AC533" s="447">
        <f>IFERROR(__xludf.DUMMYFUNCTION("""COMPUTED_VALUE"""),0.0)</f>
        <v>0</v>
      </c>
      <c r="AD533" s="447">
        <f>IFERROR(__xludf.DUMMYFUNCTION("""COMPUTED_VALUE"""),0.0)</f>
        <v>0</v>
      </c>
      <c r="AE533" s="447">
        <f>IFERROR(__xludf.DUMMYFUNCTION("""COMPUTED_VALUE"""),4.0)</f>
        <v>4</v>
      </c>
      <c r="AF533" s="447">
        <f>IFERROR(__xludf.DUMMYFUNCTION("""COMPUTED_VALUE"""),0.0)</f>
        <v>0</v>
      </c>
      <c r="AG533" s="443" t="s">
        <v>122</v>
      </c>
      <c r="AH533" s="443" t="s">
        <v>961</v>
      </c>
      <c r="AI533" s="443"/>
      <c r="AJ533" s="443"/>
      <c r="AK533" s="443"/>
      <c r="AL533" s="443"/>
      <c r="AM533" s="443"/>
      <c r="AN533" s="443"/>
      <c r="AO533" s="443"/>
      <c r="AP533" s="443"/>
      <c r="AQ533" s="443"/>
      <c r="AR533" s="443"/>
      <c r="AS533" s="443"/>
      <c r="AT533" s="443"/>
      <c r="AU533" s="443"/>
      <c r="AV533" s="443"/>
      <c r="AW533" s="443"/>
      <c r="AX533" s="443"/>
      <c r="AY533" s="443"/>
      <c r="AZ533" s="443"/>
      <c r="BA533" s="443"/>
      <c r="BB533" s="443"/>
      <c r="BC533" s="443"/>
      <c r="BD533" s="443"/>
      <c r="BE533" s="443"/>
    </row>
    <row r="534" hidden="1">
      <c r="A534" s="445">
        <f t="shared" si="5"/>
        <v>45824</v>
      </c>
      <c r="B534" s="449">
        <v>619.0</v>
      </c>
      <c r="C534" s="462">
        <v>0.5583333333333333</v>
      </c>
      <c r="D534" s="462">
        <v>1.0034722222222223</v>
      </c>
      <c r="E534" s="436">
        <f t="array" ref="E534">IF(B534=0,"",(J534+K534)/60)</f>
        <v>1.2</v>
      </c>
      <c r="F534" s="437">
        <f t="shared" si="1"/>
        <v>10.68333333</v>
      </c>
      <c r="G534" s="438">
        <f t="shared" si="8"/>
        <v>57.94071763</v>
      </c>
      <c r="H534" s="438">
        <f t="shared" si="3"/>
        <v>65.27240773</v>
      </c>
      <c r="I534" s="436">
        <f t="shared" si="6"/>
        <v>1.34745855</v>
      </c>
      <c r="J534" s="460">
        <v>60.0</v>
      </c>
      <c r="K534" s="460">
        <v>12.0</v>
      </c>
      <c r="L534" s="449" t="s">
        <v>968</v>
      </c>
      <c r="M534" s="447">
        <f>IFERROR(__xludf.DUMMYFUNCTION("""COMPUTED_VALUE"""),57.0)</f>
        <v>57</v>
      </c>
      <c r="N534" s="447">
        <f>IFERROR(__xludf.DUMMYFUNCTION("""COMPUTED_VALUE"""),57.0)</f>
        <v>57</v>
      </c>
      <c r="O534" s="447">
        <f>IFERROR(__xludf.DUMMYFUNCTION("""COMPUTED_VALUE"""),0.0)</f>
        <v>0</v>
      </c>
      <c r="P534" s="447">
        <f>IFERROR(__xludf.DUMMYFUNCTION("""COMPUTED_VALUE"""),0.0)</f>
        <v>0</v>
      </c>
      <c r="Q534" s="447">
        <f>IFERROR(__xludf.DUMMYFUNCTION("""COMPUTED_VALUE"""),1.0)</f>
        <v>1</v>
      </c>
      <c r="R534" s="447">
        <f>IFERROR(__xludf.DUMMYFUNCTION("""COMPUTED_VALUE"""),0.0)</f>
        <v>0</v>
      </c>
      <c r="S534" s="447">
        <f>IFERROR(__xludf.DUMMYFUNCTION("""COMPUTED_VALUE"""),4.0)</f>
        <v>4</v>
      </c>
      <c r="T534" s="447">
        <f>IFERROR(__xludf.DUMMYFUNCTION("""COMPUTED_VALUE"""),1.0)</f>
        <v>1</v>
      </c>
      <c r="U534" s="447">
        <f>IFERROR(__xludf.DUMMYFUNCTION("""COMPUTED_VALUE"""),0.0)</f>
        <v>0</v>
      </c>
      <c r="V534" s="447">
        <f>IFERROR(__xludf.DUMMYFUNCTION("""COMPUTED_VALUE"""),3.0)</f>
        <v>3</v>
      </c>
      <c r="W534" s="447">
        <f>IFERROR(__xludf.DUMMYFUNCTION("""COMPUTED_VALUE"""),0.0)</f>
        <v>0</v>
      </c>
      <c r="X534" s="447">
        <f>IFERROR(__xludf.DUMMYFUNCTION("""COMPUTED_VALUE"""),1.0)</f>
        <v>1</v>
      </c>
      <c r="Y534" s="447">
        <f>IFERROR(__xludf.DUMMYFUNCTION("""COMPUTED_VALUE"""),1.0)</f>
        <v>1</v>
      </c>
      <c r="Z534" s="447">
        <f>IFERROR(__xludf.DUMMYFUNCTION("""COMPUTED_VALUE"""),0.0)</f>
        <v>0</v>
      </c>
      <c r="AA534" s="447">
        <f>IFERROR(__xludf.DUMMYFUNCTION("""COMPUTED_VALUE"""),0.0)</f>
        <v>0</v>
      </c>
      <c r="AB534" s="447">
        <f>IFERROR(__xludf.DUMMYFUNCTION("""COMPUTED_VALUE"""),0.0)</f>
        <v>0</v>
      </c>
      <c r="AC534" s="447">
        <f>IFERROR(__xludf.DUMMYFUNCTION("""COMPUTED_VALUE"""),1.0)</f>
        <v>1</v>
      </c>
      <c r="AD534" s="447">
        <f>IFERROR(__xludf.DUMMYFUNCTION("""COMPUTED_VALUE"""),43.0)</f>
        <v>43</v>
      </c>
      <c r="AE534" s="447">
        <f>IFERROR(__xludf.DUMMYFUNCTION("""COMPUTED_VALUE"""),12.0)</f>
        <v>12</v>
      </c>
      <c r="AF534" s="447">
        <f>IFERROR(__xludf.DUMMYFUNCTION("""COMPUTED_VALUE"""),0.0)</f>
        <v>0</v>
      </c>
      <c r="AG534" s="443" t="s">
        <v>122</v>
      </c>
      <c r="AH534" s="443" t="s">
        <v>961</v>
      </c>
      <c r="AI534" s="443"/>
      <c r="AJ534" s="443"/>
      <c r="AK534" s="443"/>
      <c r="AL534" s="443"/>
      <c r="AM534" s="443"/>
      <c r="AN534" s="443"/>
      <c r="AO534" s="443"/>
      <c r="AP534" s="443"/>
      <c r="AQ534" s="443"/>
      <c r="AR534" s="443"/>
      <c r="AS534" s="443"/>
      <c r="AT534" s="443"/>
      <c r="AU534" s="443"/>
      <c r="AV534" s="443"/>
      <c r="AW534" s="443"/>
      <c r="AX534" s="443"/>
      <c r="AY534" s="443"/>
      <c r="AZ534" s="443"/>
      <c r="BA534" s="443"/>
      <c r="BB534" s="443"/>
      <c r="BC534" s="443"/>
      <c r="BD534" s="443"/>
      <c r="BE534" s="443"/>
    </row>
    <row r="535" hidden="1">
      <c r="A535" s="445">
        <f t="shared" si="5"/>
        <v>45825</v>
      </c>
      <c r="B535" s="449">
        <v>514.0</v>
      </c>
      <c r="C535" s="462">
        <v>0.6</v>
      </c>
      <c r="D535" s="462">
        <v>0.9756944444444444</v>
      </c>
      <c r="E535" s="436">
        <f t="array" ref="E535">IF(B535=0,"",(J535+K535)/60)</f>
        <v>0.7</v>
      </c>
      <c r="F535" s="437">
        <f t="shared" si="1"/>
        <v>9.016666667</v>
      </c>
      <c r="G535" s="438">
        <f t="shared" si="8"/>
        <v>57.00554529</v>
      </c>
      <c r="H535" s="438">
        <f t="shared" si="3"/>
        <v>61.80360721</v>
      </c>
      <c r="I535" s="436">
        <f t="shared" si="6"/>
        <v>1.239250984</v>
      </c>
      <c r="J535" s="460">
        <v>30.0</v>
      </c>
      <c r="K535" s="460">
        <v>12.0</v>
      </c>
      <c r="L535" s="443"/>
      <c r="M535" s="447">
        <f>IFERROR(__xludf.DUMMYFUNCTION("""COMPUTED_VALUE"""),57.0)</f>
        <v>57</v>
      </c>
      <c r="N535" s="447">
        <f>IFERROR(__xludf.DUMMYFUNCTION("""COMPUTED_VALUE"""),57.0)</f>
        <v>57</v>
      </c>
      <c r="O535" s="447">
        <f>IFERROR(__xludf.DUMMYFUNCTION("""COMPUTED_VALUE"""),0.0)</f>
        <v>0</v>
      </c>
      <c r="P535" s="447">
        <f>IFERROR(__xludf.DUMMYFUNCTION("""COMPUTED_VALUE"""),0.0)</f>
        <v>0</v>
      </c>
      <c r="Q535" s="447">
        <f>IFERROR(__xludf.DUMMYFUNCTION("""COMPUTED_VALUE"""),0.0)</f>
        <v>0</v>
      </c>
      <c r="R535" s="447">
        <f>IFERROR(__xludf.DUMMYFUNCTION("""COMPUTED_VALUE"""),0.0)</f>
        <v>0</v>
      </c>
      <c r="S535" s="447">
        <f>IFERROR(__xludf.DUMMYFUNCTION("""COMPUTED_VALUE"""),3.0)</f>
        <v>3</v>
      </c>
      <c r="T535" s="447">
        <f>IFERROR(__xludf.DUMMYFUNCTION("""COMPUTED_VALUE"""),0.0)</f>
        <v>0</v>
      </c>
      <c r="U535" s="447">
        <f>IFERROR(__xludf.DUMMYFUNCTION("""COMPUTED_VALUE"""),0.0)</f>
        <v>0</v>
      </c>
      <c r="V535" s="447">
        <f>IFERROR(__xludf.DUMMYFUNCTION("""COMPUTED_VALUE"""),3.0)</f>
        <v>3</v>
      </c>
      <c r="W535" s="447">
        <f>IFERROR(__xludf.DUMMYFUNCTION("""COMPUTED_VALUE"""),0.0)</f>
        <v>0</v>
      </c>
      <c r="X535" s="447">
        <f>IFERROR(__xludf.DUMMYFUNCTION("""COMPUTED_VALUE"""),1.0)</f>
        <v>1</v>
      </c>
      <c r="Y535" s="447">
        <f>IFERROR(__xludf.DUMMYFUNCTION("""COMPUTED_VALUE"""),1.0)</f>
        <v>1</v>
      </c>
      <c r="Z535" s="447">
        <f>IFERROR(__xludf.DUMMYFUNCTION("""COMPUTED_VALUE"""),0.0)</f>
        <v>0</v>
      </c>
      <c r="AA535" s="447">
        <f>IFERROR(__xludf.DUMMYFUNCTION("""COMPUTED_VALUE"""),0.0)</f>
        <v>0</v>
      </c>
      <c r="AB535" s="447">
        <f>IFERROR(__xludf.DUMMYFUNCTION("""COMPUTED_VALUE"""),0.0)</f>
        <v>0</v>
      </c>
      <c r="AC535" s="447">
        <f>IFERROR(__xludf.DUMMYFUNCTION("""COMPUTED_VALUE"""),1.0)</f>
        <v>1</v>
      </c>
      <c r="AD535" s="447">
        <f>IFERROR(__xludf.DUMMYFUNCTION("""COMPUTED_VALUE"""),46.0)</f>
        <v>46</v>
      </c>
      <c r="AE535" s="447">
        <f>IFERROR(__xludf.DUMMYFUNCTION("""COMPUTED_VALUE"""),9.0)</f>
        <v>9</v>
      </c>
      <c r="AF535" s="447">
        <f>IFERROR(__xludf.DUMMYFUNCTION("""COMPUTED_VALUE"""),0.0)</f>
        <v>0</v>
      </c>
      <c r="AG535" s="443" t="s">
        <v>122</v>
      </c>
      <c r="AH535" s="443" t="s">
        <v>961</v>
      </c>
      <c r="AI535" s="443"/>
      <c r="AJ535" s="443"/>
      <c r="AK535" s="443"/>
      <c r="AL535" s="443"/>
      <c r="AM535" s="443"/>
      <c r="AN535" s="443"/>
      <c r="AO535" s="443"/>
      <c r="AP535" s="443"/>
      <c r="AQ535" s="443"/>
      <c r="AR535" s="443"/>
      <c r="AS535" s="443"/>
      <c r="AT535" s="443"/>
      <c r="AU535" s="443"/>
      <c r="AV535" s="443"/>
      <c r="AW535" s="443"/>
      <c r="AX535" s="443"/>
      <c r="AY535" s="443"/>
      <c r="AZ535" s="443"/>
      <c r="BA535" s="443"/>
      <c r="BB535" s="443"/>
      <c r="BC535" s="443"/>
      <c r="BD535" s="443"/>
      <c r="BE535" s="443"/>
    </row>
    <row r="536" hidden="1">
      <c r="A536" s="445">
        <f t="shared" si="5"/>
        <v>45826</v>
      </c>
      <c r="B536" s="449">
        <v>486.0</v>
      </c>
      <c r="C536" s="462">
        <v>0.6</v>
      </c>
      <c r="D536" s="462">
        <v>1.0</v>
      </c>
      <c r="E536" s="436">
        <f t="array" ref="E536">IF(B536=0,"",(J536+K536)/60)</f>
        <v>1.166666667</v>
      </c>
      <c r="F536" s="437">
        <f t="shared" si="1"/>
        <v>9.6</v>
      </c>
      <c r="G536" s="438">
        <f t="shared" si="8"/>
        <v>50.625</v>
      </c>
      <c r="H536" s="438">
        <f t="shared" si="3"/>
        <v>57.6284585</v>
      </c>
      <c r="I536" s="436">
        <f t="shared" si="6"/>
        <v>1.0546875</v>
      </c>
      <c r="J536" s="460">
        <v>30.0</v>
      </c>
      <c r="K536" s="464">
        <f>25+15</f>
        <v>40</v>
      </c>
      <c r="L536" s="443"/>
      <c r="M536" s="447">
        <f>IFERROR(__xludf.DUMMYFUNCTION("""COMPUTED_VALUE"""),57.0)</f>
        <v>57</v>
      </c>
      <c r="N536" s="447">
        <f>IFERROR(__xludf.DUMMYFUNCTION("""COMPUTED_VALUE"""),56.0)</f>
        <v>56</v>
      </c>
      <c r="O536" s="447">
        <f>IFERROR(__xludf.DUMMYFUNCTION("""COMPUTED_VALUE"""),0.0)</f>
        <v>0</v>
      </c>
      <c r="P536" s="447">
        <f>IFERROR(__xludf.DUMMYFUNCTION("""COMPUTED_VALUE"""),0.0)</f>
        <v>0</v>
      </c>
      <c r="Q536" s="447">
        <f>IFERROR(__xludf.DUMMYFUNCTION("""COMPUTED_VALUE"""),0.0)</f>
        <v>0</v>
      </c>
      <c r="R536" s="447">
        <f>IFERROR(__xludf.DUMMYFUNCTION("""COMPUTED_VALUE"""),0.0)</f>
        <v>0</v>
      </c>
      <c r="S536" s="447">
        <f>IFERROR(__xludf.DUMMYFUNCTION("""COMPUTED_VALUE"""),1.0)</f>
        <v>1</v>
      </c>
      <c r="T536" s="447">
        <f>IFERROR(__xludf.DUMMYFUNCTION("""COMPUTED_VALUE"""),0.0)</f>
        <v>0</v>
      </c>
      <c r="U536" s="447">
        <f>IFERROR(__xludf.DUMMYFUNCTION("""COMPUTED_VALUE"""),1.0)</f>
        <v>1</v>
      </c>
      <c r="V536" s="447">
        <f>IFERROR(__xludf.DUMMYFUNCTION("""COMPUTED_VALUE"""),3.0)</f>
        <v>3</v>
      </c>
      <c r="W536" s="447">
        <f>IFERROR(__xludf.DUMMYFUNCTION("""COMPUTED_VALUE"""),0.0)</f>
        <v>0</v>
      </c>
      <c r="X536" s="447">
        <f>IFERROR(__xludf.DUMMYFUNCTION("""COMPUTED_VALUE"""),1.0)</f>
        <v>1</v>
      </c>
      <c r="Y536" s="447">
        <f>IFERROR(__xludf.DUMMYFUNCTION("""COMPUTED_VALUE"""),1.0)</f>
        <v>1</v>
      </c>
      <c r="Z536" s="447">
        <f>IFERROR(__xludf.DUMMYFUNCTION("""COMPUTED_VALUE"""),0.0)</f>
        <v>0</v>
      </c>
      <c r="AA536" s="447">
        <f>IFERROR(__xludf.DUMMYFUNCTION("""COMPUTED_VALUE"""),0.0)</f>
        <v>0</v>
      </c>
      <c r="AB536" s="447">
        <f>IFERROR(__xludf.DUMMYFUNCTION("""COMPUTED_VALUE"""),0.0)</f>
        <v>0</v>
      </c>
      <c r="AC536" s="447">
        <f>IFERROR(__xludf.DUMMYFUNCTION("""COMPUTED_VALUE"""),0.0)</f>
        <v>0</v>
      </c>
      <c r="AD536" s="447">
        <f>IFERROR(__xludf.DUMMYFUNCTION("""COMPUTED_VALUE"""),48.0)</f>
        <v>48</v>
      </c>
      <c r="AE536" s="447">
        <f>IFERROR(__xludf.DUMMYFUNCTION("""COMPUTED_VALUE"""),7.0)</f>
        <v>7</v>
      </c>
      <c r="AF536" s="447">
        <f>IFERROR(__xludf.DUMMYFUNCTION("""COMPUTED_VALUE"""),1.0)</f>
        <v>1</v>
      </c>
      <c r="AG536" s="443" t="s">
        <v>122</v>
      </c>
      <c r="AH536" s="443" t="s">
        <v>961</v>
      </c>
      <c r="AI536" s="443"/>
      <c r="AJ536" s="443"/>
      <c r="AK536" s="443"/>
      <c r="AL536" s="443"/>
      <c r="AM536" s="443"/>
      <c r="AN536" s="443"/>
      <c r="AO536" s="443"/>
      <c r="AP536" s="443"/>
      <c r="AQ536" s="443"/>
      <c r="AR536" s="443"/>
      <c r="AS536" s="443"/>
      <c r="AT536" s="443"/>
      <c r="AU536" s="443"/>
      <c r="AV536" s="443"/>
      <c r="AW536" s="443"/>
      <c r="AX536" s="443"/>
      <c r="AY536" s="443"/>
      <c r="AZ536" s="443"/>
      <c r="BA536" s="443"/>
      <c r="BB536" s="443"/>
      <c r="BC536" s="443"/>
      <c r="BD536" s="443"/>
      <c r="BE536" s="443"/>
    </row>
    <row r="537" hidden="1">
      <c r="A537" s="445">
        <f t="shared" si="5"/>
        <v>45827</v>
      </c>
      <c r="B537" s="449">
        <v>420.0</v>
      </c>
      <c r="C537" s="462">
        <v>0.6416666666666667</v>
      </c>
      <c r="D537" s="462">
        <v>0.9347222222222222</v>
      </c>
      <c r="E537" s="436">
        <f t="array" ref="E537">IF(B537=0,"",(J537+K537)/60)</f>
        <v>0.5</v>
      </c>
      <c r="F537" s="437">
        <f t="shared" si="1"/>
        <v>7.033333333</v>
      </c>
      <c r="G537" s="438">
        <f t="shared" si="8"/>
        <v>59.71563981</v>
      </c>
      <c r="H537" s="438">
        <f t="shared" si="3"/>
        <v>64.28571429</v>
      </c>
      <c r="I537" s="436">
        <f t="shared" si="6"/>
        <v>1.244075829</v>
      </c>
      <c r="J537" s="460">
        <v>30.0</v>
      </c>
      <c r="K537" s="464"/>
      <c r="L537" s="443"/>
      <c r="M537" s="447">
        <f>IFERROR(__xludf.DUMMYFUNCTION("""COMPUTED_VALUE"""),57.0)</f>
        <v>57</v>
      </c>
      <c r="N537" s="447">
        <f>IFERROR(__xludf.DUMMYFUNCTION("""COMPUTED_VALUE"""),56.0)</f>
        <v>56</v>
      </c>
      <c r="O537" s="447">
        <f>IFERROR(__xludf.DUMMYFUNCTION("""COMPUTED_VALUE"""),0.0)</f>
        <v>0</v>
      </c>
      <c r="P537" s="447">
        <f>IFERROR(__xludf.DUMMYFUNCTION("""COMPUTED_VALUE"""),0.0)</f>
        <v>0</v>
      </c>
      <c r="Q537" s="447">
        <f>IFERROR(__xludf.DUMMYFUNCTION("""COMPUTED_VALUE"""),0.0)</f>
        <v>0</v>
      </c>
      <c r="R537" s="447">
        <f>IFERROR(__xludf.DUMMYFUNCTION("""COMPUTED_VALUE"""),0.0)</f>
        <v>0</v>
      </c>
      <c r="S537" s="447">
        <f>IFERROR(__xludf.DUMMYFUNCTION("""COMPUTED_VALUE"""),1.0)</f>
        <v>1</v>
      </c>
      <c r="T537" s="447">
        <f>IFERROR(__xludf.DUMMYFUNCTION("""COMPUTED_VALUE"""),0.0)</f>
        <v>0</v>
      </c>
      <c r="U537" s="447">
        <f>IFERROR(__xludf.DUMMYFUNCTION("""COMPUTED_VALUE"""),1.0)</f>
        <v>1</v>
      </c>
      <c r="V537" s="447">
        <f>IFERROR(__xludf.DUMMYFUNCTION("""COMPUTED_VALUE"""),3.0)</f>
        <v>3</v>
      </c>
      <c r="W537" s="447">
        <f>IFERROR(__xludf.DUMMYFUNCTION("""COMPUTED_VALUE"""),0.0)</f>
        <v>0</v>
      </c>
      <c r="X537" s="447">
        <f>IFERROR(__xludf.DUMMYFUNCTION("""COMPUTED_VALUE"""),1.0)</f>
        <v>1</v>
      </c>
      <c r="Y537" s="447">
        <f>IFERROR(__xludf.DUMMYFUNCTION("""COMPUTED_VALUE"""),1.0)</f>
        <v>1</v>
      </c>
      <c r="Z537" s="447">
        <f>IFERROR(__xludf.DUMMYFUNCTION("""COMPUTED_VALUE"""),0.0)</f>
        <v>0</v>
      </c>
      <c r="AA537" s="447">
        <f>IFERROR(__xludf.DUMMYFUNCTION("""COMPUTED_VALUE"""),0.0)</f>
        <v>0</v>
      </c>
      <c r="AB537" s="447">
        <f>IFERROR(__xludf.DUMMYFUNCTION("""COMPUTED_VALUE"""),0.0)</f>
        <v>0</v>
      </c>
      <c r="AC537" s="447">
        <f>IFERROR(__xludf.DUMMYFUNCTION("""COMPUTED_VALUE"""),0.0)</f>
        <v>0</v>
      </c>
      <c r="AD537" s="447">
        <f>IFERROR(__xludf.DUMMYFUNCTION("""COMPUTED_VALUE"""),48.0)</f>
        <v>48</v>
      </c>
      <c r="AE537" s="447">
        <f>IFERROR(__xludf.DUMMYFUNCTION("""COMPUTED_VALUE"""),7.0)</f>
        <v>7</v>
      </c>
      <c r="AF537" s="447">
        <f>IFERROR(__xludf.DUMMYFUNCTION("""COMPUTED_VALUE"""),1.0)</f>
        <v>1</v>
      </c>
      <c r="AG537" s="443" t="s">
        <v>122</v>
      </c>
      <c r="AH537" s="443" t="s">
        <v>961</v>
      </c>
      <c r="AI537" s="443"/>
      <c r="AJ537" s="443"/>
      <c r="AK537" s="443"/>
      <c r="AL537" s="443"/>
      <c r="AM537" s="443"/>
      <c r="AN537" s="443"/>
      <c r="AO537" s="443"/>
      <c r="AP537" s="443"/>
      <c r="AQ537" s="443"/>
      <c r="AR537" s="443"/>
      <c r="AS537" s="443"/>
      <c r="AT537" s="443"/>
      <c r="AU537" s="443"/>
      <c r="AV537" s="443"/>
      <c r="AW537" s="443"/>
      <c r="AX537" s="443"/>
      <c r="AY537" s="443"/>
      <c r="AZ537" s="443"/>
      <c r="BA537" s="443"/>
      <c r="BB537" s="443"/>
      <c r="BC537" s="443"/>
      <c r="BD537" s="443"/>
      <c r="BE537" s="443"/>
    </row>
    <row r="538" hidden="1">
      <c r="A538" s="445">
        <f t="shared" si="5"/>
        <v>45828</v>
      </c>
      <c r="B538" s="449">
        <v>557.0</v>
      </c>
      <c r="C538" s="462">
        <v>0.6</v>
      </c>
      <c r="D538" s="462">
        <v>1.0173611111111112</v>
      </c>
      <c r="E538" s="436">
        <f t="array" ref="E538">IF(B538=0,"",(J538+K538)/60)</f>
        <v>1.333333333</v>
      </c>
      <c r="F538" s="437">
        <f t="shared" si="1"/>
        <v>10.01666667</v>
      </c>
      <c r="G538" s="438">
        <f t="shared" si="8"/>
        <v>55.60732113</v>
      </c>
      <c r="H538" s="438">
        <f t="shared" si="3"/>
        <v>64.14587332</v>
      </c>
      <c r="I538" s="436">
        <f t="shared" si="6"/>
        <v>1.158485857</v>
      </c>
      <c r="J538" s="460">
        <v>60.0</v>
      </c>
      <c r="K538" s="464">
        <f>20</f>
        <v>20</v>
      </c>
      <c r="L538" s="443"/>
      <c r="M538" s="447">
        <f>IFERROR(__xludf.DUMMYFUNCTION("""COMPUTED_VALUE"""),57.0)</f>
        <v>57</v>
      </c>
      <c r="N538" s="447">
        <f>IFERROR(__xludf.DUMMYFUNCTION("""COMPUTED_VALUE"""),56.0)</f>
        <v>56</v>
      </c>
      <c r="O538" s="447">
        <f>IFERROR(__xludf.DUMMYFUNCTION("""COMPUTED_VALUE"""),0.0)</f>
        <v>0</v>
      </c>
      <c r="P538" s="447">
        <f>IFERROR(__xludf.DUMMYFUNCTION("""COMPUTED_VALUE"""),0.0)</f>
        <v>0</v>
      </c>
      <c r="Q538" s="447">
        <f>IFERROR(__xludf.DUMMYFUNCTION("""COMPUTED_VALUE"""),0.0)</f>
        <v>0</v>
      </c>
      <c r="R538" s="447">
        <f>IFERROR(__xludf.DUMMYFUNCTION("""COMPUTED_VALUE"""),0.0)</f>
        <v>0</v>
      </c>
      <c r="S538" s="447">
        <f>IFERROR(__xludf.DUMMYFUNCTION("""COMPUTED_VALUE"""),1.0)</f>
        <v>1</v>
      </c>
      <c r="T538" s="447">
        <f>IFERROR(__xludf.DUMMYFUNCTION("""COMPUTED_VALUE"""),0.0)</f>
        <v>0</v>
      </c>
      <c r="U538" s="447">
        <f>IFERROR(__xludf.DUMMYFUNCTION("""COMPUTED_VALUE"""),1.0)</f>
        <v>1</v>
      </c>
      <c r="V538" s="447">
        <f>IFERROR(__xludf.DUMMYFUNCTION("""COMPUTED_VALUE"""),3.0)</f>
        <v>3</v>
      </c>
      <c r="W538" s="447">
        <f>IFERROR(__xludf.DUMMYFUNCTION("""COMPUTED_VALUE"""),0.0)</f>
        <v>0</v>
      </c>
      <c r="X538" s="447">
        <f>IFERROR(__xludf.DUMMYFUNCTION("""COMPUTED_VALUE"""),1.0)</f>
        <v>1</v>
      </c>
      <c r="Y538" s="447">
        <f>IFERROR(__xludf.DUMMYFUNCTION("""COMPUTED_VALUE"""),1.0)</f>
        <v>1</v>
      </c>
      <c r="Z538" s="447">
        <f>IFERROR(__xludf.DUMMYFUNCTION("""COMPUTED_VALUE"""),0.0)</f>
        <v>0</v>
      </c>
      <c r="AA538" s="447">
        <f>IFERROR(__xludf.DUMMYFUNCTION("""COMPUTED_VALUE"""),0.0)</f>
        <v>0</v>
      </c>
      <c r="AB538" s="447">
        <f>IFERROR(__xludf.DUMMYFUNCTION("""COMPUTED_VALUE"""),0.0)</f>
        <v>0</v>
      </c>
      <c r="AC538" s="447">
        <f>IFERROR(__xludf.DUMMYFUNCTION("""COMPUTED_VALUE"""),0.0)</f>
        <v>0</v>
      </c>
      <c r="AD538" s="447">
        <f>IFERROR(__xludf.DUMMYFUNCTION("""COMPUTED_VALUE"""),48.0)</f>
        <v>48</v>
      </c>
      <c r="AE538" s="447">
        <f>IFERROR(__xludf.DUMMYFUNCTION("""COMPUTED_VALUE"""),7.0)</f>
        <v>7</v>
      </c>
      <c r="AF538" s="447">
        <f>IFERROR(__xludf.DUMMYFUNCTION("""COMPUTED_VALUE"""),1.0)</f>
        <v>1</v>
      </c>
      <c r="AG538" s="443" t="s">
        <v>122</v>
      </c>
      <c r="AH538" s="443" t="s">
        <v>961</v>
      </c>
      <c r="AI538" s="443"/>
      <c r="AJ538" s="443"/>
      <c r="AK538" s="443"/>
      <c r="AL538" s="443"/>
      <c r="AM538" s="443"/>
      <c r="AN538" s="443"/>
      <c r="AO538" s="443"/>
      <c r="AP538" s="443"/>
      <c r="AQ538" s="443"/>
      <c r="AR538" s="443"/>
      <c r="AS538" s="443"/>
      <c r="AT538" s="443"/>
      <c r="AU538" s="443"/>
      <c r="AV538" s="443"/>
      <c r="AW538" s="443"/>
      <c r="AX538" s="443"/>
      <c r="AY538" s="443"/>
      <c r="AZ538" s="443"/>
      <c r="BA538" s="443"/>
      <c r="BB538" s="443"/>
      <c r="BC538" s="443"/>
      <c r="BD538" s="443"/>
      <c r="BE538" s="443"/>
    </row>
    <row r="539" hidden="1">
      <c r="A539" s="445">
        <f t="shared" si="5"/>
        <v>45829</v>
      </c>
      <c r="B539" s="449">
        <v>240.0</v>
      </c>
      <c r="C539" s="462">
        <v>0.6</v>
      </c>
      <c r="D539" s="462">
        <v>0.7826388888888889</v>
      </c>
      <c r="E539" s="436">
        <f t="array" ref="E539">IF(B539=0,"",(J539+K539)/60)</f>
        <v>0</v>
      </c>
      <c r="F539" s="437">
        <f t="shared" si="1"/>
        <v>4.383333333</v>
      </c>
      <c r="G539" s="438">
        <f t="shared" si="8"/>
        <v>54.75285171</v>
      </c>
      <c r="H539" s="438">
        <f t="shared" si="3"/>
        <v>54.75285171</v>
      </c>
      <c r="I539" s="436">
        <f t="shared" si="6"/>
        <v>1.164954292</v>
      </c>
      <c r="J539" s="464"/>
      <c r="K539" s="464"/>
      <c r="L539" s="443"/>
      <c r="M539" s="447">
        <f>IFERROR(__xludf.DUMMYFUNCTION("""COMPUTED_VALUE"""),57.0)</f>
        <v>57</v>
      </c>
      <c r="N539" s="447">
        <f>IFERROR(__xludf.DUMMYFUNCTION("""COMPUTED_VALUE"""),56.0)</f>
        <v>56</v>
      </c>
      <c r="O539" s="447">
        <f>IFERROR(__xludf.DUMMYFUNCTION("""COMPUTED_VALUE"""),0.0)</f>
        <v>0</v>
      </c>
      <c r="P539" s="447">
        <f>IFERROR(__xludf.DUMMYFUNCTION("""COMPUTED_VALUE"""),0.0)</f>
        <v>0</v>
      </c>
      <c r="Q539" s="447">
        <f>IFERROR(__xludf.DUMMYFUNCTION("""COMPUTED_VALUE"""),0.0)</f>
        <v>0</v>
      </c>
      <c r="R539" s="447">
        <f>IFERROR(__xludf.DUMMYFUNCTION("""COMPUTED_VALUE"""),0.0)</f>
        <v>0</v>
      </c>
      <c r="S539" s="447">
        <f>IFERROR(__xludf.DUMMYFUNCTION("""COMPUTED_VALUE"""),1.0)</f>
        <v>1</v>
      </c>
      <c r="T539" s="447">
        <f>IFERROR(__xludf.DUMMYFUNCTION("""COMPUTED_VALUE"""),0.0)</f>
        <v>0</v>
      </c>
      <c r="U539" s="447">
        <f>IFERROR(__xludf.DUMMYFUNCTION("""COMPUTED_VALUE"""),1.0)</f>
        <v>1</v>
      </c>
      <c r="V539" s="447">
        <f>IFERROR(__xludf.DUMMYFUNCTION("""COMPUTED_VALUE"""),3.0)</f>
        <v>3</v>
      </c>
      <c r="W539" s="447">
        <f>IFERROR(__xludf.DUMMYFUNCTION("""COMPUTED_VALUE"""),0.0)</f>
        <v>0</v>
      </c>
      <c r="X539" s="447">
        <f>IFERROR(__xludf.DUMMYFUNCTION("""COMPUTED_VALUE"""),1.0)</f>
        <v>1</v>
      </c>
      <c r="Y539" s="447">
        <f>IFERROR(__xludf.DUMMYFUNCTION("""COMPUTED_VALUE"""),0.0)</f>
        <v>0</v>
      </c>
      <c r="Z539" s="447">
        <f>IFERROR(__xludf.DUMMYFUNCTION("""COMPUTED_VALUE"""),0.0)</f>
        <v>0</v>
      </c>
      <c r="AA539" s="447">
        <f>IFERROR(__xludf.DUMMYFUNCTION("""COMPUTED_VALUE"""),0.0)</f>
        <v>0</v>
      </c>
      <c r="AB539" s="447">
        <f>IFERROR(__xludf.DUMMYFUNCTION("""COMPUTED_VALUE"""),0.0)</f>
        <v>0</v>
      </c>
      <c r="AC539" s="447">
        <f>IFERROR(__xludf.DUMMYFUNCTION("""COMPUTED_VALUE"""),2.0)</f>
        <v>2</v>
      </c>
      <c r="AD539" s="447">
        <f>IFERROR(__xludf.DUMMYFUNCTION("""COMPUTED_VALUE"""),47.0)</f>
        <v>47</v>
      </c>
      <c r="AE539" s="447">
        <f>IFERROR(__xludf.DUMMYFUNCTION("""COMPUTED_VALUE"""),8.0)</f>
        <v>8</v>
      </c>
      <c r="AF539" s="447">
        <f>IFERROR(__xludf.DUMMYFUNCTION("""COMPUTED_VALUE"""),1.0)</f>
        <v>1</v>
      </c>
      <c r="AG539" s="443" t="s">
        <v>122</v>
      </c>
      <c r="AH539" s="443" t="s">
        <v>961</v>
      </c>
      <c r="AI539" s="443"/>
      <c r="AJ539" s="443"/>
      <c r="AK539" s="443"/>
      <c r="AL539" s="443"/>
      <c r="AM539" s="443"/>
      <c r="AN539" s="443"/>
      <c r="AO539" s="443"/>
      <c r="AP539" s="443"/>
      <c r="AQ539" s="443"/>
      <c r="AR539" s="443"/>
      <c r="AS539" s="443"/>
      <c r="AT539" s="443"/>
      <c r="AU539" s="443"/>
      <c r="AV539" s="443"/>
      <c r="AW539" s="443"/>
      <c r="AX539" s="443"/>
      <c r="AY539" s="443"/>
      <c r="AZ539" s="443"/>
      <c r="BA539" s="443"/>
      <c r="BB539" s="443"/>
      <c r="BC539" s="443"/>
      <c r="BD539" s="443"/>
      <c r="BE539" s="443"/>
    </row>
    <row r="540" hidden="1">
      <c r="A540" s="445">
        <f t="shared" si="5"/>
        <v>45830</v>
      </c>
      <c r="B540" s="449">
        <v>0.0</v>
      </c>
      <c r="C540" s="462"/>
      <c r="D540" s="462"/>
      <c r="E540" s="436" t="str">
        <f t="array" ref="E540">IF(B540=0,"",(J540+K540)/60)</f>
        <v/>
      </c>
      <c r="F540" s="437" t="str">
        <f t="shared" si="1"/>
        <v/>
      </c>
      <c r="G540" s="438" t="str">
        <f t="shared" si="8"/>
        <v>#DIV/0!</v>
      </c>
      <c r="H540" s="438" t="str">
        <f t="shared" si="3"/>
        <v/>
      </c>
      <c r="I540" s="436" t="str">
        <f t="shared" si="6"/>
        <v/>
      </c>
      <c r="J540" s="460"/>
      <c r="K540" s="460"/>
      <c r="L540" s="443"/>
      <c r="M540" s="447">
        <f>IFERROR(__xludf.DUMMYFUNCTION("""COMPUTED_VALUE"""),57.0)</f>
        <v>57</v>
      </c>
      <c r="N540" s="447">
        <f>IFERROR(__xludf.DUMMYFUNCTION("""COMPUTED_VALUE"""),57.0)</f>
        <v>57</v>
      </c>
      <c r="O540" s="447">
        <f>IFERROR(__xludf.DUMMYFUNCTION("""COMPUTED_VALUE"""),0.0)</f>
        <v>0</v>
      </c>
      <c r="P540" s="447">
        <f>IFERROR(__xludf.DUMMYFUNCTION("""COMPUTED_VALUE"""),0.0)</f>
        <v>0</v>
      </c>
      <c r="Q540" s="447">
        <f>IFERROR(__xludf.DUMMYFUNCTION("""COMPUTED_VALUE"""),0.0)</f>
        <v>0</v>
      </c>
      <c r="R540" s="447">
        <f>IFERROR(__xludf.DUMMYFUNCTION("""COMPUTED_VALUE"""),0.0)</f>
        <v>0</v>
      </c>
      <c r="S540" s="447">
        <f>IFERROR(__xludf.DUMMYFUNCTION("""COMPUTED_VALUE"""),0.0)</f>
        <v>0</v>
      </c>
      <c r="T540" s="447">
        <f>IFERROR(__xludf.DUMMYFUNCTION("""COMPUTED_VALUE"""),0.0)</f>
        <v>0</v>
      </c>
      <c r="U540" s="447">
        <f>IFERROR(__xludf.DUMMYFUNCTION("""COMPUTED_VALUE"""),0.0)</f>
        <v>0</v>
      </c>
      <c r="V540" s="447">
        <f>IFERROR(__xludf.DUMMYFUNCTION("""COMPUTED_VALUE"""),3.0)</f>
        <v>3</v>
      </c>
      <c r="W540" s="447">
        <f>IFERROR(__xludf.DUMMYFUNCTION("""COMPUTED_VALUE"""),0.0)</f>
        <v>0</v>
      </c>
      <c r="X540" s="447">
        <f>IFERROR(__xludf.DUMMYFUNCTION("""COMPUTED_VALUE"""),0.0)</f>
        <v>0</v>
      </c>
      <c r="Y540" s="447">
        <f>IFERROR(__xludf.DUMMYFUNCTION("""COMPUTED_VALUE"""),0.0)</f>
        <v>0</v>
      </c>
      <c r="Z540" s="447">
        <f>IFERROR(__xludf.DUMMYFUNCTION("""COMPUTED_VALUE"""),0.0)</f>
        <v>0</v>
      </c>
      <c r="AA540" s="447">
        <f>IFERROR(__xludf.DUMMYFUNCTION("""COMPUTED_VALUE"""),0.0)</f>
        <v>0</v>
      </c>
      <c r="AB540" s="447">
        <f>IFERROR(__xludf.DUMMYFUNCTION("""COMPUTED_VALUE"""),0.0)</f>
        <v>0</v>
      </c>
      <c r="AC540" s="447">
        <f>IFERROR(__xludf.DUMMYFUNCTION("""COMPUTED_VALUE"""),0.0)</f>
        <v>0</v>
      </c>
      <c r="AD540" s="447">
        <f>IFERROR(__xludf.DUMMYFUNCTION("""COMPUTED_VALUE"""),0.0)</f>
        <v>0</v>
      </c>
      <c r="AE540" s="447">
        <f>IFERROR(__xludf.DUMMYFUNCTION("""COMPUTED_VALUE"""),3.0)</f>
        <v>3</v>
      </c>
      <c r="AF540" s="447">
        <f>IFERROR(__xludf.DUMMYFUNCTION("""COMPUTED_VALUE"""),0.0)</f>
        <v>0</v>
      </c>
      <c r="AG540" s="443" t="s">
        <v>122</v>
      </c>
      <c r="AH540" s="443" t="s">
        <v>961</v>
      </c>
      <c r="AI540" s="443"/>
      <c r="AJ540" s="443"/>
      <c r="AK540" s="443"/>
      <c r="AL540" s="443"/>
      <c r="AM540" s="443"/>
      <c r="AN540" s="443"/>
      <c r="AO540" s="443"/>
      <c r="AP540" s="443"/>
      <c r="AQ540" s="443"/>
      <c r="AR540" s="443"/>
      <c r="AS540" s="443"/>
      <c r="AT540" s="443"/>
      <c r="AU540" s="443"/>
      <c r="AV540" s="443"/>
      <c r="AW540" s="443"/>
      <c r="AX540" s="443"/>
      <c r="AY540" s="443"/>
      <c r="AZ540" s="443"/>
      <c r="BA540" s="443"/>
      <c r="BB540" s="443"/>
      <c r="BC540" s="443"/>
      <c r="BD540" s="443"/>
      <c r="BE540" s="443"/>
    </row>
    <row r="541" hidden="1">
      <c r="A541" s="445">
        <f t="shared" si="5"/>
        <v>45831</v>
      </c>
      <c r="B541" s="449">
        <v>581.0</v>
      </c>
      <c r="C541" s="462">
        <v>0.5583333333333333</v>
      </c>
      <c r="D541" s="462">
        <v>0.9916666666666667</v>
      </c>
      <c r="E541" s="436">
        <f t="array" ref="E541">IF(B541=0,"",(J541+K541)/60)</f>
        <v>1.083333333</v>
      </c>
      <c r="F541" s="437">
        <f t="shared" si="1"/>
        <v>10.4</v>
      </c>
      <c r="G541" s="438">
        <f t="shared" si="8"/>
        <v>55.86538462</v>
      </c>
      <c r="H541" s="438">
        <f t="shared" si="3"/>
        <v>62.36135957</v>
      </c>
      <c r="I541" s="436">
        <f t="shared" si="6"/>
        <v>1.188625205</v>
      </c>
      <c r="J541" s="460">
        <v>60.0</v>
      </c>
      <c r="K541" s="460">
        <f>5</f>
        <v>5</v>
      </c>
      <c r="L541" s="443"/>
      <c r="M541" s="447">
        <f>IFERROR(__xludf.DUMMYFUNCTION("""COMPUTED_VALUE"""),57.0)</f>
        <v>57</v>
      </c>
      <c r="N541" s="447">
        <f>IFERROR(__xludf.DUMMYFUNCTION("""COMPUTED_VALUE"""),56.0)</f>
        <v>56</v>
      </c>
      <c r="O541" s="447">
        <f>IFERROR(__xludf.DUMMYFUNCTION("""COMPUTED_VALUE"""),0.0)</f>
        <v>0</v>
      </c>
      <c r="P541" s="447">
        <f>IFERROR(__xludf.DUMMYFUNCTION("""COMPUTED_VALUE"""),0.0)</f>
        <v>0</v>
      </c>
      <c r="Q541" s="447">
        <f>IFERROR(__xludf.DUMMYFUNCTION("""COMPUTED_VALUE"""),0.0)</f>
        <v>0</v>
      </c>
      <c r="R541" s="447">
        <f>IFERROR(__xludf.DUMMYFUNCTION("""COMPUTED_VALUE"""),0.0)</f>
        <v>0</v>
      </c>
      <c r="S541" s="447">
        <f>IFERROR(__xludf.DUMMYFUNCTION("""COMPUTED_VALUE"""),2.0)</f>
        <v>2</v>
      </c>
      <c r="T541" s="447">
        <f>IFERROR(__xludf.DUMMYFUNCTION("""COMPUTED_VALUE"""),0.0)</f>
        <v>0</v>
      </c>
      <c r="U541" s="447">
        <f>IFERROR(__xludf.DUMMYFUNCTION("""COMPUTED_VALUE"""),1.0)</f>
        <v>1</v>
      </c>
      <c r="V541" s="447">
        <f>IFERROR(__xludf.DUMMYFUNCTION("""COMPUTED_VALUE"""),3.0)</f>
        <v>3</v>
      </c>
      <c r="W541" s="447">
        <f>IFERROR(__xludf.DUMMYFUNCTION("""COMPUTED_VALUE"""),0.0)</f>
        <v>0</v>
      </c>
      <c r="X541" s="447">
        <f>IFERROR(__xludf.DUMMYFUNCTION("""COMPUTED_VALUE"""),1.0)</f>
        <v>1</v>
      </c>
      <c r="Y541" s="447">
        <f>IFERROR(__xludf.DUMMYFUNCTION("""COMPUTED_VALUE"""),0.0)</f>
        <v>0</v>
      </c>
      <c r="Z541" s="447">
        <f>IFERROR(__xludf.DUMMYFUNCTION("""COMPUTED_VALUE"""),0.0)</f>
        <v>0</v>
      </c>
      <c r="AA541" s="447">
        <f>IFERROR(__xludf.DUMMYFUNCTION("""COMPUTED_VALUE"""),0.0)</f>
        <v>0</v>
      </c>
      <c r="AB541" s="447">
        <f>IFERROR(__xludf.DUMMYFUNCTION("""COMPUTED_VALUE"""),0.0)</f>
        <v>0</v>
      </c>
      <c r="AC541" s="447">
        <f>IFERROR(__xludf.DUMMYFUNCTION("""COMPUTED_VALUE"""),1.0)</f>
        <v>1</v>
      </c>
      <c r="AD541" s="447">
        <f>IFERROR(__xludf.DUMMYFUNCTION("""COMPUTED_VALUE"""),47.0)</f>
        <v>47</v>
      </c>
      <c r="AE541" s="447">
        <f>IFERROR(__xludf.DUMMYFUNCTION("""COMPUTED_VALUE"""),8.0)</f>
        <v>8</v>
      </c>
      <c r="AF541" s="447">
        <f>IFERROR(__xludf.DUMMYFUNCTION("""COMPUTED_VALUE"""),1.0)</f>
        <v>1</v>
      </c>
      <c r="AG541" s="443" t="s">
        <v>122</v>
      </c>
      <c r="AH541" s="443" t="s">
        <v>961</v>
      </c>
      <c r="AI541" s="443"/>
      <c r="AJ541" s="443"/>
      <c r="AK541" s="443"/>
      <c r="AL541" s="443"/>
      <c r="AM541" s="443"/>
      <c r="AN541" s="443"/>
      <c r="AO541" s="443"/>
      <c r="AP541" s="443"/>
      <c r="AQ541" s="443"/>
      <c r="AR541" s="443"/>
      <c r="AS541" s="443"/>
      <c r="AT541" s="443"/>
      <c r="AU541" s="443"/>
      <c r="AV541" s="443"/>
      <c r="AW541" s="443"/>
      <c r="AX541" s="443"/>
      <c r="AY541" s="443"/>
      <c r="AZ541" s="443"/>
      <c r="BA541" s="443"/>
      <c r="BB541" s="443"/>
      <c r="BC541" s="443"/>
      <c r="BD541" s="443"/>
      <c r="BE541" s="443"/>
    </row>
    <row r="542" hidden="1">
      <c r="A542" s="445">
        <f t="shared" si="5"/>
        <v>45832</v>
      </c>
      <c r="B542" s="449">
        <v>506.0</v>
      </c>
      <c r="C542" s="462">
        <v>0.6</v>
      </c>
      <c r="D542" s="462">
        <v>0.9916666666666667</v>
      </c>
      <c r="E542" s="436">
        <f t="array" ref="E542">IF(B542=0,"",(J542+K542)/60)</f>
        <v>0.9666666667</v>
      </c>
      <c r="F542" s="437">
        <f t="shared" si="1"/>
        <v>9.4</v>
      </c>
      <c r="G542" s="438">
        <f t="shared" si="8"/>
        <v>53.82978723</v>
      </c>
      <c r="H542" s="438">
        <f t="shared" si="3"/>
        <v>60</v>
      </c>
      <c r="I542" s="436">
        <f t="shared" si="6"/>
        <v>1.223404255</v>
      </c>
      <c r="J542" s="460">
        <v>30.0</v>
      </c>
      <c r="K542" s="460">
        <v>28.0</v>
      </c>
      <c r="L542" s="443"/>
      <c r="M542" s="447">
        <f>IFERROR(__xludf.DUMMYFUNCTION("""COMPUTED_VALUE"""),57.0)</f>
        <v>57</v>
      </c>
      <c r="N542" s="447">
        <f>IFERROR(__xludf.DUMMYFUNCTION("""COMPUTED_VALUE"""),56.0)</f>
        <v>56</v>
      </c>
      <c r="O542" s="447">
        <f>IFERROR(__xludf.DUMMYFUNCTION("""COMPUTED_VALUE"""),0.0)</f>
        <v>0</v>
      </c>
      <c r="P542" s="447">
        <f>IFERROR(__xludf.DUMMYFUNCTION("""COMPUTED_VALUE"""),0.0)</f>
        <v>0</v>
      </c>
      <c r="Q542" s="447">
        <f>IFERROR(__xludf.DUMMYFUNCTION("""COMPUTED_VALUE"""),1.0)</f>
        <v>1</v>
      </c>
      <c r="R542" s="447">
        <f>IFERROR(__xludf.DUMMYFUNCTION("""COMPUTED_VALUE"""),0.0)</f>
        <v>0</v>
      </c>
      <c r="S542" s="447">
        <f>IFERROR(__xludf.DUMMYFUNCTION("""COMPUTED_VALUE"""),5.0)</f>
        <v>5</v>
      </c>
      <c r="T542" s="447">
        <f>IFERROR(__xludf.DUMMYFUNCTION("""COMPUTED_VALUE"""),0.0)</f>
        <v>0</v>
      </c>
      <c r="U542" s="447">
        <f>IFERROR(__xludf.DUMMYFUNCTION("""COMPUTED_VALUE"""),1.0)</f>
        <v>1</v>
      </c>
      <c r="V542" s="447">
        <f>IFERROR(__xludf.DUMMYFUNCTION("""COMPUTED_VALUE"""),3.0)</f>
        <v>3</v>
      </c>
      <c r="W542" s="447">
        <f>IFERROR(__xludf.DUMMYFUNCTION("""COMPUTED_VALUE"""),0.0)</f>
        <v>0</v>
      </c>
      <c r="X542" s="447">
        <f>IFERROR(__xludf.DUMMYFUNCTION("""COMPUTED_VALUE"""),1.0)</f>
        <v>1</v>
      </c>
      <c r="Y542" s="447">
        <f>IFERROR(__xludf.DUMMYFUNCTION("""COMPUTED_VALUE"""),0.0)</f>
        <v>0</v>
      </c>
      <c r="Z542" s="447">
        <f>IFERROR(__xludf.DUMMYFUNCTION("""COMPUTED_VALUE"""),0.0)</f>
        <v>0</v>
      </c>
      <c r="AA542" s="447">
        <f>IFERROR(__xludf.DUMMYFUNCTION("""COMPUTED_VALUE"""),0.0)</f>
        <v>0</v>
      </c>
      <c r="AB542" s="447">
        <f>IFERROR(__xludf.DUMMYFUNCTION("""COMPUTED_VALUE"""),0.0)</f>
        <v>0</v>
      </c>
      <c r="AC542" s="447">
        <f>IFERROR(__xludf.DUMMYFUNCTION("""COMPUTED_VALUE"""),0.0)</f>
        <v>0</v>
      </c>
      <c r="AD542" s="447">
        <f>IFERROR(__xludf.DUMMYFUNCTION("""COMPUTED_VALUE"""),44.0)</f>
        <v>44</v>
      </c>
      <c r="AE542" s="447">
        <f>IFERROR(__xludf.DUMMYFUNCTION("""COMPUTED_VALUE"""),11.0)</f>
        <v>11</v>
      </c>
      <c r="AF542" s="447">
        <f>IFERROR(__xludf.DUMMYFUNCTION("""COMPUTED_VALUE"""),1.0)</f>
        <v>1</v>
      </c>
      <c r="AG542" s="443" t="s">
        <v>122</v>
      </c>
      <c r="AH542" s="443" t="s">
        <v>961</v>
      </c>
      <c r="AI542" s="443"/>
      <c r="AJ542" s="443"/>
      <c r="AK542" s="443"/>
      <c r="AL542" s="443"/>
      <c r="AM542" s="443"/>
      <c r="AN542" s="443"/>
      <c r="AO542" s="443"/>
      <c r="AP542" s="443"/>
      <c r="AQ542" s="443"/>
      <c r="AR542" s="443"/>
      <c r="AS542" s="443"/>
      <c r="AT542" s="443"/>
      <c r="AU542" s="443"/>
      <c r="AV542" s="443"/>
      <c r="AW542" s="443"/>
      <c r="AX542" s="443"/>
      <c r="AY542" s="443"/>
      <c r="AZ542" s="443"/>
      <c r="BA542" s="443"/>
      <c r="BB542" s="443"/>
      <c r="BC542" s="443"/>
      <c r="BD542" s="443"/>
      <c r="BE542" s="443"/>
    </row>
    <row r="543" hidden="1">
      <c r="A543" s="445">
        <f t="shared" si="5"/>
        <v>45833</v>
      </c>
      <c r="B543" s="449">
        <v>354.0</v>
      </c>
      <c r="C543" s="462">
        <v>0.6</v>
      </c>
      <c r="D543" s="462">
        <v>0.9034722222222222</v>
      </c>
      <c r="E543" s="436">
        <f t="array" ref="E543">IF(B543=0,"",(J543+K543)/60)</f>
        <v>1.5</v>
      </c>
      <c r="F543" s="437">
        <f t="shared" si="1"/>
        <v>7.283333333</v>
      </c>
      <c r="G543" s="438">
        <f t="shared" si="8"/>
        <v>48.60411899</v>
      </c>
      <c r="H543" s="438">
        <f t="shared" si="3"/>
        <v>61.21037464</v>
      </c>
      <c r="I543" s="436">
        <f t="shared" si="6"/>
        <v>1.130328349</v>
      </c>
      <c r="J543" s="464"/>
      <c r="K543" s="464">
        <f>7++13+22+48</f>
        <v>90</v>
      </c>
      <c r="L543" s="443"/>
      <c r="M543" s="447">
        <f>IFERROR(__xludf.DUMMYFUNCTION("""COMPUTED_VALUE"""),57.0)</f>
        <v>57</v>
      </c>
      <c r="N543" s="447">
        <f>IFERROR(__xludf.DUMMYFUNCTION("""COMPUTED_VALUE"""),56.0)</f>
        <v>56</v>
      </c>
      <c r="O543" s="447">
        <f>IFERROR(__xludf.DUMMYFUNCTION("""COMPUTED_VALUE"""),0.0)</f>
        <v>0</v>
      </c>
      <c r="P543" s="447">
        <f>IFERROR(__xludf.DUMMYFUNCTION("""COMPUTED_VALUE"""),0.0)</f>
        <v>0</v>
      </c>
      <c r="Q543" s="447">
        <f>IFERROR(__xludf.DUMMYFUNCTION("""COMPUTED_VALUE"""),0.0)</f>
        <v>0</v>
      </c>
      <c r="R543" s="447">
        <f>IFERROR(__xludf.DUMMYFUNCTION("""COMPUTED_VALUE"""),0.0)</f>
        <v>0</v>
      </c>
      <c r="S543" s="447">
        <f>IFERROR(__xludf.DUMMYFUNCTION("""COMPUTED_VALUE"""),7.0)</f>
        <v>7</v>
      </c>
      <c r="T543" s="447">
        <f>IFERROR(__xludf.DUMMYFUNCTION("""COMPUTED_VALUE"""),0.0)</f>
        <v>0</v>
      </c>
      <c r="U543" s="447">
        <f>IFERROR(__xludf.DUMMYFUNCTION("""COMPUTED_VALUE"""),1.0)</f>
        <v>1</v>
      </c>
      <c r="V543" s="447">
        <f>IFERROR(__xludf.DUMMYFUNCTION("""COMPUTED_VALUE"""),3.0)</f>
        <v>3</v>
      </c>
      <c r="W543" s="447">
        <f>IFERROR(__xludf.DUMMYFUNCTION("""COMPUTED_VALUE"""),0.0)</f>
        <v>0</v>
      </c>
      <c r="X543" s="447">
        <f>IFERROR(__xludf.DUMMYFUNCTION("""COMPUTED_VALUE"""),1.0)</f>
        <v>1</v>
      </c>
      <c r="Y543" s="447">
        <f>IFERROR(__xludf.DUMMYFUNCTION("""COMPUTED_VALUE"""),0.0)</f>
        <v>0</v>
      </c>
      <c r="Z543" s="447">
        <f>IFERROR(__xludf.DUMMYFUNCTION("""COMPUTED_VALUE"""),0.0)</f>
        <v>0</v>
      </c>
      <c r="AA543" s="447">
        <f>IFERROR(__xludf.DUMMYFUNCTION("""COMPUTED_VALUE"""),0.0)</f>
        <v>0</v>
      </c>
      <c r="AB543" s="447">
        <f>IFERROR(__xludf.DUMMYFUNCTION("""COMPUTED_VALUE"""),0.0)</f>
        <v>0</v>
      </c>
      <c r="AC543" s="447">
        <f>IFERROR(__xludf.DUMMYFUNCTION("""COMPUTED_VALUE"""),0.0)</f>
        <v>0</v>
      </c>
      <c r="AD543" s="447">
        <f>IFERROR(__xludf.DUMMYFUNCTION("""COMPUTED_VALUE"""),43.0)</f>
        <v>43</v>
      </c>
      <c r="AE543" s="447">
        <f>IFERROR(__xludf.DUMMYFUNCTION("""COMPUTED_VALUE"""),12.0)</f>
        <v>12</v>
      </c>
      <c r="AF543" s="447">
        <f>IFERROR(__xludf.DUMMYFUNCTION("""COMPUTED_VALUE"""),1.0)</f>
        <v>1</v>
      </c>
      <c r="AG543" s="443" t="s">
        <v>122</v>
      </c>
      <c r="AH543" s="443" t="s">
        <v>961</v>
      </c>
      <c r="AI543" s="443"/>
      <c r="AJ543" s="443"/>
      <c r="AK543" s="443"/>
      <c r="AL543" s="443"/>
      <c r="AM543" s="443"/>
      <c r="AN543" s="443"/>
      <c r="AO543" s="443"/>
      <c r="AP543" s="443"/>
      <c r="AQ543" s="443"/>
      <c r="AR543" s="443"/>
      <c r="AS543" s="443"/>
      <c r="AT543" s="443"/>
      <c r="AU543" s="443"/>
      <c r="AV543" s="443"/>
      <c r="AW543" s="443"/>
      <c r="AX543" s="443"/>
      <c r="AY543" s="443"/>
      <c r="AZ543" s="443"/>
      <c r="BA543" s="443"/>
      <c r="BB543" s="443"/>
      <c r="BC543" s="443"/>
      <c r="BD543" s="443"/>
      <c r="BE543" s="443"/>
    </row>
    <row r="544" hidden="1">
      <c r="A544" s="445">
        <f t="shared" si="5"/>
        <v>45834</v>
      </c>
      <c r="B544" s="449">
        <v>512.0</v>
      </c>
      <c r="C544" s="462">
        <v>0.6</v>
      </c>
      <c r="D544" s="462">
        <v>1.0277777777777777</v>
      </c>
      <c r="E544" s="436">
        <f t="array" ref="E544">IF(B544=0,"",(J544+K544)/60)</f>
        <v>1.616666667</v>
      </c>
      <c r="F544" s="437">
        <f t="shared" si="1"/>
        <v>10.26666667</v>
      </c>
      <c r="G544" s="438">
        <f t="shared" si="8"/>
        <v>49.87012987</v>
      </c>
      <c r="H544" s="438">
        <f t="shared" si="3"/>
        <v>59.19075145</v>
      </c>
      <c r="I544" s="436">
        <f t="shared" si="6"/>
        <v>1.084133258</v>
      </c>
      <c r="J544" s="460">
        <v>20.0</v>
      </c>
      <c r="K544" s="464">
        <f>47+30</f>
        <v>77</v>
      </c>
      <c r="L544" s="443"/>
      <c r="M544" s="447">
        <f>IFERROR(__xludf.DUMMYFUNCTION("""COMPUTED_VALUE"""),57.0)</f>
        <v>57</v>
      </c>
      <c r="N544" s="447">
        <f>IFERROR(__xludf.DUMMYFUNCTION("""COMPUTED_VALUE"""),56.0)</f>
        <v>56</v>
      </c>
      <c r="O544" s="447">
        <f>IFERROR(__xludf.DUMMYFUNCTION("""COMPUTED_VALUE"""),0.0)</f>
        <v>0</v>
      </c>
      <c r="P544" s="447">
        <f>IFERROR(__xludf.DUMMYFUNCTION("""COMPUTED_VALUE"""),0.0)</f>
        <v>0</v>
      </c>
      <c r="Q544" s="447">
        <f>IFERROR(__xludf.DUMMYFUNCTION("""COMPUTED_VALUE"""),0.0)</f>
        <v>0</v>
      </c>
      <c r="R544" s="447">
        <f>IFERROR(__xludf.DUMMYFUNCTION("""COMPUTED_VALUE"""),0.0)</f>
        <v>0</v>
      </c>
      <c r="S544" s="447">
        <f>IFERROR(__xludf.DUMMYFUNCTION("""COMPUTED_VALUE"""),4.0)</f>
        <v>4</v>
      </c>
      <c r="T544" s="447">
        <f>IFERROR(__xludf.DUMMYFUNCTION("""COMPUTED_VALUE"""),0.0)</f>
        <v>0</v>
      </c>
      <c r="U544" s="447">
        <f>IFERROR(__xludf.DUMMYFUNCTION("""COMPUTED_VALUE"""),1.0)</f>
        <v>1</v>
      </c>
      <c r="V544" s="447">
        <f>IFERROR(__xludf.DUMMYFUNCTION("""COMPUTED_VALUE"""),0.0)</f>
        <v>0</v>
      </c>
      <c r="W544" s="447">
        <f>IFERROR(__xludf.DUMMYFUNCTION("""COMPUTED_VALUE"""),0.0)</f>
        <v>0</v>
      </c>
      <c r="X544" s="447">
        <f>IFERROR(__xludf.DUMMYFUNCTION("""COMPUTED_VALUE"""),1.0)</f>
        <v>1</v>
      </c>
      <c r="Y544" s="447">
        <f>IFERROR(__xludf.DUMMYFUNCTION("""COMPUTED_VALUE"""),0.0)</f>
        <v>0</v>
      </c>
      <c r="Z544" s="447">
        <f>IFERROR(__xludf.DUMMYFUNCTION("""COMPUTED_VALUE"""),0.0)</f>
        <v>0</v>
      </c>
      <c r="AA544" s="447">
        <f>IFERROR(__xludf.DUMMYFUNCTION("""COMPUTED_VALUE"""),2.0)</f>
        <v>2</v>
      </c>
      <c r="AB544" s="447">
        <f>IFERROR(__xludf.DUMMYFUNCTION("""COMPUTED_VALUE"""),0.0)</f>
        <v>0</v>
      </c>
      <c r="AC544" s="447">
        <f>IFERROR(__xludf.DUMMYFUNCTION("""COMPUTED_VALUE"""),1.0)</f>
        <v>1</v>
      </c>
      <c r="AD544" s="447">
        <f>IFERROR(__xludf.DUMMYFUNCTION("""COMPUTED_VALUE"""),46.0)</f>
        <v>46</v>
      </c>
      <c r="AE544" s="447">
        <f>IFERROR(__xludf.DUMMYFUNCTION("""COMPUTED_VALUE"""),9.0)</f>
        <v>9</v>
      </c>
      <c r="AF544" s="447">
        <f>IFERROR(__xludf.DUMMYFUNCTION("""COMPUTED_VALUE"""),1.0)</f>
        <v>1</v>
      </c>
      <c r="AG544" s="443" t="s">
        <v>122</v>
      </c>
      <c r="AH544" s="443" t="s">
        <v>961</v>
      </c>
      <c r="AI544" s="443"/>
      <c r="AJ544" s="443"/>
      <c r="AK544" s="443"/>
      <c r="AL544" s="443"/>
      <c r="AM544" s="443"/>
      <c r="AN544" s="443"/>
      <c r="AO544" s="443"/>
      <c r="AP544" s="443"/>
      <c r="AQ544" s="443"/>
      <c r="AR544" s="443"/>
      <c r="AS544" s="443"/>
      <c r="AT544" s="443"/>
      <c r="AU544" s="443"/>
      <c r="AV544" s="443"/>
      <c r="AW544" s="443"/>
      <c r="AX544" s="443"/>
      <c r="AY544" s="443"/>
      <c r="AZ544" s="443"/>
      <c r="BA544" s="443"/>
      <c r="BB544" s="443"/>
      <c r="BC544" s="443"/>
      <c r="BD544" s="443"/>
      <c r="BE544" s="443"/>
    </row>
    <row r="545" hidden="1">
      <c r="A545" s="445">
        <f t="shared" si="5"/>
        <v>45835</v>
      </c>
      <c r="B545" s="449">
        <v>557.0</v>
      </c>
      <c r="C545" s="462">
        <v>0.6416666666666667</v>
      </c>
      <c r="D545" s="462">
        <v>1.0611111111111111</v>
      </c>
      <c r="E545" s="436">
        <f t="array" ref="E545">IF(B545=0,"",(J545+K545)/60)</f>
        <v>1</v>
      </c>
      <c r="F545" s="437">
        <f t="shared" si="1"/>
        <v>10.06666667</v>
      </c>
      <c r="G545" s="438">
        <f t="shared" si="8"/>
        <v>55.33112583</v>
      </c>
      <c r="H545" s="438">
        <f t="shared" si="3"/>
        <v>61.43382353</v>
      </c>
      <c r="I545" s="436">
        <f t="shared" si="6"/>
        <v>1.177257996</v>
      </c>
      <c r="J545" s="460">
        <v>60.0</v>
      </c>
      <c r="K545" s="464"/>
      <c r="L545" s="443"/>
      <c r="M545" s="447">
        <f>IFERROR(__xludf.DUMMYFUNCTION("""COMPUTED_VALUE"""),57.0)</f>
        <v>57</v>
      </c>
      <c r="N545" s="447">
        <f>IFERROR(__xludf.DUMMYFUNCTION("""COMPUTED_VALUE"""),56.0)</f>
        <v>56</v>
      </c>
      <c r="O545" s="447">
        <f>IFERROR(__xludf.DUMMYFUNCTION("""COMPUTED_VALUE"""),0.0)</f>
        <v>0</v>
      </c>
      <c r="P545" s="447">
        <f>IFERROR(__xludf.DUMMYFUNCTION("""COMPUTED_VALUE"""),1.0)</f>
        <v>1</v>
      </c>
      <c r="Q545" s="447">
        <f>IFERROR(__xludf.DUMMYFUNCTION("""COMPUTED_VALUE"""),0.0)</f>
        <v>0</v>
      </c>
      <c r="R545" s="447">
        <f>IFERROR(__xludf.DUMMYFUNCTION("""COMPUTED_VALUE"""),0.0)</f>
        <v>0</v>
      </c>
      <c r="S545" s="447">
        <f>IFERROR(__xludf.DUMMYFUNCTION("""COMPUTED_VALUE"""),3.0)</f>
        <v>3</v>
      </c>
      <c r="T545" s="447">
        <f>IFERROR(__xludf.DUMMYFUNCTION("""COMPUTED_VALUE"""),0.0)</f>
        <v>0</v>
      </c>
      <c r="U545" s="447">
        <f>IFERROR(__xludf.DUMMYFUNCTION("""COMPUTED_VALUE"""),1.0)</f>
        <v>1</v>
      </c>
      <c r="V545" s="447">
        <f>IFERROR(__xludf.DUMMYFUNCTION("""COMPUTED_VALUE"""),2.0)</f>
        <v>2</v>
      </c>
      <c r="W545" s="447">
        <f>IFERROR(__xludf.DUMMYFUNCTION("""COMPUTED_VALUE"""),0.0)</f>
        <v>0</v>
      </c>
      <c r="X545" s="447">
        <f>IFERROR(__xludf.DUMMYFUNCTION("""COMPUTED_VALUE"""),1.0)</f>
        <v>1</v>
      </c>
      <c r="Y545" s="447">
        <f>IFERROR(__xludf.DUMMYFUNCTION("""COMPUTED_VALUE"""),0.0)</f>
        <v>0</v>
      </c>
      <c r="Z545" s="447">
        <f>IFERROR(__xludf.DUMMYFUNCTION("""COMPUTED_VALUE"""),0.0)</f>
        <v>0</v>
      </c>
      <c r="AA545" s="447">
        <f>IFERROR(__xludf.DUMMYFUNCTION("""COMPUTED_VALUE"""),0.0)</f>
        <v>0</v>
      </c>
      <c r="AB545" s="447">
        <f>IFERROR(__xludf.DUMMYFUNCTION("""COMPUTED_VALUE"""),0.0)</f>
        <v>0</v>
      </c>
      <c r="AC545" s="447">
        <f>IFERROR(__xludf.DUMMYFUNCTION("""COMPUTED_VALUE"""),0.0)</f>
        <v>0</v>
      </c>
      <c r="AD545" s="447">
        <f>IFERROR(__xludf.DUMMYFUNCTION("""COMPUTED_VALUE"""),47.0)</f>
        <v>47</v>
      </c>
      <c r="AE545" s="447">
        <f>IFERROR(__xludf.DUMMYFUNCTION("""COMPUTED_VALUE"""),8.0)</f>
        <v>8</v>
      </c>
      <c r="AF545" s="447">
        <f>IFERROR(__xludf.DUMMYFUNCTION("""COMPUTED_VALUE"""),1.0)</f>
        <v>1</v>
      </c>
      <c r="AG545" s="443" t="s">
        <v>122</v>
      </c>
      <c r="AH545" s="443" t="s">
        <v>961</v>
      </c>
      <c r="AI545" s="443"/>
      <c r="AJ545" s="443"/>
      <c r="AK545" s="443"/>
      <c r="AL545" s="443"/>
      <c r="AM545" s="443"/>
      <c r="AN545" s="443"/>
      <c r="AO545" s="443"/>
      <c r="AP545" s="443"/>
      <c r="AQ545" s="443"/>
      <c r="AR545" s="443"/>
      <c r="AS545" s="443"/>
      <c r="AT545" s="443"/>
      <c r="AU545" s="443"/>
      <c r="AV545" s="443"/>
      <c r="AW545" s="443"/>
      <c r="AX545" s="443"/>
      <c r="AY545" s="443"/>
      <c r="AZ545" s="443"/>
      <c r="BA545" s="443"/>
      <c r="BB545" s="443"/>
      <c r="BC545" s="443"/>
      <c r="BD545" s="443"/>
      <c r="BE545" s="443"/>
    </row>
    <row r="546" hidden="1">
      <c r="A546" s="445">
        <f t="shared" si="5"/>
        <v>45836</v>
      </c>
      <c r="B546" s="449">
        <v>459.0</v>
      </c>
      <c r="C546" s="462">
        <v>0.5583333333333333</v>
      </c>
      <c r="D546" s="462">
        <v>0.9569444444444445</v>
      </c>
      <c r="E546" s="436">
        <f t="array" ref="E546">IF(B546=0,"",(J546+K546)/60)</f>
        <v>1.45</v>
      </c>
      <c r="F546" s="437">
        <f t="shared" si="1"/>
        <v>9.566666667</v>
      </c>
      <c r="G546" s="438">
        <f t="shared" si="8"/>
        <v>47.97909408</v>
      </c>
      <c r="H546" s="438">
        <f t="shared" si="3"/>
        <v>56.55030801</v>
      </c>
      <c r="I546" s="436">
        <f t="shared" si="6"/>
        <v>0.9995644599</v>
      </c>
      <c r="J546" s="460">
        <v>30.0</v>
      </c>
      <c r="K546" s="460">
        <v>57.0</v>
      </c>
      <c r="L546" s="443"/>
      <c r="M546" s="447">
        <f>IFERROR(__xludf.DUMMYFUNCTION("""COMPUTED_VALUE"""),57.0)</f>
        <v>57</v>
      </c>
      <c r="N546" s="447">
        <f>IFERROR(__xludf.DUMMYFUNCTION("""COMPUTED_VALUE"""),56.0)</f>
        <v>56</v>
      </c>
      <c r="O546" s="447">
        <f>IFERROR(__xludf.DUMMYFUNCTION("""COMPUTED_VALUE"""),0.0)</f>
        <v>0</v>
      </c>
      <c r="P546" s="447">
        <f>IFERROR(__xludf.DUMMYFUNCTION("""COMPUTED_VALUE"""),0.0)</f>
        <v>0</v>
      </c>
      <c r="Q546" s="447">
        <f>IFERROR(__xludf.DUMMYFUNCTION("""COMPUTED_VALUE"""),0.0)</f>
        <v>0</v>
      </c>
      <c r="R546" s="447">
        <f>IFERROR(__xludf.DUMMYFUNCTION("""COMPUTED_VALUE"""),0.0)</f>
        <v>0</v>
      </c>
      <c r="S546" s="447">
        <f>IFERROR(__xludf.DUMMYFUNCTION("""COMPUTED_VALUE"""),2.0)</f>
        <v>2</v>
      </c>
      <c r="T546" s="447">
        <f>IFERROR(__xludf.DUMMYFUNCTION("""COMPUTED_VALUE"""),0.0)</f>
        <v>0</v>
      </c>
      <c r="U546" s="447">
        <f>IFERROR(__xludf.DUMMYFUNCTION("""COMPUTED_VALUE"""),1.0)</f>
        <v>1</v>
      </c>
      <c r="V546" s="447">
        <f>IFERROR(__xludf.DUMMYFUNCTION("""COMPUTED_VALUE"""),3.0)</f>
        <v>3</v>
      </c>
      <c r="W546" s="447">
        <f>IFERROR(__xludf.DUMMYFUNCTION("""COMPUTED_VALUE"""),0.0)</f>
        <v>0</v>
      </c>
      <c r="X546" s="447">
        <f>IFERROR(__xludf.DUMMYFUNCTION("""COMPUTED_VALUE"""),1.0)</f>
        <v>1</v>
      </c>
      <c r="Y546" s="447">
        <f>IFERROR(__xludf.DUMMYFUNCTION("""COMPUTED_VALUE"""),0.0)</f>
        <v>0</v>
      </c>
      <c r="Z546" s="447">
        <f>IFERROR(__xludf.DUMMYFUNCTION("""COMPUTED_VALUE"""),0.0)</f>
        <v>0</v>
      </c>
      <c r="AA546" s="447">
        <f>IFERROR(__xludf.DUMMYFUNCTION("""COMPUTED_VALUE"""),0.0)</f>
        <v>0</v>
      </c>
      <c r="AB546" s="447">
        <f>IFERROR(__xludf.DUMMYFUNCTION("""COMPUTED_VALUE"""),0.0)</f>
        <v>0</v>
      </c>
      <c r="AC546" s="447">
        <f>IFERROR(__xludf.DUMMYFUNCTION("""COMPUTED_VALUE"""),0.0)</f>
        <v>0</v>
      </c>
      <c r="AD546" s="447">
        <f>IFERROR(__xludf.DUMMYFUNCTION("""COMPUTED_VALUE"""),48.0)</f>
        <v>48</v>
      </c>
      <c r="AE546" s="447">
        <f>IFERROR(__xludf.DUMMYFUNCTION("""COMPUTED_VALUE"""),7.0)</f>
        <v>7</v>
      </c>
      <c r="AF546" s="447">
        <f>IFERROR(__xludf.DUMMYFUNCTION("""COMPUTED_VALUE"""),1.0)</f>
        <v>1</v>
      </c>
      <c r="AG546" s="443" t="s">
        <v>122</v>
      </c>
      <c r="AH546" s="443" t="s">
        <v>961</v>
      </c>
      <c r="AI546" s="443"/>
      <c r="AJ546" s="443"/>
      <c r="AK546" s="443"/>
      <c r="AL546" s="443"/>
      <c r="AM546" s="443"/>
      <c r="AN546" s="443"/>
      <c r="AO546" s="443"/>
      <c r="AP546" s="443"/>
      <c r="AQ546" s="443"/>
      <c r="AR546" s="443"/>
      <c r="AS546" s="443"/>
      <c r="AT546" s="443"/>
      <c r="AU546" s="443"/>
      <c r="AV546" s="443"/>
      <c r="AW546" s="443"/>
      <c r="AX546" s="443"/>
      <c r="AY546" s="443"/>
      <c r="AZ546" s="443"/>
      <c r="BA546" s="443"/>
      <c r="BB546" s="443"/>
      <c r="BC546" s="443"/>
      <c r="BD546" s="443"/>
      <c r="BE546" s="443"/>
    </row>
    <row r="547" hidden="1">
      <c r="A547" s="445">
        <f t="shared" si="5"/>
        <v>45837</v>
      </c>
      <c r="B547" s="449">
        <v>0.0</v>
      </c>
      <c r="C547" s="443"/>
      <c r="D547" s="462"/>
      <c r="E547" s="436" t="str">
        <f t="array" ref="E547">IF(B547=0,"",(J547+K547)/60)</f>
        <v/>
      </c>
      <c r="F547" s="437" t="str">
        <f t="shared" si="1"/>
        <v/>
      </c>
      <c r="G547" s="438" t="str">
        <f t="shared" si="8"/>
        <v>#DIV/0!</v>
      </c>
      <c r="H547" s="438" t="str">
        <f t="shared" si="3"/>
        <v/>
      </c>
      <c r="I547" s="436" t="str">
        <f t="shared" si="6"/>
        <v/>
      </c>
      <c r="J547" s="464"/>
      <c r="K547" s="464"/>
      <c r="L547" s="443"/>
      <c r="M547" s="447">
        <f>IFERROR(__xludf.DUMMYFUNCTION("""COMPUTED_VALUE"""),57.0)</f>
        <v>57</v>
      </c>
      <c r="N547" s="447">
        <f>IFERROR(__xludf.DUMMYFUNCTION("""COMPUTED_VALUE"""),57.0)</f>
        <v>57</v>
      </c>
      <c r="O547" s="447">
        <f>IFERROR(__xludf.DUMMYFUNCTION("""COMPUTED_VALUE"""),0.0)</f>
        <v>0</v>
      </c>
      <c r="P547" s="447">
        <f>IFERROR(__xludf.DUMMYFUNCTION("""COMPUTED_VALUE"""),0.0)</f>
        <v>0</v>
      </c>
      <c r="Q547" s="447">
        <f>IFERROR(__xludf.DUMMYFUNCTION("""COMPUTED_VALUE"""),0.0)</f>
        <v>0</v>
      </c>
      <c r="R547" s="447">
        <f>IFERROR(__xludf.DUMMYFUNCTION("""COMPUTED_VALUE"""),0.0)</f>
        <v>0</v>
      </c>
      <c r="S547" s="447">
        <f>IFERROR(__xludf.DUMMYFUNCTION("""COMPUTED_VALUE"""),1.0)</f>
        <v>1</v>
      </c>
      <c r="T547" s="447">
        <f>IFERROR(__xludf.DUMMYFUNCTION("""COMPUTED_VALUE"""),0.0)</f>
        <v>0</v>
      </c>
      <c r="U547" s="447">
        <f>IFERROR(__xludf.DUMMYFUNCTION("""COMPUTED_VALUE"""),0.0)</f>
        <v>0</v>
      </c>
      <c r="V547" s="447">
        <f>IFERROR(__xludf.DUMMYFUNCTION("""COMPUTED_VALUE"""),2.0)</f>
        <v>2</v>
      </c>
      <c r="W547" s="447">
        <f>IFERROR(__xludf.DUMMYFUNCTION("""COMPUTED_VALUE"""),0.0)</f>
        <v>0</v>
      </c>
      <c r="X547" s="447">
        <f>IFERROR(__xludf.DUMMYFUNCTION("""COMPUTED_VALUE"""),0.0)</f>
        <v>0</v>
      </c>
      <c r="Y547" s="447">
        <f>IFERROR(__xludf.DUMMYFUNCTION("""COMPUTED_VALUE"""),0.0)</f>
        <v>0</v>
      </c>
      <c r="Z547" s="447">
        <f>IFERROR(__xludf.DUMMYFUNCTION("""COMPUTED_VALUE"""),0.0)</f>
        <v>0</v>
      </c>
      <c r="AA547" s="447">
        <f>IFERROR(__xludf.DUMMYFUNCTION("""COMPUTED_VALUE"""),0.0)</f>
        <v>0</v>
      </c>
      <c r="AB547" s="447">
        <f>IFERROR(__xludf.DUMMYFUNCTION("""COMPUTED_VALUE"""),0.0)</f>
        <v>0</v>
      </c>
      <c r="AC547" s="447">
        <f>IFERROR(__xludf.DUMMYFUNCTION("""COMPUTED_VALUE"""),0.0)</f>
        <v>0</v>
      </c>
      <c r="AD547" s="447">
        <f>IFERROR(__xludf.DUMMYFUNCTION("""COMPUTED_VALUE"""),0.0)</f>
        <v>0</v>
      </c>
      <c r="AE547" s="447">
        <f>IFERROR(__xludf.DUMMYFUNCTION("""COMPUTED_VALUE"""),3.0)</f>
        <v>3</v>
      </c>
      <c r="AF547" s="447">
        <f>IFERROR(__xludf.DUMMYFUNCTION("""COMPUTED_VALUE"""),0.0)</f>
        <v>0</v>
      </c>
      <c r="AG547" s="443" t="s">
        <v>122</v>
      </c>
      <c r="AH547" s="443" t="s">
        <v>961</v>
      </c>
      <c r="AI547" s="443"/>
      <c r="AJ547" s="443"/>
      <c r="AK547" s="443"/>
      <c r="AL547" s="443"/>
      <c r="AM547" s="443"/>
      <c r="AN547" s="443"/>
      <c r="AO547" s="443"/>
      <c r="AP547" s="443"/>
      <c r="AQ547" s="443"/>
      <c r="AR547" s="443"/>
      <c r="AS547" s="443"/>
      <c r="AT547" s="443"/>
      <c r="AU547" s="443"/>
      <c r="AV547" s="443"/>
      <c r="AW547" s="443"/>
      <c r="AX547" s="443"/>
      <c r="AY547" s="443"/>
      <c r="AZ547" s="443"/>
      <c r="BA547" s="443"/>
      <c r="BB547" s="443"/>
      <c r="BC547" s="443"/>
      <c r="BD547" s="443"/>
      <c r="BE547" s="443"/>
    </row>
    <row r="548" hidden="1">
      <c r="A548" s="445">
        <f t="shared" si="5"/>
        <v>45838</v>
      </c>
      <c r="B548" s="449">
        <v>559.0</v>
      </c>
      <c r="C548" s="462">
        <v>0.5583333333333333</v>
      </c>
      <c r="D548" s="462">
        <v>1.0104166666666667</v>
      </c>
      <c r="E548" s="436">
        <f t="array" ref="E548">IF(B548=0,"",(J548+K548)/60)</f>
        <v>1.016666667</v>
      </c>
      <c r="F548" s="437">
        <f t="shared" si="1"/>
        <v>10.85</v>
      </c>
      <c r="G548" s="438">
        <f t="shared" si="8"/>
        <v>51.52073733</v>
      </c>
      <c r="H548" s="438">
        <f t="shared" si="3"/>
        <v>56.84745763</v>
      </c>
      <c r="I548" s="436">
        <f t="shared" si="6"/>
        <v>1.120016029</v>
      </c>
      <c r="J548" s="460">
        <v>30.0</v>
      </c>
      <c r="K548" s="464">
        <f>10+11+10</f>
        <v>31</v>
      </c>
      <c r="L548" s="443"/>
      <c r="M548" s="447">
        <f>IFERROR(__xludf.DUMMYFUNCTION("""COMPUTED_VALUE"""),57.0)</f>
        <v>57</v>
      </c>
      <c r="N548" s="447">
        <f>IFERROR(__xludf.DUMMYFUNCTION("""COMPUTED_VALUE"""),56.0)</f>
        <v>56</v>
      </c>
      <c r="O548" s="447">
        <f>IFERROR(__xludf.DUMMYFUNCTION("""COMPUTED_VALUE"""),0.0)</f>
        <v>0</v>
      </c>
      <c r="P548" s="447">
        <f>IFERROR(__xludf.DUMMYFUNCTION("""COMPUTED_VALUE"""),1.0)</f>
        <v>1</v>
      </c>
      <c r="Q548" s="447">
        <f>IFERROR(__xludf.DUMMYFUNCTION("""COMPUTED_VALUE"""),0.0)</f>
        <v>0</v>
      </c>
      <c r="R548" s="447">
        <f>IFERROR(__xludf.DUMMYFUNCTION("""COMPUTED_VALUE"""),0.0)</f>
        <v>0</v>
      </c>
      <c r="S548" s="447">
        <f>IFERROR(__xludf.DUMMYFUNCTION("""COMPUTED_VALUE"""),2.0)</f>
        <v>2</v>
      </c>
      <c r="T548" s="447">
        <f>IFERROR(__xludf.DUMMYFUNCTION("""COMPUTED_VALUE"""),1.0)</f>
        <v>1</v>
      </c>
      <c r="U548" s="447">
        <f>IFERROR(__xludf.DUMMYFUNCTION("""COMPUTED_VALUE"""),1.0)</f>
        <v>1</v>
      </c>
      <c r="V548" s="447">
        <f>IFERROR(__xludf.DUMMYFUNCTION("""COMPUTED_VALUE"""),3.0)</f>
        <v>3</v>
      </c>
      <c r="W548" s="447">
        <f>IFERROR(__xludf.DUMMYFUNCTION("""COMPUTED_VALUE"""),0.0)</f>
        <v>0</v>
      </c>
      <c r="X548" s="447">
        <f>IFERROR(__xludf.DUMMYFUNCTION("""COMPUTED_VALUE"""),1.0)</f>
        <v>1</v>
      </c>
      <c r="Y548" s="447">
        <f>IFERROR(__xludf.DUMMYFUNCTION("""COMPUTED_VALUE"""),0.0)</f>
        <v>0</v>
      </c>
      <c r="Z548" s="447">
        <f>IFERROR(__xludf.DUMMYFUNCTION("""COMPUTED_VALUE"""),0.0)</f>
        <v>0</v>
      </c>
      <c r="AA548" s="447">
        <f>IFERROR(__xludf.DUMMYFUNCTION("""COMPUTED_VALUE"""),0.0)</f>
        <v>0</v>
      </c>
      <c r="AB548" s="447">
        <f>IFERROR(__xludf.DUMMYFUNCTION("""COMPUTED_VALUE"""),0.0)</f>
        <v>0</v>
      </c>
      <c r="AC548" s="447">
        <f>IFERROR(__xludf.DUMMYFUNCTION("""COMPUTED_VALUE"""),0.0)</f>
        <v>0</v>
      </c>
      <c r="AD548" s="447">
        <f>IFERROR(__xludf.DUMMYFUNCTION("""COMPUTED_VALUE"""),46.0)</f>
        <v>46</v>
      </c>
      <c r="AE548" s="447">
        <f>IFERROR(__xludf.DUMMYFUNCTION("""COMPUTED_VALUE"""),9.0)</f>
        <v>9</v>
      </c>
      <c r="AF548" s="447">
        <f>IFERROR(__xludf.DUMMYFUNCTION("""COMPUTED_VALUE"""),1.0)</f>
        <v>1</v>
      </c>
      <c r="AG548" s="443" t="s">
        <v>122</v>
      </c>
      <c r="AH548" s="443" t="s">
        <v>961</v>
      </c>
      <c r="AI548" s="443"/>
      <c r="AJ548" s="443"/>
      <c r="AK548" s="443"/>
      <c r="AL548" s="443"/>
      <c r="AM548" s="443"/>
      <c r="AN548" s="443"/>
      <c r="AO548" s="443"/>
      <c r="AP548" s="443"/>
      <c r="AQ548" s="443"/>
      <c r="AR548" s="443"/>
      <c r="AS548" s="443"/>
      <c r="AT548" s="443"/>
      <c r="AU548" s="443"/>
      <c r="AV548" s="443"/>
      <c r="AW548" s="443"/>
      <c r="AX548" s="443"/>
      <c r="AY548" s="443"/>
      <c r="AZ548" s="443"/>
      <c r="BA548" s="443"/>
      <c r="BB548" s="443"/>
      <c r="BC548" s="443"/>
      <c r="BD548" s="443"/>
      <c r="BE548" s="443"/>
    </row>
    <row r="549" hidden="1">
      <c r="A549" s="445">
        <f t="shared" si="5"/>
        <v>45839</v>
      </c>
      <c r="B549" s="449">
        <v>417.0</v>
      </c>
      <c r="C549" s="462">
        <v>0.6</v>
      </c>
      <c r="D549" s="462">
        <v>0.96875</v>
      </c>
      <c r="E549" s="436">
        <f t="array" ref="E549">IF(B549=0,"",(J549+K549)/60)</f>
        <v>1.666666667</v>
      </c>
      <c r="F549" s="437">
        <f t="shared" si="1"/>
        <v>8.85</v>
      </c>
      <c r="G549" s="438">
        <f t="shared" si="8"/>
        <v>47.11864407</v>
      </c>
      <c r="H549" s="438">
        <f t="shared" si="3"/>
        <v>58.05104408</v>
      </c>
      <c r="I549" s="436">
        <f t="shared" si="6"/>
        <v>1.047080979</v>
      </c>
      <c r="J549" s="460">
        <v>30.0</v>
      </c>
      <c r="K549" s="460">
        <v>70.0</v>
      </c>
      <c r="L549" s="443"/>
      <c r="M549" s="447">
        <f>IFERROR(__xludf.DUMMYFUNCTION("TRANSPOSE(IMPORTRANGE(""https://docs.google.com/spreadsheets/d/1CNeKSHTeNNJnfn5EymHwGg5Mkuk6EcepW7_9QkJxalc/edit#gid=1218471306"",""JULIO 2025!F2:AJ21""))"),57.0)</f>
        <v>57</v>
      </c>
      <c r="N549" s="447">
        <f>IFERROR(__xludf.DUMMYFUNCTION("""COMPUTED_VALUE"""),56.0)</f>
        <v>56</v>
      </c>
      <c r="O549" s="447">
        <f>IFERROR(__xludf.DUMMYFUNCTION("""COMPUTED_VALUE"""),0.0)</f>
        <v>0</v>
      </c>
      <c r="P549" s="447">
        <f>IFERROR(__xludf.DUMMYFUNCTION("""COMPUTED_VALUE"""),0.0)</f>
        <v>0</v>
      </c>
      <c r="Q549" s="447">
        <f>IFERROR(__xludf.DUMMYFUNCTION("""COMPUTED_VALUE"""),0.0)</f>
        <v>0</v>
      </c>
      <c r="R549" s="447">
        <f>IFERROR(__xludf.DUMMYFUNCTION("""COMPUTED_VALUE"""),0.0)</f>
        <v>0</v>
      </c>
      <c r="S549" s="447">
        <f>IFERROR(__xludf.DUMMYFUNCTION("""COMPUTED_VALUE"""),3.0)</f>
        <v>3</v>
      </c>
      <c r="T549" s="447">
        <f>IFERROR(__xludf.DUMMYFUNCTION("""COMPUTED_VALUE"""),0.0)</f>
        <v>0</v>
      </c>
      <c r="U549" s="447">
        <f>IFERROR(__xludf.DUMMYFUNCTION("""COMPUTED_VALUE"""),1.0)</f>
        <v>1</v>
      </c>
      <c r="V549" s="447">
        <f>IFERROR(__xludf.DUMMYFUNCTION("""COMPUTED_VALUE"""),4.0)</f>
        <v>4</v>
      </c>
      <c r="W549" s="447">
        <f>IFERROR(__xludf.DUMMYFUNCTION("""COMPUTED_VALUE"""),0.0)</f>
        <v>0</v>
      </c>
      <c r="X549" s="447">
        <f>IFERROR(__xludf.DUMMYFUNCTION("""COMPUTED_VALUE"""),1.0)</f>
        <v>1</v>
      </c>
      <c r="Y549" s="447">
        <f>IFERROR(__xludf.DUMMYFUNCTION("""COMPUTED_VALUE"""),0.0)</f>
        <v>0</v>
      </c>
      <c r="Z549" s="447">
        <f>IFERROR(__xludf.DUMMYFUNCTION("""COMPUTED_VALUE"""),0.0)</f>
        <v>0</v>
      </c>
      <c r="AA549" s="447">
        <f>IFERROR(__xludf.DUMMYFUNCTION("""COMPUTED_VALUE"""),0.0)</f>
        <v>0</v>
      </c>
      <c r="AB549" s="447">
        <f>IFERROR(__xludf.DUMMYFUNCTION("""COMPUTED_VALUE"""),0.0)</f>
        <v>0</v>
      </c>
      <c r="AC549" s="447">
        <f>IFERROR(__xludf.DUMMYFUNCTION("""COMPUTED_VALUE"""),1.0)</f>
        <v>1</v>
      </c>
      <c r="AD549" s="447">
        <f>IFERROR(__xludf.DUMMYFUNCTION("""COMPUTED_VALUE"""),45.0)</f>
        <v>45</v>
      </c>
      <c r="AE549" s="447">
        <f>IFERROR(__xludf.DUMMYFUNCTION("""COMPUTED_VALUE"""),10.0)</f>
        <v>10</v>
      </c>
      <c r="AF549" s="447">
        <f>IFERROR(__xludf.DUMMYFUNCTION("""COMPUTED_VALUE"""),1.0)</f>
        <v>1</v>
      </c>
      <c r="AG549" s="443" t="s">
        <v>127</v>
      </c>
      <c r="AH549" s="443" t="s">
        <v>961</v>
      </c>
      <c r="AI549" s="443"/>
      <c r="AJ549" s="443"/>
      <c r="AK549" s="443"/>
      <c r="AL549" s="443"/>
      <c r="AM549" s="443"/>
      <c r="AN549" s="443"/>
      <c r="AO549" s="443"/>
      <c r="AP549" s="443"/>
      <c r="AQ549" s="443"/>
      <c r="AR549" s="443"/>
      <c r="AS549" s="443"/>
      <c r="AT549" s="443"/>
      <c r="AU549" s="443"/>
      <c r="AV549" s="443"/>
      <c r="AW549" s="443"/>
      <c r="AX549" s="443"/>
      <c r="AY549" s="443"/>
      <c r="AZ549" s="443"/>
      <c r="BA549" s="443"/>
      <c r="BB549" s="443"/>
      <c r="BC549" s="443"/>
      <c r="BD549" s="443"/>
      <c r="BE549" s="443"/>
    </row>
    <row r="550" hidden="1">
      <c r="A550" s="445">
        <f t="shared" si="5"/>
        <v>45840</v>
      </c>
      <c r="B550" s="449">
        <v>555.0</v>
      </c>
      <c r="C550" s="462">
        <v>0.6</v>
      </c>
      <c r="D550" s="462">
        <v>1.0173611111111112</v>
      </c>
      <c r="E550" s="436">
        <f t="array" ref="E550">IF(B550=0,"",(J550+K550)/60)</f>
        <v>1.933333333</v>
      </c>
      <c r="F550" s="437">
        <f t="shared" si="1"/>
        <v>10.01666667</v>
      </c>
      <c r="G550" s="438">
        <f t="shared" si="8"/>
        <v>55.40765391</v>
      </c>
      <c r="H550" s="438">
        <f t="shared" si="3"/>
        <v>68.65979381</v>
      </c>
      <c r="I550" s="436">
        <f t="shared" si="6"/>
        <v>1.231281198</v>
      </c>
      <c r="J550" s="460">
        <v>45.0</v>
      </c>
      <c r="K550" s="460">
        <v>71.0</v>
      </c>
      <c r="L550" s="443"/>
      <c r="M550" s="447">
        <f>IFERROR(__xludf.DUMMYFUNCTION("""COMPUTED_VALUE"""),57.0)</f>
        <v>57</v>
      </c>
      <c r="N550" s="447">
        <f>IFERROR(__xludf.DUMMYFUNCTION("""COMPUTED_VALUE"""),56.0)</f>
        <v>56</v>
      </c>
      <c r="O550" s="447">
        <f>IFERROR(__xludf.DUMMYFUNCTION("""COMPUTED_VALUE"""),0.0)</f>
        <v>0</v>
      </c>
      <c r="P550" s="447">
        <f>IFERROR(__xludf.DUMMYFUNCTION("""COMPUTED_VALUE"""),0.0)</f>
        <v>0</v>
      </c>
      <c r="Q550" s="447">
        <f>IFERROR(__xludf.DUMMYFUNCTION("""COMPUTED_VALUE"""),1.0)</f>
        <v>1</v>
      </c>
      <c r="R550" s="447">
        <f>IFERROR(__xludf.DUMMYFUNCTION("""COMPUTED_VALUE"""),0.0)</f>
        <v>0</v>
      </c>
      <c r="S550" s="447">
        <f>IFERROR(__xludf.DUMMYFUNCTION("""COMPUTED_VALUE"""),3.0)</f>
        <v>3</v>
      </c>
      <c r="T550" s="447">
        <f>IFERROR(__xludf.DUMMYFUNCTION("""COMPUTED_VALUE"""),0.0)</f>
        <v>0</v>
      </c>
      <c r="U550" s="447">
        <f>IFERROR(__xludf.DUMMYFUNCTION("""COMPUTED_VALUE"""),1.0)</f>
        <v>1</v>
      </c>
      <c r="V550" s="447">
        <f>IFERROR(__xludf.DUMMYFUNCTION("""COMPUTED_VALUE"""),4.0)</f>
        <v>4</v>
      </c>
      <c r="W550" s="447">
        <f>IFERROR(__xludf.DUMMYFUNCTION("""COMPUTED_VALUE"""),0.0)</f>
        <v>0</v>
      </c>
      <c r="X550" s="447">
        <f>IFERROR(__xludf.DUMMYFUNCTION("""COMPUTED_VALUE"""),1.0)</f>
        <v>1</v>
      </c>
      <c r="Y550" s="447">
        <f>IFERROR(__xludf.DUMMYFUNCTION("""COMPUTED_VALUE"""),0.0)</f>
        <v>0</v>
      </c>
      <c r="Z550" s="447">
        <f>IFERROR(__xludf.DUMMYFUNCTION("""COMPUTED_VALUE"""),0.0)</f>
        <v>0</v>
      </c>
      <c r="AA550" s="447">
        <f>IFERROR(__xludf.DUMMYFUNCTION("""COMPUTED_VALUE"""),0.0)</f>
        <v>0</v>
      </c>
      <c r="AB550" s="447">
        <f>IFERROR(__xludf.DUMMYFUNCTION("""COMPUTED_VALUE"""),0.0)</f>
        <v>0</v>
      </c>
      <c r="AC550" s="447">
        <f>IFERROR(__xludf.DUMMYFUNCTION("""COMPUTED_VALUE"""),0.0)</f>
        <v>0</v>
      </c>
      <c r="AD550" s="447">
        <f>IFERROR(__xludf.DUMMYFUNCTION("""COMPUTED_VALUE"""),45.0)</f>
        <v>45</v>
      </c>
      <c r="AE550" s="447">
        <f>IFERROR(__xludf.DUMMYFUNCTION("""COMPUTED_VALUE"""),10.0)</f>
        <v>10</v>
      </c>
      <c r="AF550" s="447">
        <f>IFERROR(__xludf.DUMMYFUNCTION("""COMPUTED_VALUE"""),1.0)</f>
        <v>1</v>
      </c>
      <c r="AG550" s="443" t="s">
        <v>127</v>
      </c>
      <c r="AH550" s="443" t="s">
        <v>961</v>
      </c>
      <c r="AI550" s="443"/>
      <c r="AJ550" s="443"/>
      <c r="AK550" s="443"/>
      <c r="AL550" s="443"/>
      <c r="AM550" s="443"/>
      <c r="AN550" s="443"/>
      <c r="AO550" s="443"/>
      <c r="AP550" s="443"/>
      <c r="AQ550" s="443"/>
      <c r="AR550" s="443"/>
      <c r="AS550" s="443"/>
      <c r="AT550" s="443"/>
      <c r="AU550" s="443"/>
      <c r="AV550" s="443"/>
      <c r="AW550" s="443"/>
      <c r="AX550" s="443"/>
      <c r="AY550" s="443"/>
      <c r="AZ550" s="443"/>
      <c r="BA550" s="443"/>
      <c r="BB550" s="443"/>
      <c r="BC550" s="443"/>
      <c r="BD550" s="443"/>
      <c r="BE550" s="443"/>
    </row>
    <row r="551" hidden="1">
      <c r="A551" s="445">
        <f t="shared" si="5"/>
        <v>45841</v>
      </c>
      <c r="B551" s="449">
        <v>519.0</v>
      </c>
      <c r="C551" s="462">
        <v>0.6</v>
      </c>
      <c r="D551" s="462">
        <v>0.9986111111111111</v>
      </c>
      <c r="E551" s="436">
        <f t="array" ref="E551">IF(B551=0,"",(J551+K551)/60)</f>
        <v>1.4</v>
      </c>
      <c r="F551" s="437">
        <f t="shared" si="1"/>
        <v>9.566666667</v>
      </c>
      <c r="G551" s="438">
        <f t="shared" si="8"/>
        <v>54.25087108</v>
      </c>
      <c r="H551" s="438">
        <f t="shared" si="3"/>
        <v>63.55102041</v>
      </c>
      <c r="I551" s="436">
        <f t="shared" si="6"/>
        <v>1.179366763</v>
      </c>
      <c r="J551" s="460">
        <v>30.0</v>
      </c>
      <c r="K551" s="460">
        <v>54.0</v>
      </c>
      <c r="L551" s="443"/>
      <c r="M551" s="447">
        <f>IFERROR(__xludf.DUMMYFUNCTION("""COMPUTED_VALUE"""),57.0)</f>
        <v>57</v>
      </c>
      <c r="N551" s="447">
        <f>IFERROR(__xludf.DUMMYFUNCTION("""COMPUTED_VALUE"""),57.0)</f>
        <v>57</v>
      </c>
      <c r="O551" s="447">
        <f>IFERROR(__xludf.DUMMYFUNCTION("""COMPUTED_VALUE"""),0.0)</f>
        <v>0</v>
      </c>
      <c r="P551" s="447">
        <f>IFERROR(__xludf.DUMMYFUNCTION("""COMPUTED_VALUE"""),0.0)</f>
        <v>0</v>
      </c>
      <c r="Q551" s="447">
        <f>IFERROR(__xludf.DUMMYFUNCTION("""COMPUTED_VALUE"""),0.0)</f>
        <v>0</v>
      </c>
      <c r="R551" s="447">
        <f>IFERROR(__xludf.DUMMYFUNCTION("""COMPUTED_VALUE"""),0.0)</f>
        <v>0</v>
      </c>
      <c r="S551" s="447">
        <f>IFERROR(__xludf.DUMMYFUNCTION("""COMPUTED_VALUE"""),3.0)</f>
        <v>3</v>
      </c>
      <c r="T551" s="447">
        <f>IFERROR(__xludf.DUMMYFUNCTION("""COMPUTED_VALUE"""),0.0)</f>
        <v>0</v>
      </c>
      <c r="U551" s="447">
        <f>IFERROR(__xludf.DUMMYFUNCTION("""COMPUTED_VALUE"""),0.0)</f>
        <v>0</v>
      </c>
      <c r="V551" s="447">
        <f>IFERROR(__xludf.DUMMYFUNCTION("""COMPUTED_VALUE"""),4.0)</f>
        <v>4</v>
      </c>
      <c r="W551" s="447">
        <f>IFERROR(__xludf.DUMMYFUNCTION("""COMPUTED_VALUE"""),0.0)</f>
        <v>0</v>
      </c>
      <c r="X551" s="447">
        <f>IFERROR(__xludf.DUMMYFUNCTION("""COMPUTED_VALUE"""),1.0)</f>
        <v>1</v>
      </c>
      <c r="Y551" s="447">
        <f>IFERROR(__xludf.DUMMYFUNCTION("""COMPUTED_VALUE"""),0.0)</f>
        <v>0</v>
      </c>
      <c r="Z551" s="447">
        <f>IFERROR(__xludf.DUMMYFUNCTION("""COMPUTED_VALUE"""),0.0)</f>
        <v>0</v>
      </c>
      <c r="AA551" s="447">
        <f>IFERROR(__xludf.DUMMYFUNCTION("""COMPUTED_VALUE"""),0.0)</f>
        <v>0</v>
      </c>
      <c r="AB551" s="447">
        <f>IFERROR(__xludf.DUMMYFUNCTION("""COMPUTED_VALUE"""),1.0)</f>
        <v>1</v>
      </c>
      <c r="AC551" s="447">
        <f>IFERROR(__xludf.DUMMYFUNCTION("""COMPUTED_VALUE"""),0.0)</f>
        <v>0</v>
      </c>
      <c r="AD551" s="447">
        <f>IFERROR(__xludf.DUMMYFUNCTION("""COMPUTED_VALUE"""),46.0)</f>
        <v>46</v>
      </c>
      <c r="AE551" s="447">
        <f>IFERROR(__xludf.DUMMYFUNCTION("""COMPUTED_VALUE"""),8.0)</f>
        <v>8</v>
      </c>
      <c r="AF551" s="447">
        <f>IFERROR(__xludf.DUMMYFUNCTION("""COMPUTED_VALUE"""),0.0)</f>
        <v>0</v>
      </c>
      <c r="AG551" s="443" t="s">
        <v>127</v>
      </c>
      <c r="AH551" s="443" t="s">
        <v>961</v>
      </c>
      <c r="AI551" s="443"/>
      <c r="AJ551" s="443"/>
      <c r="AK551" s="443"/>
      <c r="AL551" s="443"/>
      <c r="AM551" s="443"/>
      <c r="AN551" s="443"/>
      <c r="AO551" s="443"/>
      <c r="AP551" s="443"/>
      <c r="AQ551" s="443"/>
      <c r="AR551" s="443"/>
      <c r="AS551" s="443"/>
      <c r="AT551" s="443"/>
      <c r="AU551" s="443"/>
      <c r="AV551" s="443"/>
      <c r="AW551" s="443"/>
      <c r="AX551" s="443"/>
      <c r="AY551" s="443"/>
      <c r="AZ551" s="443"/>
      <c r="BA551" s="443"/>
      <c r="BB551" s="443"/>
      <c r="BC551" s="443"/>
      <c r="BD551" s="443"/>
      <c r="BE551" s="443"/>
    </row>
    <row r="552" hidden="1">
      <c r="A552" s="445">
        <f t="shared" si="5"/>
        <v>45842</v>
      </c>
      <c r="B552" s="449">
        <v>493.0</v>
      </c>
      <c r="C552" s="462">
        <v>0.6</v>
      </c>
      <c r="D552" s="462">
        <v>0.9465277777777777</v>
      </c>
      <c r="E552" s="436">
        <f t="array" ref="E552">IF(B552=0,"",(J552+K552)/60)</f>
        <v>1.016666667</v>
      </c>
      <c r="F552" s="437">
        <f t="shared" si="1"/>
        <v>8.316666667</v>
      </c>
      <c r="G552" s="438">
        <f t="shared" si="8"/>
        <v>59.27855711</v>
      </c>
      <c r="H552" s="438">
        <f t="shared" si="3"/>
        <v>67.53424658</v>
      </c>
      <c r="I552" s="436">
        <f t="shared" si="6"/>
        <v>1.23496994</v>
      </c>
      <c r="J552" s="460">
        <v>30.0</v>
      </c>
      <c r="K552" s="460">
        <v>31.0</v>
      </c>
      <c r="L552" s="443"/>
      <c r="M552" s="447">
        <f>IFERROR(__xludf.DUMMYFUNCTION("""COMPUTED_VALUE"""),57.0)</f>
        <v>57</v>
      </c>
      <c r="N552" s="447">
        <f>IFERROR(__xludf.DUMMYFUNCTION("""COMPUTED_VALUE"""),57.0)</f>
        <v>57</v>
      </c>
      <c r="O552" s="447">
        <f>IFERROR(__xludf.DUMMYFUNCTION("""COMPUTED_VALUE"""),0.0)</f>
        <v>0</v>
      </c>
      <c r="P552" s="447">
        <f>IFERROR(__xludf.DUMMYFUNCTION("""COMPUTED_VALUE"""),0.0)</f>
        <v>0</v>
      </c>
      <c r="Q552" s="447">
        <f>IFERROR(__xludf.DUMMYFUNCTION("""COMPUTED_VALUE"""),0.0)</f>
        <v>0</v>
      </c>
      <c r="R552" s="447">
        <f>IFERROR(__xludf.DUMMYFUNCTION("""COMPUTED_VALUE"""),0.0)</f>
        <v>0</v>
      </c>
      <c r="S552" s="447">
        <f>IFERROR(__xludf.DUMMYFUNCTION("""COMPUTED_VALUE"""),1.0)</f>
        <v>1</v>
      </c>
      <c r="T552" s="447">
        <f>IFERROR(__xludf.DUMMYFUNCTION("""COMPUTED_VALUE"""),1.0)</f>
        <v>1</v>
      </c>
      <c r="U552" s="447">
        <f>IFERROR(__xludf.DUMMYFUNCTION("""COMPUTED_VALUE"""),0.0)</f>
        <v>0</v>
      </c>
      <c r="V552" s="447">
        <f>IFERROR(__xludf.DUMMYFUNCTION("""COMPUTED_VALUE"""),4.0)</f>
        <v>4</v>
      </c>
      <c r="W552" s="447">
        <f>IFERROR(__xludf.DUMMYFUNCTION("""COMPUTED_VALUE"""),0.0)</f>
        <v>0</v>
      </c>
      <c r="X552" s="447">
        <f>IFERROR(__xludf.DUMMYFUNCTION("""COMPUTED_VALUE"""),1.0)</f>
        <v>1</v>
      </c>
      <c r="Y552" s="447">
        <f>IFERROR(__xludf.DUMMYFUNCTION("""COMPUTED_VALUE"""),0.0)</f>
        <v>0</v>
      </c>
      <c r="Z552" s="447">
        <f>IFERROR(__xludf.DUMMYFUNCTION("""COMPUTED_VALUE"""),0.0)</f>
        <v>0</v>
      </c>
      <c r="AA552" s="447">
        <f>IFERROR(__xludf.DUMMYFUNCTION("""COMPUTED_VALUE"""),0.0)</f>
        <v>0</v>
      </c>
      <c r="AB552" s="447">
        <f>IFERROR(__xludf.DUMMYFUNCTION("""COMPUTED_VALUE"""),0.0)</f>
        <v>0</v>
      </c>
      <c r="AC552" s="447">
        <f>IFERROR(__xludf.DUMMYFUNCTION("""COMPUTED_VALUE"""),0.0)</f>
        <v>0</v>
      </c>
      <c r="AD552" s="447">
        <f>IFERROR(__xludf.DUMMYFUNCTION("""COMPUTED_VALUE"""),48.0)</f>
        <v>48</v>
      </c>
      <c r="AE552" s="447">
        <f>IFERROR(__xludf.DUMMYFUNCTION("""COMPUTED_VALUE"""),7.0)</f>
        <v>7</v>
      </c>
      <c r="AF552" s="447">
        <f>IFERROR(__xludf.DUMMYFUNCTION("""COMPUTED_VALUE"""),0.0)</f>
        <v>0</v>
      </c>
      <c r="AG552" s="443" t="s">
        <v>127</v>
      </c>
      <c r="AH552" s="443" t="s">
        <v>961</v>
      </c>
      <c r="AI552" s="443"/>
      <c r="AJ552" s="443"/>
      <c r="AK552" s="443"/>
      <c r="AL552" s="443"/>
      <c r="AM552" s="443"/>
      <c r="AN552" s="443"/>
      <c r="AO552" s="443"/>
      <c r="AP552" s="443"/>
      <c r="AQ552" s="443"/>
      <c r="AR552" s="443"/>
      <c r="AS552" s="443"/>
      <c r="AT552" s="443"/>
      <c r="AU552" s="443"/>
      <c r="AV552" s="443"/>
      <c r="AW552" s="443"/>
      <c r="AX552" s="443"/>
      <c r="AY552" s="443"/>
      <c r="AZ552" s="443"/>
      <c r="BA552" s="443"/>
      <c r="BB552" s="443"/>
      <c r="BC552" s="443"/>
      <c r="BD552" s="443"/>
      <c r="BE552" s="443"/>
    </row>
    <row r="553" hidden="1">
      <c r="A553" s="445">
        <f t="shared" si="5"/>
        <v>45843</v>
      </c>
      <c r="B553" s="449">
        <v>342.0</v>
      </c>
      <c r="C553" s="462">
        <v>0.6</v>
      </c>
      <c r="D553" s="462">
        <v>0.8451388888888889</v>
      </c>
      <c r="E553" s="436">
        <f t="array" ref="E553">IF(B553=0,"",(J553+K553)/60)</f>
        <v>0.3333333333</v>
      </c>
      <c r="F553" s="437">
        <f t="shared" si="1"/>
        <v>5.883333333</v>
      </c>
      <c r="G553" s="438">
        <f t="shared" si="8"/>
        <v>58.13031161</v>
      </c>
      <c r="H553" s="438">
        <f t="shared" si="3"/>
        <v>61.62162162</v>
      </c>
      <c r="I553" s="436">
        <f t="shared" si="6"/>
        <v>1.291784703</v>
      </c>
      <c r="J553" s="460">
        <v>0.0</v>
      </c>
      <c r="K553" s="460">
        <v>20.0</v>
      </c>
      <c r="L553" s="443"/>
      <c r="M553" s="447">
        <f>IFERROR(__xludf.DUMMYFUNCTION("""COMPUTED_VALUE"""),57.0)</f>
        <v>57</v>
      </c>
      <c r="N553" s="447">
        <f>IFERROR(__xludf.DUMMYFUNCTION("""COMPUTED_VALUE"""),57.0)</f>
        <v>57</v>
      </c>
      <c r="O553" s="447">
        <f>IFERROR(__xludf.DUMMYFUNCTION("""COMPUTED_VALUE"""),0.0)</f>
        <v>0</v>
      </c>
      <c r="P553" s="447">
        <f>IFERROR(__xludf.DUMMYFUNCTION("""COMPUTED_VALUE"""),0.0)</f>
        <v>0</v>
      </c>
      <c r="Q553" s="447">
        <f>IFERROR(__xludf.DUMMYFUNCTION("""COMPUTED_VALUE"""),3.0)</f>
        <v>3</v>
      </c>
      <c r="R553" s="447">
        <f>IFERROR(__xludf.DUMMYFUNCTION("""COMPUTED_VALUE"""),0.0)</f>
        <v>0</v>
      </c>
      <c r="S553" s="447">
        <f>IFERROR(__xludf.DUMMYFUNCTION("""COMPUTED_VALUE"""),0.0)</f>
        <v>0</v>
      </c>
      <c r="T553" s="447">
        <f>IFERROR(__xludf.DUMMYFUNCTION("""COMPUTED_VALUE"""),0.0)</f>
        <v>0</v>
      </c>
      <c r="U553" s="447">
        <f>IFERROR(__xludf.DUMMYFUNCTION("""COMPUTED_VALUE"""),0.0)</f>
        <v>0</v>
      </c>
      <c r="V553" s="447">
        <f>IFERROR(__xludf.DUMMYFUNCTION("""COMPUTED_VALUE"""),4.0)</f>
        <v>4</v>
      </c>
      <c r="W553" s="447">
        <f>IFERROR(__xludf.DUMMYFUNCTION("""COMPUTED_VALUE"""),0.0)</f>
        <v>0</v>
      </c>
      <c r="X553" s="447">
        <f>IFERROR(__xludf.DUMMYFUNCTION("""COMPUTED_VALUE"""),1.0)</f>
        <v>1</v>
      </c>
      <c r="Y553" s="447">
        <f>IFERROR(__xludf.DUMMYFUNCTION("""COMPUTED_VALUE"""),0.0)</f>
        <v>0</v>
      </c>
      <c r="Z553" s="447">
        <f>IFERROR(__xludf.DUMMYFUNCTION("""COMPUTED_VALUE"""),0.0)</f>
        <v>0</v>
      </c>
      <c r="AA553" s="447">
        <f>IFERROR(__xludf.DUMMYFUNCTION("""COMPUTED_VALUE"""),0.0)</f>
        <v>0</v>
      </c>
      <c r="AB553" s="447">
        <f>IFERROR(__xludf.DUMMYFUNCTION("""COMPUTED_VALUE"""),0.0)</f>
        <v>0</v>
      </c>
      <c r="AC553" s="447">
        <f>IFERROR(__xludf.DUMMYFUNCTION("""COMPUTED_VALUE"""),2.0)</f>
        <v>2</v>
      </c>
      <c r="AD553" s="447">
        <f>IFERROR(__xludf.DUMMYFUNCTION("""COMPUTED_VALUE"""),45.0)</f>
        <v>45</v>
      </c>
      <c r="AE553" s="447">
        <f>IFERROR(__xludf.DUMMYFUNCTION("""COMPUTED_VALUE"""),10.0)</f>
        <v>10</v>
      </c>
      <c r="AF553" s="447">
        <f>IFERROR(__xludf.DUMMYFUNCTION("""COMPUTED_VALUE"""),0.0)</f>
        <v>0</v>
      </c>
      <c r="AG553" s="443" t="s">
        <v>127</v>
      </c>
      <c r="AH553" s="443" t="s">
        <v>961</v>
      </c>
      <c r="AI553" s="443"/>
      <c r="AJ553" s="443"/>
      <c r="AK553" s="443"/>
      <c r="AL553" s="443"/>
      <c r="AM553" s="443"/>
      <c r="AN553" s="443"/>
      <c r="AO553" s="443"/>
      <c r="AP553" s="443"/>
      <c r="AQ553" s="443"/>
      <c r="AR553" s="443"/>
      <c r="AS553" s="443"/>
      <c r="AT553" s="443"/>
      <c r="AU553" s="443"/>
      <c r="AV553" s="443"/>
      <c r="AW553" s="443"/>
      <c r="AX553" s="443"/>
      <c r="AY553" s="443"/>
      <c r="AZ553" s="443"/>
      <c r="BA553" s="443"/>
      <c r="BB553" s="443"/>
      <c r="BC553" s="443"/>
      <c r="BD553" s="443"/>
      <c r="BE553" s="443"/>
    </row>
    <row r="554" hidden="1">
      <c r="A554" s="445">
        <f t="shared" si="5"/>
        <v>45844</v>
      </c>
      <c r="B554" s="449">
        <v>0.0</v>
      </c>
      <c r="C554" s="462"/>
      <c r="D554" s="462"/>
      <c r="E554" s="436" t="str">
        <f t="array" ref="E554">IF(B554=0,"",(J554+K554)/60)</f>
        <v/>
      </c>
      <c r="F554" s="437" t="str">
        <f t="shared" si="1"/>
        <v/>
      </c>
      <c r="G554" s="438" t="str">
        <f>IF(B554=0,"",B554/F554)</f>
        <v/>
      </c>
      <c r="H554" s="438" t="str">
        <f t="shared" si="3"/>
        <v/>
      </c>
      <c r="I554" s="436" t="str">
        <f t="shared" si="6"/>
        <v/>
      </c>
      <c r="J554" s="460"/>
      <c r="K554" s="460"/>
      <c r="L554" s="443"/>
      <c r="M554" s="447">
        <f>IFERROR(__xludf.DUMMYFUNCTION("""COMPUTED_VALUE"""),57.0)</f>
        <v>57</v>
      </c>
      <c r="N554" s="447">
        <f>IFERROR(__xludf.DUMMYFUNCTION("""COMPUTED_VALUE"""),57.0)</f>
        <v>57</v>
      </c>
      <c r="O554" s="447">
        <f>IFERROR(__xludf.DUMMYFUNCTION("""COMPUTED_VALUE"""),0.0)</f>
        <v>0</v>
      </c>
      <c r="P554" s="447">
        <f>IFERROR(__xludf.DUMMYFUNCTION("""COMPUTED_VALUE"""),0.0)</f>
        <v>0</v>
      </c>
      <c r="Q554" s="447">
        <f>IFERROR(__xludf.DUMMYFUNCTION("""COMPUTED_VALUE"""),0.0)</f>
        <v>0</v>
      </c>
      <c r="R554" s="447">
        <f>IFERROR(__xludf.DUMMYFUNCTION("""COMPUTED_VALUE"""),0.0)</f>
        <v>0</v>
      </c>
      <c r="S554" s="447">
        <f>IFERROR(__xludf.DUMMYFUNCTION("""COMPUTED_VALUE"""),0.0)</f>
        <v>0</v>
      </c>
      <c r="T554" s="447">
        <f>IFERROR(__xludf.DUMMYFUNCTION("""COMPUTED_VALUE"""),0.0)</f>
        <v>0</v>
      </c>
      <c r="U554" s="447">
        <f>IFERROR(__xludf.DUMMYFUNCTION("""COMPUTED_VALUE"""),0.0)</f>
        <v>0</v>
      </c>
      <c r="V554" s="447">
        <f>IFERROR(__xludf.DUMMYFUNCTION("""COMPUTED_VALUE"""),0.0)</f>
        <v>0</v>
      </c>
      <c r="W554" s="447">
        <f>IFERROR(__xludf.DUMMYFUNCTION("""COMPUTED_VALUE"""),0.0)</f>
        <v>0</v>
      </c>
      <c r="X554" s="447">
        <f>IFERROR(__xludf.DUMMYFUNCTION("""COMPUTED_VALUE"""),0.0)</f>
        <v>0</v>
      </c>
      <c r="Y554" s="447">
        <f>IFERROR(__xludf.DUMMYFUNCTION("""COMPUTED_VALUE"""),0.0)</f>
        <v>0</v>
      </c>
      <c r="Z554" s="447">
        <f>IFERROR(__xludf.DUMMYFUNCTION("""COMPUTED_VALUE"""),0.0)</f>
        <v>0</v>
      </c>
      <c r="AA554" s="447">
        <f>IFERROR(__xludf.DUMMYFUNCTION("""COMPUTED_VALUE"""),0.0)</f>
        <v>0</v>
      </c>
      <c r="AB554" s="447">
        <f>IFERROR(__xludf.DUMMYFUNCTION("""COMPUTED_VALUE"""),0.0)</f>
        <v>0</v>
      </c>
      <c r="AC554" s="447">
        <f>IFERROR(__xludf.DUMMYFUNCTION("""COMPUTED_VALUE"""),0.0)</f>
        <v>0</v>
      </c>
      <c r="AD554" s="447">
        <f>IFERROR(__xludf.DUMMYFUNCTION("""COMPUTED_VALUE"""),0.0)</f>
        <v>0</v>
      </c>
      <c r="AE554" s="447">
        <f>IFERROR(__xludf.DUMMYFUNCTION("""COMPUTED_VALUE"""),0.0)</f>
        <v>0</v>
      </c>
      <c r="AF554" s="447">
        <f>IFERROR(__xludf.DUMMYFUNCTION("""COMPUTED_VALUE"""),0.0)</f>
        <v>0</v>
      </c>
      <c r="AG554" s="443" t="s">
        <v>127</v>
      </c>
      <c r="AH554" s="443" t="s">
        <v>961</v>
      </c>
      <c r="AI554" s="443"/>
      <c r="AJ554" s="443"/>
      <c r="AK554" s="443"/>
      <c r="AL554" s="443"/>
      <c r="AM554" s="443"/>
      <c r="AN554" s="443"/>
      <c r="AO554" s="443"/>
      <c r="AP554" s="443"/>
      <c r="AQ554" s="443"/>
      <c r="AR554" s="443"/>
      <c r="AS554" s="443"/>
      <c r="AT554" s="443"/>
      <c r="AU554" s="443"/>
      <c r="AV554" s="443"/>
      <c r="AW554" s="443"/>
      <c r="AX554" s="443"/>
      <c r="AY554" s="443"/>
      <c r="AZ554" s="443"/>
      <c r="BA554" s="443"/>
      <c r="BB554" s="443"/>
      <c r="BC554" s="443"/>
      <c r="BD554" s="443"/>
      <c r="BE554" s="443"/>
    </row>
    <row r="555" hidden="1">
      <c r="A555" s="445">
        <f t="shared" si="5"/>
        <v>45845</v>
      </c>
      <c r="B555" s="449">
        <v>670.0</v>
      </c>
      <c r="C555" s="462">
        <v>0.5583333333333333</v>
      </c>
      <c r="D555" s="462">
        <v>1.0048611111111112</v>
      </c>
      <c r="E555" s="436">
        <f t="array" ref="E555">IF(B555=0,"",(J555+K555)/60)</f>
        <v>1</v>
      </c>
      <c r="F555" s="437">
        <f t="shared" si="1"/>
        <v>10.71666667</v>
      </c>
      <c r="G555" s="438">
        <f t="shared" ref="G555:G1366" si="9">IF(B555="","",B555/F555)</f>
        <v>62.51944012</v>
      </c>
      <c r="H555" s="438">
        <f t="shared" si="3"/>
        <v>68.95368782</v>
      </c>
      <c r="I555" s="436">
        <f t="shared" si="6"/>
        <v>1.359118264</v>
      </c>
      <c r="J555" s="460">
        <v>60.0</v>
      </c>
      <c r="K555" s="460">
        <v>0.0</v>
      </c>
      <c r="L555" s="443"/>
      <c r="M555" s="447">
        <f>IFERROR(__xludf.DUMMYFUNCTION("""COMPUTED_VALUE"""),57.0)</f>
        <v>57</v>
      </c>
      <c r="N555" s="447">
        <f>IFERROR(__xludf.DUMMYFUNCTION("""COMPUTED_VALUE"""),55.0)</f>
        <v>55</v>
      </c>
      <c r="O555" s="447">
        <f>IFERROR(__xludf.DUMMYFUNCTION("""COMPUTED_VALUE"""),0.0)</f>
        <v>0</v>
      </c>
      <c r="P555" s="447">
        <f>IFERROR(__xludf.DUMMYFUNCTION("""COMPUTED_VALUE"""),0.0)</f>
        <v>0</v>
      </c>
      <c r="Q555" s="447">
        <f>IFERROR(__xludf.DUMMYFUNCTION("""COMPUTED_VALUE"""),0.0)</f>
        <v>0</v>
      </c>
      <c r="R555" s="447">
        <f>IFERROR(__xludf.DUMMYFUNCTION("""COMPUTED_VALUE"""),2.0)</f>
        <v>2</v>
      </c>
      <c r="S555" s="447">
        <f>IFERROR(__xludf.DUMMYFUNCTION("""COMPUTED_VALUE"""),1.0)</f>
        <v>1</v>
      </c>
      <c r="T555" s="447">
        <f>IFERROR(__xludf.DUMMYFUNCTION("""COMPUTED_VALUE"""),0.0)</f>
        <v>0</v>
      </c>
      <c r="U555" s="447">
        <f>IFERROR(__xludf.DUMMYFUNCTION("""COMPUTED_VALUE"""),0.0)</f>
        <v>0</v>
      </c>
      <c r="V555" s="447">
        <f>IFERROR(__xludf.DUMMYFUNCTION("""COMPUTED_VALUE"""),4.0)</f>
        <v>4</v>
      </c>
      <c r="W555" s="447">
        <f>IFERROR(__xludf.DUMMYFUNCTION("""COMPUTED_VALUE"""),0.0)</f>
        <v>0</v>
      </c>
      <c r="X555" s="447">
        <f>IFERROR(__xludf.DUMMYFUNCTION("""COMPUTED_VALUE"""),1.0)</f>
        <v>1</v>
      </c>
      <c r="Y555" s="447">
        <f>IFERROR(__xludf.DUMMYFUNCTION("""COMPUTED_VALUE"""),0.0)</f>
        <v>0</v>
      </c>
      <c r="Z555" s="447">
        <f>IFERROR(__xludf.DUMMYFUNCTION("""COMPUTED_VALUE"""),0.0)</f>
        <v>0</v>
      </c>
      <c r="AA555" s="447">
        <f>IFERROR(__xludf.DUMMYFUNCTION("""COMPUTED_VALUE"""),0.0)</f>
        <v>0</v>
      </c>
      <c r="AB555" s="447">
        <f>IFERROR(__xludf.DUMMYFUNCTION("""COMPUTED_VALUE"""),0.0)</f>
        <v>0</v>
      </c>
      <c r="AC555" s="447">
        <f>IFERROR(__xludf.DUMMYFUNCTION("""COMPUTED_VALUE"""),1.0)</f>
        <v>1</v>
      </c>
      <c r="AD555" s="447">
        <f>IFERROR(__xludf.DUMMYFUNCTION("""COMPUTED_VALUE"""),46.0)</f>
        <v>46</v>
      </c>
      <c r="AE555" s="447">
        <f>IFERROR(__xludf.DUMMYFUNCTION("""COMPUTED_VALUE"""),7.0)</f>
        <v>7</v>
      </c>
      <c r="AF555" s="447">
        <f>IFERROR(__xludf.DUMMYFUNCTION("""COMPUTED_VALUE"""),2.0)</f>
        <v>2</v>
      </c>
      <c r="AG555" s="443" t="s">
        <v>127</v>
      </c>
      <c r="AH555" s="443" t="s">
        <v>961</v>
      </c>
      <c r="AI555" s="443"/>
      <c r="AJ555" s="443"/>
      <c r="AK555" s="443"/>
      <c r="AL555" s="443"/>
      <c r="AM555" s="443"/>
      <c r="AN555" s="443"/>
      <c r="AO555" s="443"/>
      <c r="AP555" s="443"/>
      <c r="AQ555" s="443"/>
      <c r="AR555" s="443"/>
      <c r="AS555" s="443"/>
      <c r="AT555" s="443"/>
      <c r="AU555" s="443"/>
      <c r="AV555" s="443"/>
      <c r="AW555" s="443"/>
      <c r="AX555" s="443"/>
      <c r="AY555" s="443"/>
      <c r="AZ555" s="443"/>
      <c r="BA555" s="443"/>
      <c r="BB555" s="443"/>
      <c r="BC555" s="443"/>
      <c r="BD555" s="443"/>
      <c r="BE555" s="443"/>
    </row>
    <row r="556" hidden="1">
      <c r="A556" s="445">
        <f t="shared" si="5"/>
        <v>45846</v>
      </c>
      <c r="B556" s="449">
        <v>500.0</v>
      </c>
      <c r="C556" s="462">
        <v>0.6</v>
      </c>
      <c r="D556" s="462">
        <v>0.9805555555555555</v>
      </c>
      <c r="E556" s="436">
        <f t="array" ref="E556">IF(B556=0,"",(J556+K556)/60)</f>
        <v>0.5</v>
      </c>
      <c r="F556" s="437">
        <f t="shared" si="1"/>
        <v>9.133333333</v>
      </c>
      <c r="G556" s="438">
        <f t="shared" si="9"/>
        <v>54.74452555</v>
      </c>
      <c r="H556" s="438">
        <f t="shared" si="3"/>
        <v>57.91505792</v>
      </c>
      <c r="I556" s="436">
        <f t="shared" si="6"/>
        <v>1.273128501</v>
      </c>
      <c r="J556" s="460">
        <v>30.0</v>
      </c>
      <c r="K556" s="460">
        <v>0.0</v>
      </c>
      <c r="L556" s="443"/>
      <c r="M556" s="447">
        <f>IFERROR(__xludf.DUMMYFUNCTION("""COMPUTED_VALUE"""),57.0)</f>
        <v>57</v>
      </c>
      <c r="N556" s="447">
        <f>IFERROR(__xludf.DUMMYFUNCTION("""COMPUTED_VALUE"""),55.0)</f>
        <v>55</v>
      </c>
      <c r="O556" s="447">
        <f>IFERROR(__xludf.DUMMYFUNCTION("""COMPUTED_VALUE"""),0.0)</f>
        <v>0</v>
      </c>
      <c r="P556" s="447">
        <f>IFERROR(__xludf.DUMMYFUNCTION("""COMPUTED_VALUE"""),0.0)</f>
        <v>0</v>
      </c>
      <c r="Q556" s="447">
        <f>IFERROR(__xludf.DUMMYFUNCTION("""COMPUTED_VALUE"""),0.0)</f>
        <v>0</v>
      </c>
      <c r="R556" s="447">
        <f>IFERROR(__xludf.DUMMYFUNCTION("""COMPUTED_VALUE"""),0.0)</f>
        <v>0</v>
      </c>
      <c r="S556" s="447">
        <f>IFERROR(__xludf.DUMMYFUNCTION("""COMPUTED_VALUE"""),4.0)</f>
        <v>4</v>
      </c>
      <c r="T556" s="447">
        <f>IFERROR(__xludf.DUMMYFUNCTION("""COMPUTED_VALUE"""),0.0)</f>
        <v>0</v>
      </c>
      <c r="U556" s="447">
        <f>IFERROR(__xludf.DUMMYFUNCTION("""COMPUTED_VALUE"""),2.0)</f>
        <v>2</v>
      </c>
      <c r="V556" s="447">
        <f>IFERROR(__xludf.DUMMYFUNCTION("""COMPUTED_VALUE"""),4.0)</f>
        <v>4</v>
      </c>
      <c r="W556" s="447">
        <f>IFERROR(__xludf.DUMMYFUNCTION("""COMPUTED_VALUE"""),0.0)</f>
        <v>0</v>
      </c>
      <c r="X556" s="447">
        <f>IFERROR(__xludf.DUMMYFUNCTION("""COMPUTED_VALUE"""),1.0)</f>
        <v>1</v>
      </c>
      <c r="Y556" s="447">
        <f>IFERROR(__xludf.DUMMYFUNCTION("""COMPUTED_VALUE"""),0.0)</f>
        <v>0</v>
      </c>
      <c r="Z556" s="447">
        <f>IFERROR(__xludf.DUMMYFUNCTION("""COMPUTED_VALUE"""),0.0)</f>
        <v>0</v>
      </c>
      <c r="AA556" s="447">
        <f>IFERROR(__xludf.DUMMYFUNCTION("""COMPUTED_VALUE"""),0.0)</f>
        <v>0</v>
      </c>
      <c r="AB556" s="447">
        <f>IFERROR(__xludf.DUMMYFUNCTION("""COMPUTED_VALUE"""),0.0)</f>
        <v>0</v>
      </c>
      <c r="AC556" s="447">
        <f>IFERROR(__xludf.DUMMYFUNCTION("""COMPUTED_VALUE"""),1.0)</f>
        <v>1</v>
      </c>
      <c r="AD556" s="447">
        <f>IFERROR(__xludf.DUMMYFUNCTION("""COMPUTED_VALUE"""),43.0)</f>
        <v>43</v>
      </c>
      <c r="AE556" s="447">
        <f>IFERROR(__xludf.DUMMYFUNCTION("""COMPUTED_VALUE"""),12.0)</f>
        <v>12</v>
      </c>
      <c r="AF556" s="447">
        <f>IFERROR(__xludf.DUMMYFUNCTION("""COMPUTED_VALUE"""),2.0)</f>
        <v>2</v>
      </c>
      <c r="AG556" s="443" t="s">
        <v>127</v>
      </c>
      <c r="AH556" s="443" t="s">
        <v>961</v>
      </c>
      <c r="AI556" s="443"/>
      <c r="AJ556" s="443"/>
      <c r="AK556" s="443"/>
      <c r="AL556" s="443"/>
      <c r="AM556" s="443"/>
      <c r="AN556" s="443"/>
      <c r="AO556" s="443"/>
      <c r="AP556" s="443"/>
      <c r="AQ556" s="443"/>
      <c r="AR556" s="443"/>
      <c r="AS556" s="443"/>
      <c r="AT556" s="443"/>
      <c r="AU556" s="443"/>
      <c r="AV556" s="443"/>
      <c r="AW556" s="443"/>
      <c r="AX556" s="443"/>
      <c r="AY556" s="443"/>
      <c r="AZ556" s="443"/>
      <c r="BA556" s="443"/>
      <c r="BB556" s="443"/>
      <c r="BC556" s="443"/>
      <c r="BD556" s="443"/>
      <c r="BE556" s="443"/>
    </row>
    <row r="557" hidden="1">
      <c r="A557" s="445">
        <f t="shared" si="5"/>
        <v>45847</v>
      </c>
      <c r="B557" s="449">
        <v>450.0</v>
      </c>
      <c r="C557" s="462">
        <v>0.6416666666666667</v>
      </c>
      <c r="D557" s="462">
        <v>0.9826388888888888</v>
      </c>
      <c r="E557" s="436">
        <f t="array" ref="E557">IF(B557=0,"",(J557+K557)/60)</f>
        <v>0.5</v>
      </c>
      <c r="F557" s="437">
        <f t="shared" si="1"/>
        <v>8.183333333</v>
      </c>
      <c r="G557" s="438">
        <f t="shared" si="9"/>
        <v>54.9898167</v>
      </c>
      <c r="H557" s="438">
        <f t="shared" si="3"/>
        <v>58.56832972</v>
      </c>
      <c r="I557" s="436">
        <f t="shared" si="6"/>
        <v>1.278832947</v>
      </c>
      <c r="J557" s="460">
        <v>30.0</v>
      </c>
      <c r="K557" s="460">
        <v>0.0</v>
      </c>
      <c r="L557" s="443"/>
      <c r="M557" s="447">
        <f>IFERROR(__xludf.DUMMYFUNCTION("""COMPUTED_VALUE"""),57.0)</f>
        <v>57</v>
      </c>
      <c r="N557" s="447">
        <f>IFERROR(__xludf.DUMMYFUNCTION("""COMPUTED_VALUE"""),55.0)</f>
        <v>55</v>
      </c>
      <c r="O557" s="447">
        <f>IFERROR(__xludf.DUMMYFUNCTION("""COMPUTED_VALUE"""),0.0)</f>
        <v>0</v>
      </c>
      <c r="P557" s="447">
        <f>IFERROR(__xludf.DUMMYFUNCTION("""COMPUTED_VALUE"""),0.0)</f>
        <v>0</v>
      </c>
      <c r="Q557" s="447">
        <f>IFERROR(__xludf.DUMMYFUNCTION("""COMPUTED_VALUE"""),0.0)</f>
        <v>0</v>
      </c>
      <c r="R557" s="447">
        <f>IFERROR(__xludf.DUMMYFUNCTION("""COMPUTED_VALUE"""),0.0)</f>
        <v>0</v>
      </c>
      <c r="S557" s="447">
        <f>IFERROR(__xludf.DUMMYFUNCTION("""COMPUTED_VALUE"""),4.0)</f>
        <v>4</v>
      </c>
      <c r="T557" s="447">
        <f>IFERROR(__xludf.DUMMYFUNCTION("""COMPUTED_VALUE"""),0.0)</f>
        <v>0</v>
      </c>
      <c r="U557" s="447">
        <f>IFERROR(__xludf.DUMMYFUNCTION("""COMPUTED_VALUE"""),2.0)</f>
        <v>2</v>
      </c>
      <c r="V557" s="447">
        <f>IFERROR(__xludf.DUMMYFUNCTION("""COMPUTED_VALUE"""),4.0)</f>
        <v>4</v>
      </c>
      <c r="W557" s="447">
        <f>IFERROR(__xludf.DUMMYFUNCTION("""COMPUTED_VALUE"""),0.0)</f>
        <v>0</v>
      </c>
      <c r="X557" s="447">
        <f>IFERROR(__xludf.DUMMYFUNCTION("""COMPUTED_VALUE"""),1.0)</f>
        <v>1</v>
      </c>
      <c r="Y557" s="447">
        <f>IFERROR(__xludf.DUMMYFUNCTION("""COMPUTED_VALUE"""),0.0)</f>
        <v>0</v>
      </c>
      <c r="Z557" s="447">
        <f>IFERROR(__xludf.DUMMYFUNCTION("""COMPUTED_VALUE"""),0.0)</f>
        <v>0</v>
      </c>
      <c r="AA557" s="447">
        <f>IFERROR(__xludf.DUMMYFUNCTION("""COMPUTED_VALUE"""),0.0)</f>
        <v>0</v>
      </c>
      <c r="AB557" s="447">
        <f>IFERROR(__xludf.DUMMYFUNCTION("""COMPUTED_VALUE"""),0.0)</f>
        <v>0</v>
      </c>
      <c r="AC557" s="447">
        <f>IFERROR(__xludf.DUMMYFUNCTION("""COMPUTED_VALUE"""),1.0)</f>
        <v>1</v>
      </c>
      <c r="AD557" s="447">
        <f>IFERROR(__xludf.DUMMYFUNCTION("""COMPUTED_VALUE"""),43.0)</f>
        <v>43</v>
      </c>
      <c r="AE557" s="447">
        <f>IFERROR(__xludf.DUMMYFUNCTION("""COMPUTED_VALUE"""),12.0)</f>
        <v>12</v>
      </c>
      <c r="AF557" s="447">
        <f>IFERROR(__xludf.DUMMYFUNCTION("""COMPUTED_VALUE"""),2.0)</f>
        <v>2</v>
      </c>
      <c r="AG557" s="443" t="s">
        <v>127</v>
      </c>
      <c r="AH557" s="443" t="s">
        <v>961</v>
      </c>
      <c r="AI557" s="443"/>
      <c r="AJ557" s="443"/>
      <c r="AK557" s="443"/>
      <c r="AL557" s="443"/>
      <c r="AM557" s="443"/>
      <c r="AN557" s="443"/>
      <c r="AO557" s="443"/>
      <c r="AP557" s="443"/>
      <c r="AQ557" s="443"/>
      <c r="AR557" s="443"/>
      <c r="AS557" s="443"/>
      <c r="AT557" s="443"/>
      <c r="AU557" s="443"/>
      <c r="AV557" s="443"/>
      <c r="AW557" s="443"/>
      <c r="AX557" s="443"/>
      <c r="AY557" s="443"/>
      <c r="AZ557" s="443"/>
      <c r="BA557" s="443"/>
      <c r="BB557" s="443"/>
      <c r="BC557" s="443"/>
      <c r="BD557" s="443"/>
      <c r="BE557" s="443"/>
    </row>
    <row r="558" hidden="1">
      <c r="A558" s="445">
        <f t="shared" si="5"/>
        <v>45848</v>
      </c>
      <c r="B558" s="449">
        <v>477.0</v>
      </c>
      <c r="C558" s="462">
        <v>0.6</v>
      </c>
      <c r="D558" s="462">
        <v>0.9694444444444444</v>
      </c>
      <c r="E558" s="436">
        <f t="array" ref="E558">IF(B558=0,"",(J558+K558)/60)</f>
        <v>1.2</v>
      </c>
      <c r="F558" s="437">
        <f t="shared" si="1"/>
        <v>8.866666667</v>
      </c>
      <c r="G558" s="438">
        <f t="shared" si="9"/>
        <v>53.79699248</v>
      </c>
      <c r="H558" s="438">
        <f t="shared" si="3"/>
        <v>62.2173913</v>
      </c>
      <c r="I558" s="436">
        <f t="shared" si="6"/>
        <v>1.280880773</v>
      </c>
      <c r="J558" s="460">
        <v>30.0</v>
      </c>
      <c r="K558" s="460">
        <v>42.0</v>
      </c>
      <c r="L558" s="443"/>
      <c r="M558" s="447">
        <f>IFERROR(__xludf.DUMMYFUNCTION("""COMPUTED_VALUE"""),57.0)</f>
        <v>57</v>
      </c>
      <c r="N558" s="447">
        <f>IFERROR(__xludf.DUMMYFUNCTION("""COMPUTED_VALUE"""),55.0)</f>
        <v>55</v>
      </c>
      <c r="O558" s="447">
        <f>IFERROR(__xludf.DUMMYFUNCTION("""COMPUTED_VALUE"""),0.0)</f>
        <v>0</v>
      </c>
      <c r="P558" s="447">
        <f>IFERROR(__xludf.DUMMYFUNCTION("""COMPUTED_VALUE"""),0.0)</f>
        <v>0</v>
      </c>
      <c r="Q558" s="447">
        <f>IFERROR(__xludf.DUMMYFUNCTION("""COMPUTED_VALUE"""),1.0)</f>
        <v>1</v>
      </c>
      <c r="R558" s="447">
        <f>IFERROR(__xludf.DUMMYFUNCTION("""COMPUTED_VALUE"""),0.0)</f>
        <v>0</v>
      </c>
      <c r="S558" s="447">
        <f>IFERROR(__xludf.DUMMYFUNCTION("""COMPUTED_VALUE"""),5.0)</f>
        <v>5</v>
      </c>
      <c r="T558" s="447">
        <f>IFERROR(__xludf.DUMMYFUNCTION("""COMPUTED_VALUE"""),0.0)</f>
        <v>0</v>
      </c>
      <c r="U558" s="447">
        <f>IFERROR(__xludf.DUMMYFUNCTION("""COMPUTED_VALUE"""),2.0)</f>
        <v>2</v>
      </c>
      <c r="V558" s="447">
        <f>IFERROR(__xludf.DUMMYFUNCTION("""COMPUTED_VALUE"""),4.0)</f>
        <v>4</v>
      </c>
      <c r="W558" s="447">
        <f>IFERROR(__xludf.DUMMYFUNCTION("""COMPUTED_VALUE"""),0.0)</f>
        <v>0</v>
      </c>
      <c r="X558" s="447">
        <f>IFERROR(__xludf.DUMMYFUNCTION("""COMPUTED_VALUE"""),1.0)</f>
        <v>1</v>
      </c>
      <c r="Y558" s="447">
        <f>IFERROR(__xludf.DUMMYFUNCTION("""COMPUTED_VALUE"""),0.0)</f>
        <v>0</v>
      </c>
      <c r="Z558" s="447">
        <f>IFERROR(__xludf.DUMMYFUNCTION("""COMPUTED_VALUE"""),0.0)</f>
        <v>0</v>
      </c>
      <c r="AA558" s="447">
        <f>IFERROR(__xludf.DUMMYFUNCTION("""COMPUTED_VALUE"""),0.0)</f>
        <v>0</v>
      </c>
      <c r="AB558" s="447">
        <f>IFERROR(__xludf.DUMMYFUNCTION("""COMPUTED_VALUE"""),0.0)</f>
        <v>0</v>
      </c>
      <c r="AC558" s="447">
        <f>IFERROR(__xludf.DUMMYFUNCTION("""COMPUTED_VALUE"""),0.0)</f>
        <v>0</v>
      </c>
      <c r="AD558" s="447">
        <f>IFERROR(__xludf.DUMMYFUNCTION("""COMPUTED_VALUE"""),42.0)</f>
        <v>42</v>
      </c>
      <c r="AE558" s="447">
        <f>IFERROR(__xludf.DUMMYFUNCTION("""COMPUTED_VALUE"""),13.0)</f>
        <v>13</v>
      </c>
      <c r="AF558" s="447">
        <f>IFERROR(__xludf.DUMMYFUNCTION("""COMPUTED_VALUE"""),2.0)</f>
        <v>2</v>
      </c>
      <c r="AG558" s="443" t="s">
        <v>127</v>
      </c>
      <c r="AH558" s="443" t="s">
        <v>961</v>
      </c>
      <c r="AI558" s="443"/>
      <c r="AJ558" s="443"/>
      <c r="AK558" s="443"/>
      <c r="AL558" s="443"/>
      <c r="AM558" s="443"/>
      <c r="AN558" s="443"/>
      <c r="AO558" s="443"/>
      <c r="AP558" s="443"/>
      <c r="AQ558" s="443"/>
      <c r="AR558" s="443"/>
      <c r="AS558" s="443"/>
      <c r="AT558" s="443"/>
      <c r="AU558" s="443"/>
      <c r="AV558" s="443"/>
      <c r="AW558" s="443"/>
      <c r="AX558" s="443"/>
      <c r="AY558" s="443"/>
      <c r="AZ558" s="443"/>
      <c r="BA558" s="443"/>
      <c r="BB558" s="443"/>
      <c r="BC558" s="443"/>
      <c r="BD558" s="443"/>
      <c r="BE558" s="443"/>
    </row>
    <row r="559" hidden="1">
      <c r="A559" s="445">
        <f t="shared" si="5"/>
        <v>45849</v>
      </c>
      <c r="B559" s="449">
        <v>411.0</v>
      </c>
      <c r="C559" s="462">
        <v>0.6</v>
      </c>
      <c r="D559" s="462">
        <v>0.8972222222222223</v>
      </c>
      <c r="E559" s="436">
        <f t="array" ref="E559">IF(B559=0,"",(J559+K559)/60)</f>
        <v>0.5</v>
      </c>
      <c r="F559" s="437">
        <f t="shared" si="1"/>
        <v>7.133333333</v>
      </c>
      <c r="G559" s="438">
        <f t="shared" si="9"/>
        <v>57.61682243</v>
      </c>
      <c r="H559" s="438">
        <f t="shared" si="3"/>
        <v>61.95979899</v>
      </c>
      <c r="I559" s="436">
        <f t="shared" si="6"/>
        <v>1.371829105</v>
      </c>
      <c r="J559" s="460">
        <v>30.0</v>
      </c>
      <c r="K559" s="460">
        <v>0.0</v>
      </c>
      <c r="L559" s="443"/>
      <c r="M559" s="447">
        <f>IFERROR(__xludf.DUMMYFUNCTION("""COMPUTED_VALUE"""),57.0)</f>
        <v>57</v>
      </c>
      <c r="N559" s="447">
        <f>IFERROR(__xludf.DUMMYFUNCTION("""COMPUTED_VALUE"""),55.0)</f>
        <v>55</v>
      </c>
      <c r="O559" s="447">
        <f>IFERROR(__xludf.DUMMYFUNCTION("""COMPUTED_VALUE"""),0.0)</f>
        <v>0</v>
      </c>
      <c r="P559" s="447">
        <f>IFERROR(__xludf.DUMMYFUNCTION("""COMPUTED_VALUE"""),0.0)</f>
        <v>0</v>
      </c>
      <c r="Q559" s="447">
        <f>IFERROR(__xludf.DUMMYFUNCTION("""COMPUTED_VALUE"""),1.0)</f>
        <v>1</v>
      </c>
      <c r="R559" s="447">
        <f>IFERROR(__xludf.DUMMYFUNCTION("""COMPUTED_VALUE"""),0.0)</f>
        <v>0</v>
      </c>
      <c r="S559" s="447">
        <f>IFERROR(__xludf.DUMMYFUNCTION("""COMPUTED_VALUE"""),5.0)</f>
        <v>5</v>
      </c>
      <c r="T559" s="447">
        <f>IFERROR(__xludf.DUMMYFUNCTION("""COMPUTED_VALUE"""),0.0)</f>
        <v>0</v>
      </c>
      <c r="U559" s="447">
        <f>IFERROR(__xludf.DUMMYFUNCTION("""COMPUTED_VALUE"""),2.0)</f>
        <v>2</v>
      </c>
      <c r="V559" s="447">
        <f>IFERROR(__xludf.DUMMYFUNCTION("""COMPUTED_VALUE"""),4.0)</f>
        <v>4</v>
      </c>
      <c r="W559" s="447">
        <f>IFERROR(__xludf.DUMMYFUNCTION("""COMPUTED_VALUE"""),0.0)</f>
        <v>0</v>
      </c>
      <c r="X559" s="447">
        <f>IFERROR(__xludf.DUMMYFUNCTION("""COMPUTED_VALUE"""),1.0)</f>
        <v>1</v>
      </c>
      <c r="Y559" s="447">
        <f>IFERROR(__xludf.DUMMYFUNCTION("""COMPUTED_VALUE"""),0.0)</f>
        <v>0</v>
      </c>
      <c r="Z559" s="447">
        <f>IFERROR(__xludf.DUMMYFUNCTION("""COMPUTED_VALUE"""),0.0)</f>
        <v>0</v>
      </c>
      <c r="AA559" s="447">
        <f>IFERROR(__xludf.DUMMYFUNCTION("""COMPUTED_VALUE"""),0.0)</f>
        <v>0</v>
      </c>
      <c r="AB559" s="447">
        <f>IFERROR(__xludf.DUMMYFUNCTION("""COMPUTED_VALUE"""),0.0)</f>
        <v>0</v>
      </c>
      <c r="AC559" s="447">
        <f>IFERROR(__xludf.DUMMYFUNCTION("""COMPUTED_VALUE"""),0.0)</f>
        <v>0</v>
      </c>
      <c r="AD559" s="447">
        <f>IFERROR(__xludf.DUMMYFUNCTION("""COMPUTED_VALUE"""),42.0)</f>
        <v>42</v>
      </c>
      <c r="AE559" s="447">
        <f>IFERROR(__xludf.DUMMYFUNCTION("""COMPUTED_VALUE"""),13.0)</f>
        <v>13</v>
      </c>
      <c r="AF559" s="447">
        <f>IFERROR(__xludf.DUMMYFUNCTION("""COMPUTED_VALUE"""),2.0)</f>
        <v>2</v>
      </c>
      <c r="AG559" s="443" t="s">
        <v>127</v>
      </c>
      <c r="AH559" s="443" t="s">
        <v>961</v>
      </c>
      <c r="AI559" s="443"/>
      <c r="AJ559" s="443"/>
      <c r="AK559" s="443"/>
      <c r="AL559" s="443"/>
      <c r="AM559" s="443"/>
      <c r="AN559" s="443"/>
      <c r="AO559" s="443"/>
      <c r="AP559" s="443"/>
      <c r="AQ559" s="443"/>
      <c r="AR559" s="443"/>
      <c r="AS559" s="443"/>
      <c r="AT559" s="443"/>
      <c r="AU559" s="443"/>
      <c r="AV559" s="443"/>
      <c r="AW559" s="443"/>
      <c r="AX559" s="443"/>
      <c r="AY559" s="443"/>
      <c r="AZ559" s="443"/>
      <c r="BA559" s="443"/>
      <c r="BB559" s="443"/>
      <c r="BC559" s="443"/>
      <c r="BD559" s="443"/>
      <c r="BE559" s="443"/>
    </row>
    <row r="560" hidden="1">
      <c r="A560" s="445">
        <f t="shared" si="5"/>
        <v>45850</v>
      </c>
      <c r="B560" s="449">
        <v>406.0</v>
      </c>
      <c r="C560" s="462">
        <v>0.6</v>
      </c>
      <c r="D560" s="462">
        <v>0.8965277777777778</v>
      </c>
      <c r="E560" s="436">
        <f t="array" ref="E560">IF(B560=0,"",(J560+K560)/60)</f>
        <v>0.5</v>
      </c>
      <c r="F560" s="437">
        <f t="shared" si="1"/>
        <v>7.116666667</v>
      </c>
      <c r="G560" s="438">
        <f t="shared" si="9"/>
        <v>57.04918033</v>
      </c>
      <c r="H560" s="438">
        <f t="shared" si="3"/>
        <v>61.36020151</v>
      </c>
      <c r="I560" s="436">
        <f t="shared" si="6"/>
        <v>1.358313817</v>
      </c>
      <c r="J560" s="460">
        <v>30.0</v>
      </c>
      <c r="K560" s="460">
        <v>0.0</v>
      </c>
      <c r="L560" s="443"/>
      <c r="M560" s="447">
        <f>IFERROR(__xludf.DUMMYFUNCTION("""COMPUTED_VALUE"""),57.0)</f>
        <v>57</v>
      </c>
      <c r="N560" s="447">
        <f>IFERROR(__xludf.DUMMYFUNCTION("""COMPUTED_VALUE"""),55.0)</f>
        <v>55</v>
      </c>
      <c r="O560" s="447">
        <f>IFERROR(__xludf.DUMMYFUNCTION("""COMPUTED_VALUE"""),0.0)</f>
        <v>0</v>
      </c>
      <c r="P560" s="447">
        <f>IFERROR(__xludf.DUMMYFUNCTION("""COMPUTED_VALUE"""),0.0)</f>
        <v>0</v>
      </c>
      <c r="Q560" s="447">
        <f>IFERROR(__xludf.DUMMYFUNCTION("""COMPUTED_VALUE"""),0.0)</f>
        <v>0</v>
      </c>
      <c r="R560" s="447">
        <f>IFERROR(__xludf.DUMMYFUNCTION("""COMPUTED_VALUE"""),0.0)</f>
        <v>0</v>
      </c>
      <c r="S560" s="447">
        <f>IFERROR(__xludf.DUMMYFUNCTION("""COMPUTED_VALUE"""),5.0)</f>
        <v>5</v>
      </c>
      <c r="T560" s="447">
        <f>IFERROR(__xludf.DUMMYFUNCTION("""COMPUTED_VALUE"""),0.0)</f>
        <v>0</v>
      </c>
      <c r="U560" s="447">
        <f>IFERROR(__xludf.DUMMYFUNCTION("""COMPUTED_VALUE"""),2.0)</f>
        <v>2</v>
      </c>
      <c r="V560" s="447">
        <f>IFERROR(__xludf.DUMMYFUNCTION("""COMPUTED_VALUE"""),5.0)</f>
        <v>5</v>
      </c>
      <c r="W560" s="447">
        <f>IFERROR(__xludf.DUMMYFUNCTION("""COMPUTED_VALUE"""),0.0)</f>
        <v>0</v>
      </c>
      <c r="X560" s="447">
        <f>IFERROR(__xludf.DUMMYFUNCTION("""COMPUTED_VALUE"""),1.0)</f>
        <v>1</v>
      </c>
      <c r="Y560" s="447">
        <f>IFERROR(__xludf.DUMMYFUNCTION("""COMPUTED_VALUE"""),0.0)</f>
        <v>0</v>
      </c>
      <c r="Z560" s="447">
        <f>IFERROR(__xludf.DUMMYFUNCTION("""COMPUTED_VALUE"""),0.0)</f>
        <v>0</v>
      </c>
      <c r="AA560" s="447">
        <f>IFERROR(__xludf.DUMMYFUNCTION("""COMPUTED_VALUE"""),0.0)</f>
        <v>0</v>
      </c>
      <c r="AB560" s="447">
        <f>IFERROR(__xludf.DUMMYFUNCTION("""COMPUTED_VALUE"""),0.0)</f>
        <v>0</v>
      </c>
      <c r="AC560" s="447">
        <f>IFERROR(__xludf.DUMMYFUNCTION("""COMPUTED_VALUE"""),0.0)</f>
        <v>0</v>
      </c>
      <c r="AD560" s="447">
        <f>IFERROR(__xludf.DUMMYFUNCTION("""COMPUTED_VALUE"""),42.0)</f>
        <v>42</v>
      </c>
      <c r="AE560" s="447">
        <f>IFERROR(__xludf.DUMMYFUNCTION("""COMPUTED_VALUE"""),13.0)</f>
        <v>13</v>
      </c>
      <c r="AF560" s="447">
        <f>IFERROR(__xludf.DUMMYFUNCTION("""COMPUTED_VALUE"""),2.0)</f>
        <v>2</v>
      </c>
      <c r="AG560" s="443" t="s">
        <v>127</v>
      </c>
      <c r="AH560" s="443" t="s">
        <v>961</v>
      </c>
      <c r="AI560" s="443"/>
      <c r="AJ560" s="443"/>
      <c r="AK560" s="443"/>
      <c r="AL560" s="443"/>
      <c r="AM560" s="443"/>
      <c r="AN560" s="443"/>
      <c r="AO560" s="443"/>
      <c r="AP560" s="443"/>
      <c r="AQ560" s="443"/>
      <c r="AR560" s="443"/>
      <c r="AS560" s="443"/>
      <c r="AT560" s="443"/>
      <c r="AU560" s="443"/>
      <c r="AV560" s="443"/>
      <c r="AW560" s="443"/>
      <c r="AX560" s="443"/>
      <c r="AY560" s="443"/>
      <c r="AZ560" s="443"/>
      <c r="BA560" s="443"/>
      <c r="BB560" s="443"/>
      <c r="BC560" s="443"/>
      <c r="BD560" s="443"/>
      <c r="BE560" s="443"/>
    </row>
    <row r="561" hidden="1">
      <c r="A561" s="445">
        <f t="shared" si="5"/>
        <v>45851</v>
      </c>
      <c r="B561" s="449">
        <v>0.0</v>
      </c>
      <c r="C561" s="443"/>
      <c r="D561" s="462"/>
      <c r="E561" s="436" t="str">
        <f t="array" ref="E561">IF(B561=0,"",(J561+K561)/60)</f>
        <v/>
      </c>
      <c r="F561" s="437" t="str">
        <f t="shared" si="1"/>
        <v/>
      </c>
      <c r="G561" s="438" t="str">
        <f t="shared" si="9"/>
        <v>#DIV/0!</v>
      </c>
      <c r="H561" s="438" t="str">
        <f t="shared" si="3"/>
        <v/>
      </c>
      <c r="I561" s="436" t="str">
        <f t="shared" si="6"/>
        <v/>
      </c>
      <c r="J561" s="464"/>
      <c r="K561" s="464"/>
      <c r="L561" s="443"/>
      <c r="M561" s="447">
        <f>IFERROR(__xludf.DUMMYFUNCTION("""COMPUTED_VALUE"""),57.0)</f>
        <v>57</v>
      </c>
      <c r="N561" s="447">
        <f>IFERROR(__xludf.DUMMYFUNCTION("""COMPUTED_VALUE"""),57.0)</f>
        <v>57</v>
      </c>
      <c r="O561" s="447">
        <f>IFERROR(__xludf.DUMMYFUNCTION("""COMPUTED_VALUE"""),0.0)</f>
        <v>0</v>
      </c>
      <c r="P561" s="447">
        <f>IFERROR(__xludf.DUMMYFUNCTION("""COMPUTED_VALUE"""),0.0)</f>
        <v>0</v>
      </c>
      <c r="Q561" s="447">
        <f>IFERROR(__xludf.DUMMYFUNCTION("""COMPUTED_VALUE"""),0.0)</f>
        <v>0</v>
      </c>
      <c r="R561" s="447">
        <f>IFERROR(__xludf.DUMMYFUNCTION("""COMPUTED_VALUE"""),0.0)</f>
        <v>0</v>
      </c>
      <c r="S561" s="447">
        <f>IFERROR(__xludf.DUMMYFUNCTION("""COMPUTED_VALUE"""),0.0)</f>
        <v>0</v>
      </c>
      <c r="T561" s="447">
        <f>IFERROR(__xludf.DUMMYFUNCTION("""COMPUTED_VALUE"""),0.0)</f>
        <v>0</v>
      </c>
      <c r="U561" s="447">
        <f>IFERROR(__xludf.DUMMYFUNCTION("""COMPUTED_VALUE"""),0.0)</f>
        <v>0</v>
      </c>
      <c r="V561" s="447">
        <f>IFERROR(__xludf.DUMMYFUNCTION("""COMPUTED_VALUE"""),0.0)</f>
        <v>0</v>
      </c>
      <c r="W561" s="447">
        <f>IFERROR(__xludf.DUMMYFUNCTION("""COMPUTED_VALUE"""),0.0)</f>
        <v>0</v>
      </c>
      <c r="X561" s="447">
        <f>IFERROR(__xludf.DUMMYFUNCTION("""COMPUTED_VALUE"""),0.0)</f>
        <v>0</v>
      </c>
      <c r="Y561" s="447">
        <f>IFERROR(__xludf.DUMMYFUNCTION("""COMPUTED_VALUE"""),0.0)</f>
        <v>0</v>
      </c>
      <c r="Z561" s="447">
        <f>IFERROR(__xludf.DUMMYFUNCTION("""COMPUTED_VALUE"""),0.0)</f>
        <v>0</v>
      </c>
      <c r="AA561" s="447">
        <f>IFERROR(__xludf.DUMMYFUNCTION("""COMPUTED_VALUE"""),0.0)</f>
        <v>0</v>
      </c>
      <c r="AB561" s="447">
        <f>IFERROR(__xludf.DUMMYFUNCTION("""COMPUTED_VALUE"""),0.0)</f>
        <v>0</v>
      </c>
      <c r="AC561" s="447">
        <f>IFERROR(__xludf.DUMMYFUNCTION("""COMPUTED_VALUE"""),0.0)</f>
        <v>0</v>
      </c>
      <c r="AD561" s="447">
        <f>IFERROR(__xludf.DUMMYFUNCTION("""COMPUTED_VALUE"""),0.0)</f>
        <v>0</v>
      </c>
      <c r="AE561" s="447">
        <f>IFERROR(__xludf.DUMMYFUNCTION("""COMPUTED_VALUE"""),0.0)</f>
        <v>0</v>
      </c>
      <c r="AF561" s="447">
        <f>IFERROR(__xludf.DUMMYFUNCTION("""COMPUTED_VALUE"""),0.0)</f>
        <v>0</v>
      </c>
      <c r="AG561" s="443" t="s">
        <v>127</v>
      </c>
      <c r="AH561" s="443" t="s">
        <v>961</v>
      </c>
      <c r="AI561" s="443"/>
      <c r="AJ561" s="443"/>
      <c r="AK561" s="443"/>
      <c r="AL561" s="443"/>
      <c r="AM561" s="443"/>
      <c r="AN561" s="443"/>
      <c r="AO561" s="443"/>
      <c r="AP561" s="443"/>
      <c r="AQ561" s="443"/>
      <c r="AR561" s="443"/>
      <c r="AS561" s="443"/>
      <c r="AT561" s="443"/>
      <c r="AU561" s="443"/>
      <c r="AV561" s="443"/>
      <c r="AW561" s="443"/>
      <c r="AX561" s="443"/>
      <c r="AY561" s="443"/>
      <c r="AZ561" s="443"/>
      <c r="BA561" s="443"/>
      <c r="BB561" s="443"/>
      <c r="BC561" s="443"/>
      <c r="BD561" s="443"/>
      <c r="BE561" s="443"/>
    </row>
    <row r="562" hidden="1">
      <c r="A562" s="445">
        <f t="shared" si="5"/>
        <v>45852</v>
      </c>
      <c r="B562" s="449">
        <v>669.0</v>
      </c>
      <c r="C562" s="462">
        <v>0.5583333333333333</v>
      </c>
      <c r="D562" s="462">
        <v>1.0305555555555554</v>
      </c>
      <c r="E562" s="436">
        <f t="array" ref="E562">IF(B562=0,"",(J562+K562)/60)</f>
        <v>1.166666667</v>
      </c>
      <c r="F562" s="437">
        <f t="shared" si="1"/>
        <v>11.33333333</v>
      </c>
      <c r="G562" s="438">
        <f t="shared" si="9"/>
        <v>59.02941176</v>
      </c>
      <c r="H562" s="438">
        <f t="shared" si="3"/>
        <v>65.80327869</v>
      </c>
      <c r="I562" s="436">
        <f t="shared" si="6"/>
        <v>1.372777018</v>
      </c>
      <c r="J562" s="460">
        <v>40.0</v>
      </c>
      <c r="K562" s="460">
        <v>30.0</v>
      </c>
      <c r="L562" s="443"/>
      <c r="M562" s="447">
        <f>IFERROR(__xludf.DUMMYFUNCTION("""COMPUTED_VALUE"""),57.0)</f>
        <v>57</v>
      </c>
      <c r="N562" s="447">
        <f>IFERROR(__xludf.DUMMYFUNCTION("""COMPUTED_VALUE"""),55.0)</f>
        <v>55</v>
      </c>
      <c r="O562" s="447">
        <f>IFERROR(__xludf.DUMMYFUNCTION("""COMPUTED_VALUE"""),0.0)</f>
        <v>0</v>
      </c>
      <c r="P562" s="447">
        <f>IFERROR(__xludf.DUMMYFUNCTION("""COMPUTED_VALUE"""),0.0)</f>
        <v>0</v>
      </c>
      <c r="Q562" s="447">
        <f>IFERROR(__xludf.DUMMYFUNCTION("""COMPUTED_VALUE"""),0.0)</f>
        <v>0</v>
      </c>
      <c r="R562" s="447">
        <f>IFERROR(__xludf.DUMMYFUNCTION("""COMPUTED_VALUE"""),0.0)</f>
        <v>0</v>
      </c>
      <c r="S562" s="447">
        <f>IFERROR(__xludf.DUMMYFUNCTION("""COMPUTED_VALUE"""),3.0)</f>
        <v>3</v>
      </c>
      <c r="T562" s="447">
        <f>IFERROR(__xludf.DUMMYFUNCTION("""COMPUTED_VALUE"""),0.0)</f>
        <v>0</v>
      </c>
      <c r="U562" s="447">
        <f>IFERROR(__xludf.DUMMYFUNCTION("""COMPUTED_VALUE"""),2.0)</f>
        <v>2</v>
      </c>
      <c r="V562" s="447">
        <f>IFERROR(__xludf.DUMMYFUNCTION("""COMPUTED_VALUE"""),5.0)</f>
        <v>5</v>
      </c>
      <c r="W562" s="447">
        <f>IFERROR(__xludf.DUMMYFUNCTION("""COMPUTED_VALUE"""),0.0)</f>
        <v>0</v>
      </c>
      <c r="X562" s="447">
        <f>IFERROR(__xludf.DUMMYFUNCTION("""COMPUTED_VALUE"""),1.0)</f>
        <v>1</v>
      </c>
      <c r="Y562" s="447">
        <f>IFERROR(__xludf.DUMMYFUNCTION("""COMPUTED_VALUE"""),0.0)</f>
        <v>0</v>
      </c>
      <c r="Z562" s="447">
        <f>IFERROR(__xludf.DUMMYFUNCTION("""COMPUTED_VALUE"""),0.0)</f>
        <v>0</v>
      </c>
      <c r="AA562" s="447">
        <f>IFERROR(__xludf.DUMMYFUNCTION("""COMPUTED_VALUE"""),0.0)</f>
        <v>0</v>
      </c>
      <c r="AB562" s="447">
        <f>IFERROR(__xludf.DUMMYFUNCTION("""COMPUTED_VALUE"""),0.0)</f>
        <v>0</v>
      </c>
      <c r="AC562" s="447">
        <f>IFERROR(__xludf.DUMMYFUNCTION("""COMPUTED_VALUE"""),1.0)</f>
        <v>1</v>
      </c>
      <c r="AD562" s="447">
        <f>IFERROR(__xludf.DUMMYFUNCTION("""COMPUTED_VALUE"""),43.0)</f>
        <v>43</v>
      </c>
      <c r="AE562" s="447">
        <f>IFERROR(__xludf.DUMMYFUNCTION("""COMPUTED_VALUE"""),12.0)</f>
        <v>12</v>
      </c>
      <c r="AF562" s="447">
        <f>IFERROR(__xludf.DUMMYFUNCTION("""COMPUTED_VALUE"""),2.0)</f>
        <v>2</v>
      </c>
      <c r="AG562" s="443" t="s">
        <v>127</v>
      </c>
      <c r="AH562" s="443" t="s">
        <v>961</v>
      </c>
      <c r="AI562" s="443"/>
      <c r="AJ562" s="443"/>
      <c r="AK562" s="443"/>
      <c r="AL562" s="443"/>
      <c r="AM562" s="443"/>
      <c r="AN562" s="443"/>
      <c r="AO562" s="443"/>
      <c r="AP562" s="443"/>
      <c r="AQ562" s="443"/>
      <c r="AR562" s="443"/>
      <c r="AS562" s="443"/>
      <c r="AT562" s="443"/>
      <c r="AU562" s="443"/>
      <c r="AV562" s="443"/>
      <c r="AW562" s="443"/>
      <c r="AX562" s="443"/>
      <c r="AY562" s="443"/>
      <c r="AZ562" s="443"/>
      <c r="BA562" s="443"/>
      <c r="BB562" s="443"/>
      <c r="BC562" s="443"/>
      <c r="BD562" s="443"/>
      <c r="BE562" s="443"/>
    </row>
    <row r="563" hidden="1">
      <c r="A563" s="445">
        <f t="shared" si="5"/>
        <v>45853</v>
      </c>
      <c r="B563" s="449">
        <v>510.0</v>
      </c>
      <c r="C563" s="462">
        <v>0.6</v>
      </c>
      <c r="D563" s="462">
        <v>0.9756944444444444</v>
      </c>
      <c r="E563" s="436">
        <f t="array" ref="E563">IF(B563=0,"",(J563+K563)/60)</f>
        <v>1.6</v>
      </c>
      <c r="F563" s="437">
        <f t="shared" si="1"/>
        <v>9.016666667</v>
      </c>
      <c r="G563" s="438">
        <f t="shared" si="9"/>
        <v>56.56192237</v>
      </c>
      <c r="H563" s="438">
        <f t="shared" si="3"/>
        <v>68.76404494</v>
      </c>
      <c r="I563" s="436">
        <f t="shared" si="6"/>
        <v>1.256931608</v>
      </c>
      <c r="J563" s="460">
        <v>30.0</v>
      </c>
      <c r="K563" s="460">
        <v>66.0</v>
      </c>
      <c r="L563" s="443"/>
      <c r="M563" s="447">
        <f>IFERROR(__xludf.DUMMYFUNCTION("""COMPUTED_VALUE"""),57.0)</f>
        <v>57</v>
      </c>
      <c r="N563" s="447">
        <f>IFERROR(__xludf.DUMMYFUNCTION("""COMPUTED_VALUE"""),55.0)</f>
        <v>55</v>
      </c>
      <c r="O563" s="447">
        <f>IFERROR(__xludf.DUMMYFUNCTION("""COMPUTED_VALUE"""),0.0)</f>
        <v>0</v>
      </c>
      <c r="P563" s="447">
        <f>IFERROR(__xludf.DUMMYFUNCTION("""COMPUTED_VALUE"""),0.0)</f>
        <v>0</v>
      </c>
      <c r="Q563" s="447">
        <f>IFERROR(__xludf.DUMMYFUNCTION("""COMPUTED_VALUE"""),0.0)</f>
        <v>0</v>
      </c>
      <c r="R563" s="447">
        <f>IFERROR(__xludf.DUMMYFUNCTION("""COMPUTED_VALUE"""),0.0)</f>
        <v>0</v>
      </c>
      <c r="S563" s="447">
        <f>IFERROR(__xludf.DUMMYFUNCTION("""COMPUTED_VALUE"""),2.0)</f>
        <v>2</v>
      </c>
      <c r="T563" s="447">
        <f>IFERROR(__xludf.DUMMYFUNCTION("""COMPUTED_VALUE"""),0.0)</f>
        <v>0</v>
      </c>
      <c r="U563" s="447">
        <f>IFERROR(__xludf.DUMMYFUNCTION("""COMPUTED_VALUE"""),2.0)</f>
        <v>2</v>
      </c>
      <c r="V563" s="447">
        <f>IFERROR(__xludf.DUMMYFUNCTION("""COMPUTED_VALUE"""),5.0)</f>
        <v>5</v>
      </c>
      <c r="W563" s="447">
        <f>IFERROR(__xludf.DUMMYFUNCTION("""COMPUTED_VALUE"""),0.0)</f>
        <v>0</v>
      </c>
      <c r="X563" s="447">
        <f>IFERROR(__xludf.DUMMYFUNCTION("""COMPUTED_VALUE"""),1.0)</f>
        <v>1</v>
      </c>
      <c r="Y563" s="447">
        <f>IFERROR(__xludf.DUMMYFUNCTION("""COMPUTED_VALUE"""),0.0)</f>
        <v>0</v>
      </c>
      <c r="Z563" s="447">
        <f>IFERROR(__xludf.DUMMYFUNCTION("""COMPUTED_VALUE"""),0.0)</f>
        <v>0</v>
      </c>
      <c r="AA563" s="447">
        <f>IFERROR(__xludf.DUMMYFUNCTION("""COMPUTED_VALUE"""),0.0)</f>
        <v>0</v>
      </c>
      <c r="AB563" s="447">
        <f>IFERROR(__xludf.DUMMYFUNCTION("""COMPUTED_VALUE"""),0.0)</f>
        <v>0</v>
      </c>
      <c r="AC563" s="447">
        <f>IFERROR(__xludf.DUMMYFUNCTION("""COMPUTED_VALUE"""),0.0)</f>
        <v>0</v>
      </c>
      <c r="AD563" s="447">
        <f>IFERROR(__xludf.DUMMYFUNCTION("""COMPUTED_VALUE"""),45.0)</f>
        <v>45</v>
      </c>
      <c r="AE563" s="447">
        <f>IFERROR(__xludf.DUMMYFUNCTION("""COMPUTED_VALUE"""),10.0)</f>
        <v>10</v>
      </c>
      <c r="AF563" s="447">
        <f>IFERROR(__xludf.DUMMYFUNCTION("""COMPUTED_VALUE"""),2.0)</f>
        <v>2</v>
      </c>
      <c r="AG563" s="443" t="s">
        <v>127</v>
      </c>
      <c r="AH563" s="443" t="s">
        <v>961</v>
      </c>
      <c r="AI563" s="443"/>
      <c r="AJ563" s="443"/>
      <c r="AK563" s="443"/>
      <c r="AL563" s="443"/>
      <c r="AM563" s="443"/>
      <c r="AN563" s="443"/>
      <c r="AO563" s="443"/>
      <c r="AP563" s="443"/>
      <c r="AQ563" s="443"/>
      <c r="AR563" s="443"/>
      <c r="AS563" s="443"/>
      <c r="AT563" s="443"/>
      <c r="AU563" s="443"/>
      <c r="AV563" s="443"/>
      <c r="AW563" s="443"/>
      <c r="AX563" s="443"/>
      <c r="AY563" s="443"/>
      <c r="AZ563" s="443"/>
      <c r="BA563" s="443"/>
      <c r="BB563" s="443"/>
      <c r="BC563" s="443"/>
      <c r="BD563" s="443"/>
      <c r="BE563" s="443"/>
    </row>
    <row r="564" hidden="1">
      <c r="A564" s="445">
        <f t="shared" si="5"/>
        <v>45854</v>
      </c>
      <c r="B564" s="449">
        <v>487.0</v>
      </c>
      <c r="C564" s="462">
        <v>0.6</v>
      </c>
      <c r="D564" s="462">
        <v>0.9493055555555555</v>
      </c>
      <c r="E564" s="436">
        <f t="array" ref="E564">IF(B564=0,"",(J564+K564)/60)</f>
        <v>1.683333333</v>
      </c>
      <c r="F564" s="437">
        <f t="shared" si="1"/>
        <v>8.383333333</v>
      </c>
      <c r="G564" s="438">
        <f t="shared" si="9"/>
        <v>58.09145129</v>
      </c>
      <c r="H564" s="438">
        <f t="shared" si="3"/>
        <v>72.68656716</v>
      </c>
      <c r="I564" s="436">
        <f t="shared" si="6"/>
        <v>1.262857637</v>
      </c>
      <c r="J564" s="460">
        <v>30.0</v>
      </c>
      <c r="K564" s="460">
        <v>71.0</v>
      </c>
      <c r="L564" s="443"/>
      <c r="M564" s="447">
        <f>IFERROR(__xludf.DUMMYFUNCTION("""COMPUTED_VALUE"""),57.0)</f>
        <v>57</v>
      </c>
      <c r="N564" s="447">
        <f>IFERROR(__xludf.DUMMYFUNCTION("""COMPUTED_VALUE"""),55.0)</f>
        <v>55</v>
      </c>
      <c r="O564" s="447">
        <f>IFERROR(__xludf.DUMMYFUNCTION("""COMPUTED_VALUE"""),0.0)</f>
        <v>0</v>
      </c>
      <c r="P564" s="447">
        <f>IFERROR(__xludf.DUMMYFUNCTION("""COMPUTED_VALUE"""),0.0)</f>
        <v>0</v>
      </c>
      <c r="Q564" s="447">
        <f>IFERROR(__xludf.DUMMYFUNCTION("""COMPUTED_VALUE"""),0.0)</f>
        <v>0</v>
      </c>
      <c r="R564" s="447">
        <f>IFERROR(__xludf.DUMMYFUNCTION("""COMPUTED_VALUE"""),0.0)</f>
        <v>0</v>
      </c>
      <c r="S564" s="447">
        <f>IFERROR(__xludf.DUMMYFUNCTION("""COMPUTED_VALUE"""),1.0)</f>
        <v>1</v>
      </c>
      <c r="T564" s="447">
        <f>IFERROR(__xludf.DUMMYFUNCTION("""COMPUTED_VALUE"""),0.0)</f>
        <v>0</v>
      </c>
      <c r="U564" s="447">
        <f>IFERROR(__xludf.DUMMYFUNCTION("""COMPUTED_VALUE"""),2.0)</f>
        <v>2</v>
      </c>
      <c r="V564" s="447">
        <f>IFERROR(__xludf.DUMMYFUNCTION("""COMPUTED_VALUE"""),3.0)</f>
        <v>3</v>
      </c>
      <c r="W564" s="447">
        <f>IFERROR(__xludf.DUMMYFUNCTION("""COMPUTED_VALUE"""),0.0)</f>
        <v>0</v>
      </c>
      <c r="X564" s="447">
        <f>IFERROR(__xludf.DUMMYFUNCTION("""COMPUTED_VALUE"""),1.0)</f>
        <v>1</v>
      </c>
      <c r="Y564" s="447">
        <f>IFERROR(__xludf.DUMMYFUNCTION("""COMPUTED_VALUE"""),0.0)</f>
        <v>0</v>
      </c>
      <c r="Z564" s="447">
        <f>IFERROR(__xludf.DUMMYFUNCTION("""COMPUTED_VALUE"""),0.0)</f>
        <v>0</v>
      </c>
      <c r="AA564" s="447">
        <f>IFERROR(__xludf.DUMMYFUNCTION("""COMPUTED_VALUE"""),1.0)</f>
        <v>1</v>
      </c>
      <c r="AB564" s="447">
        <f>IFERROR(__xludf.DUMMYFUNCTION("""COMPUTED_VALUE"""),0.0)</f>
        <v>0</v>
      </c>
      <c r="AC564" s="447">
        <f>IFERROR(__xludf.DUMMYFUNCTION("""COMPUTED_VALUE"""),1.0)</f>
        <v>1</v>
      </c>
      <c r="AD564" s="447">
        <f>IFERROR(__xludf.DUMMYFUNCTION("""COMPUTED_VALUE"""),46.0)</f>
        <v>46</v>
      </c>
      <c r="AE564" s="447">
        <f>IFERROR(__xludf.DUMMYFUNCTION("""COMPUTED_VALUE"""),9.0)</f>
        <v>9</v>
      </c>
      <c r="AF564" s="447">
        <f>IFERROR(__xludf.DUMMYFUNCTION("""COMPUTED_VALUE"""),2.0)</f>
        <v>2</v>
      </c>
      <c r="AG564" s="443" t="s">
        <v>127</v>
      </c>
      <c r="AH564" s="443" t="s">
        <v>961</v>
      </c>
      <c r="AI564" s="443"/>
      <c r="AJ564" s="443"/>
      <c r="AK564" s="443"/>
      <c r="AL564" s="443"/>
      <c r="AM564" s="443"/>
      <c r="AN564" s="443"/>
      <c r="AO564" s="443"/>
      <c r="AP564" s="443"/>
      <c r="AQ564" s="443"/>
      <c r="AR564" s="443"/>
      <c r="AS564" s="443"/>
      <c r="AT564" s="443"/>
      <c r="AU564" s="443"/>
      <c r="AV564" s="443"/>
      <c r="AW564" s="443"/>
      <c r="AX564" s="443"/>
      <c r="AY564" s="443"/>
      <c r="AZ564" s="443"/>
      <c r="BA564" s="443"/>
      <c r="BB564" s="443"/>
      <c r="BC564" s="443"/>
      <c r="BD564" s="443"/>
      <c r="BE564" s="443"/>
    </row>
    <row r="565" hidden="1">
      <c r="A565" s="445">
        <f t="shared" si="5"/>
        <v>45855</v>
      </c>
      <c r="B565" s="449">
        <v>418.0</v>
      </c>
      <c r="C565" s="462">
        <v>0.6416666666666667</v>
      </c>
      <c r="D565" s="462">
        <v>0.9402777777777778</v>
      </c>
      <c r="E565" s="436">
        <f t="array" ref="E565">IF(B565=0,"",(J565+K565)/60)</f>
        <v>0.7833333333</v>
      </c>
      <c r="F565" s="437">
        <f t="shared" si="1"/>
        <v>7.166666667</v>
      </c>
      <c r="G565" s="438">
        <f t="shared" si="9"/>
        <v>58.3255814</v>
      </c>
      <c r="H565" s="438">
        <f t="shared" si="3"/>
        <v>65.48302872</v>
      </c>
      <c r="I565" s="436">
        <f t="shared" si="6"/>
        <v>1.267947422</v>
      </c>
      <c r="J565" s="460">
        <v>30.0</v>
      </c>
      <c r="K565" s="460">
        <v>17.0</v>
      </c>
      <c r="L565" s="443"/>
      <c r="M565" s="447">
        <f>IFERROR(__xludf.DUMMYFUNCTION("""COMPUTED_VALUE"""),57.0)</f>
        <v>57</v>
      </c>
      <c r="N565" s="447">
        <f>IFERROR(__xludf.DUMMYFUNCTION("""COMPUTED_VALUE"""),57.0)</f>
        <v>57</v>
      </c>
      <c r="O565" s="447">
        <f>IFERROR(__xludf.DUMMYFUNCTION("""COMPUTED_VALUE"""),0.0)</f>
        <v>0</v>
      </c>
      <c r="P565" s="447">
        <f>IFERROR(__xludf.DUMMYFUNCTION("""COMPUTED_VALUE"""),0.0)</f>
        <v>0</v>
      </c>
      <c r="Q565" s="447">
        <f>IFERROR(__xludf.DUMMYFUNCTION("""COMPUTED_VALUE"""),0.0)</f>
        <v>0</v>
      </c>
      <c r="R565" s="447">
        <f>IFERROR(__xludf.DUMMYFUNCTION("""COMPUTED_VALUE"""),0.0)</f>
        <v>0</v>
      </c>
      <c r="S565" s="447">
        <f>IFERROR(__xludf.DUMMYFUNCTION("""COMPUTED_VALUE"""),2.0)</f>
        <v>2</v>
      </c>
      <c r="T565" s="447">
        <f>IFERROR(__xludf.DUMMYFUNCTION("""COMPUTED_VALUE"""),0.0)</f>
        <v>0</v>
      </c>
      <c r="U565" s="447">
        <f>IFERROR(__xludf.DUMMYFUNCTION("""COMPUTED_VALUE"""),0.0)</f>
        <v>0</v>
      </c>
      <c r="V565" s="447">
        <f>IFERROR(__xludf.DUMMYFUNCTION("""COMPUTED_VALUE"""),3.0)</f>
        <v>3</v>
      </c>
      <c r="W565" s="447">
        <f>IFERROR(__xludf.DUMMYFUNCTION("""COMPUTED_VALUE"""),0.0)</f>
        <v>0</v>
      </c>
      <c r="X565" s="447">
        <f>IFERROR(__xludf.DUMMYFUNCTION("""COMPUTED_VALUE"""),1.0)</f>
        <v>1</v>
      </c>
      <c r="Y565" s="447">
        <f>IFERROR(__xludf.DUMMYFUNCTION("""COMPUTED_VALUE"""),0.0)</f>
        <v>0</v>
      </c>
      <c r="Z565" s="447">
        <f>IFERROR(__xludf.DUMMYFUNCTION("""COMPUTED_VALUE"""),0.0)</f>
        <v>0</v>
      </c>
      <c r="AA565" s="447">
        <f>IFERROR(__xludf.DUMMYFUNCTION("""COMPUTED_VALUE"""),0.0)</f>
        <v>0</v>
      </c>
      <c r="AB565" s="447">
        <f>IFERROR(__xludf.DUMMYFUNCTION("""COMPUTED_VALUE"""),2.0)</f>
        <v>2</v>
      </c>
      <c r="AC565" s="447">
        <f>IFERROR(__xludf.DUMMYFUNCTION("""COMPUTED_VALUE"""),1.0)</f>
        <v>1</v>
      </c>
      <c r="AD565" s="447">
        <f>IFERROR(__xludf.DUMMYFUNCTION("""COMPUTED_VALUE"""),46.0)</f>
        <v>46</v>
      </c>
      <c r="AE565" s="447">
        <f>IFERROR(__xludf.DUMMYFUNCTION("""COMPUTED_VALUE"""),7.0)</f>
        <v>7</v>
      </c>
      <c r="AF565" s="447">
        <f>IFERROR(__xludf.DUMMYFUNCTION("""COMPUTED_VALUE"""),0.0)</f>
        <v>0</v>
      </c>
      <c r="AG565" s="443" t="s">
        <v>127</v>
      </c>
      <c r="AH565" s="443" t="s">
        <v>961</v>
      </c>
      <c r="AI565" s="443"/>
      <c r="AJ565" s="443"/>
      <c r="AK565" s="443"/>
      <c r="AL565" s="443"/>
      <c r="AM565" s="443"/>
      <c r="AN565" s="443"/>
      <c r="AO565" s="443"/>
      <c r="AP565" s="443"/>
      <c r="AQ565" s="443"/>
      <c r="AR565" s="443"/>
      <c r="AS565" s="443"/>
      <c r="AT565" s="443"/>
      <c r="AU565" s="443"/>
      <c r="AV565" s="443"/>
      <c r="AW565" s="443"/>
      <c r="AX565" s="443"/>
      <c r="AY565" s="443"/>
      <c r="AZ565" s="443"/>
      <c r="BA565" s="443"/>
      <c r="BB565" s="443"/>
      <c r="BC565" s="443"/>
      <c r="BD565" s="443"/>
      <c r="BE565" s="443"/>
    </row>
    <row r="566" hidden="1">
      <c r="A566" s="445">
        <f t="shared" si="5"/>
        <v>45856</v>
      </c>
      <c r="B566" s="449">
        <v>451.0</v>
      </c>
      <c r="C566" s="462">
        <v>0.6416666666666667</v>
      </c>
      <c r="D566" s="462">
        <v>1.0041666666666667</v>
      </c>
      <c r="E566" s="436">
        <f t="array" ref="E566">IF(B566=0,"",(J566+K566)/60)</f>
        <v>1.533333333</v>
      </c>
      <c r="F566" s="437">
        <f t="shared" si="1"/>
        <v>8.7</v>
      </c>
      <c r="G566" s="438">
        <f t="shared" si="9"/>
        <v>51.83908046</v>
      </c>
      <c r="H566" s="438">
        <f t="shared" si="3"/>
        <v>62.93023256</v>
      </c>
      <c r="I566" s="436">
        <f t="shared" si="6"/>
        <v>1.079980843</v>
      </c>
      <c r="J566" s="460">
        <v>30.0</v>
      </c>
      <c r="K566" s="460">
        <v>62.0</v>
      </c>
      <c r="L566" s="443"/>
      <c r="M566" s="447">
        <f>IFERROR(__xludf.DUMMYFUNCTION("""COMPUTED_VALUE"""),57.0)</f>
        <v>57</v>
      </c>
      <c r="N566" s="447">
        <f>IFERROR(__xludf.DUMMYFUNCTION("""COMPUTED_VALUE"""),57.0)</f>
        <v>57</v>
      </c>
      <c r="O566" s="447">
        <f>IFERROR(__xludf.DUMMYFUNCTION("""COMPUTED_VALUE"""),0.0)</f>
        <v>0</v>
      </c>
      <c r="P566" s="447">
        <f>IFERROR(__xludf.DUMMYFUNCTION("""COMPUTED_VALUE"""),0.0)</f>
        <v>0</v>
      </c>
      <c r="Q566" s="447">
        <f>IFERROR(__xludf.DUMMYFUNCTION("""COMPUTED_VALUE"""),0.0)</f>
        <v>0</v>
      </c>
      <c r="R566" s="447">
        <f>IFERROR(__xludf.DUMMYFUNCTION("""COMPUTED_VALUE"""),0.0)</f>
        <v>0</v>
      </c>
      <c r="S566" s="447">
        <f>IFERROR(__xludf.DUMMYFUNCTION("""COMPUTED_VALUE"""),3.0)</f>
        <v>3</v>
      </c>
      <c r="T566" s="447">
        <f>IFERROR(__xludf.DUMMYFUNCTION("""COMPUTED_VALUE"""),0.0)</f>
        <v>0</v>
      </c>
      <c r="U566" s="447">
        <f>IFERROR(__xludf.DUMMYFUNCTION("""COMPUTED_VALUE"""),0.0)</f>
        <v>0</v>
      </c>
      <c r="V566" s="447">
        <f>IFERROR(__xludf.DUMMYFUNCTION("""COMPUTED_VALUE"""),3.0)</f>
        <v>3</v>
      </c>
      <c r="W566" s="447">
        <f>IFERROR(__xludf.DUMMYFUNCTION("""COMPUTED_VALUE"""),0.0)</f>
        <v>0</v>
      </c>
      <c r="X566" s="447">
        <f>IFERROR(__xludf.DUMMYFUNCTION("""COMPUTED_VALUE"""),1.0)</f>
        <v>1</v>
      </c>
      <c r="Y566" s="447">
        <f>IFERROR(__xludf.DUMMYFUNCTION("""COMPUTED_VALUE"""),0.0)</f>
        <v>0</v>
      </c>
      <c r="Z566" s="447">
        <f>IFERROR(__xludf.DUMMYFUNCTION("""COMPUTED_VALUE"""),0.0)</f>
        <v>0</v>
      </c>
      <c r="AA566" s="447">
        <f>IFERROR(__xludf.DUMMYFUNCTION("""COMPUTED_VALUE"""),0.0)</f>
        <v>0</v>
      </c>
      <c r="AB566" s="447">
        <f>IFERROR(__xludf.DUMMYFUNCTION("""COMPUTED_VALUE"""),0.0)</f>
        <v>0</v>
      </c>
      <c r="AC566" s="447">
        <f>IFERROR(__xludf.DUMMYFUNCTION("""COMPUTED_VALUE"""),0.0)</f>
        <v>0</v>
      </c>
      <c r="AD566" s="447">
        <f>IFERROR(__xludf.DUMMYFUNCTION("""COMPUTED_VALUE"""),48.0)</f>
        <v>48</v>
      </c>
      <c r="AE566" s="447">
        <f>IFERROR(__xludf.DUMMYFUNCTION("""COMPUTED_VALUE"""),7.0)</f>
        <v>7</v>
      </c>
      <c r="AF566" s="447">
        <f>IFERROR(__xludf.DUMMYFUNCTION("""COMPUTED_VALUE"""),0.0)</f>
        <v>0</v>
      </c>
      <c r="AG566" s="443" t="s">
        <v>127</v>
      </c>
      <c r="AH566" s="443" t="s">
        <v>961</v>
      </c>
      <c r="AI566" s="443"/>
      <c r="AJ566" s="443"/>
      <c r="AK566" s="443"/>
      <c r="AL566" s="443"/>
      <c r="AM566" s="443"/>
      <c r="AN566" s="443"/>
      <c r="AO566" s="443"/>
      <c r="AP566" s="443"/>
      <c r="AQ566" s="443"/>
      <c r="AR566" s="443"/>
      <c r="AS566" s="443"/>
      <c r="AT566" s="443"/>
      <c r="AU566" s="443"/>
      <c r="AV566" s="443"/>
      <c r="AW566" s="443"/>
      <c r="AX566" s="443"/>
      <c r="AY566" s="443"/>
      <c r="AZ566" s="443"/>
      <c r="BA566" s="443"/>
      <c r="BB566" s="443"/>
      <c r="BC566" s="443"/>
      <c r="BD566" s="443"/>
      <c r="BE566" s="443"/>
    </row>
    <row r="567" hidden="1">
      <c r="A567" s="445">
        <f t="shared" si="5"/>
        <v>45857</v>
      </c>
      <c r="B567" s="449">
        <v>304.0</v>
      </c>
      <c r="C567" s="462">
        <v>0.6416666666666667</v>
      </c>
      <c r="D567" s="462">
        <v>0.8486111111111111</v>
      </c>
      <c r="E567" s="436">
        <f t="array" ref="E567">IF(B567=0,"",(J567+K567)/60)</f>
        <v>0.4166666667</v>
      </c>
      <c r="F567" s="437">
        <f t="shared" si="1"/>
        <v>4.966666667</v>
      </c>
      <c r="G567" s="438">
        <f t="shared" si="9"/>
        <v>61.20805369</v>
      </c>
      <c r="H567" s="438">
        <f t="shared" si="3"/>
        <v>66.81318681</v>
      </c>
      <c r="I567" s="436">
        <f t="shared" si="6"/>
        <v>1.302299015</v>
      </c>
      <c r="J567" s="460">
        <v>0.0</v>
      </c>
      <c r="K567" s="460">
        <v>25.0</v>
      </c>
      <c r="L567" s="443"/>
      <c r="M567" s="447">
        <f>IFERROR(__xludf.DUMMYFUNCTION("""COMPUTED_VALUE"""),57.0)</f>
        <v>57</v>
      </c>
      <c r="N567" s="447">
        <f>IFERROR(__xludf.DUMMYFUNCTION("""COMPUTED_VALUE"""),57.0)</f>
        <v>57</v>
      </c>
      <c r="O567" s="447">
        <f>IFERROR(__xludf.DUMMYFUNCTION("""COMPUTED_VALUE"""),0.0)</f>
        <v>0</v>
      </c>
      <c r="P567" s="447">
        <f>IFERROR(__xludf.DUMMYFUNCTION("""COMPUTED_VALUE"""),1.0)</f>
        <v>1</v>
      </c>
      <c r="Q567" s="447">
        <f>IFERROR(__xludf.DUMMYFUNCTION("""COMPUTED_VALUE"""),0.0)</f>
        <v>0</v>
      </c>
      <c r="R567" s="447">
        <f>IFERROR(__xludf.DUMMYFUNCTION("""COMPUTED_VALUE"""),0.0)</f>
        <v>0</v>
      </c>
      <c r="S567" s="447">
        <f>IFERROR(__xludf.DUMMYFUNCTION("""COMPUTED_VALUE"""),2.0)</f>
        <v>2</v>
      </c>
      <c r="T567" s="447">
        <f>IFERROR(__xludf.DUMMYFUNCTION("""COMPUTED_VALUE"""),0.0)</f>
        <v>0</v>
      </c>
      <c r="U567" s="447">
        <f>IFERROR(__xludf.DUMMYFUNCTION("""COMPUTED_VALUE"""),0.0)</f>
        <v>0</v>
      </c>
      <c r="V567" s="447">
        <f>IFERROR(__xludf.DUMMYFUNCTION("""COMPUTED_VALUE"""),3.0)</f>
        <v>3</v>
      </c>
      <c r="W567" s="447">
        <f>IFERROR(__xludf.DUMMYFUNCTION("""COMPUTED_VALUE"""),0.0)</f>
        <v>0</v>
      </c>
      <c r="X567" s="447">
        <f>IFERROR(__xludf.DUMMYFUNCTION("""COMPUTED_VALUE"""),1.0)</f>
        <v>1</v>
      </c>
      <c r="Y567" s="447">
        <f>IFERROR(__xludf.DUMMYFUNCTION("""COMPUTED_VALUE"""),0.0)</f>
        <v>0</v>
      </c>
      <c r="Z567" s="447">
        <f>IFERROR(__xludf.DUMMYFUNCTION("""COMPUTED_VALUE"""),0.0)</f>
        <v>0</v>
      </c>
      <c r="AA567" s="447">
        <f>IFERROR(__xludf.DUMMYFUNCTION("""COMPUTED_VALUE"""),0.0)</f>
        <v>0</v>
      </c>
      <c r="AB567" s="447">
        <f>IFERROR(__xludf.DUMMYFUNCTION("""COMPUTED_VALUE"""),0.0)</f>
        <v>0</v>
      </c>
      <c r="AC567" s="447">
        <f>IFERROR(__xludf.DUMMYFUNCTION("""COMPUTED_VALUE"""),1.0)</f>
        <v>1</v>
      </c>
      <c r="AD567" s="447">
        <f>IFERROR(__xludf.DUMMYFUNCTION("""COMPUTED_VALUE"""),47.0)</f>
        <v>47</v>
      </c>
      <c r="AE567" s="447">
        <f>IFERROR(__xludf.DUMMYFUNCTION("""COMPUTED_VALUE"""),8.0)</f>
        <v>8</v>
      </c>
      <c r="AF567" s="447">
        <f>IFERROR(__xludf.DUMMYFUNCTION("""COMPUTED_VALUE"""),0.0)</f>
        <v>0</v>
      </c>
      <c r="AG567" s="443" t="s">
        <v>127</v>
      </c>
      <c r="AH567" s="443" t="s">
        <v>961</v>
      </c>
      <c r="AI567" s="443"/>
      <c r="AJ567" s="443"/>
      <c r="AK567" s="443"/>
      <c r="AL567" s="443"/>
      <c r="AM567" s="443"/>
      <c r="AN567" s="443"/>
      <c r="AO567" s="443"/>
      <c r="AP567" s="443"/>
      <c r="AQ567" s="443"/>
      <c r="AR567" s="443"/>
      <c r="AS567" s="443"/>
      <c r="AT567" s="443"/>
      <c r="AU567" s="443"/>
      <c r="AV567" s="443"/>
      <c r="AW567" s="443"/>
      <c r="AX567" s="443"/>
      <c r="AY567" s="443"/>
      <c r="AZ567" s="443"/>
      <c r="BA567" s="443"/>
      <c r="BB567" s="443"/>
      <c r="BC567" s="443"/>
      <c r="BD567" s="443"/>
      <c r="BE567" s="443"/>
    </row>
    <row r="568" hidden="1">
      <c r="A568" s="445">
        <f t="shared" si="5"/>
        <v>45858</v>
      </c>
      <c r="B568" s="449">
        <v>0.0</v>
      </c>
      <c r="C568" s="443"/>
      <c r="D568" s="462"/>
      <c r="E568" s="436" t="str">
        <f t="array" ref="E568">IF(B568=0,"",(J568+K568)/60)</f>
        <v/>
      </c>
      <c r="F568" s="437" t="str">
        <f t="shared" si="1"/>
        <v/>
      </c>
      <c r="G568" s="438" t="str">
        <f t="shared" si="9"/>
        <v>#DIV/0!</v>
      </c>
      <c r="H568" s="438" t="str">
        <f t="shared" si="3"/>
        <v/>
      </c>
      <c r="I568" s="436" t="str">
        <f t="shared" si="6"/>
        <v/>
      </c>
      <c r="J568" s="464"/>
      <c r="K568" s="464"/>
      <c r="L568" s="443"/>
      <c r="M568" s="447">
        <f>IFERROR(__xludf.DUMMYFUNCTION("""COMPUTED_VALUE"""),57.0)</f>
        <v>57</v>
      </c>
      <c r="N568" s="447">
        <f>IFERROR(__xludf.DUMMYFUNCTION("""COMPUTED_VALUE"""),57.0)</f>
        <v>57</v>
      </c>
      <c r="O568" s="447">
        <f>IFERROR(__xludf.DUMMYFUNCTION("""COMPUTED_VALUE"""),0.0)</f>
        <v>0</v>
      </c>
      <c r="P568" s="447">
        <f>IFERROR(__xludf.DUMMYFUNCTION("""COMPUTED_VALUE"""),0.0)</f>
        <v>0</v>
      </c>
      <c r="Q568" s="447">
        <f>IFERROR(__xludf.DUMMYFUNCTION("""COMPUTED_VALUE"""),0.0)</f>
        <v>0</v>
      </c>
      <c r="R568" s="447">
        <f>IFERROR(__xludf.DUMMYFUNCTION("""COMPUTED_VALUE"""),0.0)</f>
        <v>0</v>
      </c>
      <c r="S568" s="447">
        <f>IFERROR(__xludf.DUMMYFUNCTION("""COMPUTED_VALUE"""),0.0)</f>
        <v>0</v>
      </c>
      <c r="T568" s="447">
        <f>IFERROR(__xludf.DUMMYFUNCTION("""COMPUTED_VALUE"""),0.0)</f>
        <v>0</v>
      </c>
      <c r="U568" s="447">
        <f>IFERROR(__xludf.DUMMYFUNCTION("""COMPUTED_VALUE"""),0.0)</f>
        <v>0</v>
      </c>
      <c r="V568" s="447">
        <f>IFERROR(__xludf.DUMMYFUNCTION("""COMPUTED_VALUE"""),0.0)</f>
        <v>0</v>
      </c>
      <c r="W568" s="447">
        <f>IFERROR(__xludf.DUMMYFUNCTION("""COMPUTED_VALUE"""),0.0)</f>
        <v>0</v>
      </c>
      <c r="X568" s="447">
        <f>IFERROR(__xludf.DUMMYFUNCTION("""COMPUTED_VALUE"""),0.0)</f>
        <v>0</v>
      </c>
      <c r="Y568" s="447">
        <f>IFERROR(__xludf.DUMMYFUNCTION("""COMPUTED_VALUE"""),0.0)</f>
        <v>0</v>
      </c>
      <c r="Z568" s="447">
        <f>IFERROR(__xludf.DUMMYFUNCTION("""COMPUTED_VALUE"""),0.0)</f>
        <v>0</v>
      </c>
      <c r="AA568" s="447">
        <f>IFERROR(__xludf.DUMMYFUNCTION("""COMPUTED_VALUE"""),0.0)</f>
        <v>0</v>
      </c>
      <c r="AB568" s="447">
        <f>IFERROR(__xludf.DUMMYFUNCTION("""COMPUTED_VALUE"""),0.0)</f>
        <v>0</v>
      </c>
      <c r="AC568" s="447">
        <f>IFERROR(__xludf.DUMMYFUNCTION("""COMPUTED_VALUE"""),0.0)</f>
        <v>0</v>
      </c>
      <c r="AD568" s="447">
        <f>IFERROR(__xludf.DUMMYFUNCTION("""COMPUTED_VALUE"""),0.0)</f>
        <v>0</v>
      </c>
      <c r="AE568" s="447">
        <f>IFERROR(__xludf.DUMMYFUNCTION("""COMPUTED_VALUE"""),0.0)</f>
        <v>0</v>
      </c>
      <c r="AF568" s="447">
        <f>IFERROR(__xludf.DUMMYFUNCTION("""COMPUTED_VALUE"""),0.0)</f>
        <v>0</v>
      </c>
      <c r="AG568" s="443" t="s">
        <v>127</v>
      </c>
      <c r="AH568" s="443" t="s">
        <v>961</v>
      </c>
      <c r="AI568" s="443"/>
      <c r="AJ568" s="443"/>
      <c r="AK568" s="443"/>
      <c r="AL568" s="443"/>
      <c r="AM568" s="443"/>
      <c r="AN568" s="443"/>
      <c r="AO568" s="443"/>
      <c r="AP568" s="443"/>
      <c r="AQ568" s="443"/>
      <c r="AR568" s="443"/>
      <c r="AS568" s="443"/>
      <c r="AT568" s="443"/>
      <c r="AU568" s="443"/>
      <c r="AV568" s="443"/>
      <c r="AW568" s="443"/>
      <c r="AX568" s="443"/>
      <c r="AY568" s="443"/>
      <c r="AZ568" s="443"/>
      <c r="BA568" s="443"/>
      <c r="BB568" s="443"/>
      <c r="BC568" s="443"/>
      <c r="BD568" s="443"/>
      <c r="BE568" s="443"/>
    </row>
    <row r="569" hidden="1">
      <c r="A569" s="445">
        <f t="shared" si="5"/>
        <v>45859</v>
      </c>
      <c r="B569" s="449">
        <v>620.0</v>
      </c>
      <c r="C569" s="462">
        <v>0.5583333333333333</v>
      </c>
      <c r="D569" s="462">
        <v>1.0138888888888888</v>
      </c>
      <c r="E569" s="436">
        <f t="array" ref="E569">IF(B569=0,"",(J569+K569)/60)</f>
        <v>2.05</v>
      </c>
      <c r="F569" s="437">
        <f t="shared" si="1"/>
        <v>10.93333333</v>
      </c>
      <c r="G569" s="438">
        <f t="shared" si="9"/>
        <v>56.70731707</v>
      </c>
      <c r="H569" s="438">
        <f t="shared" si="3"/>
        <v>69.79362101</v>
      </c>
      <c r="I569" s="436">
        <f t="shared" si="6"/>
        <v>1.350174216</v>
      </c>
      <c r="J569" s="460">
        <v>60.0</v>
      </c>
      <c r="K569" s="464">
        <f>4+6+6+15+15+17</f>
        <v>63</v>
      </c>
      <c r="L569" s="443"/>
      <c r="M569" s="447">
        <f>IFERROR(__xludf.DUMMYFUNCTION("""COMPUTED_VALUE"""),57.0)</f>
        <v>57</v>
      </c>
      <c r="N569" s="447">
        <f>IFERROR(__xludf.DUMMYFUNCTION("""COMPUTED_VALUE"""),56.0)</f>
        <v>56</v>
      </c>
      <c r="O569" s="447">
        <f>IFERROR(__xludf.DUMMYFUNCTION("""COMPUTED_VALUE"""),0.0)</f>
        <v>0</v>
      </c>
      <c r="P569" s="447">
        <f>IFERROR(__xludf.DUMMYFUNCTION("""COMPUTED_VALUE"""),2.0)</f>
        <v>2</v>
      </c>
      <c r="Q569" s="447">
        <f>IFERROR(__xludf.DUMMYFUNCTION("""COMPUTED_VALUE"""),0.0)</f>
        <v>0</v>
      </c>
      <c r="R569" s="447">
        <f>IFERROR(__xludf.DUMMYFUNCTION("""COMPUTED_VALUE"""),0.0)</f>
        <v>0</v>
      </c>
      <c r="S569" s="447">
        <f>IFERROR(__xludf.DUMMYFUNCTION("""COMPUTED_VALUE"""),4.0)</f>
        <v>4</v>
      </c>
      <c r="T569" s="447">
        <f>IFERROR(__xludf.DUMMYFUNCTION("""COMPUTED_VALUE"""),0.0)</f>
        <v>0</v>
      </c>
      <c r="U569" s="447">
        <f>IFERROR(__xludf.DUMMYFUNCTION("""COMPUTED_VALUE"""),1.0)</f>
        <v>1</v>
      </c>
      <c r="V569" s="447">
        <f>IFERROR(__xludf.DUMMYFUNCTION("""COMPUTED_VALUE"""),2.0)</f>
        <v>2</v>
      </c>
      <c r="W569" s="447">
        <f>IFERROR(__xludf.DUMMYFUNCTION("""COMPUTED_VALUE"""),0.0)</f>
        <v>0</v>
      </c>
      <c r="X569" s="447">
        <f>IFERROR(__xludf.DUMMYFUNCTION("""COMPUTED_VALUE"""),1.0)</f>
        <v>1</v>
      </c>
      <c r="Y569" s="447">
        <f>IFERROR(__xludf.DUMMYFUNCTION("""COMPUTED_VALUE"""),0.0)</f>
        <v>0</v>
      </c>
      <c r="Z569" s="447">
        <f>IFERROR(__xludf.DUMMYFUNCTION("""COMPUTED_VALUE"""),0.0)</f>
        <v>0</v>
      </c>
      <c r="AA569" s="447">
        <f>IFERROR(__xludf.DUMMYFUNCTION("""COMPUTED_VALUE"""),1.0)</f>
        <v>1</v>
      </c>
      <c r="AB569" s="447">
        <f>IFERROR(__xludf.DUMMYFUNCTION("""COMPUTED_VALUE"""),0.0)</f>
        <v>0</v>
      </c>
      <c r="AC569" s="447">
        <f>IFERROR(__xludf.DUMMYFUNCTION("""COMPUTED_VALUE"""),2.0)</f>
        <v>2</v>
      </c>
      <c r="AD569" s="447">
        <f>IFERROR(__xludf.DUMMYFUNCTION("""COMPUTED_VALUE"""),42.0)</f>
        <v>42</v>
      </c>
      <c r="AE569" s="447">
        <f>IFERROR(__xludf.DUMMYFUNCTION("""COMPUTED_VALUE"""),13.0)</f>
        <v>13</v>
      </c>
      <c r="AF569" s="447">
        <f>IFERROR(__xludf.DUMMYFUNCTION("""COMPUTED_VALUE"""),1.0)</f>
        <v>1</v>
      </c>
      <c r="AG569" s="443" t="s">
        <v>127</v>
      </c>
      <c r="AH569" s="443" t="s">
        <v>961</v>
      </c>
      <c r="AI569" s="443"/>
      <c r="AJ569" s="443"/>
      <c r="AK569" s="443"/>
      <c r="AL569" s="443"/>
      <c r="AM569" s="443"/>
      <c r="AN569" s="443"/>
      <c r="AO569" s="443"/>
      <c r="AP569" s="443"/>
      <c r="AQ569" s="443"/>
      <c r="AR569" s="443"/>
      <c r="AS569" s="443"/>
      <c r="AT569" s="443"/>
      <c r="AU569" s="443"/>
      <c r="AV569" s="443"/>
      <c r="AW569" s="443"/>
      <c r="AX569" s="443"/>
      <c r="AY569" s="443"/>
      <c r="AZ569" s="443"/>
      <c r="BA569" s="443"/>
      <c r="BB569" s="443"/>
      <c r="BC569" s="443"/>
      <c r="BD569" s="443"/>
      <c r="BE569" s="443"/>
    </row>
    <row r="570" hidden="1">
      <c r="A570" s="445">
        <f t="shared" si="5"/>
        <v>45860</v>
      </c>
      <c r="B570" s="449">
        <v>442.0</v>
      </c>
      <c r="C570" s="462">
        <v>0.6</v>
      </c>
      <c r="D570" s="462">
        <v>0.9270833333333334</v>
      </c>
      <c r="E570" s="436">
        <f t="array" ref="E570">IF(B570=0,"",(J570+K570)/60)</f>
        <v>0.7666666667</v>
      </c>
      <c r="F570" s="437">
        <f t="shared" si="1"/>
        <v>7.85</v>
      </c>
      <c r="G570" s="438">
        <f t="shared" si="9"/>
        <v>56.30573248</v>
      </c>
      <c r="H570" s="438">
        <f t="shared" si="3"/>
        <v>62.4</v>
      </c>
      <c r="I570" s="436">
        <f t="shared" si="6"/>
        <v>1.224037663</v>
      </c>
      <c r="J570" s="460">
        <v>30.0</v>
      </c>
      <c r="K570" s="460">
        <v>16.0</v>
      </c>
      <c r="L570" s="443"/>
      <c r="M570" s="447">
        <f>IFERROR(__xludf.DUMMYFUNCTION("""COMPUTED_VALUE"""),57.0)</f>
        <v>57</v>
      </c>
      <c r="N570" s="447">
        <f>IFERROR(__xludf.DUMMYFUNCTION("""COMPUTED_VALUE"""),56.0)</f>
        <v>56</v>
      </c>
      <c r="O570" s="447">
        <f>IFERROR(__xludf.DUMMYFUNCTION("""COMPUTED_VALUE"""),0.0)</f>
        <v>0</v>
      </c>
      <c r="P570" s="447">
        <f>IFERROR(__xludf.DUMMYFUNCTION("""COMPUTED_VALUE"""),1.0)</f>
        <v>1</v>
      </c>
      <c r="Q570" s="447">
        <f>IFERROR(__xludf.DUMMYFUNCTION("""COMPUTED_VALUE"""),0.0)</f>
        <v>0</v>
      </c>
      <c r="R570" s="447">
        <f>IFERROR(__xludf.DUMMYFUNCTION("""COMPUTED_VALUE"""),0.0)</f>
        <v>0</v>
      </c>
      <c r="S570" s="447">
        <f>IFERROR(__xludf.DUMMYFUNCTION("""COMPUTED_VALUE"""),4.0)</f>
        <v>4</v>
      </c>
      <c r="T570" s="447">
        <f>IFERROR(__xludf.DUMMYFUNCTION("""COMPUTED_VALUE"""),0.0)</f>
        <v>0</v>
      </c>
      <c r="U570" s="447">
        <f>IFERROR(__xludf.DUMMYFUNCTION("""COMPUTED_VALUE"""),1.0)</f>
        <v>1</v>
      </c>
      <c r="V570" s="447">
        <f>IFERROR(__xludf.DUMMYFUNCTION("""COMPUTED_VALUE"""),2.0)</f>
        <v>2</v>
      </c>
      <c r="W570" s="447">
        <f>IFERROR(__xludf.DUMMYFUNCTION("""COMPUTED_VALUE"""),0.0)</f>
        <v>0</v>
      </c>
      <c r="X570" s="447">
        <f>IFERROR(__xludf.DUMMYFUNCTION("""COMPUTED_VALUE"""),1.0)</f>
        <v>1</v>
      </c>
      <c r="Y570" s="447">
        <f>IFERROR(__xludf.DUMMYFUNCTION("""COMPUTED_VALUE"""),0.0)</f>
        <v>0</v>
      </c>
      <c r="Z570" s="447">
        <f>IFERROR(__xludf.DUMMYFUNCTION("""COMPUTED_VALUE"""),0.0)</f>
        <v>0</v>
      </c>
      <c r="AA570" s="447">
        <f>IFERROR(__xludf.DUMMYFUNCTION("""COMPUTED_VALUE"""),0.0)</f>
        <v>0</v>
      </c>
      <c r="AB570" s="447">
        <f>IFERROR(__xludf.DUMMYFUNCTION("""COMPUTED_VALUE"""),0.0)</f>
        <v>0</v>
      </c>
      <c r="AC570" s="447">
        <f>IFERROR(__xludf.DUMMYFUNCTION("""COMPUTED_VALUE"""),0.0)</f>
        <v>0</v>
      </c>
      <c r="AD570" s="447">
        <f>IFERROR(__xludf.DUMMYFUNCTION("""COMPUTED_VALUE"""),46.0)</f>
        <v>46</v>
      </c>
      <c r="AE570" s="447">
        <f>IFERROR(__xludf.DUMMYFUNCTION("""COMPUTED_VALUE"""),9.0)</f>
        <v>9</v>
      </c>
      <c r="AF570" s="447">
        <f>IFERROR(__xludf.DUMMYFUNCTION("""COMPUTED_VALUE"""),1.0)</f>
        <v>1</v>
      </c>
      <c r="AG570" s="443" t="s">
        <v>127</v>
      </c>
      <c r="AH570" s="443" t="s">
        <v>961</v>
      </c>
      <c r="AI570" s="443"/>
      <c r="AJ570" s="443"/>
      <c r="AK570" s="443"/>
      <c r="AL570" s="443"/>
      <c r="AM570" s="443"/>
      <c r="AN570" s="443"/>
      <c r="AO570" s="443"/>
      <c r="AP570" s="443"/>
      <c r="AQ570" s="443"/>
      <c r="AR570" s="443"/>
      <c r="AS570" s="443"/>
      <c r="AT570" s="443"/>
      <c r="AU570" s="443"/>
      <c r="AV570" s="443"/>
      <c r="AW570" s="443"/>
      <c r="AX570" s="443"/>
      <c r="AY570" s="443"/>
      <c r="AZ570" s="443"/>
      <c r="BA570" s="443"/>
      <c r="BB570" s="443"/>
      <c r="BC570" s="443"/>
      <c r="BD570" s="443"/>
      <c r="BE570" s="443"/>
    </row>
    <row r="571" hidden="1">
      <c r="A571" s="445">
        <f t="shared" si="5"/>
        <v>45861</v>
      </c>
      <c r="B571" s="449">
        <v>482.0</v>
      </c>
      <c r="C571" s="462">
        <v>0.6416666666666667</v>
      </c>
      <c r="D571" s="462">
        <v>1.0020833333333334</v>
      </c>
      <c r="E571" s="436">
        <f t="array" ref="E571">IF(B571=0,"",(J571+K571)/60)</f>
        <v>1.966666667</v>
      </c>
      <c r="F571" s="437">
        <f t="shared" si="1"/>
        <v>8.65</v>
      </c>
      <c r="G571" s="438">
        <f t="shared" si="9"/>
        <v>55.72254335</v>
      </c>
      <c r="H571" s="438">
        <f t="shared" si="3"/>
        <v>72.11970075</v>
      </c>
      <c r="I571" s="436">
        <f t="shared" si="6"/>
        <v>1.211359638</v>
      </c>
      <c r="J571" s="460">
        <v>0.0</v>
      </c>
      <c r="K571" s="464">
        <f>70+5+8+12+23</f>
        <v>118</v>
      </c>
      <c r="L571" s="443"/>
      <c r="M571" s="447">
        <f>IFERROR(__xludf.DUMMYFUNCTION("""COMPUTED_VALUE"""),57.0)</f>
        <v>57</v>
      </c>
      <c r="N571" s="447">
        <f>IFERROR(__xludf.DUMMYFUNCTION("""COMPUTED_VALUE"""),56.0)</f>
        <v>56</v>
      </c>
      <c r="O571" s="447">
        <f>IFERROR(__xludf.DUMMYFUNCTION("""COMPUTED_VALUE"""),0.0)</f>
        <v>0</v>
      </c>
      <c r="P571" s="447">
        <f>IFERROR(__xludf.DUMMYFUNCTION("""COMPUTED_VALUE"""),0.0)</f>
        <v>0</v>
      </c>
      <c r="Q571" s="447">
        <f>IFERROR(__xludf.DUMMYFUNCTION("""COMPUTED_VALUE"""),0.0)</f>
        <v>0</v>
      </c>
      <c r="R571" s="447">
        <f>IFERROR(__xludf.DUMMYFUNCTION("""COMPUTED_VALUE"""),0.0)</f>
        <v>0</v>
      </c>
      <c r="S571" s="447">
        <f>IFERROR(__xludf.DUMMYFUNCTION("""COMPUTED_VALUE"""),4.0)</f>
        <v>4</v>
      </c>
      <c r="T571" s="447">
        <f>IFERROR(__xludf.DUMMYFUNCTION("""COMPUTED_VALUE"""),0.0)</f>
        <v>0</v>
      </c>
      <c r="U571" s="447">
        <f>IFERROR(__xludf.DUMMYFUNCTION("""COMPUTED_VALUE"""),1.0)</f>
        <v>1</v>
      </c>
      <c r="V571" s="447">
        <f>IFERROR(__xludf.DUMMYFUNCTION("""COMPUTED_VALUE"""),2.0)</f>
        <v>2</v>
      </c>
      <c r="W571" s="447">
        <f>IFERROR(__xludf.DUMMYFUNCTION("""COMPUTED_VALUE"""),1.0)</f>
        <v>1</v>
      </c>
      <c r="X571" s="447">
        <f>IFERROR(__xludf.DUMMYFUNCTION("""COMPUTED_VALUE"""),1.0)</f>
        <v>1</v>
      </c>
      <c r="Y571" s="447">
        <f>IFERROR(__xludf.DUMMYFUNCTION("""COMPUTED_VALUE"""),0.0)</f>
        <v>0</v>
      </c>
      <c r="Z571" s="447">
        <f>IFERROR(__xludf.DUMMYFUNCTION("""COMPUTED_VALUE"""),0.0)</f>
        <v>0</v>
      </c>
      <c r="AA571" s="447">
        <f>IFERROR(__xludf.DUMMYFUNCTION("""COMPUTED_VALUE"""),0.0)</f>
        <v>0</v>
      </c>
      <c r="AB571" s="447">
        <f>IFERROR(__xludf.DUMMYFUNCTION("""COMPUTED_VALUE"""),0.0)</f>
        <v>0</v>
      </c>
      <c r="AC571" s="447">
        <f>IFERROR(__xludf.DUMMYFUNCTION("""COMPUTED_VALUE"""),0.0)</f>
        <v>0</v>
      </c>
      <c r="AD571" s="447">
        <f>IFERROR(__xludf.DUMMYFUNCTION("""COMPUTED_VALUE"""),46.0)</f>
        <v>46</v>
      </c>
      <c r="AE571" s="447">
        <f>IFERROR(__xludf.DUMMYFUNCTION("""COMPUTED_VALUE"""),9.0)</f>
        <v>9</v>
      </c>
      <c r="AF571" s="447">
        <f>IFERROR(__xludf.DUMMYFUNCTION("""COMPUTED_VALUE"""),1.0)</f>
        <v>1</v>
      </c>
      <c r="AG571" s="443" t="s">
        <v>127</v>
      </c>
      <c r="AH571" s="443" t="s">
        <v>961</v>
      </c>
      <c r="AI571" s="443"/>
      <c r="AJ571" s="443"/>
      <c r="AK571" s="443"/>
      <c r="AL571" s="443"/>
      <c r="AM571" s="443"/>
      <c r="AN571" s="443"/>
      <c r="AO571" s="443"/>
      <c r="AP571" s="443"/>
      <c r="AQ571" s="443"/>
      <c r="AR571" s="443"/>
      <c r="AS571" s="443"/>
      <c r="AT571" s="443"/>
      <c r="AU571" s="443"/>
      <c r="AV571" s="443"/>
      <c r="AW571" s="443"/>
      <c r="AX571" s="443"/>
      <c r="AY571" s="443"/>
      <c r="AZ571" s="443"/>
      <c r="BA571" s="443"/>
      <c r="BB571" s="443"/>
      <c r="BC571" s="443"/>
      <c r="BD571" s="443"/>
      <c r="BE571" s="443"/>
    </row>
    <row r="572" hidden="1">
      <c r="A572" s="445">
        <f t="shared" si="5"/>
        <v>45862</v>
      </c>
      <c r="B572" s="449">
        <v>459.0</v>
      </c>
      <c r="C572" s="462">
        <v>0.6</v>
      </c>
      <c r="D572" s="462">
        <v>0.91875</v>
      </c>
      <c r="E572" s="436">
        <f t="array" ref="E572">IF(B572=0,"",(J572+K572)/60)</f>
        <v>0.5</v>
      </c>
      <c r="F572" s="437">
        <f t="shared" si="1"/>
        <v>7.65</v>
      </c>
      <c r="G572" s="438">
        <f t="shared" si="9"/>
        <v>60</v>
      </c>
      <c r="H572" s="438">
        <f t="shared" si="3"/>
        <v>64.1958042</v>
      </c>
      <c r="I572" s="436">
        <f t="shared" si="6"/>
        <v>1.333333333</v>
      </c>
      <c r="J572" s="460">
        <v>30.0</v>
      </c>
      <c r="K572" s="464"/>
      <c r="L572" s="443"/>
      <c r="M572" s="447">
        <f>IFERROR(__xludf.DUMMYFUNCTION("""COMPUTED_VALUE"""),57.0)</f>
        <v>57</v>
      </c>
      <c r="N572" s="447">
        <f>IFERROR(__xludf.DUMMYFUNCTION("""COMPUTED_VALUE"""),56.0)</f>
        <v>56</v>
      </c>
      <c r="O572" s="447">
        <f>IFERROR(__xludf.DUMMYFUNCTION("""COMPUTED_VALUE"""),0.0)</f>
        <v>0</v>
      </c>
      <c r="P572" s="447">
        <f>IFERROR(__xludf.DUMMYFUNCTION("""COMPUTED_VALUE"""),0.0)</f>
        <v>0</v>
      </c>
      <c r="Q572" s="447">
        <f>IFERROR(__xludf.DUMMYFUNCTION("""COMPUTED_VALUE"""),0.0)</f>
        <v>0</v>
      </c>
      <c r="R572" s="447">
        <f>IFERROR(__xludf.DUMMYFUNCTION("""COMPUTED_VALUE"""),0.0)</f>
        <v>0</v>
      </c>
      <c r="S572" s="447">
        <f>IFERROR(__xludf.DUMMYFUNCTION("""COMPUTED_VALUE"""),5.0)</f>
        <v>5</v>
      </c>
      <c r="T572" s="447">
        <f>IFERROR(__xludf.DUMMYFUNCTION("""COMPUTED_VALUE"""),0.0)</f>
        <v>0</v>
      </c>
      <c r="U572" s="447">
        <f>IFERROR(__xludf.DUMMYFUNCTION("""COMPUTED_VALUE"""),1.0)</f>
        <v>1</v>
      </c>
      <c r="V572" s="447">
        <f>IFERROR(__xludf.DUMMYFUNCTION("""COMPUTED_VALUE"""),2.0)</f>
        <v>2</v>
      </c>
      <c r="W572" s="447">
        <f>IFERROR(__xludf.DUMMYFUNCTION("""COMPUTED_VALUE"""),0.0)</f>
        <v>0</v>
      </c>
      <c r="X572" s="447">
        <f>IFERROR(__xludf.DUMMYFUNCTION("""COMPUTED_VALUE"""),1.0)</f>
        <v>1</v>
      </c>
      <c r="Y572" s="447">
        <f>IFERROR(__xludf.DUMMYFUNCTION("""COMPUTED_VALUE"""),0.0)</f>
        <v>0</v>
      </c>
      <c r="Z572" s="447">
        <f>IFERROR(__xludf.DUMMYFUNCTION("""COMPUTED_VALUE"""),0.0)</f>
        <v>0</v>
      </c>
      <c r="AA572" s="447">
        <f>IFERROR(__xludf.DUMMYFUNCTION("""COMPUTED_VALUE"""),0.0)</f>
        <v>0</v>
      </c>
      <c r="AB572" s="447">
        <f>IFERROR(__xludf.DUMMYFUNCTION("""COMPUTED_VALUE"""),0.0)</f>
        <v>0</v>
      </c>
      <c r="AC572" s="447">
        <f>IFERROR(__xludf.DUMMYFUNCTION("""COMPUTED_VALUE"""),1.0)</f>
        <v>1</v>
      </c>
      <c r="AD572" s="447">
        <f>IFERROR(__xludf.DUMMYFUNCTION("""COMPUTED_VALUE"""),45.0)</f>
        <v>45</v>
      </c>
      <c r="AE572" s="447">
        <f>IFERROR(__xludf.DUMMYFUNCTION("""COMPUTED_VALUE"""),10.0)</f>
        <v>10</v>
      </c>
      <c r="AF572" s="447">
        <f>IFERROR(__xludf.DUMMYFUNCTION("""COMPUTED_VALUE"""),1.0)</f>
        <v>1</v>
      </c>
      <c r="AG572" s="443" t="s">
        <v>127</v>
      </c>
      <c r="AH572" s="443" t="s">
        <v>961</v>
      </c>
      <c r="AI572" s="443"/>
      <c r="AJ572" s="443"/>
      <c r="AK572" s="443"/>
      <c r="AL572" s="443"/>
      <c r="AM572" s="443"/>
      <c r="AN572" s="443"/>
      <c r="AO572" s="443"/>
      <c r="AP572" s="443"/>
      <c r="AQ572" s="443"/>
      <c r="AR572" s="443"/>
      <c r="AS572" s="443"/>
      <c r="AT572" s="443"/>
      <c r="AU572" s="443"/>
      <c r="AV572" s="443"/>
      <c r="AW572" s="443"/>
      <c r="AX572" s="443"/>
      <c r="AY572" s="443"/>
      <c r="AZ572" s="443"/>
      <c r="BA572" s="443"/>
      <c r="BB572" s="443"/>
      <c r="BC572" s="443"/>
      <c r="BD572" s="443"/>
      <c r="BE572" s="443"/>
    </row>
    <row r="573" hidden="1">
      <c r="A573" s="445">
        <f t="shared" si="5"/>
        <v>45863</v>
      </c>
      <c r="B573" s="449">
        <v>431.0</v>
      </c>
      <c r="C573" s="462">
        <v>0.6416666666666667</v>
      </c>
      <c r="D573" s="462">
        <v>0.9493055555555555</v>
      </c>
      <c r="E573" s="436">
        <f t="array" ref="E573">IF(B573=0,"",(J573+K573)/60)</f>
        <v>0.75</v>
      </c>
      <c r="F573" s="437">
        <f t="shared" si="1"/>
        <v>7.383333333</v>
      </c>
      <c r="G573" s="438">
        <f t="shared" si="9"/>
        <v>58.37471783</v>
      </c>
      <c r="H573" s="438">
        <f t="shared" si="3"/>
        <v>64.97487437</v>
      </c>
      <c r="I573" s="436">
        <f t="shared" si="6"/>
        <v>1.297215952</v>
      </c>
      <c r="J573" s="460">
        <v>30.0</v>
      </c>
      <c r="K573" s="464">
        <f>5+10</f>
        <v>15</v>
      </c>
      <c r="L573" s="443"/>
      <c r="M573" s="447">
        <f>IFERROR(__xludf.DUMMYFUNCTION("""COMPUTED_VALUE"""),57.0)</f>
        <v>57</v>
      </c>
      <c r="N573" s="447">
        <f>IFERROR(__xludf.DUMMYFUNCTION("""COMPUTED_VALUE"""),56.0)</f>
        <v>56</v>
      </c>
      <c r="O573" s="447">
        <f>IFERROR(__xludf.DUMMYFUNCTION("""COMPUTED_VALUE"""),0.0)</f>
        <v>0</v>
      </c>
      <c r="P573" s="447">
        <f>IFERROR(__xludf.DUMMYFUNCTION("""COMPUTED_VALUE"""),0.0)</f>
        <v>0</v>
      </c>
      <c r="Q573" s="447">
        <f>IFERROR(__xludf.DUMMYFUNCTION("""COMPUTED_VALUE"""),0.0)</f>
        <v>0</v>
      </c>
      <c r="R573" s="447">
        <f>IFERROR(__xludf.DUMMYFUNCTION("""COMPUTED_VALUE"""),0.0)</f>
        <v>0</v>
      </c>
      <c r="S573" s="447">
        <f>IFERROR(__xludf.DUMMYFUNCTION("""COMPUTED_VALUE"""),6.0)</f>
        <v>6</v>
      </c>
      <c r="T573" s="447">
        <f>IFERROR(__xludf.DUMMYFUNCTION("""COMPUTED_VALUE"""),0.0)</f>
        <v>0</v>
      </c>
      <c r="U573" s="447">
        <f>IFERROR(__xludf.DUMMYFUNCTION("""COMPUTED_VALUE"""),1.0)</f>
        <v>1</v>
      </c>
      <c r="V573" s="447">
        <f>IFERROR(__xludf.DUMMYFUNCTION("""COMPUTED_VALUE"""),2.0)</f>
        <v>2</v>
      </c>
      <c r="W573" s="447">
        <f>IFERROR(__xludf.DUMMYFUNCTION("""COMPUTED_VALUE"""),0.0)</f>
        <v>0</v>
      </c>
      <c r="X573" s="447">
        <f>IFERROR(__xludf.DUMMYFUNCTION("""COMPUTED_VALUE"""),1.0)</f>
        <v>1</v>
      </c>
      <c r="Y573" s="447">
        <f>IFERROR(__xludf.DUMMYFUNCTION("""COMPUTED_VALUE"""),0.0)</f>
        <v>0</v>
      </c>
      <c r="Z573" s="447">
        <f>IFERROR(__xludf.DUMMYFUNCTION("""COMPUTED_VALUE"""),0.0)</f>
        <v>0</v>
      </c>
      <c r="AA573" s="447">
        <f>IFERROR(__xludf.DUMMYFUNCTION("""COMPUTED_VALUE"""),0.0)</f>
        <v>0</v>
      </c>
      <c r="AB573" s="447">
        <f>IFERROR(__xludf.DUMMYFUNCTION("""COMPUTED_VALUE"""),0.0)</f>
        <v>0</v>
      </c>
      <c r="AC573" s="447">
        <f>IFERROR(__xludf.DUMMYFUNCTION("""COMPUTED_VALUE"""),0.0)</f>
        <v>0</v>
      </c>
      <c r="AD573" s="447">
        <f>IFERROR(__xludf.DUMMYFUNCTION("""COMPUTED_VALUE"""),45.0)</f>
        <v>45</v>
      </c>
      <c r="AE573" s="447">
        <f>IFERROR(__xludf.DUMMYFUNCTION("""COMPUTED_VALUE"""),10.0)</f>
        <v>10</v>
      </c>
      <c r="AF573" s="447">
        <f>IFERROR(__xludf.DUMMYFUNCTION("""COMPUTED_VALUE"""),1.0)</f>
        <v>1</v>
      </c>
      <c r="AG573" s="443" t="s">
        <v>127</v>
      </c>
      <c r="AH573" s="443" t="s">
        <v>961</v>
      </c>
      <c r="AI573" s="443"/>
      <c r="AJ573" s="443"/>
      <c r="AK573" s="443"/>
      <c r="AL573" s="443"/>
      <c r="AM573" s="443"/>
      <c r="AN573" s="443"/>
      <c r="AO573" s="443"/>
      <c r="AP573" s="443"/>
      <c r="AQ573" s="443"/>
      <c r="AR573" s="443"/>
      <c r="AS573" s="443"/>
      <c r="AT573" s="443"/>
      <c r="AU573" s="443"/>
      <c r="AV573" s="443"/>
      <c r="AW573" s="443"/>
      <c r="AX573" s="443"/>
      <c r="AY573" s="443"/>
      <c r="AZ573" s="443"/>
      <c r="BA573" s="443"/>
      <c r="BB573" s="443"/>
      <c r="BC573" s="443"/>
      <c r="BD573" s="443"/>
      <c r="BE573" s="443"/>
    </row>
    <row r="574" hidden="1">
      <c r="A574" s="445">
        <f t="shared" si="5"/>
        <v>45864</v>
      </c>
      <c r="B574" s="449">
        <v>291.0</v>
      </c>
      <c r="C574" s="462">
        <v>0.6</v>
      </c>
      <c r="D574" s="462">
        <v>0.7916666666666666</v>
      </c>
      <c r="E574" s="436">
        <f t="array" ref="E574">IF(B574=0,"",(J574+K574)/60)</f>
        <v>0</v>
      </c>
      <c r="F574" s="437">
        <f t="shared" si="1"/>
        <v>4.6</v>
      </c>
      <c r="G574" s="438">
        <f t="shared" si="9"/>
        <v>63.26086957</v>
      </c>
      <c r="H574" s="438">
        <f t="shared" si="3"/>
        <v>63.26086957</v>
      </c>
      <c r="I574" s="436">
        <f t="shared" si="6"/>
        <v>1.265217391</v>
      </c>
      <c r="J574" s="464"/>
      <c r="K574" s="464"/>
      <c r="L574" s="443"/>
      <c r="M574" s="447">
        <f>IFERROR(__xludf.DUMMYFUNCTION("""COMPUTED_VALUE"""),57.0)</f>
        <v>57</v>
      </c>
      <c r="N574" s="447">
        <f>IFERROR(__xludf.DUMMYFUNCTION("""COMPUTED_VALUE"""),56.0)</f>
        <v>56</v>
      </c>
      <c r="O574" s="447">
        <f>IFERROR(__xludf.DUMMYFUNCTION("""COMPUTED_VALUE"""),0.0)</f>
        <v>0</v>
      </c>
      <c r="P574" s="447">
        <f>IFERROR(__xludf.DUMMYFUNCTION("""COMPUTED_VALUE"""),0.0)</f>
        <v>0</v>
      </c>
      <c r="Q574" s="447">
        <f>IFERROR(__xludf.DUMMYFUNCTION("""COMPUTED_VALUE"""),0.0)</f>
        <v>0</v>
      </c>
      <c r="R574" s="447">
        <f>IFERROR(__xludf.DUMMYFUNCTION("""COMPUTED_VALUE"""),0.0)</f>
        <v>0</v>
      </c>
      <c r="S574" s="447">
        <f>IFERROR(__xludf.DUMMYFUNCTION("""COMPUTED_VALUE"""),2.0)</f>
        <v>2</v>
      </c>
      <c r="T574" s="447">
        <f>IFERROR(__xludf.DUMMYFUNCTION("""COMPUTED_VALUE"""),0.0)</f>
        <v>0</v>
      </c>
      <c r="U574" s="447">
        <f>IFERROR(__xludf.DUMMYFUNCTION("""COMPUTED_VALUE"""),1.0)</f>
        <v>1</v>
      </c>
      <c r="V574" s="447">
        <f>IFERROR(__xludf.DUMMYFUNCTION("""COMPUTED_VALUE"""),1.0)</f>
        <v>1</v>
      </c>
      <c r="W574" s="447">
        <f>IFERROR(__xludf.DUMMYFUNCTION("""COMPUTED_VALUE"""),0.0)</f>
        <v>0</v>
      </c>
      <c r="X574" s="447">
        <f>IFERROR(__xludf.DUMMYFUNCTION("""COMPUTED_VALUE"""),1.0)</f>
        <v>1</v>
      </c>
      <c r="Y574" s="447">
        <f>IFERROR(__xludf.DUMMYFUNCTION("""COMPUTED_VALUE"""),0.0)</f>
        <v>0</v>
      </c>
      <c r="Z574" s="447">
        <f>IFERROR(__xludf.DUMMYFUNCTION("""COMPUTED_VALUE"""),0.0)</f>
        <v>0</v>
      </c>
      <c r="AA574" s="447">
        <f>IFERROR(__xludf.DUMMYFUNCTION("""COMPUTED_VALUE"""),0.0)</f>
        <v>0</v>
      </c>
      <c r="AB574" s="447">
        <f>IFERROR(__xludf.DUMMYFUNCTION("""COMPUTED_VALUE"""),0.0)</f>
        <v>0</v>
      </c>
      <c r="AC574" s="447">
        <f>IFERROR(__xludf.DUMMYFUNCTION("""COMPUTED_VALUE"""),0.0)</f>
        <v>0</v>
      </c>
      <c r="AD574" s="447">
        <f>IFERROR(__xludf.DUMMYFUNCTION("""COMPUTED_VALUE"""),50.0)</f>
        <v>50</v>
      </c>
      <c r="AE574" s="447">
        <f>IFERROR(__xludf.DUMMYFUNCTION("""COMPUTED_VALUE"""),5.0)</f>
        <v>5</v>
      </c>
      <c r="AF574" s="447">
        <f>IFERROR(__xludf.DUMMYFUNCTION("""COMPUTED_VALUE"""),1.0)</f>
        <v>1</v>
      </c>
      <c r="AG574" s="443" t="s">
        <v>127</v>
      </c>
      <c r="AH574" s="443" t="s">
        <v>961</v>
      </c>
      <c r="AI574" s="443"/>
      <c r="AJ574" s="443"/>
      <c r="AK574" s="443"/>
      <c r="AL574" s="443"/>
      <c r="AM574" s="443"/>
      <c r="AN574" s="443"/>
      <c r="AO574" s="443"/>
      <c r="AP574" s="443"/>
      <c r="AQ574" s="443"/>
      <c r="AR574" s="443"/>
      <c r="AS574" s="443"/>
      <c r="AT574" s="443"/>
      <c r="AU574" s="443"/>
      <c r="AV574" s="443"/>
      <c r="AW574" s="443"/>
      <c r="AX574" s="443"/>
      <c r="AY574" s="443"/>
      <c r="AZ574" s="443"/>
      <c r="BA574" s="443"/>
      <c r="BB574" s="443"/>
      <c r="BC574" s="443"/>
      <c r="BD574" s="443"/>
      <c r="BE574" s="443"/>
    </row>
    <row r="575" hidden="1">
      <c r="A575" s="445">
        <f t="shared" si="5"/>
        <v>45865</v>
      </c>
      <c r="B575" s="449">
        <v>0.0</v>
      </c>
      <c r="C575" s="443"/>
      <c r="D575" s="462"/>
      <c r="E575" s="436" t="str">
        <f t="array" ref="E575">IF(B575=0,"",(J575+K575)/60)</f>
        <v/>
      </c>
      <c r="F575" s="437" t="str">
        <f t="shared" si="1"/>
        <v/>
      </c>
      <c r="G575" s="438" t="str">
        <f t="shared" si="9"/>
        <v>#DIV/0!</v>
      </c>
      <c r="H575" s="438" t="str">
        <f t="shared" si="3"/>
        <v/>
      </c>
      <c r="I575" s="436" t="str">
        <f t="shared" si="6"/>
        <v/>
      </c>
      <c r="J575" s="464"/>
      <c r="K575" s="464"/>
      <c r="L575" s="443"/>
      <c r="M575" s="447">
        <f>IFERROR(__xludf.DUMMYFUNCTION("""COMPUTED_VALUE"""),57.0)</f>
        <v>57</v>
      </c>
      <c r="N575" s="447">
        <f>IFERROR(__xludf.DUMMYFUNCTION("""COMPUTED_VALUE"""),57.0)</f>
        <v>57</v>
      </c>
      <c r="O575" s="447">
        <f>IFERROR(__xludf.DUMMYFUNCTION("""COMPUTED_VALUE"""),0.0)</f>
        <v>0</v>
      </c>
      <c r="P575" s="447">
        <f>IFERROR(__xludf.DUMMYFUNCTION("""COMPUTED_VALUE"""),0.0)</f>
        <v>0</v>
      </c>
      <c r="Q575" s="447">
        <f>IFERROR(__xludf.DUMMYFUNCTION("""COMPUTED_VALUE"""),0.0)</f>
        <v>0</v>
      </c>
      <c r="R575" s="447">
        <f>IFERROR(__xludf.DUMMYFUNCTION("""COMPUTED_VALUE"""),0.0)</f>
        <v>0</v>
      </c>
      <c r="S575" s="447">
        <f>IFERROR(__xludf.DUMMYFUNCTION("""COMPUTED_VALUE"""),0.0)</f>
        <v>0</v>
      </c>
      <c r="T575" s="447">
        <f>IFERROR(__xludf.DUMMYFUNCTION("""COMPUTED_VALUE"""),0.0)</f>
        <v>0</v>
      </c>
      <c r="U575" s="447">
        <f>IFERROR(__xludf.DUMMYFUNCTION("""COMPUTED_VALUE"""),0.0)</f>
        <v>0</v>
      </c>
      <c r="V575" s="447">
        <f>IFERROR(__xludf.DUMMYFUNCTION("""COMPUTED_VALUE"""),0.0)</f>
        <v>0</v>
      </c>
      <c r="W575" s="447">
        <f>IFERROR(__xludf.DUMMYFUNCTION("""COMPUTED_VALUE"""),0.0)</f>
        <v>0</v>
      </c>
      <c r="X575" s="447">
        <f>IFERROR(__xludf.DUMMYFUNCTION("""COMPUTED_VALUE"""),0.0)</f>
        <v>0</v>
      </c>
      <c r="Y575" s="447">
        <f>IFERROR(__xludf.DUMMYFUNCTION("""COMPUTED_VALUE"""),0.0)</f>
        <v>0</v>
      </c>
      <c r="Z575" s="447">
        <f>IFERROR(__xludf.DUMMYFUNCTION("""COMPUTED_VALUE"""),0.0)</f>
        <v>0</v>
      </c>
      <c r="AA575" s="447">
        <f>IFERROR(__xludf.DUMMYFUNCTION("""COMPUTED_VALUE"""),0.0)</f>
        <v>0</v>
      </c>
      <c r="AB575" s="447">
        <f>IFERROR(__xludf.DUMMYFUNCTION("""COMPUTED_VALUE"""),0.0)</f>
        <v>0</v>
      </c>
      <c r="AC575" s="447">
        <f>IFERROR(__xludf.DUMMYFUNCTION("""COMPUTED_VALUE"""),0.0)</f>
        <v>0</v>
      </c>
      <c r="AD575" s="447">
        <f>IFERROR(__xludf.DUMMYFUNCTION("""COMPUTED_VALUE"""),0.0)</f>
        <v>0</v>
      </c>
      <c r="AE575" s="447">
        <f>IFERROR(__xludf.DUMMYFUNCTION("""COMPUTED_VALUE"""),0.0)</f>
        <v>0</v>
      </c>
      <c r="AF575" s="447">
        <f>IFERROR(__xludf.DUMMYFUNCTION("""COMPUTED_VALUE"""),0.0)</f>
        <v>0</v>
      </c>
      <c r="AG575" s="443" t="s">
        <v>127</v>
      </c>
      <c r="AH575" s="443" t="s">
        <v>961</v>
      </c>
      <c r="AI575" s="443"/>
      <c r="AJ575" s="443"/>
      <c r="AK575" s="443"/>
      <c r="AL575" s="443"/>
      <c r="AM575" s="443"/>
      <c r="AN575" s="443"/>
      <c r="AO575" s="443"/>
      <c r="AP575" s="443"/>
      <c r="AQ575" s="443"/>
      <c r="AR575" s="443"/>
      <c r="AS575" s="443"/>
      <c r="AT575" s="443"/>
      <c r="AU575" s="443"/>
      <c r="AV575" s="443"/>
      <c r="AW575" s="443"/>
      <c r="AX575" s="443"/>
      <c r="AY575" s="443"/>
      <c r="AZ575" s="443"/>
      <c r="BA575" s="443"/>
      <c r="BB575" s="443"/>
      <c r="BC575" s="443"/>
      <c r="BD575" s="443"/>
      <c r="BE575" s="443"/>
    </row>
    <row r="576" hidden="1">
      <c r="A576" s="445">
        <f t="shared" si="5"/>
        <v>45866</v>
      </c>
      <c r="B576" s="449">
        <v>559.0</v>
      </c>
      <c r="C576" s="462">
        <v>0.6</v>
      </c>
      <c r="D576" s="462">
        <v>0.9631944444444445</v>
      </c>
      <c r="E576" s="436">
        <f t="array" ref="E576">IF(B576=0,"",(J576+K576)/60)</f>
        <v>0.45</v>
      </c>
      <c r="F576" s="437">
        <f t="shared" si="1"/>
        <v>8.716666667</v>
      </c>
      <c r="G576" s="438">
        <f t="shared" si="9"/>
        <v>64.13001912</v>
      </c>
      <c r="H576" s="438">
        <f t="shared" si="3"/>
        <v>67.62096774</v>
      </c>
      <c r="I576" s="436">
        <f t="shared" si="6"/>
        <v>1.282600382</v>
      </c>
      <c r="J576" s="460">
        <v>20.0</v>
      </c>
      <c r="K576" s="460">
        <v>7.0</v>
      </c>
      <c r="L576" s="443"/>
      <c r="M576" s="447">
        <f>IFERROR(__xludf.DUMMYFUNCTION("""COMPUTED_VALUE"""),57.0)</f>
        <v>57</v>
      </c>
      <c r="N576" s="447">
        <f>IFERROR(__xludf.DUMMYFUNCTION("""COMPUTED_VALUE"""),57.0)</f>
        <v>57</v>
      </c>
      <c r="O576" s="447">
        <f>IFERROR(__xludf.DUMMYFUNCTION("""COMPUTED_VALUE"""),0.0)</f>
        <v>0</v>
      </c>
      <c r="P576" s="447">
        <f>IFERROR(__xludf.DUMMYFUNCTION("""COMPUTED_VALUE"""),0.0)</f>
        <v>0</v>
      </c>
      <c r="Q576" s="447">
        <f>IFERROR(__xludf.DUMMYFUNCTION("""COMPUTED_VALUE"""),0.0)</f>
        <v>0</v>
      </c>
      <c r="R576" s="447">
        <f>IFERROR(__xludf.DUMMYFUNCTION("""COMPUTED_VALUE"""),0.0)</f>
        <v>0</v>
      </c>
      <c r="S576" s="447">
        <f>IFERROR(__xludf.DUMMYFUNCTION("""COMPUTED_VALUE"""),1.0)</f>
        <v>1</v>
      </c>
      <c r="T576" s="447">
        <f>IFERROR(__xludf.DUMMYFUNCTION("""COMPUTED_VALUE"""),0.0)</f>
        <v>0</v>
      </c>
      <c r="U576" s="447">
        <f>IFERROR(__xludf.DUMMYFUNCTION("""COMPUTED_VALUE"""),0.0)</f>
        <v>0</v>
      </c>
      <c r="V576" s="447">
        <f>IFERROR(__xludf.DUMMYFUNCTION("""COMPUTED_VALUE"""),1.0)</f>
        <v>1</v>
      </c>
      <c r="W576" s="447">
        <f>IFERROR(__xludf.DUMMYFUNCTION("""COMPUTED_VALUE"""),0.0)</f>
        <v>0</v>
      </c>
      <c r="X576" s="447">
        <f>IFERROR(__xludf.DUMMYFUNCTION("""COMPUTED_VALUE"""),1.0)</f>
        <v>1</v>
      </c>
      <c r="Y576" s="447">
        <f>IFERROR(__xludf.DUMMYFUNCTION("""COMPUTED_VALUE"""),0.0)</f>
        <v>0</v>
      </c>
      <c r="Z576" s="447">
        <f>IFERROR(__xludf.DUMMYFUNCTION("""COMPUTED_VALUE"""),0.0)</f>
        <v>0</v>
      </c>
      <c r="AA576" s="447">
        <f>IFERROR(__xludf.DUMMYFUNCTION("""COMPUTED_VALUE"""),0.0)</f>
        <v>0</v>
      </c>
      <c r="AB576" s="447">
        <f>IFERROR(__xludf.DUMMYFUNCTION("""COMPUTED_VALUE"""),1.0)</f>
        <v>1</v>
      </c>
      <c r="AC576" s="447">
        <f>IFERROR(__xludf.DUMMYFUNCTION("""COMPUTED_VALUE"""),1.0)</f>
        <v>1</v>
      </c>
      <c r="AD576" s="447">
        <f>IFERROR(__xludf.DUMMYFUNCTION("""COMPUTED_VALUE"""),50.0)</f>
        <v>50</v>
      </c>
      <c r="AE576" s="447">
        <f>IFERROR(__xludf.DUMMYFUNCTION("""COMPUTED_VALUE"""),4.0)</f>
        <v>4</v>
      </c>
      <c r="AF576" s="447">
        <f>IFERROR(__xludf.DUMMYFUNCTION("""COMPUTED_VALUE"""),0.0)</f>
        <v>0</v>
      </c>
      <c r="AG576" s="443" t="s">
        <v>127</v>
      </c>
      <c r="AH576" s="443" t="s">
        <v>961</v>
      </c>
      <c r="AI576" s="443"/>
      <c r="AJ576" s="443"/>
      <c r="AK576" s="443"/>
      <c r="AL576" s="443"/>
      <c r="AM576" s="443"/>
      <c r="AN576" s="443"/>
      <c r="AO576" s="443"/>
      <c r="AP576" s="443"/>
      <c r="AQ576" s="443"/>
      <c r="AR576" s="443"/>
      <c r="AS576" s="443"/>
      <c r="AT576" s="443"/>
      <c r="AU576" s="443"/>
      <c r="AV576" s="443"/>
      <c r="AW576" s="443"/>
      <c r="AX576" s="443"/>
      <c r="AY576" s="443"/>
      <c r="AZ576" s="443"/>
      <c r="BA576" s="443"/>
      <c r="BB576" s="443"/>
      <c r="BC576" s="443"/>
      <c r="BD576" s="443"/>
      <c r="BE576" s="443"/>
    </row>
    <row r="577" hidden="1">
      <c r="A577" s="445">
        <f t="shared" si="5"/>
        <v>45867</v>
      </c>
      <c r="B577" s="449">
        <v>521.0</v>
      </c>
      <c r="C577" s="462">
        <v>0.6</v>
      </c>
      <c r="D577" s="462">
        <v>0.9291666666666667</v>
      </c>
      <c r="E577" s="436">
        <f t="array" ref="E577">IF(B577=0,"",(J577+K577)/60)</f>
        <v>0.5</v>
      </c>
      <c r="F577" s="437">
        <f t="shared" si="1"/>
        <v>7.9</v>
      </c>
      <c r="G577" s="438">
        <f t="shared" si="9"/>
        <v>65.94936709</v>
      </c>
      <c r="H577" s="438">
        <f t="shared" si="3"/>
        <v>70.40540541</v>
      </c>
      <c r="I577" s="436">
        <f t="shared" si="6"/>
        <v>1.268257059</v>
      </c>
      <c r="J577" s="460">
        <v>30.0</v>
      </c>
      <c r="K577" s="464"/>
      <c r="L577" s="443"/>
      <c r="M577" s="447">
        <f>IFERROR(__xludf.DUMMYFUNCTION("""COMPUTED_VALUE"""),57.0)</f>
        <v>57</v>
      </c>
      <c r="N577" s="447">
        <f>IFERROR(__xludf.DUMMYFUNCTION("""COMPUTED_VALUE"""),57.0)</f>
        <v>57</v>
      </c>
      <c r="O577" s="447">
        <f>IFERROR(__xludf.DUMMYFUNCTION("""COMPUTED_VALUE"""),0.0)</f>
        <v>0</v>
      </c>
      <c r="P577" s="447">
        <f>IFERROR(__xludf.DUMMYFUNCTION("""COMPUTED_VALUE"""),0.0)</f>
        <v>0</v>
      </c>
      <c r="Q577" s="447">
        <f>IFERROR(__xludf.DUMMYFUNCTION("""COMPUTED_VALUE"""),0.0)</f>
        <v>0</v>
      </c>
      <c r="R577" s="447">
        <f>IFERROR(__xludf.DUMMYFUNCTION("""COMPUTED_VALUE"""),0.0)</f>
        <v>0</v>
      </c>
      <c r="S577" s="447">
        <f>IFERROR(__xludf.DUMMYFUNCTION("""COMPUTED_VALUE"""),0.0)</f>
        <v>0</v>
      </c>
      <c r="T577" s="447">
        <f>IFERROR(__xludf.DUMMYFUNCTION("""COMPUTED_VALUE"""),1.0)</f>
        <v>1</v>
      </c>
      <c r="U577" s="447">
        <f>IFERROR(__xludf.DUMMYFUNCTION("""COMPUTED_VALUE"""),0.0)</f>
        <v>0</v>
      </c>
      <c r="V577" s="447">
        <f>IFERROR(__xludf.DUMMYFUNCTION("""COMPUTED_VALUE"""),1.0)</f>
        <v>1</v>
      </c>
      <c r="W577" s="447">
        <f>IFERROR(__xludf.DUMMYFUNCTION("""COMPUTED_VALUE"""),0.0)</f>
        <v>0</v>
      </c>
      <c r="X577" s="447">
        <f>IFERROR(__xludf.DUMMYFUNCTION("""COMPUTED_VALUE"""),1.0)</f>
        <v>1</v>
      </c>
      <c r="Y577" s="447">
        <f>IFERROR(__xludf.DUMMYFUNCTION("""COMPUTED_VALUE"""),0.0)</f>
        <v>0</v>
      </c>
      <c r="Z577" s="447">
        <f>IFERROR(__xludf.DUMMYFUNCTION("""COMPUTED_VALUE"""),0.0)</f>
        <v>0</v>
      </c>
      <c r="AA577" s="447">
        <f>IFERROR(__xludf.DUMMYFUNCTION("""COMPUTED_VALUE"""),0.0)</f>
        <v>0</v>
      </c>
      <c r="AB577" s="447">
        <f>IFERROR(__xludf.DUMMYFUNCTION("""COMPUTED_VALUE"""),0.0)</f>
        <v>0</v>
      </c>
      <c r="AC577" s="447">
        <f>IFERROR(__xludf.DUMMYFUNCTION("""COMPUTED_VALUE"""),0.0)</f>
        <v>0</v>
      </c>
      <c r="AD577" s="447">
        <f>IFERROR(__xludf.DUMMYFUNCTION("""COMPUTED_VALUE"""),52.0)</f>
        <v>52</v>
      </c>
      <c r="AE577" s="447">
        <f>IFERROR(__xludf.DUMMYFUNCTION("""COMPUTED_VALUE"""),3.0)</f>
        <v>3</v>
      </c>
      <c r="AF577" s="447">
        <f>IFERROR(__xludf.DUMMYFUNCTION("""COMPUTED_VALUE"""),0.0)</f>
        <v>0</v>
      </c>
      <c r="AG577" s="443" t="s">
        <v>127</v>
      </c>
      <c r="AH577" s="443" t="s">
        <v>961</v>
      </c>
      <c r="AI577" s="443"/>
      <c r="AJ577" s="443"/>
      <c r="AK577" s="443"/>
      <c r="AL577" s="443"/>
      <c r="AM577" s="443"/>
      <c r="AN577" s="443"/>
      <c r="AO577" s="443"/>
      <c r="AP577" s="443"/>
      <c r="AQ577" s="443"/>
      <c r="AR577" s="443"/>
      <c r="AS577" s="443"/>
      <c r="AT577" s="443"/>
      <c r="AU577" s="443"/>
      <c r="AV577" s="443"/>
      <c r="AW577" s="443"/>
      <c r="AX577" s="443"/>
      <c r="AY577" s="443"/>
      <c r="AZ577" s="443"/>
      <c r="BA577" s="443"/>
      <c r="BB577" s="443"/>
      <c r="BC577" s="443"/>
      <c r="BD577" s="443"/>
      <c r="BE577" s="443"/>
    </row>
    <row r="578" hidden="1">
      <c r="A578" s="445">
        <f t="shared" si="5"/>
        <v>45868</v>
      </c>
      <c r="B578" s="449">
        <v>407.0</v>
      </c>
      <c r="C578" s="462">
        <v>0.6</v>
      </c>
      <c r="D578" s="462">
        <v>0.8819444444444444</v>
      </c>
      <c r="E578" s="436">
        <f t="array" ref="E578">IF(B578=0,"",(J578+K578)/60)</f>
        <v>0.85</v>
      </c>
      <c r="F578" s="437">
        <f t="shared" si="1"/>
        <v>6.766666667</v>
      </c>
      <c r="G578" s="438">
        <f t="shared" si="9"/>
        <v>60.14778325</v>
      </c>
      <c r="H578" s="438">
        <f t="shared" si="3"/>
        <v>68.78873239</v>
      </c>
      <c r="I578" s="436">
        <f t="shared" si="6"/>
        <v>1.156688139</v>
      </c>
      <c r="J578" s="460">
        <v>30.0</v>
      </c>
      <c r="K578" s="460">
        <v>21.0</v>
      </c>
      <c r="L578" s="443"/>
      <c r="M578" s="447">
        <f>IFERROR(__xludf.DUMMYFUNCTION("""COMPUTED_VALUE"""),57.0)</f>
        <v>57</v>
      </c>
      <c r="N578" s="447">
        <f>IFERROR(__xludf.DUMMYFUNCTION("""COMPUTED_VALUE"""),57.0)</f>
        <v>57</v>
      </c>
      <c r="O578" s="447">
        <f>IFERROR(__xludf.DUMMYFUNCTION("""COMPUTED_VALUE"""),0.0)</f>
        <v>0</v>
      </c>
      <c r="P578" s="447">
        <f>IFERROR(__xludf.DUMMYFUNCTION("""COMPUTED_VALUE"""),1.0)</f>
        <v>1</v>
      </c>
      <c r="Q578" s="447">
        <f>IFERROR(__xludf.DUMMYFUNCTION("""COMPUTED_VALUE"""),0.0)</f>
        <v>0</v>
      </c>
      <c r="R578" s="447">
        <f>IFERROR(__xludf.DUMMYFUNCTION("""COMPUTED_VALUE"""),0.0)</f>
        <v>0</v>
      </c>
      <c r="S578" s="447">
        <f>IFERROR(__xludf.DUMMYFUNCTION("""COMPUTED_VALUE"""),0.0)</f>
        <v>0</v>
      </c>
      <c r="T578" s="447">
        <f>IFERROR(__xludf.DUMMYFUNCTION("""COMPUTED_VALUE"""),0.0)</f>
        <v>0</v>
      </c>
      <c r="U578" s="447">
        <f>IFERROR(__xludf.DUMMYFUNCTION("""COMPUTED_VALUE"""),0.0)</f>
        <v>0</v>
      </c>
      <c r="V578" s="447">
        <f>IFERROR(__xludf.DUMMYFUNCTION("""COMPUTED_VALUE"""),1.0)</f>
        <v>1</v>
      </c>
      <c r="W578" s="447">
        <f>IFERROR(__xludf.DUMMYFUNCTION("""COMPUTED_VALUE"""),0.0)</f>
        <v>0</v>
      </c>
      <c r="X578" s="447">
        <f>IFERROR(__xludf.DUMMYFUNCTION("""COMPUTED_VALUE"""),1.0)</f>
        <v>1</v>
      </c>
      <c r="Y578" s="447">
        <f>IFERROR(__xludf.DUMMYFUNCTION("""COMPUTED_VALUE"""),0.0)</f>
        <v>0</v>
      </c>
      <c r="Z578" s="447">
        <f>IFERROR(__xludf.DUMMYFUNCTION("""COMPUTED_VALUE"""),0.0)</f>
        <v>0</v>
      </c>
      <c r="AA578" s="447">
        <f>IFERROR(__xludf.DUMMYFUNCTION("""COMPUTED_VALUE"""),0.0)</f>
        <v>0</v>
      </c>
      <c r="AB578" s="447">
        <f>IFERROR(__xludf.DUMMYFUNCTION("""COMPUTED_VALUE"""),0.0)</f>
        <v>0</v>
      </c>
      <c r="AC578" s="447">
        <f>IFERROR(__xludf.DUMMYFUNCTION("""COMPUTED_VALUE"""),0.0)</f>
        <v>0</v>
      </c>
      <c r="AD578" s="447">
        <f>IFERROR(__xludf.DUMMYFUNCTION("""COMPUTED_VALUE"""),52.0)</f>
        <v>52</v>
      </c>
      <c r="AE578" s="447">
        <f>IFERROR(__xludf.DUMMYFUNCTION("""COMPUTED_VALUE"""),3.0)</f>
        <v>3</v>
      </c>
      <c r="AF578" s="447">
        <f>IFERROR(__xludf.DUMMYFUNCTION("""COMPUTED_VALUE"""),0.0)</f>
        <v>0</v>
      </c>
      <c r="AG578" s="443" t="s">
        <v>127</v>
      </c>
      <c r="AH578" s="443" t="s">
        <v>961</v>
      </c>
      <c r="AI578" s="443"/>
      <c r="AJ578" s="443"/>
      <c r="AK578" s="443"/>
      <c r="AL578" s="443"/>
      <c r="AM578" s="443"/>
      <c r="AN578" s="443"/>
      <c r="AO578" s="443"/>
      <c r="AP578" s="443"/>
      <c r="AQ578" s="443"/>
      <c r="AR578" s="443"/>
      <c r="AS578" s="443"/>
      <c r="AT578" s="443"/>
      <c r="AU578" s="443"/>
      <c r="AV578" s="443"/>
      <c r="AW578" s="443"/>
      <c r="AX578" s="443"/>
      <c r="AY578" s="443"/>
      <c r="AZ578" s="443"/>
      <c r="BA578" s="443"/>
      <c r="BB578" s="443"/>
      <c r="BC578" s="443"/>
      <c r="BD578" s="443"/>
      <c r="BE578" s="443"/>
    </row>
    <row r="579" hidden="1">
      <c r="A579" s="445">
        <f t="shared" si="5"/>
        <v>45869</v>
      </c>
      <c r="B579" s="449">
        <v>364.0</v>
      </c>
      <c r="C579" s="462">
        <v>0.6</v>
      </c>
      <c r="D579" s="462">
        <v>0.8527777777777777</v>
      </c>
      <c r="E579" s="436">
        <f t="array" ref="E579">IF(B579=0,"",(J579+K579)/60)</f>
        <v>1.016666667</v>
      </c>
      <c r="F579" s="437">
        <f t="shared" si="1"/>
        <v>6.066666667</v>
      </c>
      <c r="G579" s="438">
        <f t="shared" si="9"/>
        <v>60</v>
      </c>
      <c r="H579" s="438">
        <f t="shared" si="3"/>
        <v>72.07920792</v>
      </c>
      <c r="I579" s="436">
        <f t="shared" si="6"/>
        <v>1.153846154</v>
      </c>
      <c r="J579" s="460">
        <v>30.0</v>
      </c>
      <c r="K579" s="460">
        <v>31.0</v>
      </c>
      <c r="L579" s="443"/>
      <c r="M579" s="447">
        <f>IFERROR(__xludf.DUMMYFUNCTION("""COMPUTED_VALUE"""),57.0)</f>
        <v>57</v>
      </c>
      <c r="N579" s="447">
        <f>IFERROR(__xludf.DUMMYFUNCTION("""COMPUTED_VALUE"""),57.0)</f>
        <v>57</v>
      </c>
      <c r="O579" s="447">
        <f>IFERROR(__xludf.DUMMYFUNCTION("""COMPUTED_VALUE"""),0.0)</f>
        <v>0</v>
      </c>
      <c r="P579" s="447">
        <f>IFERROR(__xludf.DUMMYFUNCTION("""COMPUTED_VALUE"""),1.0)</f>
        <v>1</v>
      </c>
      <c r="Q579" s="447">
        <f>IFERROR(__xludf.DUMMYFUNCTION("""COMPUTED_VALUE"""),0.0)</f>
        <v>0</v>
      </c>
      <c r="R579" s="447">
        <f>IFERROR(__xludf.DUMMYFUNCTION("""COMPUTED_VALUE"""),0.0)</f>
        <v>0</v>
      </c>
      <c r="S579" s="447">
        <f>IFERROR(__xludf.DUMMYFUNCTION("""COMPUTED_VALUE"""),0.0)</f>
        <v>0</v>
      </c>
      <c r="T579" s="447">
        <f>IFERROR(__xludf.DUMMYFUNCTION("""COMPUTED_VALUE"""),0.0)</f>
        <v>0</v>
      </c>
      <c r="U579" s="447">
        <f>IFERROR(__xludf.DUMMYFUNCTION("""COMPUTED_VALUE"""),0.0)</f>
        <v>0</v>
      </c>
      <c r="V579" s="447">
        <f>IFERROR(__xludf.DUMMYFUNCTION("""COMPUTED_VALUE"""),1.0)</f>
        <v>1</v>
      </c>
      <c r="W579" s="447">
        <f>IFERROR(__xludf.DUMMYFUNCTION("""COMPUTED_VALUE"""),0.0)</f>
        <v>0</v>
      </c>
      <c r="X579" s="447">
        <f>IFERROR(__xludf.DUMMYFUNCTION("""COMPUTED_VALUE"""),1.0)</f>
        <v>1</v>
      </c>
      <c r="Y579" s="447">
        <f>IFERROR(__xludf.DUMMYFUNCTION("""COMPUTED_VALUE"""),0.0)</f>
        <v>0</v>
      </c>
      <c r="Z579" s="447">
        <f>IFERROR(__xludf.DUMMYFUNCTION("""COMPUTED_VALUE"""),0.0)</f>
        <v>0</v>
      </c>
      <c r="AA579" s="447">
        <f>IFERROR(__xludf.DUMMYFUNCTION("""COMPUTED_VALUE"""),0.0)</f>
        <v>0</v>
      </c>
      <c r="AB579" s="447">
        <f>IFERROR(__xludf.DUMMYFUNCTION("""COMPUTED_VALUE"""),0.0)</f>
        <v>0</v>
      </c>
      <c r="AC579" s="447">
        <f>IFERROR(__xludf.DUMMYFUNCTION("""COMPUTED_VALUE"""),0.0)</f>
        <v>0</v>
      </c>
      <c r="AD579" s="447">
        <f>IFERROR(__xludf.DUMMYFUNCTION("""COMPUTED_VALUE"""),52.0)</f>
        <v>52</v>
      </c>
      <c r="AE579" s="447">
        <f>IFERROR(__xludf.DUMMYFUNCTION("""COMPUTED_VALUE"""),3.0)</f>
        <v>3</v>
      </c>
      <c r="AF579" s="447">
        <f>IFERROR(__xludf.DUMMYFUNCTION("""COMPUTED_VALUE"""),0.0)</f>
        <v>0</v>
      </c>
      <c r="AG579" s="443" t="s">
        <v>127</v>
      </c>
      <c r="AH579" s="443" t="s">
        <v>961</v>
      </c>
      <c r="AI579" s="443"/>
      <c r="AJ579" s="443"/>
      <c r="AK579" s="443"/>
      <c r="AL579" s="443"/>
      <c r="AM579" s="443"/>
      <c r="AN579" s="443"/>
      <c r="AO579" s="443"/>
      <c r="AP579" s="443"/>
      <c r="AQ579" s="443"/>
      <c r="AR579" s="443"/>
      <c r="AS579" s="443"/>
      <c r="AT579" s="443"/>
      <c r="AU579" s="443"/>
      <c r="AV579" s="443"/>
      <c r="AW579" s="443"/>
      <c r="AX579" s="443"/>
      <c r="AY579" s="443"/>
      <c r="AZ579" s="443"/>
      <c r="BA579" s="443"/>
      <c r="BB579" s="443"/>
      <c r="BC579" s="443"/>
      <c r="BD579" s="443"/>
      <c r="BE579" s="443"/>
    </row>
    <row r="580" hidden="1">
      <c r="A580" s="445">
        <f t="shared" si="5"/>
        <v>45870</v>
      </c>
      <c r="B580" s="449">
        <v>467.0</v>
      </c>
      <c r="C580" s="462">
        <v>0.6416666666666667</v>
      </c>
      <c r="D580" s="462">
        <v>0.9583333333333334</v>
      </c>
      <c r="E580" s="436">
        <f t="array" ref="E580">IF(B580=0,"",(J580+K580)/60)</f>
        <v>0.9666666667</v>
      </c>
      <c r="F580" s="437">
        <f t="shared" si="1"/>
        <v>7.6</v>
      </c>
      <c r="G580" s="438">
        <f t="shared" si="9"/>
        <v>61.44736842</v>
      </c>
      <c r="H580" s="438">
        <f t="shared" si="3"/>
        <v>70.40201005</v>
      </c>
      <c r="I580" s="436">
        <f t="shared" si="6"/>
        <v>1.228947368</v>
      </c>
      <c r="J580" s="460">
        <v>30.0</v>
      </c>
      <c r="K580" s="460">
        <v>28.0</v>
      </c>
      <c r="L580" s="443"/>
      <c r="M580" s="447">
        <f>IFERROR(__xludf.DUMMYFUNCTION("TRANSPOSE(IMPORTRANGE(""https://docs.google.com/spreadsheets/d/1CNeKSHTeNNJnfn5EymHwGg5Mkuk6EcepW7_9QkJxalc/edit#gid=1218471306"",""AGOSTO 2025!F2:AJ21""))"),57.0)</f>
        <v>57</v>
      </c>
      <c r="N580" s="447">
        <f>IFERROR(__xludf.DUMMYFUNCTION("""COMPUTED_VALUE"""),57.0)</f>
        <v>57</v>
      </c>
      <c r="O580" s="447">
        <f>IFERROR(__xludf.DUMMYFUNCTION("""COMPUTED_VALUE"""),0.0)</f>
        <v>0</v>
      </c>
      <c r="P580" s="447">
        <f>IFERROR(__xludf.DUMMYFUNCTION("""COMPUTED_VALUE"""),0.0)</f>
        <v>0</v>
      </c>
      <c r="Q580" s="447">
        <f>IFERROR(__xludf.DUMMYFUNCTION("""COMPUTED_VALUE"""),0.0)</f>
        <v>0</v>
      </c>
      <c r="R580" s="447">
        <f>IFERROR(__xludf.DUMMYFUNCTION("""COMPUTED_VALUE"""),0.0)</f>
        <v>0</v>
      </c>
      <c r="S580" s="447">
        <f>IFERROR(__xludf.DUMMYFUNCTION("""COMPUTED_VALUE"""),3.0)</f>
        <v>3</v>
      </c>
      <c r="T580" s="447">
        <f>IFERROR(__xludf.DUMMYFUNCTION("""COMPUTED_VALUE"""),0.0)</f>
        <v>0</v>
      </c>
      <c r="U580" s="447">
        <f>IFERROR(__xludf.DUMMYFUNCTION("""COMPUTED_VALUE"""),0.0)</f>
        <v>0</v>
      </c>
      <c r="V580" s="447">
        <f>IFERROR(__xludf.DUMMYFUNCTION("""COMPUTED_VALUE"""),1.0)</f>
        <v>1</v>
      </c>
      <c r="W580" s="447">
        <f>IFERROR(__xludf.DUMMYFUNCTION("""COMPUTED_VALUE"""),0.0)</f>
        <v>0</v>
      </c>
      <c r="X580" s="447">
        <f>IFERROR(__xludf.DUMMYFUNCTION("""COMPUTED_VALUE"""),1.0)</f>
        <v>1</v>
      </c>
      <c r="Y580" s="447">
        <f>IFERROR(__xludf.DUMMYFUNCTION("""COMPUTED_VALUE"""),0.0)</f>
        <v>0</v>
      </c>
      <c r="Z580" s="447">
        <f>IFERROR(__xludf.DUMMYFUNCTION("""COMPUTED_VALUE"""),0.0)</f>
        <v>0</v>
      </c>
      <c r="AA580" s="447">
        <f>IFERROR(__xludf.DUMMYFUNCTION("""COMPUTED_VALUE"""),0.0)</f>
        <v>0</v>
      </c>
      <c r="AB580" s="447">
        <f>IFERROR(__xludf.DUMMYFUNCTION("""COMPUTED_VALUE"""),0.0)</f>
        <v>0</v>
      </c>
      <c r="AC580" s="447">
        <f>IFERROR(__xludf.DUMMYFUNCTION("""COMPUTED_VALUE"""),0.0)</f>
        <v>0</v>
      </c>
      <c r="AD580" s="447">
        <f>IFERROR(__xludf.DUMMYFUNCTION("""COMPUTED_VALUE"""),50.0)</f>
        <v>50</v>
      </c>
      <c r="AE580" s="447">
        <f>IFERROR(__xludf.DUMMYFUNCTION("""COMPUTED_VALUE"""),5.0)</f>
        <v>5</v>
      </c>
      <c r="AF580" s="447">
        <f>IFERROR(__xludf.DUMMYFUNCTION("""COMPUTED_VALUE"""),0.0)</f>
        <v>0</v>
      </c>
      <c r="AG580" s="443" t="s">
        <v>129</v>
      </c>
      <c r="AH580" s="443" t="s">
        <v>961</v>
      </c>
      <c r="AI580" s="443"/>
      <c r="AJ580" s="443"/>
      <c r="AK580" s="443"/>
      <c r="AL580" s="443"/>
      <c r="AM580" s="443"/>
      <c r="AN580" s="443"/>
      <c r="AO580" s="443"/>
      <c r="AP580" s="443"/>
      <c r="AQ580" s="443"/>
      <c r="AR580" s="443"/>
      <c r="AS580" s="443"/>
      <c r="AT580" s="443"/>
      <c r="AU580" s="443"/>
      <c r="AV580" s="443"/>
      <c r="AW580" s="443"/>
      <c r="AX580" s="443"/>
      <c r="AY580" s="443"/>
      <c r="AZ580" s="443"/>
      <c r="BA580" s="443"/>
      <c r="BB580" s="443"/>
      <c r="BC580" s="443"/>
      <c r="BD580" s="443"/>
      <c r="BE580" s="443"/>
    </row>
    <row r="581" hidden="1">
      <c r="A581" s="445">
        <f t="shared" si="5"/>
        <v>45871</v>
      </c>
      <c r="B581" s="449">
        <v>201.0</v>
      </c>
      <c r="C581" s="462">
        <v>0.6416666666666667</v>
      </c>
      <c r="D581" s="462">
        <v>0.7840277777777778</v>
      </c>
      <c r="E581" s="436">
        <f t="array" ref="E581">IF(B581=0,"",(J581+K581)/60)</f>
        <v>0.1833333333</v>
      </c>
      <c r="F581" s="437">
        <f t="shared" si="1"/>
        <v>3.416666667</v>
      </c>
      <c r="G581" s="438">
        <f t="shared" si="9"/>
        <v>58.82926829</v>
      </c>
      <c r="H581" s="438">
        <f t="shared" si="3"/>
        <v>62.16494845</v>
      </c>
      <c r="I581" s="436">
        <f t="shared" si="6"/>
        <v>1.225609756</v>
      </c>
      <c r="J581" s="460">
        <v>0.0</v>
      </c>
      <c r="K581" s="460">
        <v>11.0</v>
      </c>
      <c r="L581" s="443"/>
      <c r="M581" s="447">
        <f>IFERROR(__xludf.DUMMYFUNCTION("""COMPUTED_VALUE"""),57.0)</f>
        <v>57</v>
      </c>
      <c r="N581" s="447">
        <f>IFERROR(__xludf.DUMMYFUNCTION("""COMPUTED_VALUE"""),57.0)</f>
        <v>57</v>
      </c>
      <c r="O581" s="447">
        <f>IFERROR(__xludf.DUMMYFUNCTION("""COMPUTED_VALUE"""),0.0)</f>
        <v>0</v>
      </c>
      <c r="P581" s="447">
        <f>IFERROR(__xludf.DUMMYFUNCTION("""COMPUTED_VALUE"""),1.0)</f>
        <v>1</v>
      </c>
      <c r="Q581" s="447">
        <f>IFERROR(__xludf.DUMMYFUNCTION("""COMPUTED_VALUE"""),0.0)</f>
        <v>0</v>
      </c>
      <c r="R581" s="447">
        <f>IFERROR(__xludf.DUMMYFUNCTION("""COMPUTED_VALUE"""),0.0)</f>
        <v>0</v>
      </c>
      <c r="S581" s="447">
        <f>IFERROR(__xludf.DUMMYFUNCTION("""COMPUTED_VALUE"""),3.0)</f>
        <v>3</v>
      </c>
      <c r="T581" s="447">
        <f>IFERROR(__xludf.DUMMYFUNCTION("""COMPUTED_VALUE"""),0.0)</f>
        <v>0</v>
      </c>
      <c r="U581" s="447">
        <f>IFERROR(__xludf.DUMMYFUNCTION("""COMPUTED_VALUE"""),0.0)</f>
        <v>0</v>
      </c>
      <c r="V581" s="447">
        <f>IFERROR(__xludf.DUMMYFUNCTION("""COMPUTED_VALUE"""),1.0)</f>
        <v>1</v>
      </c>
      <c r="W581" s="447">
        <f>IFERROR(__xludf.DUMMYFUNCTION("""COMPUTED_VALUE"""),0.0)</f>
        <v>0</v>
      </c>
      <c r="X581" s="447">
        <f>IFERROR(__xludf.DUMMYFUNCTION("""COMPUTED_VALUE"""),1.0)</f>
        <v>1</v>
      </c>
      <c r="Y581" s="447">
        <f>IFERROR(__xludf.DUMMYFUNCTION("""COMPUTED_VALUE"""),0.0)</f>
        <v>0</v>
      </c>
      <c r="Z581" s="447">
        <f>IFERROR(__xludf.DUMMYFUNCTION("""COMPUTED_VALUE"""),0.0)</f>
        <v>0</v>
      </c>
      <c r="AA581" s="447">
        <f>IFERROR(__xludf.DUMMYFUNCTION("""COMPUTED_VALUE"""),0.0)</f>
        <v>0</v>
      </c>
      <c r="AB581" s="447">
        <f>IFERROR(__xludf.DUMMYFUNCTION("""COMPUTED_VALUE"""),0.0)</f>
        <v>0</v>
      </c>
      <c r="AC581" s="447">
        <f>IFERROR(__xludf.DUMMYFUNCTION("""COMPUTED_VALUE"""),1.0)</f>
        <v>1</v>
      </c>
      <c r="AD581" s="447">
        <f>IFERROR(__xludf.DUMMYFUNCTION("""COMPUTED_VALUE"""),48.0)</f>
        <v>48</v>
      </c>
      <c r="AE581" s="447">
        <f>IFERROR(__xludf.DUMMYFUNCTION("""COMPUTED_VALUE"""),7.0)</f>
        <v>7</v>
      </c>
      <c r="AF581" s="447">
        <f>IFERROR(__xludf.DUMMYFUNCTION("""COMPUTED_VALUE"""),0.0)</f>
        <v>0</v>
      </c>
      <c r="AG581" s="443" t="s">
        <v>129</v>
      </c>
      <c r="AH581" s="443" t="s">
        <v>961</v>
      </c>
      <c r="AI581" s="443"/>
      <c r="AJ581" s="443"/>
      <c r="AK581" s="443"/>
      <c r="AL581" s="443"/>
      <c r="AM581" s="443"/>
      <c r="AN581" s="443"/>
      <c r="AO581" s="443"/>
      <c r="AP581" s="443"/>
      <c r="AQ581" s="443"/>
      <c r="AR581" s="443"/>
      <c r="AS581" s="443"/>
      <c r="AT581" s="443"/>
      <c r="AU581" s="443"/>
      <c r="AV581" s="443"/>
      <c r="AW581" s="443"/>
      <c r="AX581" s="443"/>
      <c r="AY581" s="443"/>
      <c r="AZ581" s="443"/>
      <c r="BA581" s="443"/>
      <c r="BB581" s="443"/>
      <c r="BC581" s="443"/>
      <c r="BD581" s="443"/>
      <c r="BE581" s="443"/>
    </row>
    <row r="582" hidden="1">
      <c r="A582" s="445">
        <f t="shared" si="5"/>
        <v>45872</v>
      </c>
      <c r="B582" s="449">
        <v>0.0</v>
      </c>
      <c r="C582" s="443"/>
      <c r="D582" s="462"/>
      <c r="E582" s="436" t="str">
        <f t="array" ref="E582">IF(B582=0,"",(J582+K582)/60)</f>
        <v/>
      </c>
      <c r="F582" s="437" t="str">
        <f t="shared" si="1"/>
        <v/>
      </c>
      <c r="G582" s="438" t="str">
        <f t="shared" si="9"/>
        <v>#DIV/0!</v>
      </c>
      <c r="H582" s="438" t="str">
        <f t="shared" si="3"/>
        <v/>
      </c>
      <c r="I582" s="436" t="str">
        <f t="shared" si="6"/>
        <v/>
      </c>
      <c r="J582" s="464"/>
      <c r="K582" s="464"/>
      <c r="L582" s="443"/>
      <c r="M582" s="447">
        <f>IFERROR(__xludf.DUMMYFUNCTION("""COMPUTED_VALUE"""),57.0)</f>
        <v>57</v>
      </c>
      <c r="N582" s="447">
        <f>IFERROR(__xludf.DUMMYFUNCTION("""COMPUTED_VALUE"""),57.0)</f>
        <v>57</v>
      </c>
      <c r="O582" s="447">
        <f>IFERROR(__xludf.DUMMYFUNCTION("""COMPUTED_VALUE"""),0.0)</f>
        <v>0</v>
      </c>
      <c r="P582" s="447">
        <f>IFERROR(__xludf.DUMMYFUNCTION("""COMPUTED_VALUE"""),0.0)</f>
        <v>0</v>
      </c>
      <c r="Q582" s="447">
        <f>IFERROR(__xludf.DUMMYFUNCTION("""COMPUTED_VALUE"""),0.0)</f>
        <v>0</v>
      </c>
      <c r="R582" s="447">
        <f>IFERROR(__xludf.DUMMYFUNCTION("""COMPUTED_VALUE"""),0.0)</f>
        <v>0</v>
      </c>
      <c r="S582" s="447">
        <f>IFERROR(__xludf.DUMMYFUNCTION("""COMPUTED_VALUE"""),0.0)</f>
        <v>0</v>
      </c>
      <c r="T582" s="447">
        <f>IFERROR(__xludf.DUMMYFUNCTION("""COMPUTED_VALUE"""),0.0)</f>
        <v>0</v>
      </c>
      <c r="U582" s="447">
        <f>IFERROR(__xludf.DUMMYFUNCTION("""COMPUTED_VALUE"""),0.0)</f>
        <v>0</v>
      </c>
      <c r="V582" s="447">
        <f>IFERROR(__xludf.DUMMYFUNCTION("""COMPUTED_VALUE"""),0.0)</f>
        <v>0</v>
      </c>
      <c r="W582" s="447">
        <f>IFERROR(__xludf.DUMMYFUNCTION("""COMPUTED_VALUE"""),0.0)</f>
        <v>0</v>
      </c>
      <c r="X582" s="447">
        <f>IFERROR(__xludf.DUMMYFUNCTION("""COMPUTED_VALUE"""),0.0)</f>
        <v>0</v>
      </c>
      <c r="Y582" s="447">
        <f>IFERROR(__xludf.DUMMYFUNCTION("""COMPUTED_VALUE"""),0.0)</f>
        <v>0</v>
      </c>
      <c r="Z582" s="447">
        <f>IFERROR(__xludf.DUMMYFUNCTION("""COMPUTED_VALUE"""),0.0)</f>
        <v>0</v>
      </c>
      <c r="AA582" s="447">
        <f>IFERROR(__xludf.DUMMYFUNCTION("""COMPUTED_VALUE"""),0.0)</f>
        <v>0</v>
      </c>
      <c r="AB582" s="447">
        <f>IFERROR(__xludf.DUMMYFUNCTION("""COMPUTED_VALUE"""),0.0)</f>
        <v>0</v>
      </c>
      <c r="AC582" s="447">
        <f>IFERROR(__xludf.DUMMYFUNCTION("""COMPUTED_VALUE"""),0.0)</f>
        <v>0</v>
      </c>
      <c r="AD582" s="447">
        <f>IFERROR(__xludf.DUMMYFUNCTION("""COMPUTED_VALUE"""),0.0)</f>
        <v>0</v>
      </c>
      <c r="AE582" s="447">
        <f>IFERROR(__xludf.DUMMYFUNCTION("""COMPUTED_VALUE"""),0.0)</f>
        <v>0</v>
      </c>
      <c r="AF582" s="447">
        <f>IFERROR(__xludf.DUMMYFUNCTION("""COMPUTED_VALUE"""),0.0)</f>
        <v>0</v>
      </c>
      <c r="AG582" s="443" t="s">
        <v>129</v>
      </c>
      <c r="AH582" s="443" t="s">
        <v>961</v>
      </c>
      <c r="AI582" s="443"/>
      <c r="AJ582" s="443"/>
      <c r="AK582" s="443"/>
      <c r="AL582" s="443"/>
      <c r="AM582" s="443"/>
      <c r="AN582" s="443"/>
      <c r="AO582" s="443"/>
      <c r="AP582" s="443"/>
      <c r="AQ582" s="443"/>
      <c r="AR582" s="443"/>
      <c r="AS582" s="443"/>
      <c r="AT582" s="443"/>
      <c r="AU582" s="443"/>
      <c r="AV582" s="443"/>
      <c r="AW582" s="443"/>
      <c r="AX582" s="443"/>
      <c r="AY582" s="443"/>
      <c r="AZ582" s="443"/>
      <c r="BA582" s="443"/>
      <c r="BB582" s="443"/>
      <c r="BC582" s="443"/>
      <c r="BD582" s="443"/>
      <c r="BE582" s="443"/>
    </row>
    <row r="583" hidden="1">
      <c r="A583" s="445">
        <f t="shared" si="5"/>
        <v>45873</v>
      </c>
      <c r="B583" s="449">
        <v>613.0</v>
      </c>
      <c r="C583" s="462">
        <v>0.6</v>
      </c>
      <c r="D583" s="462">
        <v>1.0125</v>
      </c>
      <c r="E583" s="436">
        <f t="array" ref="E583">IF(B583=0,"",(J583+K583)/60)</f>
        <v>1.316666667</v>
      </c>
      <c r="F583" s="437">
        <f t="shared" si="1"/>
        <v>9.9</v>
      </c>
      <c r="G583" s="438">
        <f t="shared" si="9"/>
        <v>61.91919192</v>
      </c>
      <c r="H583" s="438">
        <f t="shared" si="3"/>
        <v>71.41747573</v>
      </c>
      <c r="I583" s="436">
        <f t="shared" si="6"/>
        <v>1.238383838</v>
      </c>
      <c r="J583" s="460">
        <v>60.0</v>
      </c>
      <c r="K583" s="460">
        <v>19.0</v>
      </c>
      <c r="L583" s="449" t="s">
        <v>969</v>
      </c>
      <c r="M583" s="447">
        <f>IFERROR(__xludf.DUMMYFUNCTION("""COMPUTED_VALUE"""),57.0)</f>
        <v>57</v>
      </c>
      <c r="N583" s="447">
        <f>IFERROR(__xludf.DUMMYFUNCTION("""COMPUTED_VALUE"""),57.0)</f>
        <v>57</v>
      </c>
      <c r="O583" s="447">
        <f>IFERROR(__xludf.DUMMYFUNCTION("""COMPUTED_VALUE"""),0.0)</f>
        <v>0</v>
      </c>
      <c r="P583" s="447">
        <f>IFERROR(__xludf.DUMMYFUNCTION("""COMPUTED_VALUE"""),1.0)</f>
        <v>1</v>
      </c>
      <c r="Q583" s="447">
        <f>IFERROR(__xludf.DUMMYFUNCTION("""COMPUTED_VALUE"""),0.0)</f>
        <v>0</v>
      </c>
      <c r="R583" s="447">
        <f>IFERROR(__xludf.DUMMYFUNCTION("""COMPUTED_VALUE"""),0.0)</f>
        <v>0</v>
      </c>
      <c r="S583" s="447">
        <f>IFERROR(__xludf.DUMMYFUNCTION("""COMPUTED_VALUE"""),2.0)</f>
        <v>2</v>
      </c>
      <c r="T583" s="447">
        <f>IFERROR(__xludf.DUMMYFUNCTION("""COMPUTED_VALUE"""),0.0)</f>
        <v>0</v>
      </c>
      <c r="U583" s="447">
        <f>IFERROR(__xludf.DUMMYFUNCTION("""COMPUTED_VALUE"""),0.0)</f>
        <v>0</v>
      </c>
      <c r="V583" s="447">
        <f>IFERROR(__xludf.DUMMYFUNCTION("""COMPUTED_VALUE"""),0.0)</f>
        <v>0</v>
      </c>
      <c r="W583" s="447">
        <f>IFERROR(__xludf.DUMMYFUNCTION("""COMPUTED_VALUE"""),0.0)</f>
        <v>0</v>
      </c>
      <c r="X583" s="447">
        <f>IFERROR(__xludf.DUMMYFUNCTION("""COMPUTED_VALUE"""),1.0)</f>
        <v>1</v>
      </c>
      <c r="Y583" s="447">
        <f>IFERROR(__xludf.DUMMYFUNCTION("""COMPUTED_VALUE"""),0.0)</f>
        <v>0</v>
      </c>
      <c r="Z583" s="447">
        <f>IFERROR(__xludf.DUMMYFUNCTION("""COMPUTED_VALUE"""),0.0)</f>
        <v>0</v>
      </c>
      <c r="AA583" s="447">
        <f>IFERROR(__xludf.DUMMYFUNCTION("""COMPUTED_VALUE"""),0.0)</f>
        <v>0</v>
      </c>
      <c r="AB583" s="447">
        <f>IFERROR(__xludf.DUMMYFUNCTION("""COMPUTED_VALUE"""),0.0)</f>
        <v>0</v>
      </c>
      <c r="AC583" s="447">
        <f>IFERROR(__xludf.DUMMYFUNCTION("""COMPUTED_VALUE"""),1.0)</f>
        <v>1</v>
      </c>
      <c r="AD583" s="447">
        <f>IFERROR(__xludf.DUMMYFUNCTION("""COMPUTED_VALUE"""),50.0)</f>
        <v>50</v>
      </c>
      <c r="AE583" s="447">
        <f>IFERROR(__xludf.DUMMYFUNCTION("""COMPUTED_VALUE"""),5.0)</f>
        <v>5</v>
      </c>
      <c r="AF583" s="447">
        <f>IFERROR(__xludf.DUMMYFUNCTION("""COMPUTED_VALUE"""),0.0)</f>
        <v>0</v>
      </c>
      <c r="AG583" s="443" t="s">
        <v>129</v>
      </c>
      <c r="AH583" s="443" t="s">
        <v>961</v>
      </c>
      <c r="AI583" s="443"/>
      <c r="AJ583" s="443"/>
      <c r="AK583" s="443"/>
      <c r="AL583" s="443"/>
      <c r="AM583" s="443"/>
      <c r="AN583" s="443"/>
      <c r="AO583" s="443"/>
      <c r="AP583" s="443"/>
      <c r="AQ583" s="443"/>
      <c r="AR583" s="443"/>
      <c r="AS583" s="443"/>
      <c r="AT583" s="443"/>
      <c r="AU583" s="443"/>
      <c r="AV583" s="443"/>
      <c r="AW583" s="443"/>
      <c r="AX583" s="443"/>
      <c r="AY583" s="443"/>
      <c r="AZ583" s="443"/>
      <c r="BA583" s="443"/>
      <c r="BB583" s="443"/>
      <c r="BC583" s="443"/>
      <c r="BD583" s="443"/>
      <c r="BE583" s="443"/>
    </row>
    <row r="584" hidden="1">
      <c r="A584" s="445">
        <f t="shared" si="5"/>
        <v>45874</v>
      </c>
      <c r="B584" s="449">
        <v>553.0</v>
      </c>
      <c r="C584" s="462">
        <v>0.6</v>
      </c>
      <c r="D584" s="462">
        <v>1.0</v>
      </c>
      <c r="E584" s="436">
        <f t="array" ref="E584">IF(B584=0,"",(J584+K584)/60)</f>
        <v>1.916666667</v>
      </c>
      <c r="F584" s="437">
        <f t="shared" si="1"/>
        <v>9.6</v>
      </c>
      <c r="G584" s="438">
        <f t="shared" si="9"/>
        <v>57.60416667</v>
      </c>
      <c r="H584" s="438">
        <f t="shared" si="3"/>
        <v>71.97396963</v>
      </c>
      <c r="I584" s="436">
        <f t="shared" si="6"/>
        <v>1.200086806</v>
      </c>
      <c r="J584" s="460">
        <v>60.0</v>
      </c>
      <c r="K584" s="460">
        <v>55.0</v>
      </c>
      <c r="L584" s="443"/>
      <c r="M584" s="447">
        <f>IFERROR(__xludf.DUMMYFUNCTION("""COMPUTED_VALUE"""),57.0)</f>
        <v>57</v>
      </c>
      <c r="N584" s="447">
        <f>IFERROR(__xludf.DUMMYFUNCTION("""COMPUTED_VALUE"""),57.0)</f>
        <v>57</v>
      </c>
      <c r="O584" s="447">
        <f>IFERROR(__xludf.DUMMYFUNCTION("""COMPUTED_VALUE"""),0.0)</f>
        <v>0</v>
      </c>
      <c r="P584" s="447">
        <f>IFERROR(__xludf.DUMMYFUNCTION("""COMPUTED_VALUE"""),0.0)</f>
        <v>0</v>
      </c>
      <c r="Q584" s="447">
        <f>IFERROR(__xludf.DUMMYFUNCTION("""COMPUTED_VALUE"""),0.0)</f>
        <v>0</v>
      </c>
      <c r="R584" s="447">
        <f>IFERROR(__xludf.DUMMYFUNCTION("""COMPUTED_VALUE"""),0.0)</f>
        <v>0</v>
      </c>
      <c r="S584" s="447">
        <f>IFERROR(__xludf.DUMMYFUNCTION("""COMPUTED_VALUE"""),4.0)</f>
        <v>4</v>
      </c>
      <c r="T584" s="447">
        <f>IFERROR(__xludf.DUMMYFUNCTION("""COMPUTED_VALUE"""),0.0)</f>
        <v>0</v>
      </c>
      <c r="U584" s="447">
        <f>IFERROR(__xludf.DUMMYFUNCTION("""COMPUTED_VALUE"""),0.0)</f>
        <v>0</v>
      </c>
      <c r="V584" s="447">
        <f>IFERROR(__xludf.DUMMYFUNCTION("""COMPUTED_VALUE"""),2.0)</f>
        <v>2</v>
      </c>
      <c r="W584" s="447">
        <f>IFERROR(__xludf.DUMMYFUNCTION("""COMPUTED_VALUE"""),0.0)</f>
        <v>0</v>
      </c>
      <c r="X584" s="447">
        <f>IFERROR(__xludf.DUMMYFUNCTION("""COMPUTED_VALUE"""),1.0)</f>
        <v>1</v>
      </c>
      <c r="Y584" s="447">
        <f>IFERROR(__xludf.DUMMYFUNCTION("""COMPUTED_VALUE"""),0.0)</f>
        <v>0</v>
      </c>
      <c r="Z584" s="447">
        <f>IFERROR(__xludf.DUMMYFUNCTION("""COMPUTED_VALUE"""),0.0)</f>
        <v>0</v>
      </c>
      <c r="AA584" s="447">
        <f>IFERROR(__xludf.DUMMYFUNCTION("""COMPUTED_VALUE"""),0.0)</f>
        <v>0</v>
      </c>
      <c r="AB584" s="447">
        <f>IFERROR(__xludf.DUMMYFUNCTION("""COMPUTED_VALUE"""),0.0)</f>
        <v>0</v>
      </c>
      <c r="AC584" s="447">
        <f>IFERROR(__xludf.DUMMYFUNCTION("""COMPUTED_VALUE"""),0.0)</f>
        <v>0</v>
      </c>
      <c r="AD584" s="447">
        <f>IFERROR(__xludf.DUMMYFUNCTION("""COMPUTED_VALUE"""),48.0)</f>
        <v>48</v>
      </c>
      <c r="AE584" s="447">
        <f>IFERROR(__xludf.DUMMYFUNCTION("""COMPUTED_VALUE"""),7.0)</f>
        <v>7</v>
      </c>
      <c r="AF584" s="447">
        <f>IFERROR(__xludf.DUMMYFUNCTION("""COMPUTED_VALUE"""),0.0)</f>
        <v>0</v>
      </c>
      <c r="AG584" s="443" t="s">
        <v>129</v>
      </c>
      <c r="AH584" s="443" t="s">
        <v>961</v>
      </c>
      <c r="AI584" s="443"/>
      <c r="AJ584" s="443"/>
      <c r="AK584" s="443"/>
      <c r="AL584" s="443"/>
      <c r="AM584" s="443"/>
      <c r="AN584" s="443"/>
      <c r="AO584" s="443"/>
      <c r="AP584" s="443"/>
      <c r="AQ584" s="443"/>
      <c r="AR584" s="443"/>
      <c r="AS584" s="443"/>
      <c r="AT584" s="443"/>
      <c r="AU584" s="443"/>
      <c r="AV584" s="443"/>
      <c r="AW584" s="443"/>
      <c r="AX584" s="443"/>
      <c r="AY584" s="443"/>
      <c r="AZ584" s="443"/>
      <c r="BA584" s="443"/>
      <c r="BB584" s="443"/>
      <c r="BC584" s="443"/>
      <c r="BD584" s="443"/>
      <c r="BE584" s="443"/>
    </row>
    <row r="585" hidden="1">
      <c r="A585" s="445">
        <f t="shared" si="5"/>
        <v>45875</v>
      </c>
      <c r="B585" s="449">
        <v>487.0</v>
      </c>
      <c r="C585" s="462">
        <v>0.6138888888888889</v>
      </c>
      <c r="D585" s="462">
        <v>0.9048611111111111</v>
      </c>
      <c r="E585" s="436">
        <f t="array" ref="E585">IF(B585=0,"",(J585+K585)/60)</f>
        <v>0.5</v>
      </c>
      <c r="F585" s="437">
        <f t="shared" si="1"/>
        <v>6.983333333</v>
      </c>
      <c r="G585" s="438">
        <f t="shared" si="9"/>
        <v>69.73747017</v>
      </c>
      <c r="H585" s="438">
        <f t="shared" si="3"/>
        <v>75.11568123</v>
      </c>
      <c r="I585" s="436">
        <f t="shared" si="6"/>
        <v>1.483775961</v>
      </c>
      <c r="J585" s="460">
        <v>30.0</v>
      </c>
      <c r="K585" s="464"/>
      <c r="L585" s="443"/>
      <c r="M585" s="447">
        <f>IFERROR(__xludf.DUMMYFUNCTION("""COMPUTED_VALUE"""),57.0)</f>
        <v>57</v>
      </c>
      <c r="N585" s="447">
        <f>IFERROR(__xludf.DUMMYFUNCTION("""COMPUTED_VALUE"""),57.0)</f>
        <v>57</v>
      </c>
      <c r="O585" s="447">
        <f>IFERROR(__xludf.DUMMYFUNCTION("""COMPUTED_VALUE"""),0.0)</f>
        <v>0</v>
      </c>
      <c r="P585" s="447">
        <f>IFERROR(__xludf.DUMMYFUNCTION("""COMPUTED_VALUE"""),0.0)</f>
        <v>0</v>
      </c>
      <c r="Q585" s="447">
        <f>IFERROR(__xludf.DUMMYFUNCTION("""COMPUTED_VALUE"""),0.0)</f>
        <v>0</v>
      </c>
      <c r="R585" s="447">
        <f>IFERROR(__xludf.DUMMYFUNCTION("""COMPUTED_VALUE"""),0.0)</f>
        <v>0</v>
      </c>
      <c r="S585" s="447">
        <f>IFERROR(__xludf.DUMMYFUNCTION("""COMPUTED_VALUE"""),4.0)</f>
        <v>4</v>
      </c>
      <c r="T585" s="447">
        <f>IFERROR(__xludf.DUMMYFUNCTION("""COMPUTED_VALUE"""),0.0)</f>
        <v>0</v>
      </c>
      <c r="U585" s="447">
        <f>IFERROR(__xludf.DUMMYFUNCTION("""COMPUTED_VALUE"""),0.0)</f>
        <v>0</v>
      </c>
      <c r="V585" s="447">
        <f>IFERROR(__xludf.DUMMYFUNCTION("""COMPUTED_VALUE"""),2.0)</f>
        <v>2</v>
      </c>
      <c r="W585" s="447">
        <f>IFERROR(__xludf.DUMMYFUNCTION("""COMPUTED_VALUE"""),0.0)</f>
        <v>0</v>
      </c>
      <c r="X585" s="447">
        <f>IFERROR(__xludf.DUMMYFUNCTION("""COMPUTED_VALUE"""),1.0)</f>
        <v>1</v>
      </c>
      <c r="Y585" s="447">
        <f>IFERROR(__xludf.DUMMYFUNCTION("""COMPUTED_VALUE"""),0.0)</f>
        <v>0</v>
      </c>
      <c r="Z585" s="447">
        <f>IFERROR(__xludf.DUMMYFUNCTION("""COMPUTED_VALUE"""),0.0)</f>
        <v>0</v>
      </c>
      <c r="AA585" s="447">
        <f>IFERROR(__xludf.DUMMYFUNCTION("""COMPUTED_VALUE"""),0.0)</f>
        <v>0</v>
      </c>
      <c r="AB585" s="447">
        <f>IFERROR(__xludf.DUMMYFUNCTION("""COMPUTED_VALUE"""),0.0)</f>
        <v>0</v>
      </c>
      <c r="AC585" s="447">
        <f>IFERROR(__xludf.DUMMYFUNCTION("""COMPUTED_VALUE"""),1.0)</f>
        <v>1</v>
      </c>
      <c r="AD585" s="447">
        <f>IFERROR(__xludf.DUMMYFUNCTION("""COMPUTED_VALUE"""),47.0)</f>
        <v>47</v>
      </c>
      <c r="AE585" s="447">
        <f>IFERROR(__xludf.DUMMYFUNCTION("""COMPUTED_VALUE"""),8.0)</f>
        <v>8</v>
      </c>
      <c r="AF585" s="447">
        <f>IFERROR(__xludf.DUMMYFUNCTION("""COMPUTED_VALUE"""),0.0)</f>
        <v>0</v>
      </c>
      <c r="AG585" s="443" t="s">
        <v>129</v>
      </c>
      <c r="AH585" s="443" t="s">
        <v>961</v>
      </c>
      <c r="AI585" s="443"/>
      <c r="AJ585" s="443"/>
      <c r="AK585" s="443"/>
      <c r="AL585" s="443"/>
      <c r="AM585" s="443"/>
      <c r="AN585" s="443"/>
      <c r="AO585" s="443"/>
      <c r="AP585" s="443"/>
      <c r="AQ585" s="443"/>
      <c r="AR585" s="443"/>
      <c r="AS585" s="443"/>
      <c r="AT585" s="443"/>
      <c r="AU585" s="443"/>
      <c r="AV585" s="443"/>
      <c r="AW585" s="443"/>
      <c r="AX585" s="443"/>
      <c r="AY585" s="443"/>
      <c r="AZ585" s="443"/>
      <c r="BA585" s="443"/>
      <c r="BB585" s="443"/>
      <c r="BC585" s="443"/>
      <c r="BD585" s="443"/>
      <c r="BE585" s="443"/>
    </row>
    <row r="586" hidden="1">
      <c r="A586" s="445">
        <f t="shared" si="5"/>
        <v>45876</v>
      </c>
      <c r="B586" s="449">
        <v>441.0</v>
      </c>
      <c r="C586" s="462">
        <v>0.6</v>
      </c>
      <c r="D586" s="462">
        <v>0.8888888888888888</v>
      </c>
      <c r="E586" s="436">
        <f t="array" ref="E586">IF(B586=0,"",(J586+K586)/60)</f>
        <v>0.7833333333</v>
      </c>
      <c r="F586" s="437">
        <f t="shared" si="1"/>
        <v>6.933333333</v>
      </c>
      <c r="G586" s="438">
        <f t="shared" si="9"/>
        <v>63.60576923</v>
      </c>
      <c r="H586" s="438">
        <f t="shared" si="3"/>
        <v>71.70731707</v>
      </c>
      <c r="I586" s="436">
        <f t="shared" si="6"/>
        <v>1.325120192</v>
      </c>
      <c r="J586" s="460">
        <v>30.0</v>
      </c>
      <c r="K586" s="460">
        <v>17.0</v>
      </c>
      <c r="L586" s="449" t="s">
        <v>970</v>
      </c>
      <c r="M586" s="447">
        <f>IFERROR(__xludf.DUMMYFUNCTION("""COMPUTED_VALUE"""),57.0)</f>
        <v>57</v>
      </c>
      <c r="N586" s="447">
        <f>IFERROR(__xludf.DUMMYFUNCTION("""COMPUTED_VALUE"""),57.0)</f>
        <v>57</v>
      </c>
      <c r="O586" s="447">
        <f>IFERROR(__xludf.DUMMYFUNCTION("""COMPUTED_VALUE"""),0.0)</f>
        <v>0</v>
      </c>
      <c r="P586" s="447">
        <f>IFERROR(__xludf.DUMMYFUNCTION("""COMPUTED_VALUE"""),0.0)</f>
        <v>0</v>
      </c>
      <c r="Q586" s="447">
        <f>IFERROR(__xludf.DUMMYFUNCTION("""COMPUTED_VALUE"""),0.0)</f>
        <v>0</v>
      </c>
      <c r="R586" s="447">
        <f>IFERROR(__xludf.DUMMYFUNCTION("""COMPUTED_VALUE"""),0.0)</f>
        <v>0</v>
      </c>
      <c r="S586" s="447">
        <f>IFERROR(__xludf.DUMMYFUNCTION("""COMPUTED_VALUE"""),4.0)</f>
        <v>4</v>
      </c>
      <c r="T586" s="447">
        <f>IFERROR(__xludf.DUMMYFUNCTION("""COMPUTED_VALUE"""),0.0)</f>
        <v>0</v>
      </c>
      <c r="U586" s="447">
        <f>IFERROR(__xludf.DUMMYFUNCTION("""COMPUTED_VALUE"""),0.0)</f>
        <v>0</v>
      </c>
      <c r="V586" s="447">
        <f>IFERROR(__xludf.DUMMYFUNCTION("""COMPUTED_VALUE"""),2.0)</f>
        <v>2</v>
      </c>
      <c r="W586" s="447">
        <f>IFERROR(__xludf.DUMMYFUNCTION("""COMPUTED_VALUE"""),0.0)</f>
        <v>0</v>
      </c>
      <c r="X586" s="447">
        <f>IFERROR(__xludf.DUMMYFUNCTION("""COMPUTED_VALUE"""),1.0)</f>
        <v>1</v>
      </c>
      <c r="Y586" s="447">
        <f>IFERROR(__xludf.DUMMYFUNCTION("""COMPUTED_VALUE"""),0.0)</f>
        <v>0</v>
      </c>
      <c r="Z586" s="447">
        <f>IFERROR(__xludf.DUMMYFUNCTION("""COMPUTED_VALUE"""),0.0)</f>
        <v>0</v>
      </c>
      <c r="AA586" s="447">
        <f>IFERROR(__xludf.DUMMYFUNCTION("""COMPUTED_VALUE"""),0.0)</f>
        <v>0</v>
      </c>
      <c r="AB586" s="447">
        <f>IFERROR(__xludf.DUMMYFUNCTION("""COMPUTED_VALUE"""),0.0)</f>
        <v>0</v>
      </c>
      <c r="AC586" s="447">
        <f>IFERROR(__xludf.DUMMYFUNCTION("""COMPUTED_VALUE"""),0.0)</f>
        <v>0</v>
      </c>
      <c r="AD586" s="447">
        <f>IFERROR(__xludf.DUMMYFUNCTION("""COMPUTED_VALUE"""),48.0)</f>
        <v>48</v>
      </c>
      <c r="AE586" s="447">
        <f>IFERROR(__xludf.DUMMYFUNCTION("""COMPUTED_VALUE"""),7.0)</f>
        <v>7</v>
      </c>
      <c r="AF586" s="447">
        <f>IFERROR(__xludf.DUMMYFUNCTION("""COMPUTED_VALUE"""),0.0)</f>
        <v>0</v>
      </c>
      <c r="AG586" s="443" t="s">
        <v>129</v>
      </c>
      <c r="AH586" s="443" t="s">
        <v>961</v>
      </c>
      <c r="AI586" s="443"/>
      <c r="AJ586" s="443"/>
      <c r="AK586" s="443"/>
      <c r="AL586" s="443"/>
      <c r="AM586" s="443"/>
      <c r="AN586" s="443"/>
      <c r="AO586" s="443"/>
      <c r="AP586" s="443"/>
      <c r="AQ586" s="443"/>
      <c r="AR586" s="443"/>
      <c r="AS586" s="443"/>
      <c r="AT586" s="443"/>
      <c r="AU586" s="443"/>
      <c r="AV586" s="443"/>
      <c r="AW586" s="443"/>
      <c r="AX586" s="443"/>
      <c r="AY586" s="443"/>
      <c r="AZ586" s="443"/>
      <c r="BA586" s="443"/>
      <c r="BB586" s="443"/>
      <c r="BC586" s="443"/>
      <c r="BD586" s="443"/>
      <c r="BE586" s="443"/>
    </row>
    <row r="587" hidden="1">
      <c r="A587" s="445">
        <f t="shared" si="5"/>
        <v>45877</v>
      </c>
      <c r="B587" s="449">
        <v>357.0</v>
      </c>
      <c r="C587" s="462">
        <v>0.6</v>
      </c>
      <c r="D587" s="462">
        <v>0.85625</v>
      </c>
      <c r="E587" s="436">
        <f t="array" ref="E587">IF(B587=0,"",(J587+K587)/60)</f>
        <v>1.033333333</v>
      </c>
      <c r="F587" s="437">
        <f t="shared" si="1"/>
        <v>6.15</v>
      </c>
      <c r="G587" s="438">
        <f t="shared" si="9"/>
        <v>58.04878049</v>
      </c>
      <c r="H587" s="438">
        <f t="shared" si="3"/>
        <v>69.77198697</v>
      </c>
      <c r="I587" s="436">
        <f t="shared" si="6"/>
        <v>1.18466899</v>
      </c>
      <c r="J587" s="460">
        <v>30.0</v>
      </c>
      <c r="K587" s="460">
        <v>32.0</v>
      </c>
      <c r="L587" s="443"/>
      <c r="M587" s="447">
        <f>IFERROR(__xludf.DUMMYFUNCTION("""COMPUTED_VALUE"""),57.0)</f>
        <v>57</v>
      </c>
      <c r="N587" s="447">
        <f>IFERROR(__xludf.DUMMYFUNCTION("""COMPUTED_VALUE"""),57.0)</f>
        <v>57</v>
      </c>
      <c r="O587" s="447">
        <f>IFERROR(__xludf.DUMMYFUNCTION("""COMPUTED_VALUE"""),0.0)</f>
        <v>0</v>
      </c>
      <c r="P587" s="447">
        <f>IFERROR(__xludf.DUMMYFUNCTION("""COMPUTED_VALUE"""),0.0)</f>
        <v>0</v>
      </c>
      <c r="Q587" s="447">
        <f>IFERROR(__xludf.DUMMYFUNCTION("""COMPUTED_VALUE"""),0.0)</f>
        <v>0</v>
      </c>
      <c r="R587" s="447">
        <f>IFERROR(__xludf.DUMMYFUNCTION("""COMPUTED_VALUE"""),0.0)</f>
        <v>0</v>
      </c>
      <c r="S587" s="447">
        <f>IFERROR(__xludf.DUMMYFUNCTION("""COMPUTED_VALUE"""),3.0)</f>
        <v>3</v>
      </c>
      <c r="T587" s="447">
        <f>IFERROR(__xludf.DUMMYFUNCTION("""COMPUTED_VALUE"""),0.0)</f>
        <v>0</v>
      </c>
      <c r="U587" s="447">
        <f>IFERROR(__xludf.DUMMYFUNCTION("""COMPUTED_VALUE"""),0.0)</f>
        <v>0</v>
      </c>
      <c r="V587" s="447">
        <f>IFERROR(__xludf.DUMMYFUNCTION("""COMPUTED_VALUE"""),2.0)</f>
        <v>2</v>
      </c>
      <c r="W587" s="447">
        <f>IFERROR(__xludf.DUMMYFUNCTION("""COMPUTED_VALUE"""),0.0)</f>
        <v>0</v>
      </c>
      <c r="X587" s="447">
        <f>IFERROR(__xludf.DUMMYFUNCTION("""COMPUTED_VALUE"""),1.0)</f>
        <v>1</v>
      </c>
      <c r="Y587" s="447">
        <f>IFERROR(__xludf.DUMMYFUNCTION("""COMPUTED_VALUE"""),0.0)</f>
        <v>0</v>
      </c>
      <c r="Z587" s="447">
        <f>IFERROR(__xludf.DUMMYFUNCTION("""COMPUTED_VALUE"""),0.0)</f>
        <v>0</v>
      </c>
      <c r="AA587" s="447">
        <f>IFERROR(__xludf.DUMMYFUNCTION("""COMPUTED_VALUE"""),0.0)</f>
        <v>0</v>
      </c>
      <c r="AB587" s="447">
        <f>IFERROR(__xludf.DUMMYFUNCTION("""COMPUTED_VALUE"""),0.0)</f>
        <v>0</v>
      </c>
      <c r="AC587" s="447">
        <f>IFERROR(__xludf.DUMMYFUNCTION("""COMPUTED_VALUE"""),0.0)</f>
        <v>0</v>
      </c>
      <c r="AD587" s="447">
        <f>IFERROR(__xludf.DUMMYFUNCTION("""COMPUTED_VALUE"""),49.0)</f>
        <v>49</v>
      </c>
      <c r="AE587" s="447">
        <f>IFERROR(__xludf.DUMMYFUNCTION("""COMPUTED_VALUE"""),6.0)</f>
        <v>6</v>
      </c>
      <c r="AF587" s="447">
        <f>IFERROR(__xludf.DUMMYFUNCTION("""COMPUTED_VALUE"""),0.0)</f>
        <v>0</v>
      </c>
      <c r="AG587" s="443" t="s">
        <v>129</v>
      </c>
      <c r="AH587" s="443" t="s">
        <v>961</v>
      </c>
      <c r="AI587" s="443"/>
      <c r="AJ587" s="443"/>
      <c r="AK587" s="443"/>
      <c r="AL587" s="443"/>
      <c r="AM587" s="443"/>
      <c r="AN587" s="443"/>
      <c r="AO587" s="443"/>
      <c r="AP587" s="443"/>
      <c r="AQ587" s="443"/>
      <c r="AR587" s="443"/>
      <c r="AS587" s="443"/>
      <c r="AT587" s="443"/>
      <c r="AU587" s="443"/>
      <c r="AV587" s="443"/>
      <c r="AW587" s="443"/>
      <c r="AX587" s="443"/>
      <c r="AY587" s="443"/>
      <c r="AZ587" s="443"/>
      <c r="BA587" s="443"/>
      <c r="BB587" s="443"/>
      <c r="BC587" s="443"/>
      <c r="BD587" s="443"/>
      <c r="BE587" s="443"/>
    </row>
    <row r="588" hidden="1">
      <c r="A588" s="445">
        <f t="shared" si="5"/>
        <v>45878</v>
      </c>
      <c r="B588" s="449">
        <v>371.0</v>
      </c>
      <c r="C588" s="462">
        <v>0.6</v>
      </c>
      <c r="D588" s="462">
        <v>0.8666666666666667</v>
      </c>
      <c r="E588" s="436">
        <f t="array" ref="E588">IF(B588=0,"",(J588+K588)/60)</f>
        <v>1.3</v>
      </c>
      <c r="F588" s="437">
        <f t="shared" si="1"/>
        <v>6.4</v>
      </c>
      <c r="G588" s="438">
        <f t="shared" si="9"/>
        <v>57.96875</v>
      </c>
      <c r="H588" s="438">
        <f t="shared" si="3"/>
        <v>72.74509804</v>
      </c>
      <c r="I588" s="436">
        <f t="shared" si="6"/>
        <v>1.207682292</v>
      </c>
      <c r="J588" s="460">
        <v>30.0</v>
      </c>
      <c r="K588" s="460">
        <v>48.0</v>
      </c>
      <c r="L588" s="443"/>
      <c r="M588" s="447">
        <f>IFERROR(__xludf.DUMMYFUNCTION("""COMPUTED_VALUE"""),57.0)</f>
        <v>57</v>
      </c>
      <c r="N588" s="447">
        <f>IFERROR(__xludf.DUMMYFUNCTION("""COMPUTED_VALUE"""),57.0)</f>
        <v>57</v>
      </c>
      <c r="O588" s="447">
        <f>IFERROR(__xludf.DUMMYFUNCTION("""COMPUTED_VALUE"""),0.0)</f>
        <v>0</v>
      </c>
      <c r="P588" s="447">
        <f>IFERROR(__xludf.DUMMYFUNCTION("""COMPUTED_VALUE"""),0.0)</f>
        <v>0</v>
      </c>
      <c r="Q588" s="447">
        <f>IFERROR(__xludf.DUMMYFUNCTION("""COMPUTED_VALUE"""),0.0)</f>
        <v>0</v>
      </c>
      <c r="R588" s="447">
        <f>IFERROR(__xludf.DUMMYFUNCTION("""COMPUTED_VALUE"""),0.0)</f>
        <v>0</v>
      </c>
      <c r="S588" s="447">
        <f>IFERROR(__xludf.DUMMYFUNCTION("""COMPUTED_VALUE"""),4.0)</f>
        <v>4</v>
      </c>
      <c r="T588" s="447">
        <f>IFERROR(__xludf.DUMMYFUNCTION("""COMPUTED_VALUE"""),0.0)</f>
        <v>0</v>
      </c>
      <c r="U588" s="447">
        <f>IFERROR(__xludf.DUMMYFUNCTION("""COMPUTED_VALUE"""),0.0)</f>
        <v>0</v>
      </c>
      <c r="V588" s="447">
        <f>IFERROR(__xludf.DUMMYFUNCTION("""COMPUTED_VALUE"""),2.0)</f>
        <v>2</v>
      </c>
      <c r="W588" s="447">
        <f>IFERROR(__xludf.DUMMYFUNCTION("""COMPUTED_VALUE"""),0.0)</f>
        <v>0</v>
      </c>
      <c r="X588" s="447">
        <f>IFERROR(__xludf.DUMMYFUNCTION("""COMPUTED_VALUE"""),1.0)</f>
        <v>1</v>
      </c>
      <c r="Y588" s="447">
        <f>IFERROR(__xludf.DUMMYFUNCTION("""COMPUTED_VALUE"""),0.0)</f>
        <v>0</v>
      </c>
      <c r="Z588" s="447">
        <f>IFERROR(__xludf.DUMMYFUNCTION("""COMPUTED_VALUE"""),0.0)</f>
        <v>0</v>
      </c>
      <c r="AA588" s="447">
        <f>IFERROR(__xludf.DUMMYFUNCTION("""COMPUTED_VALUE"""),0.0)</f>
        <v>0</v>
      </c>
      <c r="AB588" s="447">
        <f>IFERROR(__xludf.DUMMYFUNCTION("""COMPUTED_VALUE"""),0.0)</f>
        <v>0</v>
      </c>
      <c r="AC588" s="447">
        <f>IFERROR(__xludf.DUMMYFUNCTION("""COMPUTED_VALUE"""),0.0)</f>
        <v>0</v>
      </c>
      <c r="AD588" s="447">
        <f>IFERROR(__xludf.DUMMYFUNCTION("""COMPUTED_VALUE"""),48.0)</f>
        <v>48</v>
      </c>
      <c r="AE588" s="447">
        <f>IFERROR(__xludf.DUMMYFUNCTION("""COMPUTED_VALUE"""),7.0)</f>
        <v>7</v>
      </c>
      <c r="AF588" s="447">
        <f>IFERROR(__xludf.DUMMYFUNCTION("""COMPUTED_VALUE"""),0.0)</f>
        <v>0</v>
      </c>
      <c r="AG588" s="443" t="s">
        <v>129</v>
      </c>
      <c r="AH588" s="443" t="s">
        <v>961</v>
      </c>
      <c r="AI588" s="443"/>
      <c r="AJ588" s="443"/>
      <c r="AK588" s="443"/>
      <c r="AL588" s="443"/>
      <c r="AM588" s="443"/>
      <c r="AN588" s="443"/>
      <c r="AO588" s="443"/>
      <c r="AP588" s="443"/>
      <c r="AQ588" s="443"/>
      <c r="AR588" s="443"/>
      <c r="AS588" s="443"/>
      <c r="AT588" s="443"/>
      <c r="AU588" s="443"/>
      <c r="AV588" s="443"/>
      <c r="AW588" s="443"/>
      <c r="AX588" s="443"/>
      <c r="AY588" s="443"/>
      <c r="AZ588" s="443"/>
      <c r="BA588" s="443"/>
      <c r="BB588" s="443"/>
      <c r="BC588" s="443"/>
      <c r="BD588" s="443"/>
      <c r="BE588" s="443"/>
    </row>
    <row r="589" hidden="1">
      <c r="A589" s="445">
        <f t="shared" si="5"/>
        <v>45879</v>
      </c>
      <c r="B589" s="449">
        <v>0.0</v>
      </c>
      <c r="C589" s="462"/>
      <c r="D589" s="462"/>
      <c r="E589" s="436" t="str">
        <f t="array" ref="E589">IF(B589=0,"",(J589+K589)/60)</f>
        <v/>
      </c>
      <c r="F589" s="437" t="str">
        <f t="shared" si="1"/>
        <v/>
      </c>
      <c r="G589" s="438" t="str">
        <f t="shared" si="9"/>
        <v>#DIV/0!</v>
      </c>
      <c r="H589" s="438" t="str">
        <f t="shared" si="3"/>
        <v/>
      </c>
      <c r="I589" s="436" t="str">
        <f t="shared" si="6"/>
        <v/>
      </c>
      <c r="J589" s="460"/>
      <c r="K589" s="464"/>
      <c r="L589" s="443"/>
      <c r="M589" s="447">
        <f>IFERROR(__xludf.DUMMYFUNCTION("""COMPUTED_VALUE"""),57.0)</f>
        <v>57</v>
      </c>
      <c r="N589" s="447">
        <f>IFERROR(__xludf.DUMMYFUNCTION("""COMPUTED_VALUE"""),57.0)</f>
        <v>57</v>
      </c>
      <c r="O589" s="447">
        <f>IFERROR(__xludf.DUMMYFUNCTION("""COMPUTED_VALUE"""),0.0)</f>
        <v>0</v>
      </c>
      <c r="P589" s="447">
        <f>IFERROR(__xludf.DUMMYFUNCTION("""COMPUTED_VALUE"""),0.0)</f>
        <v>0</v>
      </c>
      <c r="Q589" s="447">
        <f>IFERROR(__xludf.DUMMYFUNCTION("""COMPUTED_VALUE"""),0.0)</f>
        <v>0</v>
      </c>
      <c r="R589" s="447">
        <f>IFERROR(__xludf.DUMMYFUNCTION("""COMPUTED_VALUE"""),0.0)</f>
        <v>0</v>
      </c>
      <c r="S589" s="447">
        <f>IFERROR(__xludf.DUMMYFUNCTION("""COMPUTED_VALUE"""),0.0)</f>
        <v>0</v>
      </c>
      <c r="T589" s="447">
        <f>IFERROR(__xludf.DUMMYFUNCTION("""COMPUTED_VALUE"""),0.0)</f>
        <v>0</v>
      </c>
      <c r="U589" s="447">
        <f>IFERROR(__xludf.DUMMYFUNCTION("""COMPUTED_VALUE"""),0.0)</f>
        <v>0</v>
      </c>
      <c r="V589" s="447">
        <f>IFERROR(__xludf.DUMMYFUNCTION("""COMPUTED_VALUE"""),0.0)</f>
        <v>0</v>
      </c>
      <c r="W589" s="447">
        <f>IFERROR(__xludf.DUMMYFUNCTION("""COMPUTED_VALUE"""),0.0)</f>
        <v>0</v>
      </c>
      <c r="X589" s="447">
        <f>IFERROR(__xludf.DUMMYFUNCTION("""COMPUTED_VALUE"""),0.0)</f>
        <v>0</v>
      </c>
      <c r="Y589" s="447">
        <f>IFERROR(__xludf.DUMMYFUNCTION("""COMPUTED_VALUE"""),0.0)</f>
        <v>0</v>
      </c>
      <c r="Z589" s="447">
        <f>IFERROR(__xludf.DUMMYFUNCTION("""COMPUTED_VALUE"""),0.0)</f>
        <v>0</v>
      </c>
      <c r="AA589" s="447">
        <f>IFERROR(__xludf.DUMMYFUNCTION("""COMPUTED_VALUE"""),0.0)</f>
        <v>0</v>
      </c>
      <c r="AB589" s="447">
        <f>IFERROR(__xludf.DUMMYFUNCTION("""COMPUTED_VALUE"""),0.0)</f>
        <v>0</v>
      </c>
      <c r="AC589" s="447">
        <f>IFERROR(__xludf.DUMMYFUNCTION("""COMPUTED_VALUE"""),0.0)</f>
        <v>0</v>
      </c>
      <c r="AD589" s="447">
        <f>IFERROR(__xludf.DUMMYFUNCTION("""COMPUTED_VALUE"""),0.0)</f>
        <v>0</v>
      </c>
      <c r="AE589" s="447">
        <f>IFERROR(__xludf.DUMMYFUNCTION("""COMPUTED_VALUE"""),0.0)</f>
        <v>0</v>
      </c>
      <c r="AF589" s="447">
        <f>IFERROR(__xludf.DUMMYFUNCTION("""COMPUTED_VALUE"""),0.0)</f>
        <v>0</v>
      </c>
      <c r="AG589" s="443" t="s">
        <v>129</v>
      </c>
      <c r="AH589" s="443" t="s">
        <v>961</v>
      </c>
      <c r="AI589" s="443"/>
      <c r="AJ589" s="443"/>
      <c r="AK589" s="443"/>
      <c r="AL589" s="443"/>
      <c r="AM589" s="443"/>
      <c r="AN589" s="443"/>
      <c r="AO589" s="443"/>
      <c r="AP589" s="443"/>
      <c r="AQ589" s="443"/>
      <c r="AR589" s="443"/>
      <c r="AS589" s="443"/>
      <c r="AT589" s="443"/>
      <c r="AU589" s="443"/>
      <c r="AV589" s="443"/>
      <c r="AW589" s="443"/>
      <c r="AX589" s="443"/>
      <c r="AY589" s="443"/>
      <c r="AZ589" s="443"/>
      <c r="BA589" s="443"/>
      <c r="BB589" s="443"/>
      <c r="BC589" s="443"/>
      <c r="BD589" s="443"/>
      <c r="BE589" s="443"/>
    </row>
    <row r="590" hidden="1">
      <c r="A590" s="445">
        <f t="shared" si="5"/>
        <v>45880</v>
      </c>
      <c r="B590" s="449">
        <v>538.0</v>
      </c>
      <c r="C590" s="462">
        <v>0.6</v>
      </c>
      <c r="D590" s="462">
        <v>0.9708333333333333</v>
      </c>
      <c r="E590" s="436">
        <f t="array" ref="E590">IF(B590=0,"",(J590+K590)/60)</f>
        <v>1.116666667</v>
      </c>
      <c r="F590" s="437">
        <f t="shared" si="1"/>
        <v>8.9</v>
      </c>
      <c r="G590" s="438">
        <f t="shared" si="9"/>
        <v>60.4494382</v>
      </c>
      <c r="H590" s="438">
        <f t="shared" si="3"/>
        <v>69.12205567</v>
      </c>
      <c r="I590" s="436">
        <f t="shared" si="6"/>
        <v>1.314118222</v>
      </c>
      <c r="J590" s="460">
        <v>30.0</v>
      </c>
      <c r="K590" s="464">
        <f>28+9</f>
        <v>37</v>
      </c>
      <c r="L590" s="443"/>
      <c r="M590" s="447">
        <f>IFERROR(__xludf.DUMMYFUNCTION("""COMPUTED_VALUE"""),57.0)</f>
        <v>57</v>
      </c>
      <c r="N590" s="447">
        <f>IFERROR(__xludf.DUMMYFUNCTION("""COMPUTED_VALUE"""),57.0)</f>
        <v>57</v>
      </c>
      <c r="O590" s="447">
        <f>IFERROR(__xludf.DUMMYFUNCTION("""COMPUTED_VALUE"""),0.0)</f>
        <v>0</v>
      </c>
      <c r="P590" s="447">
        <f>IFERROR(__xludf.DUMMYFUNCTION("""COMPUTED_VALUE"""),1.0)</f>
        <v>1</v>
      </c>
      <c r="Q590" s="447">
        <f>IFERROR(__xludf.DUMMYFUNCTION("""COMPUTED_VALUE"""),1.0)</f>
        <v>1</v>
      </c>
      <c r="R590" s="447">
        <f>IFERROR(__xludf.DUMMYFUNCTION("""COMPUTED_VALUE"""),0.0)</f>
        <v>0</v>
      </c>
      <c r="S590" s="447">
        <f>IFERROR(__xludf.DUMMYFUNCTION("""COMPUTED_VALUE"""),1.0)</f>
        <v>1</v>
      </c>
      <c r="T590" s="447">
        <f>IFERROR(__xludf.DUMMYFUNCTION("""COMPUTED_VALUE"""),0.0)</f>
        <v>0</v>
      </c>
      <c r="U590" s="447">
        <f>IFERROR(__xludf.DUMMYFUNCTION("""COMPUTED_VALUE"""),0.0)</f>
        <v>0</v>
      </c>
      <c r="V590" s="447">
        <f>IFERROR(__xludf.DUMMYFUNCTION("""COMPUTED_VALUE"""),2.0)</f>
        <v>2</v>
      </c>
      <c r="W590" s="447">
        <f>IFERROR(__xludf.DUMMYFUNCTION("""COMPUTED_VALUE"""),0.0)</f>
        <v>0</v>
      </c>
      <c r="X590" s="447">
        <f>IFERROR(__xludf.DUMMYFUNCTION("""COMPUTED_VALUE"""),1.0)</f>
        <v>1</v>
      </c>
      <c r="Y590" s="447">
        <f>IFERROR(__xludf.DUMMYFUNCTION("""COMPUTED_VALUE"""),0.0)</f>
        <v>0</v>
      </c>
      <c r="Z590" s="447">
        <f>IFERROR(__xludf.DUMMYFUNCTION("""COMPUTED_VALUE"""),0.0)</f>
        <v>0</v>
      </c>
      <c r="AA590" s="447">
        <f>IFERROR(__xludf.DUMMYFUNCTION("""COMPUTED_VALUE"""),0.0)</f>
        <v>0</v>
      </c>
      <c r="AB590" s="447">
        <f>IFERROR(__xludf.DUMMYFUNCTION("""COMPUTED_VALUE"""),0.0)</f>
        <v>0</v>
      </c>
      <c r="AC590" s="447">
        <f>IFERROR(__xludf.DUMMYFUNCTION("""COMPUTED_VALUE"""),2.0)</f>
        <v>2</v>
      </c>
      <c r="AD590" s="447">
        <f>IFERROR(__xludf.DUMMYFUNCTION("""COMPUTED_VALUE"""),46.0)</f>
        <v>46</v>
      </c>
      <c r="AE590" s="447">
        <f>IFERROR(__xludf.DUMMYFUNCTION("""COMPUTED_VALUE"""),8.0)</f>
        <v>8</v>
      </c>
      <c r="AF590" s="447">
        <f>IFERROR(__xludf.DUMMYFUNCTION("""COMPUTED_VALUE"""),0.0)</f>
        <v>0</v>
      </c>
      <c r="AG590" s="443" t="s">
        <v>129</v>
      </c>
      <c r="AH590" s="443" t="s">
        <v>961</v>
      </c>
      <c r="AI590" s="443"/>
      <c r="AJ590" s="443"/>
      <c r="AK590" s="443"/>
      <c r="AL590" s="443"/>
      <c r="AM590" s="443"/>
      <c r="AN590" s="443"/>
      <c r="AO590" s="443"/>
      <c r="AP590" s="443"/>
      <c r="AQ590" s="443"/>
      <c r="AR590" s="443"/>
      <c r="AS590" s="443"/>
      <c r="AT590" s="443"/>
      <c r="AU590" s="443"/>
      <c r="AV590" s="443"/>
      <c r="AW590" s="443"/>
      <c r="AX590" s="443"/>
      <c r="AY590" s="443"/>
      <c r="AZ590" s="443"/>
      <c r="BA590" s="443"/>
      <c r="BB590" s="443"/>
      <c r="BC590" s="443"/>
      <c r="BD590" s="443"/>
      <c r="BE590" s="443"/>
    </row>
    <row r="591" hidden="1">
      <c r="A591" s="445">
        <f t="shared" si="5"/>
        <v>45881</v>
      </c>
      <c r="B591" s="449">
        <v>585.0</v>
      </c>
      <c r="C591" s="462">
        <v>0.6</v>
      </c>
      <c r="D591" s="462">
        <v>1.0055555555555555</v>
      </c>
      <c r="E591" s="436">
        <f t="array" ref="E591">IF(B591=0,"",(J591+K591)/60)</f>
        <v>1.166666667</v>
      </c>
      <c r="F591" s="437">
        <f t="shared" si="1"/>
        <v>9.733333333</v>
      </c>
      <c r="G591" s="438">
        <f t="shared" si="9"/>
        <v>60.10273973</v>
      </c>
      <c r="H591" s="438">
        <f t="shared" si="3"/>
        <v>68.28793774</v>
      </c>
      <c r="I591" s="436">
        <f t="shared" si="6"/>
        <v>1.252140411</v>
      </c>
      <c r="J591" s="460">
        <v>60.0</v>
      </c>
      <c r="K591" s="460">
        <v>10.0</v>
      </c>
      <c r="L591" s="443"/>
      <c r="M591" s="447">
        <f>IFERROR(__xludf.DUMMYFUNCTION("""COMPUTED_VALUE"""),57.0)</f>
        <v>57</v>
      </c>
      <c r="N591" s="447">
        <f>IFERROR(__xludf.DUMMYFUNCTION("""COMPUTED_VALUE"""),57.0)</f>
        <v>57</v>
      </c>
      <c r="O591" s="447">
        <f>IFERROR(__xludf.DUMMYFUNCTION("""COMPUTED_VALUE"""),0.0)</f>
        <v>0</v>
      </c>
      <c r="P591" s="447">
        <f>IFERROR(__xludf.DUMMYFUNCTION("""COMPUTED_VALUE"""),0.0)</f>
        <v>0</v>
      </c>
      <c r="Q591" s="447">
        <f>IFERROR(__xludf.DUMMYFUNCTION("""COMPUTED_VALUE"""),0.0)</f>
        <v>0</v>
      </c>
      <c r="R591" s="447">
        <f>IFERROR(__xludf.DUMMYFUNCTION("""COMPUTED_VALUE"""),0.0)</f>
        <v>0</v>
      </c>
      <c r="S591" s="447">
        <f>IFERROR(__xludf.DUMMYFUNCTION("""COMPUTED_VALUE"""),2.0)</f>
        <v>2</v>
      </c>
      <c r="T591" s="447">
        <f>IFERROR(__xludf.DUMMYFUNCTION("""COMPUTED_VALUE"""),0.0)</f>
        <v>0</v>
      </c>
      <c r="U591" s="447">
        <f>IFERROR(__xludf.DUMMYFUNCTION("""COMPUTED_VALUE"""),0.0)</f>
        <v>0</v>
      </c>
      <c r="V591" s="447">
        <f>IFERROR(__xludf.DUMMYFUNCTION("""COMPUTED_VALUE"""),2.0)</f>
        <v>2</v>
      </c>
      <c r="W591" s="447">
        <f>IFERROR(__xludf.DUMMYFUNCTION("""COMPUTED_VALUE"""),0.0)</f>
        <v>0</v>
      </c>
      <c r="X591" s="447">
        <f>IFERROR(__xludf.DUMMYFUNCTION("""COMPUTED_VALUE"""),1.0)</f>
        <v>1</v>
      </c>
      <c r="Y591" s="447">
        <f>IFERROR(__xludf.DUMMYFUNCTION("""COMPUTED_VALUE"""),0.0)</f>
        <v>0</v>
      </c>
      <c r="Z591" s="447">
        <f>IFERROR(__xludf.DUMMYFUNCTION("""COMPUTED_VALUE"""),0.0)</f>
        <v>0</v>
      </c>
      <c r="AA591" s="447">
        <f>IFERROR(__xludf.DUMMYFUNCTION("""COMPUTED_VALUE"""),0.0)</f>
        <v>0</v>
      </c>
      <c r="AB591" s="447">
        <f>IFERROR(__xludf.DUMMYFUNCTION("""COMPUTED_VALUE"""),0.0)</f>
        <v>0</v>
      </c>
      <c r="AC591" s="447">
        <f>IFERROR(__xludf.DUMMYFUNCTION("""COMPUTED_VALUE"""),1.0)</f>
        <v>1</v>
      </c>
      <c r="AD591" s="447">
        <f>IFERROR(__xludf.DUMMYFUNCTION("""COMPUTED_VALUE"""),48.0)</f>
        <v>48</v>
      </c>
      <c r="AE591" s="447">
        <f>IFERROR(__xludf.DUMMYFUNCTION("""COMPUTED_VALUE"""),6.0)</f>
        <v>6</v>
      </c>
      <c r="AF591" s="447">
        <f>IFERROR(__xludf.DUMMYFUNCTION("""COMPUTED_VALUE"""),0.0)</f>
        <v>0</v>
      </c>
      <c r="AG591" s="443" t="s">
        <v>129</v>
      </c>
      <c r="AH591" s="443" t="s">
        <v>961</v>
      </c>
      <c r="AI591" s="443"/>
      <c r="AJ591" s="443"/>
      <c r="AK591" s="443"/>
      <c r="AL591" s="443"/>
      <c r="AM591" s="443"/>
      <c r="AN591" s="443"/>
      <c r="AO591" s="443"/>
      <c r="AP591" s="443"/>
      <c r="AQ591" s="443"/>
      <c r="AR591" s="443"/>
      <c r="AS591" s="443"/>
      <c r="AT591" s="443"/>
      <c r="AU591" s="443"/>
      <c r="AV591" s="443"/>
      <c r="AW591" s="443"/>
      <c r="AX591" s="443"/>
      <c r="AY591" s="443"/>
      <c r="AZ591" s="443"/>
      <c r="BA591" s="443"/>
      <c r="BB591" s="443"/>
      <c r="BC591" s="443"/>
      <c r="BD591" s="443"/>
      <c r="BE591" s="443"/>
    </row>
    <row r="592" hidden="1">
      <c r="A592" s="445">
        <f t="shared" si="5"/>
        <v>45882</v>
      </c>
      <c r="B592" s="449">
        <v>506.0</v>
      </c>
      <c r="C592" s="462">
        <v>0.5868055555555556</v>
      </c>
      <c r="D592" s="462">
        <v>0.9493055555555555</v>
      </c>
      <c r="E592" s="436">
        <f t="array" ref="E592">IF(B592=0,"",(J592+K592)/60)</f>
        <v>0.5</v>
      </c>
      <c r="F592" s="437">
        <f t="shared" si="1"/>
        <v>8.7</v>
      </c>
      <c r="G592" s="438">
        <f t="shared" si="9"/>
        <v>58.16091954</v>
      </c>
      <c r="H592" s="438">
        <f t="shared" si="3"/>
        <v>61.70731707</v>
      </c>
      <c r="I592" s="436">
        <f t="shared" si="6"/>
        <v>1.211685824</v>
      </c>
      <c r="J592" s="460">
        <v>30.0</v>
      </c>
      <c r="K592" s="464"/>
      <c r="L592" s="443"/>
      <c r="M592" s="447">
        <f>IFERROR(__xludf.DUMMYFUNCTION("""COMPUTED_VALUE"""),57.0)</f>
        <v>57</v>
      </c>
      <c r="N592" s="447">
        <f>IFERROR(__xludf.DUMMYFUNCTION("""COMPUTED_VALUE"""),57.0)</f>
        <v>57</v>
      </c>
      <c r="O592" s="447">
        <f>IFERROR(__xludf.DUMMYFUNCTION("""COMPUTED_VALUE"""),0.0)</f>
        <v>0</v>
      </c>
      <c r="P592" s="447">
        <f>IFERROR(__xludf.DUMMYFUNCTION("""COMPUTED_VALUE"""),0.0)</f>
        <v>0</v>
      </c>
      <c r="Q592" s="447">
        <f>IFERROR(__xludf.DUMMYFUNCTION("""COMPUTED_VALUE"""),0.0)</f>
        <v>0</v>
      </c>
      <c r="R592" s="447">
        <f>IFERROR(__xludf.DUMMYFUNCTION("""COMPUTED_VALUE"""),0.0)</f>
        <v>0</v>
      </c>
      <c r="S592" s="447">
        <f>IFERROR(__xludf.DUMMYFUNCTION("""COMPUTED_VALUE"""),3.0)</f>
        <v>3</v>
      </c>
      <c r="T592" s="447">
        <f>IFERROR(__xludf.DUMMYFUNCTION("""COMPUTED_VALUE"""),0.0)</f>
        <v>0</v>
      </c>
      <c r="U592" s="447">
        <f>IFERROR(__xludf.DUMMYFUNCTION("""COMPUTED_VALUE"""),0.0)</f>
        <v>0</v>
      </c>
      <c r="V592" s="447">
        <f>IFERROR(__xludf.DUMMYFUNCTION("""COMPUTED_VALUE"""),2.0)</f>
        <v>2</v>
      </c>
      <c r="W592" s="447">
        <f>IFERROR(__xludf.DUMMYFUNCTION("""COMPUTED_VALUE"""),0.0)</f>
        <v>0</v>
      </c>
      <c r="X592" s="447">
        <f>IFERROR(__xludf.DUMMYFUNCTION("""COMPUTED_VALUE"""),1.0)</f>
        <v>1</v>
      </c>
      <c r="Y592" s="447">
        <f>IFERROR(__xludf.DUMMYFUNCTION("""COMPUTED_VALUE"""),0.0)</f>
        <v>0</v>
      </c>
      <c r="Z592" s="447">
        <f>IFERROR(__xludf.DUMMYFUNCTION("""COMPUTED_VALUE"""),0.0)</f>
        <v>0</v>
      </c>
      <c r="AA592" s="447">
        <f>IFERROR(__xludf.DUMMYFUNCTION("""COMPUTED_VALUE"""),0.0)</f>
        <v>0</v>
      </c>
      <c r="AB592" s="447">
        <f>IFERROR(__xludf.DUMMYFUNCTION("""COMPUTED_VALUE"""),0.0)</f>
        <v>0</v>
      </c>
      <c r="AC592" s="447">
        <f>IFERROR(__xludf.DUMMYFUNCTION("""COMPUTED_VALUE"""),0.0)</f>
        <v>0</v>
      </c>
      <c r="AD592" s="447">
        <f>IFERROR(__xludf.DUMMYFUNCTION("""COMPUTED_VALUE"""),48.0)</f>
        <v>48</v>
      </c>
      <c r="AE592" s="447">
        <f>IFERROR(__xludf.DUMMYFUNCTION("""COMPUTED_VALUE"""),6.0)</f>
        <v>6</v>
      </c>
      <c r="AF592" s="447">
        <f>IFERROR(__xludf.DUMMYFUNCTION("""COMPUTED_VALUE"""),0.0)</f>
        <v>0</v>
      </c>
      <c r="AG592" s="443" t="s">
        <v>129</v>
      </c>
      <c r="AH592" s="443" t="s">
        <v>961</v>
      </c>
      <c r="AI592" s="443"/>
      <c r="AJ592" s="443"/>
      <c r="AK592" s="443"/>
      <c r="AL592" s="443"/>
      <c r="AM592" s="443"/>
      <c r="AN592" s="443"/>
      <c r="AO592" s="443"/>
      <c r="AP592" s="443"/>
      <c r="AQ592" s="443"/>
      <c r="AR592" s="443"/>
      <c r="AS592" s="443"/>
      <c r="AT592" s="443"/>
      <c r="AU592" s="443"/>
      <c r="AV592" s="443"/>
      <c r="AW592" s="443"/>
      <c r="AX592" s="443"/>
      <c r="AY592" s="443"/>
      <c r="AZ592" s="443"/>
      <c r="BA592" s="443"/>
      <c r="BB592" s="443"/>
      <c r="BC592" s="443"/>
      <c r="BD592" s="443"/>
      <c r="BE592" s="443"/>
    </row>
    <row r="593" hidden="1">
      <c r="A593" s="445">
        <f t="shared" si="5"/>
        <v>45883</v>
      </c>
      <c r="B593" s="449">
        <v>544.0</v>
      </c>
      <c r="C593" s="462">
        <v>0.6</v>
      </c>
      <c r="D593" s="462">
        <v>0.9993055555555556</v>
      </c>
      <c r="E593" s="436">
        <f t="array" ref="E593">IF(B593=0,"",(J593+K593)/60)</f>
        <v>1.85</v>
      </c>
      <c r="F593" s="437">
        <f t="shared" si="1"/>
        <v>9.583333333</v>
      </c>
      <c r="G593" s="438">
        <f t="shared" si="9"/>
        <v>56.76521739</v>
      </c>
      <c r="H593" s="438">
        <f t="shared" si="3"/>
        <v>70.34482759</v>
      </c>
      <c r="I593" s="436">
        <f t="shared" si="6"/>
        <v>1.158473824</v>
      </c>
      <c r="J593" s="460">
        <v>60.0</v>
      </c>
      <c r="K593" s="464">
        <f>8+5+6+8+19+5</f>
        <v>51</v>
      </c>
      <c r="L593" s="443"/>
      <c r="M593" s="447">
        <f>IFERROR(__xludf.DUMMYFUNCTION("""COMPUTED_VALUE"""),57.0)</f>
        <v>57</v>
      </c>
      <c r="N593" s="447">
        <f>IFERROR(__xludf.DUMMYFUNCTION("""COMPUTED_VALUE"""),57.0)</f>
        <v>57</v>
      </c>
      <c r="O593" s="447">
        <f>IFERROR(__xludf.DUMMYFUNCTION("""COMPUTED_VALUE"""),0.0)</f>
        <v>0</v>
      </c>
      <c r="P593" s="447">
        <f>IFERROR(__xludf.DUMMYFUNCTION("""COMPUTED_VALUE"""),0.0)</f>
        <v>0</v>
      </c>
      <c r="Q593" s="447">
        <f>IFERROR(__xludf.DUMMYFUNCTION("""COMPUTED_VALUE"""),0.0)</f>
        <v>0</v>
      </c>
      <c r="R593" s="447">
        <f>IFERROR(__xludf.DUMMYFUNCTION("""COMPUTED_VALUE"""),0.0)</f>
        <v>0</v>
      </c>
      <c r="S593" s="447">
        <f>IFERROR(__xludf.DUMMYFUNCTION("""COMPUTED_VALUE"""),2.0)</f>
        <v>2</v>
      </c>
      <c r="T593" s="447">
        <f>IFERROR(__xludf.DUMMYFUNCTION("""COMPUTED_VALUE"""),0.0)</f>
        <v>0</v>
      </c>
      <c r="U593" s="447">
        <f>IFERROR(__xludf.DUMMYFUNCTION("""COMPUTED_VALUE"""),0.0)</f>
        <v>0</v>
      </c>
      <c r="V593" s="447">
        <f>IFERROR(__xludf.DUMMYFUNCTION("""COMPUTED_VALUE"""),2.0)</f>
        <v>2</v>
      </c>
      <c r="W593" s="447">
        <f>IFERROR(__xludf.DUMMYFUNCTION("""COMPUTED_VALUE"""),0.0)</f>
        <v>0</v>
      </c>
      <c r="X593" s="447">
        <f>IFERROR(__xludf.DUMMYFUNCTION("""COMPUTED_VALUE"""),1.0)</f>
        <v>1</v>
      </c>
      <c r="Y593" s="447">
        <f>IFERROR(__xludf.DUMMYFUNCTION("""COMPUTED_VALUE"""),0.0)</f>
        <v>0</v>
      </c>
      <c r="Z593" s="447">
        <f>IFERROR(__xludf.DUMMYFUNCTION("""COMPUTED_VALUE"""),0.0)</f>
        <v>0</v>
      </c>
      <c r="AA593" s="447">
        <f>IFERROR(__xludf.DUMMYFUNCTION("""COMPUTED_VALUE"""),0.0)</f>
        <v>0</v>
      </c>
      <c r="AB593" s="447">
        <f>IFERROR(__xludf.DUMMYFUNCTION("""COMPUTED_VALUE"""),0.0)</f>
        <v>0</v>
      </c>
      <c r="AC593" s="447">
        <f>IFERROR(__xludf.DUMMYFUNCTION("""COMPUTED_VALUE"""),0.0)</f>
        <v>0</v>
      </c>
      <c r="AD593" s="447">
        <f>IFERROR(__xludf.DUMMYFUNCTION("""COMPUTED_VALUE"""),49.0)</f>
        <v>49</v>
      </c>
      <c r="AE593" s="447">
        <f>IFERROR(__xludf.DUMMYFUNCTION("""COMPUTED_VALUE"""),5.0)</f>
        <v>5</v>
      </c>
      <c r="AF593" s="447">
        <f>IFERROR(__xludf.DUMMYFUNCTION("""COMPUTED_VALUE"""),0.0)</f>
        <v>0</v>
      </c>
      <c r="AG593" s="443" t="s">
        <v>129</v>
      </c>
      <c r="AH593" s="443" t="s">
        <v>961</v>
      </c>
      <c r="AI593" s="443"/>
      <c r="AJ593" s="443"/>
      <c r="AK593" s="443"/>
      <c r="AL593" s="443"/>
      <c r="AM593" s="443"/>
      <c r="AN593" s="443"/>
      <c r="AO593" s="443"/>
      <c r="AP593" s="443"/>
      <c r="AQ593" s="443"/>
      <c r="AR593" s="443"/>
      <c r="AS593" s="443"/>
      <c r="AT593" s="443"/>
      <c r="AU593" s="443"/>
      <c r="AV593" s="443"/>
      <c r="AW593" s="443"/>
      <c r="AX593" s="443"/>
      <c r="AY593" s="443"/>
      <c r="AZ593" s="443"/>
      <c r="BA593" s="443"/>
      <c r="BB593" s="443"/>
      <c r="BC593" s="443"/>
      <c r="BD593" s="443"/>
      <c r="BE593" s="443"/>
    </row>
    <row r="594" hidden="1">
      <c r="A594" s="445">
        <f t="shared" si="5"/>
        <v>45884</v>
      </c>
      <c r="B594" s="449">
        <v>353.0</v>
      </c>
      <c r="C594" s="462">
        <v>0.6</v>
      </c>
      <c r="D594" s="462">
        <v>0.8597222222222223</v>
      </c>
      <c r="E594" s="436">
        <f t="array" ref="E594">IF(B594=0,"",(J594+K594)/60)</f>
        <v>1.083333333</v>
      </c>
      <c r="F594" s="437">
        <f t="shared" si="1"/>
        <v>6.233333333</v>
      </c>
      <c r="G594" s="438">
        <f t="shared" si="9"/>
        <v>56.63101604</v>
      </c>
      <c r="H594" s="438">
        <f t="shared" si="3"/>
        <v>68.54368932</v>
      </c>
      <c r="I594" s="436">
        <f t="shared" si="6"/>
        <v>1.179812834</v>
      </c>
      <c r="J594" s="460">
        <v>30.0</v>
      </c>
      <c r="K594" s="460">
        <f>6+9+7+7+6</f>
        <v>35</v>
      </c>
      <c r="L594" s="443"/>
      <c r="M594" s="447">
        <f>IFERROR(__xludf.DUMMYFUNCTION("""COMPUTED_VALUE"""),57.0)</f>
        <v>57</v>
      </c>
      <c r="N594" s="447">
        <f>IFERROR(__xludf.DUMMYFUNCTION("""COMPUTED_VALUE"""),57.0)</f>
        <v>57</v>
      </c>
      <c r="O594" s="447">
        <f>IFERROR(__xludf.DUMMYFUNCTION("""COMPUTED_VALUE"""),0.0)</f>
        <v>0</v>
      </c>
      <c r="P594" s="447">
        <f>IFERROR(__xludf.DUMMYFUNCTION("""COMPUTED_VALUE"""),0.0)</f>
        <v>0</v>
      </c>
      <c r="Q594" s="447">
        <f>IFERROR(__xludf.DUMMYFUNCTION("""COMPUTED_VALUE"""),0.0)</f>
        <v>0</v>
      </c>
      <c r="R594" s="447">
        <f>IFERROR(__xludf.DUMMYFUNCTION("""COMPUTED_VALUE"""),0.0)</f>
        <v>0</v>
      </c>
      <c r="S594" s="447">
        <f>IFERROR(__xludf.DUMMYFUNCTION("""COMPUTED_VALUE"""),2.0)</f>
        <v>2</v>
      </c>
      <c r="T594" s="447">
        <f>IFERROR(__xludf.DUMMYFUNCTION("""COMPUTED_VALUE"""),1.0)</f>
        <v>1</v>
      </c>
      <c r="U594" s="447">
        <f>IFERROR(__xludf.DUMMYFUNCTION("""COMPUTED_VALUE"""),0.0)</f>
        <v>0</v>
      </c>
      <c r="V594" s="447">
        <f>IFERROR(__xludf.DUMMYFUNCTION("""COMPUTED_VALUE"""),2.0)</f>
        <v>2</v>
      </c>
      <c r="W594" s="447">
        <f>IFERROR(__xludf.DUMMYFUNCTION("""COMPUTED_VALUE"""),0.0)</f>
        <v>0</v>
      </c>
      <c r="X594" s="447">
        <f>IFERROR(__xludf.DUMMYFUNCTION("""COMPUTED_VALUE"""),1.0)</f>
        <v>1</v>
      </c>
      <c r="Y594" s="447">
        <f>IFERROR(__xludf.DUMMYFUNCTION("""COMPUTED_VALUE"""),0.0)</f>
        <v>0</v>
      </c>
      <c r="Z594" s="447">
        <f>IFERROR(__xludf.DUMMYFUNCTION("""COMPUTED_VALUE"""),0.0)</f>
        <v>0</v>
      </c>
      <c r="AA594" s="447">
        <f>IFERROR(__xludf.DUMMYFUNCTION("""COMPUTED_VALUE"""),0.0)</f>
        <v>0</v>
      </c>
      <c r="AB594" s="447">
        <f>IFERROR(__xludf.DUMMYFUNCTION("""COMPUTED_VALUE"""),0.0)</f>
        <v>0</v>
      </c>
      <c r="AC594" s="447">
        <f>IFERROR(__xludf.DUMMYFUNCTION("""COMPUTED_VALUE"""),0.0)</f>
        <v>0</v>
      </c>
      <c r="AD594" s="447">
        <f>IFERROR(__xludf.DUMMYFUNCTION("""COMPUTED_VALUE"""),48.0)</f>
        <v>48</v>
      </c>
      <c r="AE594" s="447">
        <f>IFERROR(__xludf.DUMMYFUNCTION("""COMPUTED_VALUE"""),6.0)</f>
        <v>6</v>
      </c>
      <c r="AF594" s="447">
        <f>IFERROR(__xludf.DUMMYFUNCTION("""COMPUTED_VALUE"""),0.0)</f>
        <v>0</v>
      </c>
      <c r="AG594" s="443" t="s">
        <v>129</v>
      </c>
      <c r="AH594" s="443" t="s">
        <v>961</v>
      </c>
      <c r="AI594" s="443"/>
      <c r="AJ594" s="443"/>
      <c r="AK594" s="443"/>
      <c r="AL594" s="443"/>
      <c r="AM594" s="443"/>
      <c r="AN594" s="443"/>
      <c r="AO594" s="443"/>
      <c r="AP594" s="443"/>
      <c r="AQ594" s="443"/>
      <c r="AR594" s="443"/>
      <c r="AS594" s="443"/>
      <c r="AT594" s="443"/>
      <c r="AU594" s="443"/>
      <c r="AV594" s="443"/>
      <c r="AW594" s="443"/>
      <c r="AX594" s="443"/>
      <c r="AY594" s="443"/>
      <c r="AZ594" s="443"/>
      <c r="BA594" s="443"/>
      <c r="BB594" s="443"/>
      <c r="BC594" s="443"/>
      <c r="BD594" s="443"/>
      <c r="BE594" s="443"/>
    </row>
    <row r="595" hidden="1">
      <c r="A595" s="445">
        <f t="shared" si="5"/>
        <v>45885</v>
      </c>
      <c r="B595" s="449">
        <v>389.0</v>
      </c>
      <c r="C595" s="462">
        <v>0.6</v>
      </c>
      <c r="D595" s="462">
        <v>0.8944444444444445</v>
      </c>
      <c r="E595" s="436">
        <f t="array" ref="E595">IF(B595=0,"",(J595+K595)/60)</f>
        <v>0.8666666667</v>
      </c>
      <c r="F595" s="437">
        <f t="shared" si="1"/>
        <v>7.066666667</v>
      </c>
      <c r="G595" s="438">
        <f t="shared" si="9"/>
        <v>55.04716981</v>
      </c>
      <c r="H595" s="438">
        <f t="shared" si="3"/>
        <v>62.74193548</v>
      </c>
      <c r="I595" s="436">
        <f t="shared" si="6"/>
        <v>1.22327044</v>
      </c>
      <c r="J595" s="460">
        <v>30.0</v>
      </c>
      <c r="K595" s="464">
        <f>7+5+10</f>
        <v>22</v>
      </c>
      <c r="L595" s="443"/>
      <c r="M595" s="447">
        <f>IFERROR(__xludf.DUMMYFUNCTION("""COMPUTED_VALUE"""),57.0)</f>
        <v>57</v>
      </c>
      <c r="N595" s="447">
        <f>IFERROR(__xludf.DUMMYFUNCTION("""COMPUTED_VALUE"""),57.0)</f>
        <v>57</v>
      </c>
      <c r="O595" s="447">
        <f>IFERROR(__xludf.DUMMYFUNCTION("""COMPUTED_VALUE"""),0.0)</f>
        <v>0</v>
      </c>
      <c r="P595" s="447">
        <f>IFERROR(__xludf.DUMMYFUNCTION("""COMPUTED_VALUE"""),0.0)</f>
        <v>0</v>
      </c>
      <c r="Q595" s="447">
        <f>IFERROR(__xludf.DUMMYFUNCTION("""COMPUTED_VALUE"""),1.0)</f>
        <v>1</v>
      </c>
      <c r="R595" s="447">
        <f>IFERROR(__xludf.DUMMYFUNCTION("""COMPUTED_VALUE"""),0.0)</f>
        <v>0</v>
      </c>
      <c r="S595" s="447">
        <f>IFERROR(__xludf.DUMMYFUNCTION("""COMPUTED_VALUE"""),3.0)</f>
        <v>3</v>
      </c>
      <c r="T595" s="447">
        <f>IFERROR(__xludf.DUMMYFUNCTION("""COMPUTED_VALUE"""),1.0)</f>
        <v>1</v>
      </c>
      <c r="U595" s="447">
        <f>IFERROR(__xludf.DUMMYFUNCTION("""COMPUTED_VALUE"""),0.0)</f>
        <v>0</v>
      </c>
      <c r="V595" s="447">
        <f>IFERROR(__xludf.DUMMYFUNCTION("""COMPUTED_VALUE"""),2.0)</f>
        <v>2</v>
      </c>
      <c r="W595" s="447">
        <f>IFERROR(__xludf.DUMMYFUNCTION("""COMPUTED_VALUE"""),0.0)</f>
        <v>0</v>
      </c>
      <c r="X595" s="447">
        <f>IFERROR(__xludf.DUMMYFUNCTION("""COMPUTED_VALUE"""),1.0)</f>
        <v>1</v>
      </c>
      <c r="Y595" s="447">
        <f>IFERROR(__xludf.DUMMYFUNCTION("""COMPUTED_VALUE"""),0.0)</f>
        <v>0</v>
      </c>
      <c r="Z595" s="447">
        <f>IFERROR(__xludf.DUMMYFUNCTION("""COMPUTED_VALUE"""),0.0)</f>
        <v>0</v>
      </c>
      <c r="AA595" s="447">
        <f>IFERROR(__xludf.DUMMYFUNCTION("""COMPUTED_VALUE"""),0.0)</f>
        <v>0</v>
      </c>
      <c r="AB595" s="447">
        <f>IFERROR(__xludf.DUMMYFUNCTION("""COMPUTED_VALUE"""),0.0)</f>
        <v>0</v>
      </c>
      <c r="AC595" s="447">
        <f>IFERROR(__xludf.DUMMYFUNCTION("""COMPUTED_VALUE"""),1.0)</f>
        <v>1</v>
      </c>
      <c r="AD595" s="447">
        <f>IFERROR(__xludf.DUMMYFUNCTION("""COMPUTED_VALUE"""),45.0)</f>
        <v>45</v>
      </c>
      <c r="AE595" s="447">
        <f>IFERROR(__xludf.DUMMYFUNCTION("""COMPUTED_VALUE"""),9.0)</f>
        <v>9</v>
      </c>
      <c r="AF595" s="447">
        <f>IFERROR(__xludf.DUMMYFUNCTION("""COMPUTED_VALUE"""),0.0)</f>
        <v>0</v>
      </c>
      <c r="AG595" s="443" t="s">
        <v>129</v>
      </c>
      <c r="AH595" s="443" t="s">
        <v>961</v>
      </c>
      <c r="AI595" s="443"/>
      <c r="AJ595" s="443"/>
      <c r="AK595" s="443"/>
      <c r="AL595" s="443"/>
      <c r="AM595" s="443"/>
      <c r="AN595" s="443"/>
      <c r="AO595" s="443"/>
      <c r="AP595" s="443"/>
      <c r="AQ595" s="443"/>
      <c r="AR595" s="443"/>
      <c r="AS595" s="443"/>
      <c r="AT595" s="443"/>
      <c r="AU595" s="443"/>
      <c r="AV595" s="443"/>
      <c r="AW595" s="443"/>
      <c r="AX595" s="443"/>
      <c r="AY595" s="443"/>
      <c r="AZ595" s="443"/>
      <c r="BA595" s="443"/>
      <c r="BB595" s="443"/>
      <c r="BC595" s="443"/>
      <c r="BD595" s="443"/>
      <c r="BE595" s="443"/>
    </row>
    <row r="596" hidden="1">
      <c r="A596" s="445">
        <f t="shared" si="5"/>
        <v>45886</v>
      </c>
      <c r="B596" s="449">
        <v>0.0</v>
      </c>
      <c r="C596" s="449"/>
      <c r="D596" s="462"/>
      <c r="E596" s="436" t="str">
        <f t="array" ref="E596">IF(B596=0,"",(J596+K596)/60)</f>
        <v/>
      </c>
      <c r="F596" s="437" t="str">
        <f t="shared" si="1"/>
        <v/>
      </c>
      <c r="G596" s="438" t="str">
        <f t="shared" si="9"/>
        <v>#DIV/0!</v>
      </c>
      <c r="H596" s="438" t="str">
        <f t="shared" si="3"/>
        <v/>
      </c>
      <c r="I596" s="436" t="str">
        <f t="shared" si="6"/>
        <v/>
      </c>
      <c r="J596" s="464"/>
      <c r="K596" s="464"/>
      <c r="L596" s="443"/>
      <c r="M596" s="447">
        <f>IFERROR(__xludf.DUMMYFUNCTION("""COMPUTED_VALUE"""),57.0)</f>
        <v>57</v>
      </c>
      <c r="N596" s="447">
        <f>IFERROR(__xludf.DUMMYFUNCTION("""COMPUTED_VALUE"""),57.0)</f>
        <v>57</v>
      </c>
      <c r="O596" s="447">
        <f>IFERROR(__xludf.DUMMYFUNCTION("""COMPUTED_VALUE"""),0.0)</f>
        <v>0</v>
      </c>
      <c r="P596" s="447">
        <f>IFERROR(__xludf.DUMMYFUNCTION("""COMPUTED_VALUE"""),0.0)</f>
        <v>0</v>
      </c>
      <c r="Q596" s="447">
        <f>IFERROR(__xludf.DUMMYFUNCTION("""COMPUTED_VALUE"""),0.0)</f>
        <v>0</v>
      </c>
      <c r="R596" s="447">
        <f>IFERROR(__xludf.DUMMYFUNCTION("""COMPUTED_VALUE"""),0.0)</f>
        <v>0</v>
      </c>
      <c r="S596" s="447">
        <f>IFERROR(__xludf.DUMMYFUNCTION("""COMPUTED_VALUE"""),0.0)</f>
        <v>0</v>
      </c>
      <c r="T596" s="447">
        <f>IFERROR(__xludf.DUMMYFUNCTION("""COMPUTED_VALUE"""),0.0)</f>
        <v>0</v>
      </c>
      <c r="U596" s="447">
        <f>IFERROR(__xludf.DUMMYFUNCTION("""COMPUTED_VALUE"""),0.0)</f>
        <v>0</v>
      </c>
      <c r="V596" s="447">
        <f>IFERROR(__xludf.DUMMYFUNCTION("""COMPUTED_VALUE"""),0.0)</f>
        <v>0</v>
      </c>
      <c r="W596" s="447">
        <f>IFERROR(__xludf.DUMMYFUNCTION("""COMPUTED_VALUE"""),0.0)</f>
        <v>0</v>
      </c>
      <c r="X596" s="447">
        <f>IFERROR(__xludf.DUMMYFUNCTION("""COMPUTED_VALUE"""),0.0)</f>
        <v>0</v>
      </c>
      <c r="Y596" s="447">
        <f>IFERROR(__xludf.DUMMYFUNCTION("""COMPUTED_VALUE"""),0.0)</f>
        <v>0</v>
      </c>
      <c r="Z596" s="447">
        <f>IFERROR(__xludf.DUMMYFUNCTION("""COMPUTED_VALUE"""),0.0)</f>
        <v>0</v>
      </c>
      <c r="AA596" s="447">
        <f>IFERROR(__xludf.DUMMYFUNCTION("""COMPUTED_VALUE"""),0.0)</f>
        <v>0</v>
      </c>
      <c r="AB596" s="447">
        <f>IFERROR(__xludf.DUMMYFUNCTION("""COMPUTED_VALUE"""),0.0)</f>
        <v>0</v>
      </c>
      <c r="AC596" s="447">
        <f>IFERROR(__xludf.DUMMYFUNCTION("""COMPUTED_VALUE"""),0.0)</f>
        <v>0</v>
      </c>
      <c r="AD596" s="447">
        <f>IFERROR(__xludf.DUMMYFUNCTION("""COMPUTED_VALUE"""),0.0)</f>
        <v>0</v>
      </c>
      <c r="AE596" s="447">
        <f>IFERROR(__xludf.DUMMYFUNCTION("""COMPUTED_VALUE"""),0.0)</f>
        <v>0</v>
      </c>
      <c r="AF596" s="447">
        <f>IFERROR(__xludf.DUMMYFUNCTION("""COMPUTED_VALUE"""),0.0)</f>
        <v>0</v>
      </c>
      <c r="AG596" s="443" t="s">
        <v>129</v>
      </c>
      <c r="AH596" s="443" t="s">
        <v>961</v>
      </c>
      <c r="AI596" s="443"/>
      <c r="AJ596" s="443"/>
      <c r="AK596" s="443"/>
      <c r="AL596" s="443"/>
      <c r="AM596" s="443"/>
      <c r="AN596" s="443"/>
      <c r="AO596" s="443"/>
      <c r="AP596" s="443"/>
      <c r="AQ596" s="443"/>
      <c r="AR596" s="443"/>
      <c r="AS596" s="443"/>
      <c r="AT596" s="443"/>
      <c r="AU596" s="443"/>
      <c r="AV596" s="443"/>
      <c r="AW596" s="443"/>
      <c r="AX596" s="443"/>
      <c r="AY596" s="443"/>
      <c r="AZ596" s="443"/>
      <c r="BA596" s="443"/>
      <c r="BB596" s="443"/>
      <c r="BC596" s="443"/>
      <c r="BD596" s="443"/>
      <c r="BE596" s="443"/>
    </row>
    <row r="597" hidden="1">
      <c r="A597" s="445">
        <f t="shared" si="5"/>
        <v>45887</v>
      </c>
      <c r="B597" s="449">
        <v>420.0</v>
      </c>
      <c r="C597" s="462">
        <v>0.6</v>
      </c>
      <c r="D597" s="462">
        <v>0.8736111111111111</v>
      </c>
      <c r="E597" s="436">
        <f t="array" ref="E597">IF(B597=0,"",(J597+K597)/60)</f>
        <v>0.7333333333</v>
      </c>
      <c r="F597" s="437">
        <f t="shared" si="1"/>
        <v>6.566666667</v>
      </c>
      <c r="G597" s="438">
        <f t="shared" si="9"/>
        <v>63.95939086</v>
      </c>
      <c r="H597" s="438">
        <f t="shared" si="3"/>
        <v>72</v>
      </c>
      <c r="I597" s="436">
        <f t="shared" si="6"/>
        <v>1.33248731</v>
      </c>
      <c r="J597" s="460">
        <v>30.0</v>
      </c>
      <c r="K597" s="464">
        <f>8+6</f>
        <v>14</v>
      </c>
      <c r="L597" s="443"/>
      <c r="M597" s="447">
        <f>IFERROR(__xludf.DUMMYFUNCTION("""COMPUTED_VALUE"""),57.0)</f>
        <v>57</v>
      </c>
      <c r="N597" s="447">
        <f>IFERROR(__xludf.DUMMYFUNCTION("""COMPUTED_VALUE"""),57.0)</f>
        <v>57</v>
      </c>
      <c r="O597" s="447">
        <f>IFERROR(__xludf.DUMMYFUNCTION("""COMPUTED_VALUE"""),0.0)</f>
        <v>0</v>
      </c>
      <c r="P597" s="447">
        <f>IFERROR(__xludf.DUMMYFUNCTION("""COMPUTED_VALUE"""),0.0)</f>
        <v>0</v>
      </c>
      <c r="Q597" s="447">
        <f>IFERROR(__xludf.DUMMYFUNCTION("""COMPUTED_VALUE"""),0.0)</f>
        <v>0</v>
      </c>
      <c r="R597" s="447">
        <f>IFERROR(__xludf.DUMMYFUNCTION("""COMPUTED_VALUE"""),0.0)</f>
        <v>0</v>
      </c>
      <c r="S597" s="447">
        <f>IFERROR(__xludf.DUMMYFUNCTION("""COMPUTED_VALUE"""),2.0)</f>
        <v>2</v>
      </c>
      <c r="T597" s="447">
        <f>IFERROR(__xludf.DUMMYFUNCTION("""COMPUTED_VALUE"""),0.0)</f>
        <v>0</v>
      </c>
      <c r="U597" s="447">
        <f>IFERROR(__xludf.DUMMYFUNCTION("""COMPUTED_VALUE"""),0.0)</f>
        <v>0</v>
      </c>
      <c r="V597" s="447">
        <f>IFERROR(__xludf.DUMMYFUNCTION("""COMPUTED_VALUE"""),2.0)</f>
        <v>2</v>
      </c>
      <c r="W597" s="447">
        <f>IFERROR(__xludf.DUMMYFUNCTION("""COMPUTED_VALUE"""),0.0)</f>
        <v>0</v>
      </c>
      <c r="X597" s="447">
        <f>IFERROR(__xludf.DUMMYFUNCTION("""COMPUTED_VALUE"""),1.0)</f>
        <v>1</v>
      </c>
      <c r="Y597" s="447">
        <f>IFERROR(__xludf.DUMMYFUNCTION("""COMPUTED_VALUE"""),0.0)</f>
        <v>0</v>
      </c>
      <c r="Z597" s="447">
        <f>IFERROR(__xludf.DUMMYFUNCTION("""COMPUTED_VALUE"""),0.0)</f>
        <v>0</v>
      </c>
      <c r="AA597" s="447">
        <f>IFERROR(__xludf.DUMMYFUNCTION("""COMPUTED_VALUE"""),0.0)</f>
        <v>0</v>
      </c>
      <c r="AB597" s="447">
        <f>IFERROR(__xludf.DUMMYFUNCTION("""COMPUTED_VALUE"""),0.0)</f>
        <v>0</v>
      </c>
      <c r="AC597" s="447">
        <f>IFERROR(__xludf.DUMMYFUNCTION("""COMPUTED_VALUE"""),1.0)</f>
        <v>1</v>
      </c>
      <c r="AD597" s="447">
        <f>IFERROR(__xludf.DUMMYFUNCTION("""COMPUTED_VALUE"""),48.0)</f>
        <v>48</v>
      </c>
      <c r="AE597" s="447">
        <f>IFERROR(__xludf.DUMMYFUNCTION("""COMPUTED_VALUE"""),6.0)</f>
        <v>6</v>
      </c>
      <c r="AF597" s="447">
        <f>IFERROR(__xludf.DUMMYFUNCTION("""COMPUTED_VALUE"""),0.0)</f>
        <v>0</v>
      </c>
      <c r="AG597" s="443" t="s">
        <v>129</v>
      </c>
      <c r="AH597" s="443" t="s">
        <v>961</v>
      </c>
      <c r="AI597" s="443"/>
      <c r="AJ597" s="443"/>
      <c r="AK597" s="443"/>
      <c r="AL597" s="443"/>
      <c r="AM597" s="443"/>
      <c r="AN597" s="443"/>
      <c r="AO597" s="443"/>
      <c r="AP597" s="443"/>
      <c r="AQ597" s="443"/>
      <c r="AR597" s="443"/>
      <c r="AS597" s="443"/>
      <c r="AT597" s="443"/>
      <c r="AU597" s="443"/>
      <c r="AV597" s="443"/>
      <c r="AW597" s="443"/>
      <c r="AX597" s="443"/>
      <c r="AY597" s="443"/>
      <c r="AZ597" s="443"/>
      <c r="BA597" s="443"/>
      <c r="BB597" s="443"/>
      <c r="BC597" s="443"/>
      <c r="BD597" s="443"/>
      <c r="BE597" s="443"/>
    </row>
    <row r="598" hidden="1">
      <c r="A598" s="445">
        <f t="shared" si="5"/>
        <v>45888</v>
      </c>
      <c r="B598" s="449">
        <v>429.0</v>
      </c>
      <c r="C598" s="462">
        <v>0.6</v>
      </c>
      <c r="D598" s="462">
        <v>0.9236111111111112</v>
      </c>
      <c r="E598" s="436">
        <f t="array" ref="E598">IF(B598=0,"",(J598+K598)/60)</f>
        <v>0.9666666667</v>
      </c>
      <c r="F598" s="437">
        <f t="shared" si="1"/>
        <v>7.766666667</v>
      </c>
      <c r="G598" s="438">
        <f t="shared" si="9"/>
        <v>55.2360515</v>
      </c>
      <c r="H598" s="438">
        <f t="shared" si="3"/>
        <v>63.08823529</v>
      </c>
      <c r="I598" s="436">
        <f t="shared" si="6"/>
        <v>1.150751073</v>
      </c>
      <c r="J598" s="460">
        <v>30.0</v>
      </c>
      <c r="K598" s="464">
        <f>22+6</f>
        <v>28</v>
      </c>
      <c r="L598" s="443"/>
      <c r="M598" s="447">
        <f>IFERROR(__xludf.DUMMYFUNCTION("""COMPUTED_VALUE"""),57.0)</f>
        <v>57</v>
      </c>
      <c r="N598" s="447">
        <f>IFERROR(__xludf.DUMMYFUNCTION("""COMPUTED_VALUE"""),57.0)</f>
        <v>57</v>
      </c>
      <c r="O598" s="447">
        <f>IFERROR(__xludf.DUMMYFUNCTION("""COMPUTED_VALUE"""),0.0)</f>
        <v>0</v>
      </c>
      <c r="P598" s="447">
        <f>IFERROR(__xludf.DUMMYFUNCTION("""COMPUTED_VALUE"""),0.0)</f>
        <v>0</v>
      </c>
      <c r="Q598" s="447">
        <f>IFERROR(__xludf.DUMMYFUNCTION("""COMPUTED_VALUE"""),1.0)</f>
        <v>1</v>
      </c>
      <c r="R598" s="447">
        <f>IFERROR(__xludf.DUMMYFUNCTION("""COMPUTED_VALUE"""),0.0)</f>
        <v>0</v>
      </c>
      <c r="S598" s="447">
        <f>IFERROR(__xludf.DUMMYFUNCTION("""COMPUTED_VALUE"""),2.0)</f>
        <v>2</v>
      </c>
      <c r="T598" s="447">
        <f>IFERROR(__xludf.DUMMYFUNCTION("""COMPUTED_VALUE"""),0.0)</f>
        <v>0</v>
      </c>
      <c r="U598" s="447">
        <f>IFERROR(__xludf.DUMMYFUNCTION("""COMPUTED_VALUE"""),0.0)</f>
        <v>0</v>
      </c>
      <c r="V598" s="447">
        <f>IFERROR(__xludf.DUMMYFUNCTION("""COMPUTED_VALUE"""),2.0)</f>
        <v>2</v>
      </c>
      <c r="W598" s="447">
        <f>IFERROR(__xludf.DUMMYFUNCTION("""COMPUTED_VALUE"""),0.0)</f>
        <v>0</v>
      </c>
      <c r="X598" s="447">
        <f>IFERROR(__xludf.DUMMYFUNCTION("""COMPUTED_VALUE"""),1.0)</f>
        <v>1</v>
      </c>
      <c r="Y598" s="447">
        <f>IFERROR(__xludf.DUMMYFUNCTION("""COMPUTED_VALUE"""),0.0)</f>
        <v>0</v>
      </c>
      <c r="Z598" s="447">
        <f>IFERROR(__xludf.DUMMYFUNCTION("""COMPUTED_VALUE"""),0.0)</f>
        <v>0</v>
      </c>
      <c r="AA598" s="447">
        <f>IFERROR(__xludf.DUMMYFUNCTION("""COMPUTED_VALUE"""),0.0)</f>
        <v>0</v>
      </c>
      <c r="AB598" s="447">
        <f>IFERROR(__xludf.DUMMYFUNCTION("""COMPUTED_VALUE"""),0.0)</f>
        <v>0</v>
      </c>
      <c r="AC598" s="447">
        <f>IFERROR(__xludf.DUMMYFUNCTION("""COMPUTED_VALUE"""),0.0)</f>
        <v>0</v>
      </c>
      <c r="AD598" s="447">
        <f>IFERROR(__xludf.DUMMYFUNCTION("""COMPUTED_VALUE"""),48.0)</f>
        <v>48</v>
      </c>
      <c r="AE598" s="447">
        <f>IFERROR(__xludf.DUMMYFUNCTION("""COMPUTED_VALUE"""),6.0)</f>
        <v>6</v>
      </c>
      <c r="AF598" s="447">
        <f>IFERROR(__xludf.DUMMYFUNCTION("""COMPUTED_VALUE"""),0.0)</f>
        <v>0</v>
      </c>
      <c r="AG598" s="443" t="s">
        <v>129</v>
      </c>
      <c r="AH598" s="443" t="s">
        <v>961</v>
      </c>
      <c r="AI598" s="443"/>
      <c r="AJ598" s="443"/>
      <c r="AK598" s="443"/>
      <c r="AL598" s="443"/>
      <c r="AM598" s="443"/>
      <c r="AN598" s="443"/>
      <c r="AO598" s="443"/>
      <c r="AP598" s="443"/>
      <c r="AQ598" s="443"/>
      <c r="AR598" s="443"/>
      <c r="AS598" s="443"/>
      <c r="AT598" s="443"/>
      <c r="AU598" s="443"/>
      <c r="AV598" s="443"/>
      <c r="AW598" s="443"/>
      <c r="AX598" s="443"/>
      <c r="AY598" s="443"/>
      <c r="AZ598" s="443"/>
      <c r="BA598" s="443"/>
      <c r="BB598" s="443"/>
      <c r="BC598" s="443"/>
      <c r="BD598" s="443"/>
      <c r="BE598" s="443"/>
    </row>
    <row r="599" hidden="1">
      <c r="A599" s="445">
        <f t="shared" si="5"/>
        <v>45889</v>
      </c>
      <c r="B599" s="449">
        <v>414.0</v>
      </c>
      <c r="C599" s="462">
        <v>0.6</v>
      </c>
      <c r="D599" s="462">
        <v>0.8847222222222222</v>
      </c>
      <c r="E599" s="436">
        <f t="array" ref="E599">IF(B599=0,"",(J599+K599)/60)</f>
        <v>0.5</v>
      </c>
      <c r="F599" s="437">
        <f t="shared" si="1"/>
        <v>6.833333333</v>
      </c>
      <c r="G599" s="438">
        <f t="shared" si="9"/>
        <v>60.58536585</v>
      </c>
      <c r="H599" s="438">
        <f t="shared" si="3"/>
        <v>65.36842105</v>
      </c>
      <c r="I599" s="436">
        <f t="shared" si="6"/>
        <v>1.262195122</v>
      </c>
      <c r="J599" s="460">
        <v>30.0</v>
      </c>
      <c r="K599" s="464"/>
      <c r="L599" s="443"/>
      <c r="M599" s="447">
        <f>IFERROR(__xludf.DUMMYFUNCTION("""COMPUTED_VALUE"""),57.0)</f>
        <v>57</v>
      </c>
      <c r="N599" s="447">
        <f>IFERROR(__xludf.DUMMYFUNCTION("""COMPUTED_VALUE"""),57.0)</f>
        <v>57</v>
      </c>
      <c r="O599" s="447">
        <f>IFERROR(__xludf.DUMMYFUNCTION("""COMPUTED_VALUE"""),0.0)</f>
        <v>0</v>
      </c>
      <c r="P599" s="447">
        <f>IFERROR(__xludf.DUMMYFUNCTION("""COMPUTED_VALUE"""),0.0)</f>
        <v>0</v>
      </c>
      <c r="Q599" s="447">
        <f>IFERROR(__xludf.DUMMYFUNCTION("""COMPUTED_VALUE"""),1.0)</f>
        <v>1</v>
      </c>
      <c r="R599" s="447">
        <f>IFERROR(__xludf.DUMMYFUNCTION("""COMPUTED_VALUE"""),0.0)</f>
        <v>0</v>
      </c>
      <c r="S599" s="447">
        <f>IFERROR(__xludf.DUMMYFUNCTION("""COMPUTED_VALUE"""),2.0)</f>
        <v>2</v>
      </c>
      <c r="T599" s="447">
        <f>IFERROR(__xludf.DUMMYFUNCTION("""COMPUTED_VALUE"""),0.0)</f>
        <v>0</v>
      </c>
      <c r="U599" s="447">
        <f>IFERROR(__xludf.DUMMYFUNCTION("""COMPUTED_VALUE"""),0.0)</f>
        <v>0</v>
      </c>
      <c r="V599" s="447">
        <f>IFERROR(__xludf.DUMMYFUNCTION("""COMPUTED_VALUE"""),2.0)</f>
        <v>2</v>
      </c>
      <c r="W599" s="447">
        <f>IFERROR(__xludf.DUMMYFUNCTION("""COMPUTED_VALUE"""),0.0)</f>
        <v>0</v>
      </c>
      <c r="X599" s="447">
        <f>IFERROR(__xludf.DUMMYFUNCTION("""COMPUTED_VALUE"""),1.0)</f>
        <v>1</v>
      </c>
      <c r="Y599" s="447">
        <f>IFERROR(__xludf.DUMMYFUNCTION("""COMPUTED_VALUE"""),0.0)</f>
        <v>0</v>
      </c>
      <c r="Z599" s="447">
        <f>IFERROR(__xludf.DUMMYFUNCTION("""COMPUTED_VALUE"""),0.0)</f>
        <v>0</v>
      </c>
      <c r="AA599" s="447">
        <f>IFERROR(__xludf.DUMMYFUNCTION("""COMPUTED_VALUE"""),0.0)</f>
        <v>0</v>
      </c>
      <c r="AB599" s="447">
        <f>IFERROR(__xludf.DUMMYFUNCTION("""COMPUTED_VALUE"""),0.0)</f>
        <v>0</v>
      </c>
      <c r="AC599" s="447">
        <f>IFERROR(__xludf.DUMMYFUNCTION("""COMPUTED_VALUE"""),0.0)</f>
        <v>0</v>
      </c>
      <c r="AD599" s="447">
        <f>IFERROR(__xludf.DUMMYFUNCTION("""COMPUTED_VALUE"""),48.0)</f>
        <v>48</v>
      </c>
      <c r="AE599" s="447">
        <f>IFERROR(__xludf.DUMMYFUNCTION("""COMPUTED_VALUE"""),6.0)</f>
        <v>6</v>
      </c>
      <c r="AF599" s="447">
        <f>IFERROR(__xludf.DUMMYFUNCTION("""COMPUTED_VALUE"""),0.0)</f>
        <v>0</v>
      </c>
      <c r="AG599" s="443" t="s">
        <v>129</v>
      </c>
      <c r="AH599" s="443" t="s">
        <v>961</v>
      </c>
      <c r="AI599" s="443"/>
      <c r="AJ599" s="443"/>
      <c r="AK599" s="443"/>
      <c r="AL599" s="443"/>
      <c r="AM599" s="443"/>
      <c r="AN599" s="443"/>
      <c r="AO599" s="443"/>
      <c r="AP599" s="443"/>
      <c r="AQ599" s="443"/>
      <c r="AR599" s="443"/>
      <c r="AS599" s="443"/>
      <c r="AT599" s="443"/>
      <c r="AU599" s="443"/>
      <c r="AV599" s="443"/>
      <c r="AW599" s="443"/>
      <c r="AX599" s="443"/>
      <c r="AY599" s="443"/>
      <c r="AZ599" s="443"/>
      <c r="BA599" s="443"/>
      <c r="BB599" s="443"/>
      <c r="BC599" s="443"/>
      <c r="BD599" s="443"/>
      <c r="BE599" s="443"/>
    </row>
    <row r="600" hidden="1">
      <c r="A600" s="445">
        <f t="shared" si="5"/>
        <v>45890</v>
      </c>
      <c r="B600" s="449">
        <v>483.0</v>
      </c>
      <c r="C600" s="462">
        <v>0.6</v>
      </c>
      <c r="D600" s="462">
        <v>0.9951388888888889</v>
      </c>
      <c r="E600" s="436">
        <f t="array" ref="E600">IF(B600=0,"",(J600+K600)/60)</f>
        <v>2.75</v>
      </c>
      <c r="F600" s="437">
        <f t="shared" si="1"/>
        <v>9.483333333</v>
      </c>
      <c r="G600" s="438">
        <f t="shared" si="9"/>
        <v>50.9314587</v>
      </c>
      <c r="H600" s="438">
        <f t="shared" si="3"/>
        <v>71.73267327</v>
      </c>
      <c r="I600" s="436">
        <f t="shared" si="6"/>
        <v>1.061072056</v>
      </c>
      <c r="J600" s="460">
        <v>30.0</v>
      </c>
      <c r="K600" s="460">
        <f>80+20+5+7+6+6+11</f>
        <v>135</v>
      </c>
      <c r="L600" s="449" t="s">
        <v>971</v>
      </c>
      <c r="M600" s="447">
        <f>IFERROR(__xludf.DUMMYFUNCTION("""COMPUTED_VALUE"""),57.0)</f>
        <v>57</v>
      </c>
      <c r="N600" s="447">
        <f>IFERROR(__xludf.DUMMYFUNCTION("""COMPUTED_VALUE"""),57.0)</f>
        <v>57</v>
      </c>
      <c r="O600" s="447">
        <f>IFERROR(__xludf.DUMMYFUNCTION("""COMPUTED_VALUE"""),0.0)</f>
        <v>0</v>
      </c>
      <c r="P600" s="447">
        <f>IFERROR(__xludf.DUMMYFUNCTION("""COMPUTED_VALUE"""),0.0)</f>
        <v>0</v>
      </c>
      <c r="Q600" s="447">
        <f>IFERROR(__xludf.DUMMYFUNCTION("""COMPUTED_VALUE"""),0.0)</f>
        <v>0</v>
      </c>
      <c r="R600" s="447">
        <f>IFERROR(__xludf.DUMMYFUNCTION("""COMPUTED_VALUE"""),0.0)</f>
        <v>0</v>
      </c>
      <c r="S600" s="447">
        <f>IFERROR(__xludf.DUMMYFUNCTION("""COMPUTED_VALUE"""),2.0)</f>
        <v>2</v>
      </c>
      <c r="T600" s="447">
        <f>IFERROR(__xludf.DUMMYFUNCTION("""COMPUTED_VALUE"""),0.0)</f>
        <v>0</v>
      </c>
      <c r="U600" s="447">
        <f>IFERROR(__xludf.DUMMYFUNCTION("""COMPUTED_VALUE"""),0.0)</f>
        <v>0</v>
      </c>
      <c r="V600" s="447">
        <f>IFERROR(__xludf.DUMMYFUNCTION("""COMPUTED_VALUE"""),2.0)</f>
        <v>2</v>
      </c>
      <c r="W600" s="447">
        <f>IFERROR(__xludf.DUMMYFUNCTION("""COMPUTED_VALUE"""),0.0)</f>
        <v>0</v>
      </c>
      <c r="X600" s="447">
        <f>IFERROR(__xludf.DUMMYFUNCTION("""COMPUTED_VALUE"""),1.0)</f>
        <v>1</v>
      </c>
      <c r="Y600" s="447">
        <f>IFERROR(__xludf.DUMMYFUNCTION("""COMPUTED_VALUE"""),0.0)</f>
        <v>0</v>
      </c>
      <c r="Z600" s="447">
        <f>IFERROR(__xludf.DUMMYFUNCTION("""COMPUTED_VALUE"""),0.0)</f>
        <v>0</v>
      </c>
      <c r="AA600" s="447">
        <f>IFERROR(__xludf.DUMMYFUNCTION("""COMPUTED_VALUE"""),0.0)</f>
        <v>0</v>
      </c>
      <c r="AB600" s="447">
        <f>IFERROR(__xludf.DUMMYFUNCTION("""COMPUTED_VALUE"""),0.0)</f>
        <v>0</v>
      </c>
      <c r="AC600" s="447">
        <f>IFERROR(__xludf.DUMMYFUNCTION("""COMPUTED_VALUE"""),1.0)</f>
        <v>1</v>
      </c>
      <c r="AD600" s="447">
        <f>IFERROR(__xludf.DUMMYFUNCTION("""COMPUTED_VALUE"""),48.0)</f>
        <v>48</v>
      </c>
      <c r="AE600" s="447">
        <f>IFERROR(__xludf.DUMMYFUNCTION("""COMPUTED_VALUE"""),6.0)</f>
        <v>6</v>
      </c>
      <c r="AF600" s="447">
        <f>IFERROR(__xludf.DUMMYFUNCTION("""COMPUTED_VALUE"""),0.0)</f>
        <v>0</v>
      </c>
      <c r="AG600" s="443" t="s">
        <v>129</v>
      </c>
      <c r="AH600" s="443" t="s">
        <v>961</v>
      </c>
      <c r="AI600" s="443"/>
      <c r="AJ600" s="443"/>
      <c r="AK600" s="443"/>
      <c r="AL600" s="443"/>
      <c r="AM600" s="443"/>
      <c r="AN600" s="443"/>
      <c r="AO600" s="443"/>
      <c r="AP600" s="443"/>
      <c r="AQ600" s="443"/>
      <c r="AR600" s="443"/>
      <c r="AS600" s="443"/>
      <c r="AT600" s="443"/>
      <c r="AU600" s="443"/>
      <c r="AV600" s="443"/>
      <c r="AW600" s="443"/>
      <c r="AX600" s="443"/>
      <c r="AY600" s="443"/>
      <c r="AZ600" s="443"/>
      <c r="BA600" s="443"/>
      <c r="BB600" s="443"/>
      <c r="BC600" s="443"/>
      <c r="BD600" s="443"/>
      <c r="BE600" s="449" t="s">
        <v>972</v>
      </c>
    </row>
    <row r="601" hidden="1">
      <c r="A601" s="445">
        <f t="shared" si="5"/>
        <v>45891</v>
      </c>
      <c r="B601" s="449">
        <v>441.0</v>
      </c>
      <c r="C601" s="462">
        <v>0.6</v>
      </c>
      <c r="D601" s="462">
        <v>0.9125</v>
      </c>
      <c r="E601" s="436">
        <f t="array" ref="E601">IF(B601=0,"",(J601+K601)/60)</f>
        <v>1</v>
      </c>
      <c r="F601" s="437">
        <f t="shared" si="1"/>
        <v>7.5</v>
      </c>
      <c r="G601" s="438">
        <f t="shared" si="9"/>
        <v>58.8</v>
      </c>
      <c r="H601" s="438">
        <f t="shared" si="3"/>
        <v>67.84615385</v>
      </c>
      <c r="I601" s="436">
        <f t="shared" si="6"/>
        <v>1.176</v>
      </c>
      <c r="J601" s="460">
        <v>30.0</v>
      </c>
      <c r="K601" s="460">
        <v>30.0</v>
      </c>
      <c r="L601" s="443"/>
      <c r="M601" s="447">
        <f>IFERROR(__xludf.DUMMYFUNCTION("""COMPUTED_VALUE"""),57.0)</f>
        <v>57</v>
      </c>
      <c r="N601" s="447">
        <f>IFERROR(__xludf.DUMMYFUNCTION("""COMPUTED_VALUE"""),57.0)</f>
        <v>57</v>
      </c>
      <c r="O601" s="447">
        <f>IFERROR(__xludf.DUMMYFUNCTION("""COMPUTED_VALUE"""),0.0)</f>
        <v>0</v>
      </c>
      <c r="P601" s="447">
        <f>IFERROR(__xludf.DUMMYFUNCTION("""COMPUTED_VALUE"""),0.0)</f>
        <v>0</v>
      </c>
      <c r="Q601" s="447">
        <f>IFERROR(__xludf.DUMMYFUNCTION("""COMPUTED_VALUE"""),0.0)</f>
        <v>0</v>
      </c>
      <c r="R601" s="447">
        <f>IFERROR(__xludf.DUMMYFUNCTION("""COMPUTED_VALUE"""),0.0)</f>
        <v>0</v>
      </c>
      <c r="S601" s="447">
        <f>IFERROR(__xludf.DUMMYFUNCTION("""COMPUTED_VALUE"""),2.0)</f>
        <v>2</v>
      </c>
      <c r="T601" s="447">
        <f>IFERROR(__xludf.DUMMYFUNCTION("""COMPUTED_VALUE"""),0.0)</f>
        <v>0</v>
      </c>
      <c r="U601" s="447">
        <f>IFERROR(__xludf.DUMMYFUNCTION("""COMPUTED_VALUE"""),0.0)</f>
        <v>0</v>
      </c>
      <c r="V601" s="447">
        <f>IFERROR(__xludf.DUMMYFUNCTION("""COMPUTED_VALUE"""),2.0)</f>
        <v>2</v>
      </c>
      <c r="W601" s="447">
        <f>IFERROR(__xludf.DUMMYFUNCTION("""COMPUTED_VALUE"""),0.0)</f>
        <v>0</v>
      </c>
      <c r="X601" s="447">
        <f>IFERROR(__xludf.DUMMYFUNCTION("""COMPUTED_VALUE"""),1.0)</f>
        <v>1</v>
      </c>
      <c r="Y601" s="447">
        <f>IFERROR(__xludf.DUMMYFUNCTION("""COMPUTED_VALUE"""),0.0)</f>
        <v>0</v>
      </c>
      <c r="Z601" s="447">
        <f>IFERROR(__xludf.DUMMYFUNCTION("""COMPUTED_VALUE"""),0.0)</f>
        <v>0</v>
      </c>
      <c r="AA601" s="447">
        <f>IFERROR(__xludf.DUMMYFUNCTION("""COMPUTED_VALUE"""),0.0)</f>
        <v>0</v>
      </c>
      <c r="AB601" s="447">
        <f>IFERROR(__xludf.DUMMYFUNCTION("""COMPUTED_VALUE"""),0.0)</f>
        <v>0</v>
      </c>
      <c r="AC601" s="447">
        <f>IFERROR(__xludf.DUMMYFUNCTION("""COMPUTED_VALUE"""),0.0)</f>
        <v>0</v>
      </c>
      <c r="AD601" s="447">
        <f>IFERROR(__xludf.DUMMYFUNCTION("""COMPUTED_VALUE"""),50.0)</f>
        <v>50</v>
      </c>
      <c r="AE601" s="447">
        <f>IFERROR(__xludf.DUMMYFUNCTION("""COMPUTED_VALUE"""),5.0)</f>
        <v>5</v>
      </c>
      <c r="AF601" s="447">
        <f>IFERROR(__xludf.DUMMYFUNCTION("""COMPUTED_VALUE"""),0.0)</f>
        <v>0</v>
      </c>
      <c r="AG601" s="443" t="s">
        <v>129</v>
      </c>
      <c r="AH601" s="443" t="s">
        <v>961</v>
      </c>
      <c r="AI601" s="443"/>
      <c r="AJ601" s="443"/>
      <c r="AK601" s="443"/>
      <c r="AL601" s="443"/>
      <c r="AM601" s="443"/>
      <c r="AN601" s="443"/>
      <c r="AO601" s="443"/>
      <c r="AP601" s="443"/>
      <c r="AQ601" s="443"/>
      <c r="AR601" s="443"/>
      <c r="AS601" s="443"/>
      <c r="AT601" s="443"/>
      <c r="AU601" s="443"/>
      <c r="AV601" s="443"/>
      <c r="AW601" s="443"/>
      <c r="AX601" s="443"/>
      <c r="AY601" s="443"/>
      <c r="AZ601" s="443"/>
      <c r="BA601" s="443"/>
      <c r="BB601" s="443"/>
      <c r="BC601" s="443"/>
      <c r="BD601" s="443"/>
      <c r="BE601" s="443"/>
    </row>
    <row r="602" hidden="1">
      <c r="A602" s="445">
        <f t="shared" si="5"/>
        <v>45892</v>
      </c>
      <c r="B602" s="449">
        <v>402.0</v>
      </c>
      <c r="C602" s="462">
        <v>0.6</v>
      </c>
      <c r="D602" s="462">
        <v>0.9527777777777777</v>
      </c>
      <c r="E602" s="436">
        <f t="array" ref="E602">IF(B602=0,"",(J602+K602)/60)</f>
        <v>2.666666667</v>
      </c>
      <c r="F602" s="437">
        <f t="shared" si="1"/>
        <v>8.466666667</v>
      </c>
      <c r="G602" s="438">
        <f t="shared" si="9"/>
        <v>47.48031496</v>
      </c>
      <c r="H602" s="438">
        <f t="shared" si="3"/>
        <v>69.31034483</v>
      </c>
      <c r="I602" s="436">
        <f t="shared" si="6"/>
        <v>0.9689860196</v>
      </c>
      <c r="J602" s="460">
        <v>30.0</v>
      </c>
      <c r="K602" s="460">
        <f>5+125</f>
        <v>130</v>
      </c>
      <c r="L602" s="443"/>
      <c r="M602" s="447">
        <f>IFERROR(__xludf.DUMMYFUNCTION("""COMPUTED_VALUE"""),57.0)</f>
        <v>57</v>
      </c>
      <c r="N602" s="447">
        <f>IFERROR(__xludf.DUMMYFUNCTION("""COMPUTED_VALUE"""),57.0)</f>
        <v>57</v>
      </c>
      <c r="O602" s="447">
        <f>IFERROR(__xludf.DUMMYFUNCTION("""COMPUTED_VALUE"""),0.0)</f>
        <v>0</v>
      </c>
      <c r="P602" s="447">
        <f>IFERROR(__xludf.DUMMYFUNCTION("""COMPUTED_VALUE"""),0.0)</f>
        <v>0</v>
      </c>
      <c r="Q602" s="447">
        <f>IFERROR(__xludf.DUMMYFUNCTION("""COMPUTED_VALUE"""),0.0)</f>
        <v>0</v>
      </c>
      <c r="R602" s="447">
        <f>IFERROR(__xludf.DUMMYFUNCTION("""COMPUTED_VALUE"""),0.0)</f>
        <v>0</v>
      </c>
      <c r="S602" s="447">
        <f>IFERROR(__xludf.DUMMYFUNCTION("""COMPUTED_VALUE"""),2.0)</f>
        <v>2</v>
      </c>
      <c r="T602" s="447">
        <f>IFERROR(__xludf.DUMMYFUNCTION("""COMPUTED_VALUE"""),0.0)</f>
        <v>0</v>
      </c>
      <c r="U602" s="447">
        <f>IFERROR(__xludf.DUMMYFUNCTION("""COMPUTED_VALUE"""),0.0)</f>
        <v>0</v>
      </c>
      <c r="V602" s="447">
        <f>IFERROR(__xludf.DUMMYFUNCTION("""COMPUTED_VALUE"""),2.0)</f>
        <v>2</v>
      </c>
      <c r="W602" s="447">
        <f>IFERROR(__xludf.DUMMYFUNCTION("""COMPUTED_VALUE"""),0.0)</f>
        <v>0</v>
      </c>
      <c r="X602" s="447">
        <f>IFERROR(__xludf.DUMMYFUNCTION("""COMPUTED_VALUE"""),1.0)</f>
        <v>1</v>
      </c>
      <c r="Y602" s="447">
        <f>IFERROR(__xludf.DUMMYFUNCTION("""COMPUTED_VALUE"""),0.0)</f>
        <v>0</v>
      </c>
      <c r="Z602" s="447">
        <f>IFERROR(__xludf.DUMMYFUNCTION("""COMPUTED_VALUE"""),0.0)</f>
        <v>0</v>
      </c>
      <c r="AA602" s="447">
        <f>IFERROR(__xludf.DUMMYFUNCTION("""COMPUTED_VALUE"""),0.0)</f>
        <v>0</v>
      </c>
      <c r="AB602" s="447">
        <f>IFERROR(__xludf.DUMMYFUNCTION("""COMPUTED_VALUE"""),0.0)</f>
        <v>0</v>
      </c>
      <c r="AC602" s="447">
        <f>IFERROR(__xludf.DUMMYFUNCTION("""COMPUTED_VALUE"""),1.0)</f>
        <v>1</v>
      </c>
      <c r="AD602" s="447">
        <f>IFERROR(__xludf.DUMMYFUNCTION("""COMPUTED_VALUE"""),49.0)</f>
        <v>49</v>
      </c>
      <c r="AE602" s="447">
        <f>IFERROR(__xludf.DUMMYFUNCTION("""COMPUTED_VALUE"""),6.0)</f>
        <v>6</v>
      </c>
      <c r="AF602" s="447">
        <f>IFERROR(__xludf.DUMMYFUNCTION("""COMPUTED_VALUE"""),0.0)</f>
        <v>0</v>
      </c>
      <c r="AG602" s="443" t="s">
        <v>129</v>
      </c>
      <c r="AH602" s="443" t="s">
        <v>961</v>
      </c>
      <c r="AI602" s="443"/>
      <c r="AJ602" s="443"/>
      <c r="AK602" s="443"/>
      <c r="AL602" s="443"/>
      <c r="AM602" s="443"/>
      <c r="AN602" s="443"/>
      <c r="AO602" s="443"/>
      <c r="AP602" s="443"/>
      <c r="AQ602" s="443"/>
      <c r="AR602" s="443"/>
      <c r="AS602" s="443"/>
      <c r="AT602" s="443"/>
      <c r="AU602" s="443"/>
      <c r="AV602" s="443"/>
      <c r="AW602" s="443"/>
      <c r="AX602" s="443"/>
      <c r="AY602" s="443"/>
      <c r="AZ602" s="443"/>
      <c r="BA602" s="443"/>
      <c r="BB602" s="443"/>
      <c r="BC602" s="443"/>
      <c r="BD602" s="443"/>
      <c r="BE602" s="443"/>
    </row>
    <row r="603" hidden="1">
      <c r="A603" s="445">
        <f t="shared" si="5"/>
        <v>45893</v>
      </c>
      <c r="B603" s="449">
        <v>0.0</v>
      </c>
      <c r="C603" s="443"/>
      <c r="D603" s="462"/>
      <c r="E603" s="436" t="str">
        <f t="array" ref="E603">IF(B603=0,"",(J603+K603)/60)</f>
        <v/>
      </c>
      <c r="F603" s="437" t="str">
        <f t="shared" si="1"/>
        <v/>
      </c>
      <c r="G603" s="438" t="str">
        <f t="shared" si="9"/>
        <v>#DIV/0!</v>
      </c>
      <c r="H603" s="438" t="str">
        <f t="shared" si="3"/>
        <v/>
      </c>
      <c r="I603" s="674" t="s">
        <v>27</v>
      </c>
      <c r="J603" s="464"/>
      <c r="K603" s="464"/>
      <c r="L603" s="443"/>
      <c r="M603" s="447">
        <f>IFERROR(__xludf.DUMMYFUNCTION("""COMPUTED_VALUE"""),57.0)</f>
        <v>57</v>
      </c>
      <c r="N603" s="447">
        <f>IFERROR(__xludf.DUMMYFUNCTION("""COMPUTED_VALUE"""),57.0)</f>
        <v>57</v>
      </c>
      <c r="O603" s="447">
        <f>IFERROR(__xludf.DUMMYFUNCTION("""COMPUTED_VALUE"""),0.0)</f>
        <v>0</v>
      </c>
      <c r="P603" s="447">
        <f>IFERROR(__xludf.DUMMYFUNCTION("""COMPUTED_VALUE"""),0.0)</f>
        <v>0</v>
      </c>
      <c r="Q603" s="447">
        <f>IFERROR(__xludf.DUMMYFUNCTION("""COMPUTED_VALUE"""),0.0)</f>
        <v>0</v>
      </c>
      <c r="R603" s="447">
        <f>IFERROR(__xludf.DUMMYFUNCTION("""COMPUTED_VALUE"""),0.0)</f>
        <v>0</v>
      </c>
      <c r="S603" s="447">
        <f>IFERROR(__xludf.DUMMYFUNCTION("""COMPUTED_VALUE"""),0.0)</f>
        <v>0</v>
      </c>
      <c r="T603" s="447">
        <f>IFERROR(__xludf.DUMMYFUNCTION("""COMPUTED_VALUE"""),0.0)</f>
        <v>0</v>
      </c>
      <c r="U603" s="447">
        <f>IFERROR(__xludf.DUMMYFUNCTION("""COMPUTED_VALUE"""),0.0)</f>
        <v>0</v>
      </c>
      <c r="V603" s="447">
        <f>IFERROR(__xludf.DUMMYFUNCTION("""COMPUTED_VALUE"""),0.0)</f>
        <v>0</v>
      </c>
      <c r="W603" s="447">
        <f>IFERROR(__xludf.DUMMYFUNCTION("""COMPUTED_VALUE"""),0.0)</f>
        <v>0</v>
      </c>
      <c r="X603" s="447">
        <f>IFERROR(__xludf.DUMMYFUNCTION("""COMPUTED_VALUE"""),0.0)</f>
        <v>0</v>
      </c>
      <c r="Y603" s="447">
        <f>IFERROR(__xludf.DUMMYFUNCTION("""COMPUTED_VALUE"""),0.0)</f>
        <v>0</v>
      </c>
      <c r="Z603" s="447">
        <f>IFERROR(__xludf.DUMMYFUNCTION("""COMPUTED_VALUE"""),0.0)</f>
        <v>0</v>
      </c>
      <c r="AA603" s="447">
        <f>IFERROR(__xludf.DUMMYFUNCTION("""COMPUTED_VALUE"""),0.0)</f>
        <v>0</v>
      </c>
      <c r="AB603" s="447">
        <f>IFERROR(__xludf.DUMMYFUNCTION("""COMPUTED_VALUE"""),0.0)</f>
        <v>0</v>
      </c>
      <c r="AC603" s="447">
        <f>IFERROR(__xludf.DUMMYFUNCTION("""COMPUTED_VALUE"""),0.0)</f>
        <v>0</v>
      </c>
      <c r="AD603" s="447">
        <f>IFERROR(__xludf.DUMMYFUNCTION("""COMPUTED_VALUE"""),0.0)</f>
        <v>0</v>
      </c>
      <c r="AE603" s="447">
        <f>IFERROR(__xludf.DUMMYFUNCTION("""COMPUTED_VALUE"""),0.0)</f>
        <v>0</v>
      </c>
      <c r="AF603" s="447">
        <f>IFERROR(__xludf.DUMMYFUNCTION("""COMPUTED_VALUE"""),0.0)</f>
        <v>0</v>
      </c>
      <c r="AG603" s="443" t="s">
        <v>129</v>
      </c>
      <c r="AH603" s="443" t="s">
        <v>961</v>
      </c>
      <c r="AI603" s="443"/>
      <c r="AJ603" s="443"/>
      <c r="AK603" s="443"/>
      <c r="AL603" s="443"/>
      <c r="AM603" s="443"/>
      <c r="AN603" s="443"/>
      <c r="AO603" s="443"/>
      <c r="AP603" s="443"/>
      <c r="AQ603" s="443"/>
      <c r="AR603" s="443"/>
      <c r="AS603" s="443"/>
      <c r="AT603" s="443"/>
      <c r="AU603" s="443"/>
      <c r="AV603" s="443"/>
      <c r="AW603" s="443"/>
      <c r="AX603" s="443"/>
      <c r="AY603" s="443"/>
      <c r="AZ603" s="443"/>
      <c r="BA603" s="443"/>
      <c r="BB603" s="443"/>
      <c r="BC603" s="443"/>
      <c r="BD603" s="443"/>
      <c r="BE603" s="443"/>
    </row>
    <row r="604" hidden="1">
      <c r="A604" s="445">
        <f t="shared" si="5"/>
        <v>45894</v>
      </c>
      <c r="B604" s="449">
        <v>515.0</v>
      </c>
      <c r="C604" s="462">
        <v>0.6</v>
      </c>
      <c r="D604" s="462">
        <v>0.9395833333333333</v>
      </c>
      <c r="E604" s="436">
        <f t="array" ref="E604">IF(B604=0,"",(J604+K604)/60)</f>
        <v>0.6666666667</v>
      </c>
      <c r="F604" s="437">
        <f t="shared" si="1"/>
        <v>8.15</v>
      </c>
      <c r="G604" s="438">
        <f t="shared" si="9"/>
        <v>63.19018405</v>
      </c>
      <c r="H604" s="438">
        <f t="shared" si="3"/>
        <v>68.81959911</v>
      </c>
      <c r="I604" s="436">
        <f t="shared" ref="I604:I948" si="10">IF(B604=0,"",B604/F604/AD604)</f>
        <v>1.215195847</v>
      </c>
      <c r="J604" s="460">
        <v>30.0</v>
      </c>
      <c r="K604" s="464">
        <f>5+5</f>
        <v>10</v>
      </c>
      <c r="L604" s="443"/>
      <c r="M604" s="447">
        <f>IFERROR(__xludf.DUMMYFUNCTION("""COMPUTED_VALUE"""),57.0)</f>
        <v>57</v>
      </c>
      <c r="N604" s="447">
        <f>IFERROR(__xludf.DUMMYFUNCTION("""COMPUTED_VALUE"""),57.0)</f>
        <v>57</v>
      </c>
      <c r="O604" s="447">
        <f>IFERROR(__xludf.DUMMYFUNCTION("""COMPUTED_VALUE"""),0.0)</f>
        <v>0</v>
      </c>
      <c r="P604" s="447">
        <f>IFERROR(__xludf.DUMMYFUNCTION("""COMPUTED_VALUE"""),0.0)</f>
        <v>0</v>
      </c>
      <c r="Q604" s="447">
        <f>IFERROR(__xludf.DUMMYFUNCTION("""COMPUTED_VALUE"""),0.0)</f>
        <v>0</v>
      </c>
      <c r="R604" s="447">
        <f>IFERROR(__xludf.DUMMYFUNCTION("""COMPUTED_VALUE"""),0.0)</f>
        <v>0</v>
      </c>
      <c r="S604" s="447">
        <f>IFERROR(__xludf.DUMMYFUNCTION("""COMPUTED_VALUE"""),1.0)</f>
        <v>1</v>
      </c>
      <c r="T604" s="447">
        <f>IFERROR(__xludf.DUMMYFUNCTION("""COMPUTED_VALUE"""),0.0)</f>
        <v>0</v>
      </c>
      <c r="U604" s="447">
        <f>IFERROR(__xludf.DUMMYFUNCTION("""COMPUTED_VALUE"""),0.0)</f>
        <v>0</v>
      </c>
      <c r="V604" s="447">
        <f>IFERROR(__xludf.DUMMYFUNCTION("""COMPUTED_VALUE"""),0.0)</f>
        <v>0</v>
      </c>
      <c r="W604" s="447">
        <f>IFERROR(__xludf.DUMMYFUNCTION("""COMPUTED_VALUE"""),0.0)</f>
        <v>0</v>
      </c>
      <c r="X604" s="447">
        <f>IFERROR(__xludf.DUMMYFUNCTION("""COMPUTED_VALUE"""),1.0)</f>
        <v>1</v>
      </c>
      <c r="Y604" s="447">
        <f>IFERROR(__xludf.DUMMYFUNCTION("""COMPUTED_VALUE"""),0.0)</f>
        <v>0</v>
      </c>
      <c r="Z604" s="447">
        <f>IFERROR(__xludf.DUMMYFUNCTION("""COMPUTED_VALUE"""),0.0)</f>
        <v>0</v>
      </c>
      <c r="AA604" s="447">
        <f>IFERROR(__xludf.DUMMYFUNCTION("""COMPUTED_VALUE"""),1.0)</f>
        <v>1</v>
      </c>
      <c r="AB604" s="447">
        <f>IFERROR(__xludf.DUMMYFUNCTION("""COMPUTED_VALUE"""),0.0)</f>
        <v>0</v>
      </c>
      <c r="AC604" s="447">
        <f>IFERROR(__xludf.DUMMYFUNCTION("""COMPUTED_VALUE"""),0.0)</f>
        <v>0</v>
      </c>
      <c r="AD604" s="447">
        <f>IFERROR(__xludf.DUMMYFUNCTION("""COMPUTED_VALUE"""),52.0)</f>
        <v>52</v>
      </c>
      <c r="AE604" s="447">
        <f>IFERROR(__xludf.DUMMYFUNCTION("""COMPUTED_VALUE"""),3.0)</f>
        <v>3</v>
      </c>
      <c r="AF604" s="447">
        <f>IFERROR(__xludf.DUMMYFUNCTION("""COMPUTED_VALUE"""),0.0)</f>
        <v>0</v>
      </c>
      <c r="AG604" s="443" t="s">
        <v>129</v>
      </c>
      <c r="AH604" s="443" t="s">
        <v>961</v>
      </c>
      <c r="AI604" s="443"/>
      <c r="AJ604" s="443"/>
      <c r="AK604" s="443"/>
      <c r="AL604" s="443"/>
      <c r="AM604" s="443"/>
      <c r="AN604" s="443"/>
      <c r="AO604" s="443"/>
      <c r="AP604" s="443"/>
      <c r="AQ604" s="443"/>
      <c r="AR604" s="443"/>
      <c r="AS604" s="443"/>
      <c r="AT604" s="443"/>
      <c r="AU604" s="443"/>
      <c r="AV604" s="443"/>
      <c r="AW604" s="443"/>
      <c r="AX604" s="443"/>
      <c r="AY604" s="443"/>
      <c r="AZ604" s="443"/>
      <c r="BA604" s="443"/>
      <c r="BB604" s="443"/>
      <c r="BC604" s="443"/>
      <c r="BD604" s="443"/>
      <c r="BE604" s="443"/>
    </row>
    <row r="605" hidden="1">
      <c r="A605" s="445">
        <f t="shared" si="5"/>
        <v>45895</v>
      </c>
      <c r="B605" s="449">
        <v>533.0</v>
      </c>
      <c r="C605" s="462">
        <v>0.6</v>
      </c>
      <c r="D605" s="462">
        <v>0.9583333333333334</v>
      </c>
      <c r="E605" s="436">
        <f t="array" ref="E605">IF(B605=0,"",(J605+K605)/60)</f>
        <v>1.25</v>
      </c>
      <c r="F605" s="437">
        <f t="shared" si="1"/>
        <v>8.6</v>
      </c>
      <c r="G605" s="438">
        <f t="shared" si="9"/>
        <v>61.97674419</v>
      </c>
      <c r="H605" s="438">
        <f t="shared" si="3"/>
        <v>72.5170068</v>
      </c>
      <c r="I605" s="436">
        <f t="shared" si="10"/>
        <v>1.239534884</v>
      </c>
      <c r="J605" s="460">
        <v>30.0</v>
      </c>
      <c r="K605" s="460">
        <f>7+26+6+6</f>
        <v>45</v>
      </c>
      <c r="L605" s="443"/>
      <c r="M605" s="447">
        <f>IFERROR(__xludf.DUMMYFUNCTION("""COMPUTED_VALUE"""),57.0)</f>
        <v>57</v>
      </c>
      <c r="N605" s="447">
        <f>IFERROR(__xludf.DUMMYFUNCTION("""COMPUTED_VALUE"""),57.0)</f>
        <v>57</v>
      </c>
      <c r="O605" s="447">
        <f>IFERROR(__xludf.DUMMYFUNCTION("""COMPUTED_VALUE"""),0.0)</f>
        <v>0</v>
      </c>
      <c r="P605" s="447">
        <f>IFERROR(__xludf.DUMMYFUNCTION("""COMPUTED_VALUE"""),0.0)</f>
        <v>0</v>
      </c>
      <c r="Q605" s="447">
        <f>IFERROR(__xludf.DUMMYFUNCTION("""COMPUTED_VALUE"""),1.0)</f>
        <v>1</v>
      </c>
      <c r="R605" s="447">
        <f>IFERROR(__xludf.DUMMYFUNCTION("""COMPUTED_VALUE"""),0.0)</f>
        <v>0</v>
      </c>
      <c r="S605" s="447">
        <f>IFERROR(__xludf.DUMMYFUNCTION("""COMPUTED_VALUE"""),1.0)</f>
        <v>1</v>
      </c>
      <c r="T605" s="447">
        <f>IFERROR(__xludf.DUMMYFUNCTION("""COMPUTED_VALUE"""),0.0)</f>
        <v>0</v>
      </c>
      <c r="U605" s="447">
        <f>IFERROR(__xludf.DUMMYFUNCTION("""COMPUTED_VALUE"""),0.0)</f>
        <v>0</v>
      </c>
      <c r="V605" s="447">
        <f>IFERROR(__xludf.DUMMYFUNCTION("""COMPUTED_VALUE"""),2.0)</f>
        <v>2</v>
      </c>
      <c r="W605" s="447">
        <f>IFERROR(__xludf.DUMMYFUNCTION("""COMPUTED_VALUE"""),0.0)</f>
        <v>0</v>
      </c>
      <c r="X605" s="447">
        <f>IFERROR(__xludf.DUMMYFUNCTION("""COMPUTED_VALUE"""),1.0)</f>
        <v>1</v>
      </c>
      <c r="Y605" s="447">
        <f>IFERROR(__xludf.DUMMYFUNCTION("""COMPUTED_VALUE"""),0.0)</f>
        <v>0</v>
      </c>
      <c r="Z605" s="447">
        <f>IFERROR(__xludf.DUMMYFUNCTION("""COMPUTED_VALUE"""),0.0)</f>
        <v>0</v>
      </c>
      <c r="AA605" s="447">
        <f>IFERROR(__xludf.DUMMYFUNCTION("""COMPUTED_VALUE"""),0.0)</f>
        <v>0</v>
      </c>
      <c r="AB605" s="447">
        <f>IFERROR(__xludf.DUMMYFUNCTION("""COMPUTED_VALUE"""),0.0)</f>
        <v>0</v>
      </c>
      <c r="AC605" s="447">
        <f>IFERROR(__xludf.DUMMYFUNCTION("""COMPUTED_VALUE"""),0.0)</f>
        <v>0</v>
      </c>
      <c r="AD605" s="447">
        <f>IFERROR(__xludf.DUMMYFUNCTION("""COMPUTED_VALUE"""),50.0)</f>
        <v>50</v>
      </c>
      <c r="AE605" s="447">
        <f>IFERROR(__xludf.DUMMYFUNCTION("""COMPUTED_VALUE"""),5.0)</f>
        <v>5</v>
      </c>
      <c r="AF605" s="447">
        <f>IFERROR(__xludf.DUMMYFUNCTION("""COMPUTED_VALUE"""),0.0)</f>
        <v>0</v>
      </c>
      <c r="AG605" s="443" t="s">
        <v>129</v>
      </c>
      <c r="AH605" s="443" t="s">
        <v>961</v>
      </c>
      <c r="AI605" s="443"/>
      <c r="AJ605" s="443"/>
      <c r="AK605" s="443"/>
      <c r="AL605" s="443"/>
      <c r="AM605" s="443"/>
      <c r="AN605" s="443"/>
      <c r="AO605" s="443"/>
      <c r="AP605" s="443"/>
      <c r="AQ605" s="443"/>
      <c r="AR605" s="443"/>
      <c r="AS605" s="443"/>
      <c r="AT605" s="443"/>
      <c r="AU605" s="443"/>
      <c r="AV605" s="443"/>
      <c r="AW605" s="443"/>
      <c r="AX605" s="443"/>
      <c r="AY605" s="443"/>
      <c r="AZ605" s="443"/>
      <c r="BA605" s="443"/>
      <c r="BB605" s="443"/>
      <c r="BC605" s="443"/>
      <c r="BD605" s="443"/>
      <c r="BE605" s="443"/>
    </row>
    <row r="606" hidden="1">
      <c r="A606" s="445">
        <f t="shared" si="5"/>
        <v>45896</v>
      </c>
      <c r="B606" s="449">
        <v>433.0</v>
      </c>
      <c r="C606" s="462">
        <v>0.6</v>
      </c>
      <c r="D606" s="462">
        <v>1.0166666666666666</v>
      </c>
      <c r="E606" s="436">
        <f t="array" ref="E606">IF(B606=0,"",(J606+K606)/60)</f>
        <v>3.733333333</v>
      </c>
      <c r="F606" s="437">
        <f t="shared" si="1"/>
        <v>10</v>
      </c>
      <c r="G606" s="438">
        <f t="shared" si="9"/>
        <v>43.3</v>
      </c>
      <c r="H606" s="438">
        <f t="shared" si="3"/>
        <v>69.09574468</v>
      </c>
      <c r="I606" s="436">
        <f t="shared" si="10"/>
        <v>0.9413043478</v>
      </c>
      <c r="J606" s="460">
        <v>30.0</v>
      </c>
      <c r="K606" s="464">
        <f>18+10+8+150+8</f>
        <v>194</v>
      </c>
      <c r="L606" s="443"/>
      <c r="M606" s="447">
        <f>IFERROR(__xludf.DUMMYFUNCTION("""COMPUTED_VALUE"""),57.0)</f>
        <v>57</v>
      </c>
      <c r="N606" s="447">
        <f>IFERROR(__xludf.DUMMYFUNCTION("""COMPUTED_VALUE"""),57.0)</f>
        <v>57</v>
      </c>
      <c r="O606" s="447">
        <f>IFERROR(__xludf.DUMMYFUNCTION("""COMPUTED_VALUE"""),0.0)</f>
        <v>0</v>
      </c>
      <c r="P606" s="447">
        <f>IFERROR(__xludf.DUMMYFUNCTION("""COMPUTED_VALUE"""),0.0)</f>
        <v>0</v>
      </c>
      <c r="Q606" s="447">
        <f>IFERROR(__xludf.DUMMYFUNCTION("""COMPUTED_VALUE"""),1.0)</f>
        <v>1</v>
      </c>
      <c r="R606" s="447">
        <f>IFERROR(__xludf.DUMMYFUNCTION("""COMPUTED_VALUE"""),0.0)</f>
        <v>0</v>
      </c>
      <c r="S606" s="447">
        <f>IFERROR(__xludf.DUMMYFUNCTION("""COMPUTED_VALUE"""),3.0)</f>
        <v>3</v>
      </c>
      <c r="T606" s="447">
        <f>IFERROR(__xludf.DUMMYFUNCTION("""COMPUTED_VALUE"""),0.0)</f>
        <v>0</v>
      </c>
      <c r="U606" s="447">
        <f>IFERROR(__xludf.DUMMYFUNCTION("""COMPUTED_VALUE"""),0.0)</f>
        <v>0</v>
      </c>
      <c r="V606" s="447">
        <f>IFERROR(__xludf.DUMMYFUNCTION("""COMPUTED_VALUE"""),2.0)</f>
        <v>2</v>
      </c>
      <c r="W606" s="447">
        <f>IFERROR(__xludf.DUMMYFUNCTION("""COMPUTED_VALUE"""),1.0)</f>
        <v>1</v>
      </c>
      <c r="X606" s="447">
        <f>IFERROR(__xludf.DUMMYFUNCTION("""COMPUTED_VALUE"""),1.0)</f>
        <v>1</v>
      </c>
      <c r="Y606" s="447">
        <f>IFERROR(__xludf.DUMMYFUNCTION("""COMPUTED_VALUE"""),0.0)</f>
        <v>0</v>
      </c>
      <c r="Z606" s="447">
        <f>IFERROR(__xludf.DUMMYFUNCTION("""COMPUTED_VALUE"""),0.0)</f>
        <v>0</v>
      </c>
      <c r="AA606" s="447">
        <f>IFERROR(__xludf.DUMMYFUNCTION("""COMPUTED_VALUE"""),0.0)</f>
        <v>0</v>
      </c>
      <c r="AB606" s="447">
        <f>IFERROR(__xludf.DUMMYFUNCTION("""COMPUTED_VALUE"""),0.0)</f>
        <v>0</v>
      </c>
      <c r="AC606" s="447">
        <f>IFERROR(__xludf.DUMMYFUNCTION("""COMPUTED_VALUE"""),1.0)</f>
        <v>1</v>
      </c>
      <c r="AD606" s="447">
        <f>IFERROR(__xludf.DUMMYFUNCTION("""COMPUTED_VALUE"""),46.0)</f>
        <v>46</v>
      </c>
      <c r="AE606" s="447">
        <f>IFERROR(__xludf.DUMMYFUNCTION("""COMPUTED_VALUE"""),9.0)</f>
        <v>9</v>
      </c>
      <c r="AF606" s="447">
        <f>IFERROR(__xludf.DUMMYFUNCTION("""COMPUTED_VALUE"""),0.0)</f>
        <v>0</v>
      </c>
      <c r="AG606" s="443" t="s">
        <v>129</v>
      </c>
      <c r="AH606" s="443" t="s">
        <v>961</v>
      </c>
      <c r="AI606" s="443"/>
      <c r="AJ606" s="443"/>
      <c r="AK606" s="443"/>
      <c r="AL606" s="443"/>
      <c r="AM606" s="443"/>
      <c r="AN606" s="443"/>
      <c r="AO606" s="443"/>
      <c r="AP606" s="443"/>
      <c r="AQ606" s="443"/>
      <c r="AR606" s="443"/>
      <c r="AS606" s="443"/>
      <c r="AT606" s="443"/>
      <c r="AU606" s="443"/>
      <c r="AV606" s="443"/>
      <c r="AW606" s="443"/>
      <c r="AX606" s="443"/>
      <c r="AY606" s="443"/>
      <c r="AZ606" s="443"/>
      <c r="BA606" s="443"/>
      <c r="BB606" s="443"/>
      <c r="BC606" s="443"/>
      <c r="BD606" s="443"/>
      <c r="BE606" s="443"/>
    </row>
    <row r="607" hidden="1">
      <c r="A607" s="445">
        <f t="shared" si="5"/>
        <v>45897</v>
      </c>
      <c r="B607" s="449">
        <v>419.0</v>
      </c>
      <c r="C607" s="462">
        <v>0.6</v>
      </c>
      <c r="D607" s="462">
        <v>0.8659722222222223</v>
      </c>
      <c r="E607" s="436">
        <f t="array" ref="E607">IF(B607=0,"",(J607+K607)/60)</f>
        <v>0.6666666667</v>
      </c>
      <c r="F607" s="437">
        <f t="shared" si="1"/>
        <v>6.383333333</v>
      </c>
      <c r="G607" s="438">
        <f t="shared" si="9"/>
        <v>65.63968668</v>
      </c>
      <c r="H607" s="438">
        <f t="shared" si="3"/>
        <v>73.29446064</v>
      </c>
      <c r="I607" s="436">
        <f t="shared" si="10"/>
        <v>1.458659704</v>
      </c>
      <c r="J607" s="460">
        <v>30.0</v>
      </c>
      <c r="K607" s="460">
        <v>10.0</v>
      </c>
      <c r="L607" s="443"/>
      <c r="M607" s="447">
        <f>IFERROR(__xludf.DUMMYFUNCTION("""COMPUTED_VALUE"""),57.0)</f>
        <v>57</v>
      </c>
      <c r="N607" s="447">
        <f>IFERROR(__xludf.DUMMYFUNCTION("""COMPUTED_VALUE"""),57.0)</f>
        <v>57</v>
      </c>
      <c r="O607" s="447">
        <f>IFERROR(__xludf.DUMMYFUNCTION("""COMPUTED_VALUE"""),0.0)</f>
        <v>0</v>
      </c>
      <c r="P607" s="447">
        <f>IFERROR(__xludf.DUMMYFUNCTION("""COMPUTED_VALUE"""),0.0)</f>
        <v>0</v>
      </c>
      <c r="Q607" s="447">
        <f>IFERROR(__xludf.DUMMYFUNCTION("""COMPUTED_VALUE"""),1.0)</f>
        <v>1</v>
      </c>
      <c r="R607" s="447">
        <f>IFERROR(__xludf.DUMMYFUNCTION("""COMPUTED_VALUE"""),0.0)</f>
        <v>0</v>
      </c>
      <c r="S607" s="447">
        <f>IFERROR(__xludf.DUMMYFUNCTION("""COMPUTED_VALUE"""),5.0)</f>
        <v>5</v>
      </c>
      <c r="T607" s="447">
        <f>IFERROR(__xludf.DUMMYFUNCTION("""COMPUTED_VALUE"""),0.0)</f>
        <v>0</v>
      </c>
      <c r="U607" s="447">
        <f>IFERROR(__xludf.DUMMYFUNCTION("""COMPUTED_VALUE"""),0.0)</f>
        <v>0</v>
      </c>
      <c r="V607" s="447">
        <f>IFERROR(__xludf.DUMMYFUNCTION("""COMPUTED_VALUE"""),2.0)</f>
        <v>2</v>
      </c>
      <c r="W607" s="447">
        <f>IFERROR(__xludf.DUMMYFUNCTION("""COMPUTED_VALUE"""),1.0)</f>
        <v>1</v>
      </c>
      <c r="X607" s="447">
        <f>IFERROR(__xludf.DUMMYFUNCTION("""COMPUTED_VALUE"""),1.0)</f>
        <v>1</v>
      </c>
      <c r="Y607" s="447">
        <f>IFERROR(__xludf.DUMMYFUNCTION("""COMPUTED_VALUE"""),0.0)</f>
        <v>0</v>
      </c>
      <c r="Z607" s="447">
        <f>IFERROR(__xludf.DUMMYFUNCTION("""COMPUTED_VALUE"""),0.0)</f>
        <v>0</v>
      </c>
      <c r="AA607" s="447">
        <f>IFERROR(__xludf.DUMMYFUNCTION("""COMPUTED_VALUE"""),0.0)</f>
        <v>0</v>
      </c>
      <c r="AB607" s="447">
        <f>IFERROR(__xludf.DUMMYFUNCTION("""COMPUTED_VALUE"""),0.0)</f>
        <v>0</v>
      </c>
      <c r="AC607" s="447">
        <f>IFERROR(__xludf.DUMMYFUNCTION("""COMPUTED_VALUE"""),0.0)</f>
        <v>0</v>
      </c>
      <c r="AD607" s="447">
        <f>IFERROR(__xludf.DUMMYFUNCTION("""COMPUTED_VALUE"""),45.0)</f>
        <v>45</v>
      </c>
      <c r="AE607" s="447">
        <f>IFERROR(__xludf.DUMMYFUNCTION("""COMPUTED_VALUE"""),10.0)</f>
        <v>10</v>
      </c>
      <c r="AF607" s="447">
        <f>IFERROR(__xludf.DUMMYFUNCTION("""COMPUTED_VALUE"""),0.0)</f>
        <v>0</v>
      </c>
      <c r="AG607" s="443" t="s">
        <v>129</v>
      </c>
      <c r="AH607" s="443" t="s">
        <v>961</v>
      </c>
      <c r="AI607" s="443"/>
      <c r="AJ607" s="443"/>
      <c r="AK607" s="443"/>
      <c r="AL607" s="443"/>
      <c r="AM607" s="443"/>
      <c r="AN607" s="443"/>
      <c r="AO607" s="443"/>
      <c r="AP607" s="443"/>
      <c r="AQ607" s="443"/>
      <c r="AR607" s="443"/>
      <c r="AS607" s="443"/>
      <c r="AT607" s="443"/>
      <c r="AU607" s="443"/>
      <c r="AV607" s="443"/>
      <c r="AW607" s="443"/>
      <c r="AX607" s="443"/>
      <c r="AY607" s="443"/>
      <c r="AZ607" s="443"/>
      <c r="BA607" s="443"/>
      <c r="BB607" s="443"/>
      <c r="BC607" s="443"/>
      <c r="BD607" s="443"/>
      <c r="BE607" s="443"/>
    </row>
    <row r="608" hidden="1">
      <c r="A608" s="445">
        <f t="shared" si="5"/>
        <v>45898</v>
      </c>
      <c r="B608" s="449">
        <v>399.0</v>
      </c>
      <c r="C608" s="462">
        <v>0.6208333333333333</v>
      </c>
      <c r="D608" s="462">
        <v>0.9236111111111112</v>
      </c>
      <c r="E608" s="436">
        <f t="array" ref="E608">IF(B608=0,"",(J608+K608)/60)</f>
        <v>1.233333333</v>
      </c>
      <c r="F608" s="437">
        <f t="shared" si="1"/>
        <v>7.266666667</v>
      </c>
      <c r="G608" s="438">
        <f t="shared" si="9"/>
        <v>54.90825688</v>
      </c>
      <c r="H608" s="438">
        <f t="shared" si="3"/>
        <v>66.13259669</v>
      </c>
      <c r="I608" s="436">
        <f t="shared" si="10"/>
        <v>1.168260785</v>
      </c>
      <c r="J608" s="460">
        <v>30.0</v>
      </c>
      <c r="K608" s="464">
        <f>8+8+13+15</f>
        <v>44</v>
      </c>
      <c r="L608" s="443"/>
      <c r="M608" s="447">
        <f>IFERROR(__xludf.DUMMYFUNCTION("""COMPUTED_VALUE"""),57.0)</f>
        <v>57</v>
      </c>
      <c r="N608" s="447">
        <f>IFERROR(__xludf.DUMMYFUNCTION("""COMPUTED_VALUE"""),57.0)</f>
        <v>57</v>
      </c>
      <c r="O608" s="447">
        <f>IFERROR(__xludf.DUMMYFUNCTION("""COMPUTED_VALUE"""),0.0)</f>
        <v>0</v>
      </c>
      <c r="P608" s="447">
        <f>IFERROR(__xludf.DUMMYFUNCTION("""COMPUTED_VALUE"""),0.0)</f>
        <v>0</v>
      </c>
      <c r="Q608" s="447">
        <f>IFERROR(__xludf.DUMMYFUNCTION("""COMPUTED_VALUE"""),1.0)</f>
        <v>1</v>
      </c>
      <c r="R608" s="447">
        <f>IFERROR(__xludf.DUMMYFUNCTION("""COMPUTED_VALUE"""),0.0)</f>
        <v>0</v>
      </c>
      <c r="S608" s="447">
        <f>IFERROR(__xludf.DUMMYFUNCTION("""COMPUTED_VALUE"""),4.0)</f>
        <v>4</v>
      </c>
      <c r="T608" s="447">
        <f>IFERROR(__xludf.DUMMYFUNCTION("""COMPUTED_VALUE"""),0.0)</f>
        <v>0</v>
      </c>
      <c r="U608" s="447">
        <f>IFERROR(__xludf.DUMMYFUNCTION("""COMPUTED_VALUE"""),0.0)</f>
        <v>0</v>
      </c>
      <c r="V608" s="447">
        <f>IFERROR(__xludf.DUMMYFUNCTION("""COMPUTED_VALUE"""),2.0)</f>
        <v>2</v>
      </c>
      <c r="W608" s="447">
        <f>IFERROR(__xludf.DUMMYFUNCTION("""COMPUTED_VALUE"""),0.0)</f>
        <v>0</v>
      </c>
      <c r="X608" s="447">
        <f>IFERROR(__xludf.DUMMYFUNCTION("""COMPUTED_VALUE"""),1.0)</f>
        <v>1</v>
      </c>
      <c r="Y608" s="447">
        <f>IFERROR(__xludf.DUMMYFUNCTION("""COMPUTED_VALUE"""),0.0)</f>
        <v>0</v>
      </c>
      <c r="Z608" s="447">
        <f>IFERROR(__xludf.DUMMYFUNCTION("""COMPUTED_VALUE"""),0.0)</f>
        <v>0</v>
      </c>
      <c r="AA608" s="447">
        <f>IFERROR(__xludf.DUMMYFUNCTION("""COMPUTED_VALUE"""),0.0)</f>
        <v>0</v>
      </c>
      <c r="AB608" s="447">
        <f>IFERROR(__xludf.DUMMYFUNCTION("""COMPUTED_VALUE"""),0.0)</f>
        <v>0</v>
      </c>
      <c r="AC608" s="447">
        <f>IFERROR(__xludf.DUMMYFUNCTION("""COMPUTED_VALUE"""),0.0)</f>
        <v>0</v>
      </c>
      <c r="AD608" s="447">
        <f>IFERROR(__xludf.DUMMYFUNCTION("""COMPUTED_VALUE"""),47.0)</f>
        <v>47</v>
      </c>
      <c r="AE608" s="447">
        <f>IFERROR(__xludf.DUMMYFUNCTION("""COMPUTED_VALUE"""),8.0)</f>
        <v>8</v>
      </c>
      <c r="AF608" s="447">
        <f>IFERROR(__xludf.DUMMYFUNCTION("""COMPUTED_VALUE"""),0.0)</f>
        <v>0</v>
      </c>
      <c r="AG608" s="443" t="s">
        <v>129</v>
      </c>
      <c r="AH608" s="443" t="s">
        <v>961</v>
      </c>
      <c r="AI608" s="443"/>
      <c r="AJ608" s="443"/>
      <c r="AK608" s="443"/>
      <c r="AL608" s="443"/>
      <c r="AM608" s="443"/>
      <c r="AN608" s="443"/>
      <c r="AO608" s="443"/>
      <c r="AP608" s="443"/>
      <c r="AQ608" s="443"/>
      <c r="AR608" s="443"/>
      <c r="AS608" s="443"/>
      <c r="AT608" s="443"/>
      <c r="AU608" s="443"/>
      <c r="AV608" s="443"/>
      <c r="AW608" s="443"/>
      <c r="AX608" s="443"/>
      <c r="AY608" s="443"/>
      <c r="AZ608" s="443"/>
      <c r="BA608" s="443"/>
      <c r="BB608" s="443"/>
      <c r="BC608" s="443"/>
      <c r="BD608" s="443"/>
      <c r="BE608" s="443"/>
    </row>
    <row r="609" hidden="1">
      <c r="A609" s="445">
        <f t="shared" si="5"/>
        <v>45899</v>
      </c>
      <c r="B609" s="449">
        <v>313.0</v>
      </c>
      <c r="C609" s="462">
        <v>0.6</v>
      </c>
      <c r="D609" s="462">
        <v>0.8041666666666667</v>
      </c>
      <c r="E609" s="436">
        <f t="array" ref="E609">IF(B609=0,"",(J609+K609)/60)</f>
        <v>0.7666666667</v>
      </c>
      <c r="F609" s="437">
        <f t="shared" si="1"/>
        <v>4.9</v>
      </c>
      <c r="G609" s="438">
        <f t="shared" si="9"/>
        <v>63.87755102</v>
      </c>
      <c r="H609" s="438">
        <f t="shared" si="3"/>
        <v>75.72580645</v>
      </c>
      <c r="I609" s="436">
        <f t="shared" si="10"/>
        <v>1.330782313</v>
      </c>
      <c r="J609" s="460">
        <v>30.0</v>
      </c>
      <c r="K609" s="464">
        <f>8+8</f>
        <v>16</v>
      </c>
      <c r="L609" s="443"/>
      <c r="M609" s="447">
        <f>IFERROR(__xludf.DUMMYFUNCTION("""COMPUTED_VALUE"""),57.0)</f>
        <v>57</v>
      </c>
      <c r="N609" s="447">
        <f>IFERROR(__xludf.DUMMYFUNCTION("""COMPUTED_VALUE"""),57.0)</f>
        <v>57</v>
      </c>
      <c r="O609" s="447">
        <f>IFERROR(__xludf.DUMMYFUNCTION("""COMPUTED_VALUE"""),0.0)</f>
        <v>0</v>
      </c>
      <c r="P609" s="447">
        <f>IFERROR(__xludf.DUMMYFUNCTION("""COMPUTED_VALUE"""),0.0)</f>
        <v>0</v>
      </c>
      <c r="Q609" s="447">
        <f>IFERROR(__xludf.DUMMYFUNCTION("""COMPUTED_VALUE"""),1.0)</f>
        <v>1</v>
      </c>
      <c r="R609" s="447">
        <f>IFERROR(__xludf.DUMMYFUNCTION("""COMPUTED_VALUE"""),0.0)</f>
        <v>0</v>
      </c>
      <c r="S609" s="447">
        <f>IFERROR(__xludf.DUMMYFUNCTION("""COMPUTED_VALUE"""),3.0)</f>
        <v>3</v>
      </c>
      <c r="T609" s="447">
        <f>IFERROR(__xludf.DUMMYFUNCTION("""COMPUTED_VALUE"""),0.0)</f>
        <v>0</v>
      </c>
      <c r="U609" s="447">
        <f>IFERROR(__xludf.DUMMYFUNCTION("""COMPUTED_VALUE"""),0.0)</f>
        <v>0</v>
      </c>
      <c r="V609" s="447">
        <f>IFERROR(__xludf.DUMMYFUNCTION("""COMPUTED_VALUE"""),2.0)</f>
        <v>2</v>
      </c>
      <c r="W609" s="447">
        <f>IFERROR(__xludf.DUMMYFUNCTION("""COMPUTED_VALUE"""),0.0)</f>
        <v>0</v>
      </c>
      <c r="X609" s="447">
        <f>IFERROR(__xludf.DUMMYFUNCTION("""COMPUTED_VALUE"""),1.0)</f>
        <v>1</v>
      </c>
      <c r="Y609" s="447">
        <f>IFERROR(__xludf.DUMMYFUNCTION("""COMPUTED_VALUE"""),0.0)</f>
        <v>0</v>
      </c>
      <c r="Z609" s="447">
        <f>IFERROR(__xludf.DUMMYFUNCTION("""COMPUTED_VALUE"""),0.0)</f>
        <v>0</v>
      </c>
      <c r="AA609" s="447">
        <f>IFERROR(__xludf.DUMMYFUNCTION("""COMPUTED_VALUE"""),0.0)</f>
        <v>0</v>
      </c>
      <c r="AB609" s="447">
        <f>IFERROR(__xludf.DUMMYFUNCTION("""COMPUTED_VALUE"""),0.0)</f>
        <v>0</v>
      </c>
      <c r="AC609" s="447">
        <f>IFERROR(__xludf.DUMMYFUNCTION("""COMPUTED_VALUE"""),0.0)</f>
        <v>0</v>
      </c>
      <c r="AD609" s="447">
        <f>IFERROR(__xludf.DUMMYFUNCTION("""COMPUTED_VALUE"""),48.0)</f>
        <v>48</v>
      </c>
      <c r="AE609" s="447">
        <f>IFERROR(__xludf.DUMMYFUNCTION("""COMPUTED_VALUE"""),7.0)</f>
        <v>7</v>
      </c>
      <c r="AF609" s="447">
        <f>IFERROR(__xludf.DUMMYFUNCTION("""COMPUTED_VALUE"""),0.0)</f>
        <v>0</v>
      </c>
      <c r="AG609" s="443" t="s">
        <v>129</v>
      </c>
      <c r="AH609" s="443" t="s">
        <v>961</v>
      </c>
      <c r="AI609" s="443"/>
      <c r="AJ609" s="443"/>
      <c r="AK609" s="443"/>
      <c r="AL609" s="443"/>
      <c r="AM609" s="443"/>
      <c r="AN609" s="443"/>
      <c r="AO609" s="443"/>
      <c r="AP609" s="443"/>
      <c r="AQ609" s="443"/>
      <c r="AR609" s="443"/>
      <c r="AS609" s="443"/>
      <c r="AT609" s="443"/>
      <c r="AU609" s="443"/>
      <c r="AV609" s="443"/>
      <c r="AW609" s="443"/>
      <c r="AX609" s="443"/>
      <c r="AY609" s="443"/>
      <c r="AZ609" s="443"/>
      <c r="BA609" s="443"/>
      <c r="BB609" s="443"/>
      <c r="BC609" s="443"/>
      <c r="BD609" s="443"/>
      <c r="BE609" s="443"/>
    </row>
    <row r="610" hidden="1">
      <c r="A610" s="445">
        <f t="shared" si="5"/>
        <v>45900</v>
      </c>
      <c r="B610" s="449">
        <v>0.0</v>
      </c>
      <c r="C610" s="443"/>
      <c r="D610" s="462"/>
      <c r="E610" s="436" t="str">
        <f t="array" ref="E610">IF(B610=0,"",(J610+K610)/60)</f>
        <v/>
      </c>
      <c r="F610" s="437" t="str">
        <f t="shared" si="1"/>
        <v/>
      </c>
      <c r="G610" s="438" t="str">
        <f t="shared" si="9"/>
        <v>#DIV/0!</v>
      </c>
      <c r="H610" s="438" t="str">
        <f t="shared" si="3"/>
        <v/>
      </c>
      <c r="I610" s="436" t="str">
        <f t="shared" si="10"/>
        <v/>
      </c>
      <c r="J610" s="464"/>
      <c r="K610" s="464"/>
      <c r="L610" s="443"/>
      <c r="M610" s="447">
        <f>IFERROR(__xludf.DUMMYFUNCTION("""COMPUTED_VALUE"""),57.0)</f>
        <v>57</v>
      </c>
      <c r="N610" s="447">
        <f>IFERROR(__xludf.DUMMYFUNCTION("""COMPUTED_VALUE"""),57.0)</f>
        <v>57</v>
      </c>
      <c r="O610" s="447">
        <f>IFERROR(__xludf.DUMMYFUNCTION("""COMPUTED_VALUE"""),0.0)</f>
        <v>0</v>
      </c>
      <c r="P610" s="447">
        <f>IFERROR(__xludf.DUMMYFUNCTION("""COMPUTED_VALUE"""),0.0)</f>
        <v>0</v>
      </c>
      <c r="Q610" s="447">
        <f>IFERROR(__xludf.DUMMYFUNCTION("""COMPUTED_VALUE"""),0.0)</f>
        <v>0</v>
      </c>
      <c r="R610" s="447">
        <f>IFERROR(__xludf.DUMMYFUNCTION("""COMPUTED_VALUE"""),0.0)</f>
        <v>0</v>
      </c>
      <c r="S610" s="447">
        <f>IFERROR(__xludf.DUMMYFUNCTION("""COMPUTED_VALUE"""),0.0)</f>
        <v>0</v>
      </c>
      <c r="T610" s="447">
        <f>IFERROR(__xludf.DUMMYFUNCTION("""COMPUTED_VALUE"""),0.0)</f>
        <v>0</v>
      </c>
      <c r="U610" s="447">
        <f>IFERROR(__xludf.DUMMYFUNCTION("""COMPUTED_VALUE"""),0.0)</f>
        <v>0</v>
      </c>
      <c r="V610" s="447">
        <f>IFERROR(__xludf.DUMMYFUNCTION("""COMPUTED_VALUE"""),0.0)</f>
        <v>0</v>
      </c>
      <c r="W610" s="447">
        <f>IFERROR(__xludf.DUMMYFUNCTION("""COMPUTED_VALUE"""),0.0)</f>
        <v>0</v>
      </c>
      <c r="X610" s="447">
        <f>IFERROR(__xludf.DUMMYFUNCTION("""COMPUTED_VALUE"""),0.0)</f>
        <v>0</v>
      </c>
      <c r="Y610" s="447">
        <f>IFERROR(__xludf.DUMMYFUNCTION("""COMPUTED_VALUE"""),0.0)</f>
        <v>0</v>
      </c>
      <c r="Z610" s="447">
        <f>IFERROR(__xludf.DUMMYFUNCTION("""COMPUTED_VALUE"""),0.0)</f>
        <v>0</v>
      </c>
      <c r="AA610" s="447">
        <f>IFERROR(__xludf.DUMMYFUNCTION("""COMPUTED_VALUE"""),0.0)</f>
        <v>0</v>
      </c>
      <c r="AB610" s="447">
        <f>IFERROR(__xludf.DUMMYFUNCTION("""COMPUTED_VALUE"""),0.0)</f>
        <v>0</v>
      </c>
      <c r="AC610" s="447">
        <f>IFERROR(__xludf.DUMMYFUNCTION("""COMPUTED_VALUE"""),0.0)</f>
        <v>0</v>
      </c>
      <c r="AD610" s="447">
        <f>IFERROR(__xludf.DUMMYFUNCTION("""COMPUTED_VALUE"""),0.0)</f>
        <v>0</v>
      </c>
      <c r="AE610" s="447">
        <f>IFERROR(__xludf.DUMMYFUNCTION("""COMPUTED_VALUE"""),0.0)</f>
        <v>0</v>
      </c>
      <c r="AF610" s="447">
        <f>IFERROR(__xludf.DUMMYFUNCTION("""COMPUTED_VALUE"""),0.0)</f>
        <v>0</v>
      </c>
      <c r="AG610" s="443" t="s">
        <v>129</v>
      </c>
      <c r="AH610" s="443" t="s">
        <v>961</v>
      </c>
      <c r="AI610" s="443"/>
      <c r="AJ610" s="443"/>
      <c r="AK610" s="443"/>
      <c r="AL610" s="443"/>
      <c r="AM610" s="443"/>
      <c r="AN610" s="443"/>
      <c r="AO610" s="443"/>
      <c r="AP610" s="443"/>
      <c r="AQ610" s="443"/>
      <c r="AR610" s="443"/>
      <c r="AS610" s="443"/>
      <c r="AT610" s="443"/>
      <c r="AU610" s="443"/>
      <c r="AV610" s="443"/>
      <c r="AW610" s="443"/>
      <c r="AX610" s="443"/>
      <c r="AY610" s="443"/>
      <c r="AZ610" s="443"/>
      <c r="BA610" s="443"/>
      <c r="BB610" s="443"/>
      <c r="BC610" s="443"/>
      <c r="BD610" s="443"/>
      <c r="BE610" s="443"/>
    </row>
    <row r="611" hidden="1">
      <c r="A611" s="445">
        <f t="shared" si="5"/>
        <v>45901</v>
      </c>
      <c r="B611" s="449">
        <v>538.0</v>
      </c>
      <c r="C611" s="462">
        <v>0.6</v>
      </c>
      <c r="D611" s="462">
        <v>0.9493055555555555</v>
      </c>
      <c r="E611" s="436">
        <f t="array" ref="E611">IF(B611=0,"",(J611+K611)/60)</f>
        <v>1.033333333</v>
      </c>
      <c r="F611" s="437">
        <f t="shared" si="1"/>
        <v>8.383333333</v>
      </c>
      <c r="G611" s="438">
        <f t="shared" si="9"/>
        <v>64.1749503</v>
      </c>
      <c r="H611" s="438">
        <f t="shared" si="3"/>
        <v>73.19727891</v>
      </c>
      <c r="I611" s="436">
        <f t="shared" si="10"/>
        <v>1.309692863</v>
      </c>
      <c r="J611" s="460">
        <v>30.0</v>
      </c>
      <c r="K611" s="464">
        <f>6+8+6+7+5</f>
        <v>32</v>
      </c>
      <c r="L611" s="443"/>
      <c r="M611" s="447">
        <f>IFERROR(__xludf.DUMMYFUNCTION("TRANSPOSE(IMPORTRANGE(""https://docs.google.com/spreadsheets/d/1CNeKSHTeNNJnfn5EymHwGg5Mkuk6EcepW7_9QkJxalc/edit#gid=1218471306"",""SEPTIEMBRE 2025!F2:AI21""))"),57.0)</f>
        <v>57</v>
      </c>
      <c r="N611" s="447">
        <f>IFERROR(__xludf.DUMMYFUNCTION("""COMPUTED_VALUE"""),57.0)</f>
        <v>57</v>
      </c>
      <c r="O611" s="447">
        <f>IFERROR(__xludf.DUMMYFUNCTION("""COMPUTED_VALUE"""),0.0)</f>
        <v>0</v>
      </c>
      <c r="P611" s="447">
        <f>IFERROR(__xludf.DUMMYFUNCTION("""COMPUTED_VALUE"""),0.0)</f>
        <v>0</v>
      </c>
      <c r="Q611" s="447">
        <f>IFERROR(__xludf.DUMMYFUNCTION("""COMPUTED_VALUE"""),1.0)</f>
        <v>1</v>
      </c>
      <c r="R611" s="447">
        <f>IFERROR(__xludf.DUMMYFUNCTION("""COMPUTED_VALUE"""),0.0)</f>
        <v>0</v>
      </c>
      <c r="S611" s="447">
        <f>IFERROR(__xludf.DUMMYFUNCTION("""COMPUTED_VALUE"""),0.0)</f>
        <v>0</v>
      </c>
      <c r="T611" s="447">
        <f>IFERROR(__xludf.DUMMYFUNCTION("""COMPUTED_VALUE"""),0.0)</f>
        <v>0</v>
      </c>
      <c r="U611" s="447">
        <f>IFERROR(__xludf.DUMMYFUNCTION("""COMPUTED_VALUE"""),0.0)</f>
        <v>0</v>
      </c>
      <c r="V611" s="447">
        <f>IFERROR(__xludf.DUMMYFUNCTION("""COMPUTED_VALUE"""),2.0)</f>
        <v>2</v>
      </c>
      <c r="W611" s="447">
        <f>IFERROR(__xludf.DUMMYFUNCTION("""COMPUTED_VALUE"""),0.0)</f>
        <v>0</v>
      </c>
      <c r="X611" s="447">
        <f>IFERROR(__xludf.DUMMYFUNCTION("""COMPUTED_VALUE"""),1.0)</f>
        <v>1</v>
      </c>
      <c r="Y611" s="447">
        <f>IFERROR(__xludf.DUMMYFUNCTION("""COMPUTED_VALUE"""),0.0)</f>
        <v>0</v>
      </c>
      <c r="Z611" s="447">
        <f>IFERROR(__xludf.DUMMYFUNCTION("""COMPUTED_VALUE"""),0.0)</f>
        <v>0</v>
      </c>
      <c r="AA611" s="447">
        <f>IFERROR(__xludf.DUMMYFUNCTION("""COMPUTED_VALUE"""),0.0)</f>
        <v>0</v>
      </c>
      <c r="AB611" s="447">
        <f>IFERROR(__xludf.DUMMYFUNCTION("""COMPUTED_VALUE"""),0.0)</f>
        <v>0</v>
      </c>
      <c r="AC611" s="447">
        <f>IFERROR(__xludf.DUMMYFUNCTION("""COMPUTED_VALUE"""),1.0)</f>
        <v>1</v>
      </c>
      <c r="AD611" s="447">
        <f>IFERROR(__xludf.DUMMYFUNCTION("""COMPUTED_VALUE"""),49.0)</f>
        <v>49</v>
      </c>
      <c r="AE611" s="447">
        <f>IFERROR(__xludf.DUMMYFUNCTION("""COMPUTED_VALUE"""),5.0)</f>
        <v>5</v>
      </c>
      <c r="AF611" s="447">
        <f>IFERROR(__xludf.DUMMYFUNCTION("""COMPUTED_VALUE"""),0.0)</f>
        <v>0</v>
      </c>
      <c r="AG611" s="443" t="s">
        <v>132</v>
      </c>
      <c r="AH611" s="443" t="s">
        <v>961</v>
      </c>
      <c r="AI611" s="443"/>
      <c r="AJ611" s="443"/>
      <c r="AK611" s="443"/>
      <c r="AL611" s="443"/>
      <c r="AM611" s="443"/>
      <c r="AN611" s="443"/>
      <c r="AO611" s="443"/>
      <c r="AP611" s="443"/>
      <c r="AQ611" s="443"/>
      <c r="AR611" s="443"/>
      <c r="AS611" s="443"/>
      <c r="AT611" s="443"/>
      <c r="AU611" s="443"/>
      <c r="AV611" s="443"/>
      <c r="AW611" s="443"/>
      <c r="AX611" s="443"/>
      <c r="AY611" s="443"/>
      <c r="AZ611" s="443"/>
      <c r="BA611" s="443"/>
      <c r="BB611" s="443"/>
      <c r="BC611" s="443"/>
      <c r="BD611" s="443"/>
      <c r="BE611" s="443"/>
    </row>
    <row r="612" hidden="1">
      <c r="A612" s="445">
        <f t="shared" si="5"/>
        <v>45902</v>
      </c>
      <c r="B612" s="449">
        <v>554.0</v>
      </c>
      <c r="C612" s="462">
        <v>0.6</v>
      </c>
      <c r="D612" s="462">
        <v>0.9784722222222222</v>
      </c>
      <c r="E612" s="436">
        <f t="array" ref="E612">IF(B612=0,"",(J612+K612)/60)</f>
        <v>1.5</v>
      </c>
      <c r="F612" s="437">
        <f t="shared" si="1"/>
        <v>9.083333333</v>
      </c>
      <c r="G612" s="438">
        <f t="shared" si="9"/>
        <v>60.99082569</v>
      </c>
      <c r="H612" s="438">
        <f t="shared" si="3"/>
        <v>73.05494505</v>
      </c>
      <c r="I612" s="436">
        <f t="shared" si="10"/>
        <v>1.270642202</v>
      </c>
      <c r="J612" s="460">
        <v>60.0</v>
      </c>
      <c r="K612" s="464">
        <f>17+4+5+4</f>
        <v>30</v>
      </c>
      <c r="L612" s="443"/>
      <c r="M612" s="447">
        <f>IFERROR(__xludf.DUMMYFUNCTION("""COMPUTED_VALUE"""),57.0)</f>
        <v>57</v>
      </c>
      <c r="N612" s="447">
        <f>IFERROR(__xludf.DUMMYFUNCTION("""COMPUTED_VALUE"""),54.0)</f>
        <v>54</v>
      </c>
      <c r="O612" s="447">
        <f>IFERROR(__xludf.DUMMYFUNCTION("""COMPUTED_VALUE"""),0.0)</f>
        <v>0</v>
      </c>
      <c r="P612" s="447">
        <f>IFERROR(__xludf.DUMMYFUNCTION("""COMPUTED_VALUE"""),0.0)</f>
        <v>0</v>
      </c>
      <c r="Q612" s="447">
        <f>IFERROR(__xludf.DUMMYFUNCTION("""COMPUTED_VALUE"""),0.0)</f>
        <v>0</v>
      </c>
      <c r="R612" s="447">
        <f>IFERROR(__xludf.DUMMYFUNCTION("""COMPUTED_VALUE"""),0.0)</f>
        <v>0</v>
      </c>
      <c r="S612" s="447">
        <f>IFERROR(__xludf.DUMMYFUNCTION("""COMPUTED_VALUE"""),0.0)</f>
        <v>0</v>
      </c>
      <c r="T612" s="447">
        <f>IFERROR(__xludf.DUMMYFUNCTION("""COMPUTED_VALUE"""),0.0)</f>
        <v>0</v>
      </c>
      <c r="U612" s="447">
        <f>IFERROR(__xludf.DUMMYFUNCTION("""COMPUTED_VALUE"""),2.0)</f>
        <v>2</v>
      </c>
      <c r="V612" s="447">
        <f>IFERROR(__xludf.DUMMYFUNCTION("""COMPUTED_VALUE"""),2.0)</f>
        <v>2</v>
      </c>
      <c r="W612" s="447">
        <f>IFERROR(__xludf.DUMMYFUNCTION("""COMPUTED_VALUE"""),0.0)</f>
        <v>0</v>
      </c>
      <c r="X612" s="447">
        <f>IFERROR(__xludf.DUMMYFUNCTION("""COMPUTED_VALUE"""),1.0)</f>
        <v>1</v>
      </c>
      <c r="Y612" s="447">
        <f>IFERROR(__xludf.DUMMYFUNCTION("""COMPUTED_VALUE"""),1.0)</f>
        <v>1</v>
      </c>
      <c r="Z612" s="447">
        <f>IFERROR(__xludf.DUMMYFUNCTION("""COMPUTED_VALUE"""),0.0)</f>
        <v>0</v>
      </c>
      <c r="AA612" s="447">
        <f>IFERROR(__xludf.DUMMYFUNCTION("""COMPUTED_VALUE"""),0.0)</f>
        <v>0</v>
      </c>
      <c r="AB612" s="447">
        <f>IFERROR(__xludf.DUMMYFUNCTION("""COMPUTED_VALUE"""),0.0)</f>
        <v>0</v>
      </c>
      <c r="AC612" s="447">
        <f>IFERROR(__xludf.DUMMYFUNCTION("""COMPUTED_VALUE"""),0.0)</f>
        <v>0</v>
      </c>
      <c r="AD612" s="447">
        <f>IFERROR(__xludf.DUMMYFUNCTION("""COMPUTED_VALUE"""),48.0)</f>
        <v>48</v>
      </c>
      <c r="AE612" s="447">
        <f>IFERROR(__xludf.DUMMYFUNCTION("""COMPUTED_VALUE"""),7.0)</f>
        <v>7</v>
      </c>
      <c r="AF612" s="447">
        <f>IFERROR(__xludf.DUMMYFUNCTION("""COMPUTED_VALUE"""),3.0)</f>
        <v>3</v>
      </c>
      <c r="AG612" s="443" t="s">
        <v>132</v>
      </c>
      <c r="AH612" s="443" t="s">
        <v>961</v>
      </c>
      <c r="AI612" s="443"/>
      <c r="AJ612" s="443"/>
      <c r="AK612" s="443"/>
      <c r="AL612" s="443"/>
      <c r="AM612" s="443"/>
      <c r="AN612" s="443"/>
      <c r="AO612" s="443"/>
      <c r="AP612" s="443"/>
      <c r="AQ612" s="443"/>
      <c r="AR612" s="443"/>
      <c r="AS612" s="443"/>
      <c r="AT612" s="443"/>
      <c r="AU612" s="443"/>
      <c r="AV612" s="443"/>
      <c r="AW612" s="443"/>
      <c r="AX612" s="443"/>
      <c r="AY612" s="443"/>
      <c r="AZ612" s="443"/>
      <c r="BA612" s="443"/>
      <c r="BB612" s="443"/>
      <c r="BC612" s="443"/>
      <c r="BD612" s="443"/>
      <c r="BE612" s="443"/>
    </row>
    <row r="613" hidden="1">
      <c r="A613" s="445">
        <f t="shared" si="5"/>
        <v>45903</v>
      </c>
      <c r="B613" s="449">
        <v>488.0</v>
      </c>
      <c r="C613" s="462">
        <v>0.6</v>
      </c>
      <c r="D613" s="462">
        <v>0.9597222222222223</v>
      </c>
      <c r="E613" s="436">
        <f t="array" ref="E613">IF(B613=0,"",(J613+K613)/60)</f>
        <v>1.683333333</v>
      </c>
      <c r="F613" s="437">
        <f t="shared" si="1"/>
        <v>8.633333333</v>
      </c>
      <c r="G613" s="438">
        <f t="shared" si="9"/>
        <v>56.52509653</v>
      </c>
      <c r="H613" s="438">
        <f t="shared" si="3"/>
        <v>70.21582734</v>
      </c>
      <c r="I613" s="436">
        <f t="shared" si="10"/>
        <v>1.177606178</v>
      </c>
      <c r="J613" s="460">
        <v>30.0</v>
      </c>
      <c r="K613" s="464">
        <f>23+9+30+6+3</f>
        <v>71</v>
      </c>
      <c r="L613" s="443"/>
      <c r="M613" s="447">
        <f>IFERROR(__xludf.DUMMYFUNCTION("""COMPUTED_VALUE"""),57.0)</f>
        <v>57</v>
      </c>
      <c r="N613" s="447">
        <f>IFERROR(__xludf.DUMMYFUNCTION("""COMPUTED_VALUE"""),54.0)</f>
        <v>54</v>
      </c>
      <c r="O613" s="447">
        <f>IFERROR(__xludf.DUMMYFUNCTION("""COMPUTED_VALUE"""),0.0)</f>
        <v>0</v>
      </c>
      <c r="P613" s="447">
        <f>IFERROR(__xludf.DUMMYFUNCTION("""COMPUTED_VALUE"""),0.0)</f>
        <v>0</v>
      </c>
      <c r="Q613" s="447">
        <f>IFERROR(__xludf.DUMMYFUNCTION("""COMPUTED_VALUE"""),0.0)</f>
        <v>0</v>
      </c>
      <c r="R613" s="447">
        <f>IFERROR(__xludf.DUMMYFUNCTION("""COMPUTED_VALUE"""),0.0)</f>
        <v>0</v>
      </c>
      <c r="S613" s="447">
        <f>IFERROR(__xludf.DUMMYFUNCTION("""COMPUTED_VALUE"""),0.0)</f>
        <v>0</v>
      </c>
      <c r="T613" s="447">
        <f>IFERROR(__xludf.DUMMYFUNCTION("""COMPUTED_VALUE"""),0.0)</f>
        <v>0</v>
      </c>
      <c r="U613" s="447">
        <f>IFERROR(__xludf.DUMMYFUNCTION("""COMPUTED_VALUE"""),2.0)</f>
        <v>2</v>
      </c>
      <c r="V613" s="447">
        <f>IFERROR(__xludf.DUMMYFUNCTION("""COMPUTED_VALUE"""),2.0)</f>
        <v>2</v>
      </c>
      <c r="W613" s="447">
        <f>IFERROR(__xludf.DUMMYFUNCTION("""COMPUTED_VALUE"""),0.0)</f>
        <v>0</v>
      </c>
      <c r="X613" s="447">
        <f>IFERROR(__xludf.DUMMYFUNCTION("""COMPUTED_VALUE"""),1.0)</f>
        <v>1</v>
      </c>
      <c r="Y613" s="447">
        <f>IFERROR(__xludf.DUMMYFUNCTION("""COMPUTED_VALUE"""),1.0)</f>
        <v>1</v>
      </c>
      <c r="Z613" s="447">
        <f>IFERROR(__xludf.DUMMYFUNCTION("""COMPUTED_VALUE"""),0.0)</f>
        <v>0</v>
      </c>
      <c r="AA613" s="447">
        <f>IFERROR(__xludf.DUMMYFUNCTION("""COMPUTED_VALUE"""),0.0)</f>
        <v>0</v>
      </c>
      <c r="AB613" s="447">
        <f>IFERROR(__xludf.DUMMYFUNCTION("""COMPUTED_VALUE"""),0.0)</f>
        <v>0</v>
      </c>
      <c r="AC613" s="447">
        <f>IFERROR(__xludf.DUMMYFUNCTION("""COMPUTED_VALUE"""),0.0)</f>
        <v>0</v>
      </c>
      <c r="AD613" s="447">
        <f>IFERROR(__xludf.DUMMYFUNCTION("""COMPUTED_VALUE"""),48.0)</f>
        <v>48</v>
      </c>
      <c r="AE613" s="447">
        <f>IFERROR(__xludf.DUMMYFUNCTION("""COMPUTED_VALUE"""),7.0)</f>
        <v>7</v>
      </c>
      <c r="AF613" s="447">
        <f>IFERROR(__xludf.DUMMYFUNCTION("""COMPUTED_VALUE"""),3.0)</f>
        <v>3</v>
      </c>
      <c r="AG613" s="443" t="s">
        <v>132</v>
      </c>
      <c r="AH613" s="443" t="s">
        <v>961</v>
      </c>
      <c r="AI613" s="443"/>
      <c r="AJ613" s="443"/>
      <c r="AK613" s="443"/>
      <c r="AL613" s="443"/>
      <c r="AM613" s="443"/>
      <c r="AN613" s="443"/>
      <c r="AO613" s="443"/>
      <c r="AP613" s="443"/>
      <c r="AQ613" s="443"/>
      <c r="AR613" s="443"/>
      <c r="AS613" s="443"/>
      <c r="AT613" s="443"/>
      <c r="AU613" s="443"/>
      <c r="AV613" s="443"/>
      <c r="AW613" s="443"/>
      <c r="AX613" s="443"/>
      <c r="AY613" s="443"/>
      <c r="AZ613" s="443"/>
      <c r="BA613" s="443"/>
      <c r="BB613" s="443"/>
      <c r="BC613" s="443"/>
      <c r="BD613" s="443"/>
      <c r="BE613" s="443"/>
    </row>
    <row r="614" hidden="1">
      <c r="A614" s="445">
        <f t="shared" si="5"/>
        <v>45904</v>
      </c>
      <c r="B614" s="449">
        <v>355.0</v>
      </c>
      <c r="C614" s="462">
        <v>0.6</v>
      </c>
      <c r="D614" s="462">
        <v>0.8368055555555556</v>
      </c>
      <c r="E614" s="436">
        <f t="array" ref="E614">IF(B614=0,"",(J614+K614)/60)</f>
        <v>0.5166666667</v>
      </c>
      <c r="F614" s="437">
        <f t="shared" si="1"/>
        <v>5.683333333</v>
      </c>
      <c r="G614" s="438">
        <f t="shared" si="9"/>
        <v>62.46334311</v>
      </c>
      <c r="H614" s="438">
        <f t="shared" si="3"/>
        <v>68.70967742</v>
      </c>
      <c r="I614" s="436">
        <f t="shared" si="10"/>
        <v>1.3290073</v>
      </c>
      <c r="J614" s="460">
        <v>15.0</v>
      </c>
      <c r="K614" s="464">
        <f>16</f>
        <v>16</v>
      </c>
      <c r="L614" s="449" t="s">
        <v>973</v>
      </c>
      <c r="M614" s="447">
        <f>IFERROR(__xludf.DUMMYFUNCTION("""COMPUTED_VALUE"""),57.0)</f>
        <v>57</v>
      </c>
      <c r="N614" s="447">
        <f>IFERROR(__xludf.DUMMYFUNCTION("""COMPUTED_VALUE"""),54.0)</f>
        <v>54</v>
      </c>
      <c r="O614" s="447">
        <f>IFERROR(__xludf.DUMMYFUNCTION("""COMPUTED_VALUE"""),0.0)</f>
        <v>0</v>
      </c>
      <c r="P614" s="447">
        <f>IFERROR(__xludf.DUMMYFUNCTION("""COMPUTED_VALUE"""),1.0)</f>
        <v>1</v>
      </c>
      <c r="Q614" s="447">
        <f>IFERROR(__xludf.DUMMYFUNCTION("""COMPUTED_VALUE"""),0.0)</f>
        <v>0</v>
      </c>
      <c r="R614" s="447">
        <f>IFERROR(__xludf.DUMMYFUNCTION("""COMPUTED_VALUE"""),0.0)</f>
        <v>0</v>
      </c>
      <c r="S614" s="447">
        <f>IFERROR(__xludf.DUMMYFUNCTION("""COMPUTED_VALUE"""),0.0)</f>
        <v>0</v>
      </c>
      <c r="T614" s="447">
        <f>IFERROR(__xludf.DUMMYFUNCTION("""COMPUTED_VALUE"""),0.0)</f>
        <v>0</v>
      </c>
      <c r="U614" s="447">
        <f>IFERROR(__xludf.DUMMYFUNCTION("""COMPUTED_VALUE"""),2.0)</f>
        <v>2</v>
      </c>
      <c r="V614" s="447">
        <f>IFERROR(__xludf.DUMMYFUNCTION("""COMPUTED_VALUE"""),2.0)</f>
        <v>2</v>
      </c>
      <c r="W614" s="447">
        <f>IFERROR(__xludf.DUMMYFUNCTION("""COMPUTED_VALUE"""),0.0)</f>
        <v>0</v>
      </c>
      <c r="X614" s="447">
        <f>IFERROR(__xludf.DUMMYFUNCTION("""COMPUTED_VALUE"""),1.0)</f>
        <v>1</v>
      </c>
      <c r="Y614" s="447">
        <f>IFERROR(__xludf.DUMMYFUNCTION("""COMPUTED_VALUE"""),1.0)</f>
        <v>1</v>
      </c>
      <c r="Z614" s="447">
        <f>IFERROR(__xludf.DUMMYFUNCTION("""COMPUTED_VALUE"""),0.0)</f>
        <v>0</v>
      </c>
      <c r="AA614" s="447">
        <f>IFERROR(__xludf.DUMMYFUNCTION("""COMPUTED_VALUE"""),0.0)</f>
        <v>0</v>
      </c>
      <c r="AB614" s="447">
        <f>IFERROR(__xludf.DUMMYFUNCTION("""COMPUTED_VALUE"""),0.0)</f>
        <v>0</v>
      </c>
      <c r="AC614" s="447">
        <f>IFERROR(__xludf.DUMMYFUNCTION("""COMPUTED_VALUE"""),0.0)</f>
        <v>0</v>
      </c>
      <c r="AD614" s="447">
        <f>IFERROR(__xludf.DUMMYFUNCTION("""COMPUTED_VALUE"""),47.0)</f>
        <v>47</v>
      </c>
      <c r="AE614" s="447">
        <f>IFERROR(__xludf.DUMMYFUNCTION("""COMPUTED_VALUE"""),8.0)</f>
        <v>8</v>
      </c>
      <c r="AF614" s="447">
        <f>IFERROR(__xludf.DUMMYFUNCTION("""COMPUTED_VALUE"""),3.0)</f>
        <v>3</v>
      </c>
      <c r="AG614" s="443" t="s">
        <v>132</v>
      </c>
      <c r="AH614" s="443" t="s">
        <v>961</v>
      </c>
      <c r="AI614" s="443"/>
      <c r="AJ614" s="443"/>
      <c r="AK614" s="443"/>
      <c r="AL614" s="443"/>
      <c r="AM614" s="443"/>
      <c r="AN614" s="443"/>
      <c r="AO614" s="443"/>
      <c r="AP614" s="443"/>
      <c r="AQ614" s="443"/>
      <c r="AR614" s="443"/>
      <c r="AS614" s="443"/>
      <c r="AT614" s="443"/>
      <c r="AU614" s="443"/>
      <c r="AV614" s="443"/>
      <c r="AW614" s="443"/>
      <c r="AX614" s="443"/>
      <c r="AY614" s="443"/>
      <c r="AZ614" s="443"/>
      <c r="BA614" s="443"/>
      <c r="BB614" s="443"/>
      <c r="BC614" s="443"/>
      <c r="BD614" s="443"/>
      <c r="BE614" s="443"/>
    </row>
    <row r="615" hidden="1">
      <c r="A615" s="445">
        <f t="shared" si="5"/>
        <v>45905</v>
      </c>
      <c r="B615" s="449">
        <v>365.0</v>
      </c>
      <c r="C615" s="462">
        <v>0.6</v>
      </c>
      <c r="D615" s="462">
        <v>0.8520833333333333</v>
      </c>
      <c r="E615" s="436">
        <f t="array" ref="E615">IF(B615=0,"",(J615+K615)/60)</f>
        <v>0.6666666667</v>
      </c>
      <c r="F615" s="437">
        <f t="shared" si="1"/>
        <v>6.05</v>
      </c>
      <c r="G615" s="438">
        <f t="shared" si="9"/>
        <v>60.33057851</v>
      </c>
      <c r="H615" s="438">
        <f t="shared" si="3"/>
        <v>67.80185759</v>
      </c>
      <c r="I615" s="436">
        <f t="shared" si="10"/>
        <v>1.311534315</v>
      </c>
      <c r="J615" s="460">
        <v>30.0</v>
      </c>
      <c r="K615" s="464">
        <f>10</f>
        <v>10</v>
      </c>
      <c r="L615" s="443"/>
      <c r="M615" s="447">
        <f>IFERROR(__xludf.DUMMYFUNCTION("""COMPUTED_VALUE"""),57.0)</f>
        <v>57</v>
      </c>
      <c r="N615" s="447">
        <f>IFERROR(__xludf.DUMMYFUNCTION("""COMPUTED_VALUE"""),54.0)</f>
        <v>54</v>
      </c>
      <c r="O615" s="447">
        <f>IFERROR(__xludf.DUMMYFUNCTION("""COMPUTED_VALUE"""),0.0)</f>
        <v>0</v>
      </c>
      <c r="P615" s="447">
        <f>IFERROR(__xludf.DUMMYFUNCTION("""COMPUTED_VALUE"""),1.0)</f>
        <v>1</v>
      </c>
      <c r="Q615" s="447">
        <f>IFERROR(__xludf.DUMMYFUNCTION("""COMPUTED_VALUE"""),0.0)</f>
        <v>0</v>
      </c>
      <c r="R615" s="447">
        <f>IFERROR(__xludf.DUMMYFUNCTION("""COMPUTED_VALUE"""),0.0)</f>
        <v>0</v>
      </c>
      <c r="S615" s="447">
        <f>IFERROR(__xludf.DUMMYFUNCTION("""COMPUTED_VALUE"""),1.0)</f>
        <v>1</v>
      </c>
      <c r="T615" s="447">
        <f>IFERROR(__xludf.DUMMYFUNCTION("""COMPUTED_VALUE"""),0.0)</f>
        <v>0</v>
      </c>
      <c r="U615" s="447">
        <f>IFERROR(__xludf.DUMMYFUNCTION("""COMPUTED_VALUE"""),2.0)</f>
        <v>2</v>
      </c>
      <c r="V615" s="447">
        <f>IFERROR(__xludf.DUMMYFUNCTION("""COMPUTED_VALUE"""),2.0)</f>
        <v>2</v>
      </c>
      <c r="W615" s="447">
        <f>IFERROR(__xludf.DUMMYFUNCTION("""COMPUTED_VALUE"""),0.0)</f>
        <v>0</v>
      </c>
      <c r="X615" s="447">
        <f>IFERROR(__xludf.DUMMYFUNCTION("""COMPUTED_VALUE"""),1.0)</f>
        <v>1</v>
      </c>
      <c r="Y615" s="447">
        <f>IFERROR(__xludf.DUMMYFUNCTION("""COMPUTED_VALUE"""),1.0)</f>
        <v>1</v>
      </c>
      <c r="Z615" s="447">
        <f>IFERROR(__xludf.DUMMYFUNCTION("""COMPUTED_VALUE"""),0.0)</f>
        <v>0</v>
      </c>
      <c r="AA615" s="447">
        <f>IFERROR(__xludf.DUMMYFUNCTION("""COMPUTED_VALUE"""),0.0)</f>
        <v>0</v>
      </c>
      <c r="AB615" s="447">
        <f>IFERROR(__xludf.DUMMYFUNCTION("""COMPUTED_VALUE"""),0.0)</f>
        <v>0</v>
      </c>
      <c r="AC615" s="447">
        <f>IFERROR(__xludf.DUMMYFUNCTION("""COMPUTED_VALUE"""),0.0)</f>
        <v>0</v>
      </c>
      <c r="AD615" s="447">
        <f>IFERROR(__xludf.DUMMYFUNCTION("""COMPUTED_VALUE"""),46.0)</f>
        <v>46</v>
      </c>
      <c r="AE615" s="447">
        <f>IFERROR(__xludf.DUMMYFUNCTION("""COMPUTED_VALUE"""),9.0)</f>
        <v>9</v>
      </c>
      <c r="AF615" s="447">
        <f>IFERROR(__xludf.DUMMYFUNCTION("""COMPUTED_VALUE"""),3.0)</f>
        <v>3</v>
      </c>
      <c r="AG615" s="443" t="s">
        <v>132</v>
      </c>
      <c r="AH615" s="443" t="s">
        <v>961</v>
      </c>
      <c r="AI615" s="443"/>
      <c r="AJ615" s="443"/>
      <c r="AK615" s="443"/>
      <c r="AL615" s="443"/>
      <c r="AM615" s="443"/>
      <c r="AN615" s="443"/>
      <c r="AO615" s="443"/>
      <c r="AP615" s="443"/>
      <c r="AQ615" s="443"/>
      <c r="AR615" s="443"/>
      <c r="AS615" s="443"/>
      <c r="AT615" s="443"/>
      <c r="AU615" s="443"/>
      <c r="AV615" s="443"/>
      <c r="AW615" s="443"/>
      <c r="AX615" s="443"/>
      <c r="AY615" s="443"/>
      <c r="AZ615" s="443"/>
      <c r="BA615" s="443"/>
      <c r="BB615" s="443"/>
      <c r="BC615" s="443"/>
      <c r="BD615" s="443"/>
      <c r="BE615" s="443"/>
    </row>
    <row r="616" hidden="1">
      <c r="A616" s="445">
        <f t="shared" si="5"/>
        <v>45906</v>
      </c>
      <c r="B616" s="449">
        <v>318.0</v>
      </c>
      <c r="C616" s="462">
        <v>0.6</v>
      </c>
      <c r="D616" s="462">
        <v>0.7826388888888889</v>
      </c>
      <c r="E616" s="436">
        <f t="array" ref="E616">IF(B616=0,"",(J616+K616)/60)</f>
        <v>0.25</v>
      </c>
      <c r="F616" s="437">
        <f t="shared" si="1"/>
        <v>4.383333333</v>
      </c>
      <c r="G616" s="438">
        <f t="shared" si="9"/>
        <v>72.54752852</v>
      </c>
      <c r="H616" s="438">
        <f t="shared" si="3"/>
        <v>76.93548387</v>
      </c>
      <c r="I616" s="436">
        <f t="shared" si="10"/>
        <v>1.543564437</v>
      </c>
      <c r="J616" s="460">
        <v>0.0</v>
      </c>
      <c r="K616" s="464">
        <f>10+5</f>
        <v>15</v>
      </c>
      <c r="L616" s="443"/>
      <c r="M616" s="447">
        <f>IFERROR(__xludf.DUMMYFUNCTION("""COMPUTED_VALUE"""),57.0)</f>
        <v>57</v>
      </c>
      <c r="N616" s="447">
        <f>IFERROR(__xludf.DUMMYFUNCTION("""COMPUTED_VALUE"""),54.0)</f>
        <v>54</v>
      </c>
      <c r="O616" s="447">
        <f>IFERROR(__xludf.DUMMYFUNCTION("""COMPUTED_VALUE"""),0.0)</f>
        <v>0</v>
      </c>
      <c r="P616" s="447">
        <f>IFERROR(__xludf.DUMMYFUNCTION("""COMPUTED_VALUE"""),0.0)</f>
        <v>0</v>
      </c>
      <c r="Q616" s="447">
        <f>IFERROR(__xludf.DUMMYFUNCTION("""COMPUTED_VALUE"""),0.0)</f>
        <v>0</v>
      </c>
      <c r="R616" s="447">
        <f>IFERROR(__xludf.DUMMYFUNCTION("""COMPUTED_VALUE"""),0.0)</f>
        <v>0</v>
      </c>
      <c r="S616" s="447">
        <f>IFERROR(__xludf.DUMMYFUNCTION("""COMPUTED_VALUE"""),1.0)</f>
        <v>1</v>
      </c>
      <c r="T616" s="447">
        <f>IFERROR(__xludf.DUMMYFUNCTION("""COMPUTED_VALUE"""),0.0)</f>
        <v>0</v>
      </c>
      <c r="U616" s="447">
        <f>IFERROR(__xludf.DUMMYFUNCTION("""COMPUTED_VALUE"""),2.0)</f>
        <v>2</v>
      </c>
      <c r="V616" s="447">
        <f>IFERROR(__xludf.DUMMYFUNCTION("""COMPUTED_VALUE"""),2.0)</f>
        <v>2</v>
      </c>
      <c r="W616" s="447">
        <f>IFERROR(__xludf.DUMMYFUNCTION("""COMPUTED_VALUE"""),0.0)</f>
        <v>0</v>
      </c>
      <c r="X616" s="447">
        <f>IFERROR(__xludf.DUMMYFUNCTION("""COMPUTED_VALUE"""),1.0)</f>
        <v>1</v>
      </c>
      <c r="Y616" s="447">
        <f>IFERROR(__xludf.DUMMYFUNCTION("""COMPUTED_VALUE"""),1.0)</f>
        <v>1</v>
      </c>
      <c r="Z616" s="447">
        <f>IFERROR(__xludf.DUMMYFUNCTION("""COMPUTED_VALUE"""),0.0)</f>
        <v>0</v>
      </c>
      <c r="AA616" s="447">
        <f>IFERROR(__xludf.DUMMYFUNCTION("""COMPUTED_VALUE"""),0.0)</f>
        <v>0</v>
      </c>
      <c r="AB616" s="447">
        <f>IFERROR(__xludf.DUMMYFUNCTION("""COMPUTED_VALUE"""),0.0)</f>
        <v>0</v>
      </c>
      <c r="AC616" s="447">
        <f>IFERROR(__xludf.DUMMYFUNCTION("""COMPUTED_VALUE"""),0.0)</f>
        <v>0</v>
      </c>
      <c r="AD616" s="447">
        <f>IFERROR(__xludf.DUMMYFUNCTION("""COMPUTED_VALUE"""),47.0)</f>
        <v>47</v>
      </c>
      <c r="AE616" s="447">
        <f>IFERROR(__xludf.DUMMYFUNCTION("""COMPUTED_VALUE"""),8.0)</f>
        <v>8</v>
      </c>
      <c r="AF616" s="447">
        <f>IFERROR(__xludf.DUMMYFUNCTION("""COMPUTED_VALUE"""),3.0)</f>
        <v>3</v>
      </c>
      <c r="AG616" s="443" t="s">
        <v>132</v>
      </c>
      <c r="AH616" s="443" t="s">
        <v>961</v>
      </c>
      <c r="AI616" s="443"/>
      <c r="AJ616" s="443"/>
      <c r="AK616" s="443"/>
      <c r="AL616" s="443"/>
      <c r="AM616" s="443"/>
      <c r="AN616" s="443"/>
      <c r="AO616" s="443"/>
      <c r="AP616" s="443"/>
      <c r="AQ616" s="443"/>
      <c r="AR616" s="443"/>
      <c r="AS616" s="443"/>
      <c r="AT616" s="443"/>
      <c r="AU616" s="443"/>
      <c r="AV616" s="443"/>
      <c r="AW616" s="443"/>
      <c r="AX616" s="443"/>
      <c r="AY616" s="443"/>
      <c r="AZ616" s="443"/>
      <c r="BA616" s="443"/>
      <c r="BB616" s="443"/>
      <c r="BC616" s="443"/>
      <c r="BD616" s="443"/>
      <c r="BE616" s="443"/>
    </row>
    <row r="617" hidden="1">
      <c r="A617" s="445">
        <f t="shared" si="5"/>
        <v>45907</v>
      </c>
      <c r="B617" s="449">
        <v>0.0</v>
      </c>
      <c r="C617" s="443"/>
      <c r="D617" s="462"/>
      <c r="E617" s="436" t="str">
        <f t="array" ref="E617">IF(B617=0,"",(J617+K617)/60)</f>
        <v/>
      </c>
      <c r="F617" s="437" t="str">
        <f t="shared" si="1"/>
        <v/>
      </c>
      <c r="G617" s="438" t="str">
        <f t="shared" si="9"/>
        <v>#DIV/0!</v>
      </c>
      <c r="H617" s="438" t="str">
        <f t="shared" si="3"/>
        <v/>
      </c>
      <c r="I617" s="436" t="str">
        <f t="shared" si="10"/>
        <v/>
      </c>
      <c r="J617" s="464"/>
      <c r="K617" s="464"/>
      <c r="L617" s="443"/>
      <c r="M617" s="447">
        <f>IFERROR(__xludf.DUMMYFUNCTION("""COMPUTED_VALUE"""),57.0)</f>
        <v>57</v>
      </c>
      <c r="N617" s="447">
        <f>IFERROR(__xludf.DUMMYFUNCTION("""COMPUTED_VALUE"""),54.0)</f>
        <v>54</v>
      </c>
      <c r="O617" s="447">
        <f>IFERROR(__xludf.DUMMYFUNCTION("""COMPUTED_VALUE"""),0.0)</f>
        <v>0</v>
      </c>
      <c r="P617" s="447">
        <f>IFERROR(__xludf.DUMMYFUNCTION("""COMPUTED_VALUE"""),0.0)</f>
        <v>0</v>
      </c>
      <c r="Q617" s="447">
        <f>IFERROR(__xludf.DUMMYFUNCTION("""COMPUTED_VALUE"""),0.0)</f>
        <v>0</v>
      </c>
      <c r="R617" s="447">
        <f>IFERROR(__xludf.DUMMYFUNCTION("""COMPUTED_VALUE"""),0.0)</f>
        <v>0</v>
      </c>
      <c r="S617" s="447">
        <f>IFERROR(__xludf.DUMMYFUNCTION("""COMPUTED_VALUE"""),0.0)</f>
        <v>0</v>
      </c>
      <c r="T617" s="447">
        <f>IFERROR(__xludf.DUMMYFUNCTION("""COMPUTED_VALUE"""),0.0)</f>
        <v>0</v>
      </c>
      <c r="U617" s="447">
        <f>IFERROR(__xludf.DUMMYFUNCTION("""COMPUTED_VALUE"""),2.0)</f>
        <v>2</v>
      </c>
      <c r="V617" s="447">
        <f>IFERROR(__xludf.DUMMYFUNCTION("""COMPUTED_VALUE"""),2.0)</f>
        <v>2</v>
      </c>
      <c r="W617" s="447">
        <f>IFERROR(__xludf.DUMMYFUNCTION("""COMPUTED_VALUE"""),0.0)</f>
        <v>0</v>
      </c>
      <c r="X617" s="447">
        <f>IFERROR(__xludf.DUMMYFUNCTION("""COMPUTED_VALUE"""),1.0)</f>
        <v>1</v>
      </c>
      <c r="Y617" s="447">
        <f>IFERROR(__xludf.DUMMYFUNCTION("""COMPUTED_VALUE"""),1.0)</f>
        <v>1</v>
      </c>
      <c r="Z617" s="447">
        <f>IFERROR(__xludf.DUMMYFUNCTION("""COMPUTED_VALUE"""),0.0)</f>
        <v>0</v>
      </c>
      <c r="AA617" s="447">
        <f>IFERROR(__xludf.DUMMYFUNCTION("""COMPUTED_VALUE"""),0.0)</f>
        <v>0</v>
      </c>
      <c r="AB617" s="447">
        <f>IFERROR(__xludf.DUMMYFUNCTION("""COMPUTED_VALUE"""),0.0)</f>
        <v>0</v>
      </c>
      <c r="AC617" s="447">
        <f>IFERROR(__xludf.DUMMYFUNCTION("""COMPUTED_VALUE"""),0.0)</f>
        <v>0</v>
      </c>
      <c r="AD617" s="447">
        <f>IFERROR(__xludf.DUMMYFUNCTION("""COMPUTED_VALUE"""),0.0)</f>
        <v>0</v>
      </c>
      <c r="AE617" s="447">
        <f>IFERROR(__xludf.DUMMYFUNCTION("""COMPUTED_VALUE"""),7.0)</f>
        <v>7</v>
      </c>
      <c r="AF617" s="447">
        <f>IFERROR(__xludf.DUMMYFUNCTION("""COMPUTED_VALUE"""),3.0)</f>
        <v>3</v>
      </c>
      <c r="AG617" s="443" t="s">
        <v>132</v>
      </c>
      <c r="AH617" s="443" t="s">
        <v>961</v>
      </c>
      <c r="AI617" s="443"/>
      <c r="AJ617" s="443"/>
      <c r="AK617" s="443"/>
      <c r="AL617" s="443"/>
      <c r="AM617" s="443"/>
      <c r="AN617" s="443"/>
      <c r="AO617" s="443"/>
      <c r="AP617" s="443"/>
      <c r="AQ617" s="443"/>
      <c r="AR617" s="443"/>
      <c r="AS617" s="443"/>
      <c r="AT617" s="443"/>
      <c r="AU617" s="443"/>
      <c r="AV617" s="443"/>
      <c r="AW617" s="443"/>
      <c r="AX617" s="443"/>
      <c r="AY617" s="443"/>
      <c r="AZ617" s="443"/>
      <c r="BA617" s="443"/>
      <c r="BB617" s="443"/>
      <c r="BC617" s="443"/>
      <c r="BD617" s="443"/>
      <c r="BE617" s="443"/>
    </row>
    <row r="618" hidden="1">
      <c r="A618" s="445">
        <f t="shared" si="5"/>
        <v>45908</v>
      </c>
      <c r="B618" s="449">
        <v>615.0</v>
      </c>
      <c r="C618" s="462">
        <v>0.6</v>
      </c>
      <c r="D618" s="462">
        <v>1.0083333333333333</v>
      </c>
      <c r="E618" s="436">
        <f t="array" ref="E618">IF(B618=0,"",(J618+K618)/60)</f>
        <v>1.483333333</v>
      </c>
      <c r="F618" s="437">
        <f t="shared" si="1"/>
        <v>9.8</v>
      </c>
      <c r="G618" s="438">
        <f t="shared" si="9"/>
        <v>62.75510204</v>
      </c>
      <c r="H618" s="438">
        <f t="shared" si="3"/>
        <v>73.94789579</v>
      </c>
      <c r="I618" s="436">
        <f t="shared" si="10"/>
        <v>1.307397959</v>
      </c>
      <c r="J618" s="460">
        <v>60.0</v>
      </c>
      <c r="K618" s="464">
        <f>5+4+4+6+10</f>
        <v>29</v>
      </c>
      <c r="L618" s="443"/>
      <c r="M618" s="447">
        <f>IFERROR(__xludf.DUMMYFUNCTION("""COMPUTED_VALUE"""),57.0)</f>
        <v>57</v>
      </c>
      <c r="N618" s="447">
        <f>IFERROR(__xludf.DUMMYFUNCTION("""COMPUTED_VALUE"""),54.0)</f>
        <v>54</v>
      </c>
      <c r="O618" s="447">
        <f>IFERROR(__xludf.DUMMYFUNCTION("""COMPUTED_VALUE"""),0.0)</f>
        <v>0</v>
      </c>
      <c r="P618" s="447">
        <f>IFERROR(__xludf.DUMMYFUNCTION("""COMPUTED_VALUE"""),0.0)</f>
        <v>0</v>
      </c>
      <c r="Q618" s="447">
        <f>IFERROR(__xludf.DUMMYFUNCTION("""COMPUTED_VALUE"""),0.0)</f>
        <v>0</v>
      </c>
      <c r="R618" s="447">
        <f>IFERROR(__xludf.DUMMYFUNCTION("""COMPUTED_VALUE"""),0.0)</f>
        <v>0</v>
      </c>
      <c r="S618" s="447">
        <f>IFERROR(__xludf.DUMMYFUNCTION("""COMPUTED_VALUE"""),0.0)</f>
        <v>0</v>
      </c>
      <c r="T618" s="447">
        <f>IFERROR(__xludf.DUMMYFUNCTION("""COMPUTED_VALUE"""),0.0)</f>
        <v>0</v>
      </c>
      <c r="U618" s="447">
        <f>IFERROR(__xludf.DUMMYFUNCTION("""COMPUTED_VALUE"""),2.0)</f>
        <v>2</v>
      </c>
      <c r="V618" s="447">
        <f>IFERROR(__xludf.DUMMYFUNCTION("""COMPUTED_VALUE"""),2.0)</f>
        <v>2</v>
      </c>
      <c r="W618" s="447">
        <f>IFERROR(__xludf.DUMMYFUNCTION("""COMPUTED_VALUE"""),0.0)</f>
        <v>0</v>
      </c>
      <c r="X618" s="447">
        <f>IFERROR(__xludf.DUMMYFUNCTION("""COMPUTED_VALUE"""),1.0)</f>
        <v>1</v>
      </c>
      <c r="Y618" s="447">
        <f>IFERROR(__xludf.DUMMYFUNCTION("""COMPUTED_VALUE"""),1.0)</f>
        <v>1</v>
      </c>
      <c r="Z618" s="447">
        <f>IFERROR(__xludf.DUMMYFUNCTION("""COMPUTED_VALUE"""),0.0)</f>
        <v>0</v>
      </c>
      <c r="AA618" s="447">
        <f>IFERROR(__xludf.DUMMYFUNCTION("""COMPUTED_VALUE"""),0.0)</f>
        <v>0</v>
      </c>
      <c r="AB618" s="447">
        <f>IFERROR(__xludf.DUMMYFUNCTION("""COMPUTED_VALUE"""),0.0)</f>
        <v>0</v>
      </c>
      <c r="AC618" s="447">
        <f>IFERROR(__xludf.DUMMYFUNCTION("""COMPUTED_VALUE"""),0.0)</f>
        <v>0</v>
      </c>
      <c r="AD618" s="447">
        <f>IFERROR(__xludf.DUMMYFUNCTION("""COMPUTED_VALUE"""),48.0)</f>
        <v>48</v>
      </c>
      <c r="AE618" s="447">
        <f>IFERROR(__xludf.DUMMYFUNCTION("""COMPUTED_VALUE"""),7.0)</f>
        <v>7</v>
      </c>
      <c r="AF618" s="447">
        <f>IFERROR(__xludf.DUMMYFUNCTION("""COMPUTED_VALUE"""),3.0)</f>
        <v>3</v>
      </c>
      <c r="AG618" s="443" t="s">
        <v>132</v>
      </c>
      <c r="AH618" s="443" t="s">
        <v>961</v>
      </c>
      <c r="AI618" s="443"/>
      <c r="AJ618" s="443"/>
      <c r="AK618" s="443"/>
      <c r="AL618" s="443"/>
      <c r="AM618" s="443"/>
      <c r="AN618" s="443"/>
      <c r="AO618" s="443"/>
      <c r="AP618" s="443"/>
      <c r="AQ618" s="443"/>
      <c r="AR618" s="443"/>
      <c r="AS618" s="443"/>
      <c r="AT618" s="443"/>
      <c r="AU618" s="443"/>
      <c r="AV618" s="443"/>
      <c r="AW618" s="443"/>
      <c r="AX618" s="443"/>
      <c r="AY618" s="443"/>
      <c r="AZ618" s="443"/>
      <c r="BA618" s="443"/>
      <c r="BB618" s="443"/>
      <c r="BC618" s="443"/>
      <c r="BD618" s="443"/>
      <c r="BE618" s="443"/>
    </row>
    <row r="619" hidden="1">
      <c r="A619" s="445">
        <f t="shared" si="5"/>
        <v>45909</v>
      </c>
      <c r="B619" s="449">
        <v>471.0</v>
      </c>
      <c r="C619" s="462">
        <v>0.6</v>
      </c>
      <c r="D619" s="462">
        <v>0.9208333333333333</v>
      </c>
      <c r="E619" s="436">
        <f t="array" ref="E619">IF(B619=0,"",(J619+K619)/60)</f>
        <v>0.8166666667</v>
      </c>
      <c r="F619" s="437">
        <f t="shared" si="1"/>
        <v>7.7</v>
      </c>
      <c r="G619" s="438">
        <f t="shared" si="9"/>
        <v>61.16883117</v>
      </c>
      <c r="H619" s="438">
        <f t="shared" si="3"/>
        <v>68.42615012</v>
      </c>
      <c r="I619" s="436">
        <f t="shared" si="10"/>
        <v>1.301464493</v>
      </c>
      <c r="J619" s="460">
        <v>30.0</v>
      </c>
      <c r="K619" s="464">
        <f>5+4+10</f>
        <v>19</v>
      </c>
      <c r="L619" s="443"/>
      <c r="M619" s="447">
        <f>IFERROR(__xludf.DUMMYFUNCTION("""COMPUTED_VALUE"""),57.0)</f>
        <v>57</v>
      </c>
      <c r="N619" s="447">
        <f>IFERROR(__xludf.DUMMYFUNCTION("""COMPUTED_VALUE"""),54.0)</f>
        <v>54</v>
      </c>
      <c r="O619" s="447">
        <f>IFERROR(__xludf.DUMMYFUNCTION("""COMPUTED_VALUE"""),0.0)</f>
        <v>0</v>
      </c>
      <c r="P619" s="447">
        <f>IFERROR(__xludf.DUMMYFUNCTION("""COMPUTED_VALUE"""),1.0)</f>
        <v>1</v>
      </c>
      <c r="Q619" s="447">
        <f>IFERROR(__xludf.DUMMYFUNCTION("""COMPUTED_VALUE"""),0.0)</f>
        <v>0</v>
      </c>
      <c r="R619" s="447">
        <f>IFERROR(__xludf.DUMMYFUNCTION("""COMPUTED_VALUE"""),0.0)</f>
        <v>0</v>
      </c>
      <c r="S619" s="447">
        <f>IFERROR(__xludf.DUMMYFUNCTION("""COMPUTED_VALUE"""),0.0)</f>
        <v>0</v>
      </c>
      <c r="T619" s="447">
        <f>IFERROR(__xludf.DUMMYFUNCTION("""COMPUTED_VALUE"""),0.0)</f>
        <v>0</v>
      </c>
      <c r="U619" s="447">
        <f>IFERROR(__xludf.DUMMYFUNCTION("""COMPUTED_VALUE"""),2.0)</f>
        <v>2</v>
      </c>
      <c r="V619" s="447">
        <f>IFERROR(__xludf.DUMMYFUNCTION("""COMPUTED_VALUE"""),2.0)</f>
        <v>2</v>
      </c>
      <c r="W619" s="447">
        <f>IFERROR(__xludf.DUMMYFUNCTION("""COMPUTED_VALUE"""),0.0)</f>
        <v>0</v>
      </c>
      <c r="X619" s="447">
        <f>IFERROR(__xludf.DUMMYFUNCTION("""COMPUTED_VALUE"""),1.0)</f>
        <v>1</v>
      </c>
      <c r="Y619" s="447">
        <f>IFERROR(__xludf.DUMMYFUNCTION("""COMPUTED_VALUE"""),1.0)</f>
        <v>1</v>
      </c>
      <c r="Z619" s="447">
        <f>IFERROR(__xludf.DUMMYFUNCTION("""COMPUTED_VALUE"""),0.0)</f>
        <v>0</v>
      </c>
      <c r="AA619" s="447">
        <f>IFERROR(__xludf.DUMMYFUNCTION("""COMPUTED_VALUE"""),0.0)</f>
        <v>0</v>
      </c>
      <c r="AB619" s="447">
        <f>IFERROR(__xludf.DUMMYFUNCTION("""COMPUTED_VALUE"""),0.0)</f>
        <v>0</v>
      </c>
      <c r="AC619" s="447">
        <f>IFERROR(__xludf.DUMMYFUNCTION("""COMPUTED_VALUE"""),0.0)</f>
        <v>0</v>
      </c>
      <c r="AD619" s="447">
        <f>IFERROR(__xludf.DUMMYFUNCTION("""COMPUTED_VALUE"""),47.0)</f>
        <v>47</v>
      </c>
      <c r="AE619" s="447">
        <f>IFERROR(__xludf.DUMMYFUNCTION("""COMPUTED_VALUE"""),8.0)</f>
        <v>8</v>
      </c>
      <c r="AF619" s="447">
        <f>IFERROR(__xludf.DUMMYFUNCTION("""COMPUTED_VALUE"""),3.0)</f>
        <v>3</v>
      </c>
      <c r="AG619" s="443" t="s">
        <v>132</v>
      </c>
      <c r="AH619" s="443" t="s">
        <v>961</v>
      </c>
      <c r="AI619" s="443"/>
      <c r="AJ619" s="443"/>
      <c r="AK619" s="443"/>
      <c r="AL619" s="443"/>
      <c r="AM619" s="443"/>
      <c r="AN619" s="443"/>
      <c r="AO619" s="443"/>
      <c r="AP619" s="443"/>
      <c r="AQ619" s="443"/>
      <c r="AR619" s="443"/>
      <c r="AS619" s="443"/>
      <c r="AT619" s="443"/>
      <c r="AU619" s="443"/>
      <c r="AV619" s="443"/>
      <c r="AW619" s="443"/>
      <c r="AX619" s="443"/>
      <c r="AY619" s="443"/>
      <c r="AZ619" s="443"/>
      <c r="BA619" s="443"/>
      <c r="BB619" s="443"/>
      <c r="BC619" s="443"/>
      <c r="BD619" s="443"/>
      <c r="BE619" s="443"/>
    </row>
    <row r="620" hidden="1">
      <c r="A620" s="445">
        <f t="shared" si="5"/>
        <v>45910</v>
      </c>
      <c r="B620" s="449">
        <v>458.0</v>
      </c>
      <c r="C620" s="462">
        <v>0.6</v>
      </c>
      <c r="D620" s="462">
        <v>0.8916666666666667</v>
      </c>
      <c r="E620" s="436">
        <f t="array" ref="E620">IF(B620=0,"",(J620+K620)/60)</f>
        <v>0.7666666667</v>
      </c>
      <c r="F620" s="437">
        <f t="shared" si="1"/>
        <v>7</v>
      </c>
      <c r="G620" s="438">
        <f t="shared" si="9"/>
        <v>65.42857143</v>
      </c>
      <c r="H620" s="438">
        <f t="shared" si="3"/>
        <v>73.47593583</v>
      </c>
      <c r="I620" s="436">
        <f t="shared" si="10"/>
        <v>1.422360248</v>
      </c>
      <c r="J620" s="460">
        <v>30.0</v>
      </c>
      <c r="K620" s="464">
        <f>9+7</f>
        <v>16</v>
      </c>
      <c r="L620" s="443"/>
      <c r="M620" s="447">
        <f>IFERROR(__xludf.DUMMYFUNCTION("""COMPUTED_VALUE"""),57.0)</f>
        <v>57</v>
      </c>
      <c r="N620" s="447">
        <f>IFERROR(__xludf.DUMMYFUNCTION("""COMPUTED_VALUE"""),54.0)</f>
        <v>54</v>
      </c>
      <c r="O620" s="447">
        <f>IFERROR(__xludf.DUMMYFUNCTION("""COMPUTED_VALUE"""),0.0)</f>
        <v>0</v>
      </c>
      <c r="P620" s="447">
        <f>IFERROR(__xludf.DUMMYFUNCTION("""COMPUTED_VALUE"""),0.0)</f>
        <v>0</v>
      </c>
      <c r="Q620" s="447">
        <f>IFERROR(__xludf.DUMMYFUNCTION("""COMPUTED_VALUE"""),0.0)</f>
        <v>0</v>
      </c>
      <c r="R620" s="447">
        <f>IFERROR(__xludf.DUMMYFUNCTION("""COMPUTED_VALUE"""),0.0)</f>
        <v>0</v>
      </c>
      <c r="S620" s="447">
        <f>IFERROR(__xludf.DUMMYFUNCTION("""COMPUTED_VALUE"""),1.0)</f>
        <v>1</v>
      </c>
      <c r="T620" s="447">
        <f>IFERROR(__xludf.DUMMYFUNCTION("""COMPUTED_VALUE"""),0.0)</f>
        <v>0</v>
      </c>
      <c r="U620" s="447">
        <f>IFERROR(__xludf.DUMMYFUNCTION("""COMPUTED_VALUE"""),2.0)</f>
        <v>2</v>
      </c>
      <c r="V620" s="447">
        <f>IFERROR(__xludf.DUMMYFUNCTION("""COMPUTED_VALUE"""),2.0)</f>
        <v>2</v>
      </c>
      <c r="W620" s="447">
        <f>IFERROR(__xludf.DUMMYFUNCTION("""COMPUTED_VALUE"""),1.0)</f>
        <v>1</v>
      </c>
      <c r="X620" s="447">
        <f>IFERROR(__xludf.DUMMYFUNCTION("""COMPUTED_VALUE"""),1.0)</f>
        <v>1</v>
      </c>
      <c r="Y620" s="447">
        <f>IFERROR(__xludf.DUMMYFUNCTION("""COMPUTED_VALUE"""),1.0)</f>
        <v>1</v>
      </c>
      <c r="Z620" s="447">
        <f>IFERROR(__xludf.DUMMYFUNCTION("""COMPUTED_VALUE"""),0.0)</f>
        <v>0</v>
      </c>
      <c r="AA620" s="447">
        <f>IFERROR(__xludf.DUMMYFUNCTION("""COMPUTED_VALUE"""),0.0)</f>
        <v>0</v>
      </c>
      <c r="AB620" s="447">
        <f>IFERROR(__xludf.DUMMYFUNCTION("""COMPUTED_VALUE"""),0.0)</f>
        <v>0</v>
      </c>
      <c r="AC620" s="447">
        <f>IFERROR(__xludf.DUMMYFUNCTION("""COMPUTED_VALUE"""),0.0)</f>
        <v>0</v>
      </c>
      <c r="AD620" s="447">
        <f>IFERROR(__xludf.DUMMYFUNCTION("""COMPUTED_VALUE"""),46.0)</f>
        <v>46</v>
      </c>
      <c r="AE620" s="447">
        <f>IFERROR(__xludf.DUMMYFUNCTION("""COMPUTED_VALUE"""),9.0)</f>
        <v>9</v>
      </c>
      <c r="AF620" s="447">
        <f>IFERROR(__xludf.DUMMYFUNCTION("""COMPUTED_VALUE"""),3.0)</f>
        <v>3</v>
      </c>
      <c r="AG620" s="443" t="s">
        <v>132</v>
      </c>
      <c r="AH620" s="443" t="s">
        <v>961</v>
      </c>
      <c r="AI620" s="443"/>
      <c r="AJ620" s="443"/>
      <c r="AK620" s="443"/>
      <c r="AL620" s="443"/>
      <c r="AM620" s="443"/>
      <c r="AN620" s="443"/>
      <c r="AO620" s="443"/>
      <c r="AP620" s="443"/>
      <c r="AQ620" s="443"/>
      <c r="AR620" s="443"/>
      <c r="AS620" s="443"/>
      <c r="AT620" s="443"/>
      <c r="AU620" s="443"/>
      <c r="AV620" s="443"/>
      <c r="AW620" s="443"/>
      <c r="AX620" s="443"/>
      <c r="AY620" s="443"/>
      <c r="AZ620" s="443"/>
      <c r="BA620" s="443"/>
      <c r="BB620" s="443"/>
      <c r="BC620" s="443"/>
      <c r="BD620" s="443"/>
      <c r="BE620" s="443"/>
    </row>
    <row r="621" hidden="1">
      <c r="A621" s="445">
        <f t="shared" si="5"/>
        <v>45911</v>
      </c>
      <c r="B621" s="449">
        <v>461.0</v>
      </c>
      <c r="C621" s="462">
        <v>0.6</v>
      </c>
      <c r="D621" s="462">
        <v>0.9076388888888889</v>
      </c>
      <c r="E621" s="436">
        <f t="array" ref="E621">IF(B621=0,"",(J621+K621)/60)</f>
        <v>1.05</v>
      </c>
      <c r="F621" s="437">
        <f t="shared" si="1"/>
        <v>7.383333333</v>
      </c>
      <c r="G621" s="438">
        <f t="shared" si="9"/>
        <v>62.43792325</v>
      </c>
      <c r="H621" s="438">
        <f t="shared" si="3"/>
        <v>72.78947368</v>
      </c>
      <c r="I621" s="436">
        <f t="shared" si="10"/>
        <v>1.357346158</v>
      </c>
      <c r="J621" s="460">
        <v>30.0</v>
      </c>
      <c r="K621" s="464">
        <f>18+15</f>
        <v>33</v>
      </c>
      <c r="L621" s="443"/>
      <c r="M621" s="447">
        <f>IFERROR(__xludf.DUMMYFUNCTION("""COMPUTED_VALUE"""),57.0)</f>
        <v>57</v>
      </c>
      <c r="N621" s="447">
        <f>IFERROR(__xludf.DUMMYFUNCTION("""COMPUTED_VALUE"""),54.0)</f>
        <v>54</v>
      </c>
      <c r="O621" s="447">
        <f>IFERROR(__xludf.DUMMYFUNCTION("""COMPUTED_VALUE"""),0.0)</f>
        <v>0</v>
      </c>
      <c r="P621" s="447">
        <f>IFERROR(__xludf.DUMMYFUNCTION("""COMPUTED_VALUE"""),0.0)</f>
        <v>0</v>
      </c>
      <c r="Q621" s="447">
        <f>IFERROR(__xludf.DUMMYFUNCTION("""COMPUTED_VALUE"""),0.0)</f>
        <v>0</v>
      </c>
      <c r="R621" s="447">
        <f>IFERROR(__xludf.DUMMYFUNCTION("""COMPUTED_VALUE"""),0.0)</f>
        <v>0</v>
      </c>
      <c r="S621" s="447">
        <f>IFERROR(__xludf.DUMMYFUNCTION("""COMPUTED_VALUE"""),1.0)</f>
        <v>1</v>
      </c>
      <c r="T621" s="447">
        <f>IFERROR(__xludf.DUMMYFUNCTION("""COMPUTED_VALUE"""),1.0)</f>
        <v>1</v>
      </c>
      <c r="U621" s="447">
        <f>IFERROR(__xludf.DUMMYFUNCTION("""COMPUTED_VALUE"""),2.0)</f>
        <v>2</v>
      </c>
      <c r="V621" s="447">
        <f>IFERROR(__xludf.DUMMYFUNCTION("""COMPUTED_VALUE"""),2.0)</f>
        <v>2</v>
      </c>
      <c r="W621" s="447">
        <f>IFERROR(__xludf.DUMMYFUNCTION("""COMPUTED_VALUE"""),0.0)</f>
        <v>0</v>
      </c>
      <c r="X621" s="447">
        <f>IFERROR(__xludf.DUMMYFUNCTION("""COMPUTED_VALUE"""),1.0)</f>
        <v>1</v>
      </c>
      <c r="Y621" s="447">
        <f>IFERROR(__xludf.DUMMYFUNCTION("""COMPUTED_VALUE"""),1.0)</f>
        <v>1</v>
      </c>
      <c r="Z621" s="447">
        <f>IFERROR(__xludf.DUMMYFUNCTION("""COMPUTED_VALUE"""),0.0)</f>
        <v>0</v>
      </c>
      <c r="AA621" s="447">
        <f>IFERROR(__xludf.DUMMYFUNCTION("""COMPUTED_VALUE"""),0.0)</f>
        <v>0</v>
      </c>
      <c r="AB621" s="447">
        <f>IFERROR(__xludf.DUMMYFUNCTION("""COMPUTED_VALUE"""),0.0)</f>
        <v>0</v>
      </c>
      <c r="AC621" s="447">
        <f>IFERROR(__xludf.DUMMYFUNCTION("""COMPUTED_VALUE"""),0.0)</f>
        <v>0</v>
      </c>
      <c r="AD621" s="447">
        <f>IFERROR(__xludf.DUMMYFUNCTION("""COMPUTED_VALUE"""),46.0)</f>
        <v>46</v>
      </c>
      <c r="AE621" s="447">
        <f>IFERROR(__xludf.DUMMYFUNCTION("""COMPUTED_VALUE"""),9.0)</f>
        <v>9</v>
      </c>
      <c r="AF621" s="447">
        <f>IFERROR(__xludf.DUMMYFUNCTION("""COMPUTED_VALUE"""),3.0)</f>
        <v>3</v>
      </c>
      <c r="AG621" s="443" t="s">
        <v>132</v>
      </c>
      <c r="AH621" s="443" t="s">
        <v>961</v>
      </c>
      <c r="AI621" s="443"/>
      <c r="AJ621" s="443"/>
      <c r="AK621" s="443"/>
      <c r="AL621" s="443"/>
      <c r="AM621" s="443"/>
      <c r="AN621" s="443"/>
      <c r="AO621" s="443"/>
      <c r="AP621" s="443"/>
      <c r="AQ621" s="443"/>
      <c r="AR621" s="443"/>
      <c r="AS621" s="443"/>
      <c r="AT621" s="443"/>
      <c r="AU621" s="443"/>
      <c r="AV621" s="443"/>
      <c r="AW621" s="443"/>
      <c r="AX621" s="443"/>
      <c r="AY621" s="443"/>
      <c r="AZ621" s="443"/>
      <c r="BA621" s="443"/>
      <c r="BB621" s="443"/>
      <c r="BC621" s="443"/>
      <c r="BD621" s="443"/>
      <c r="BE621" s="443"/>
    </row>
    <row r="622" hidden="1">
      <c r="A622" s="445">
        <f t="shared" si="5"/>
        <v>45912</v>
      </c>
      <c r="B622" s="449">
        <v>443.0</v>
      </c>
      <c r="C622" s="462">
        <v>0.6</v>
      </c>
      <c r="D622" s="462">
        <v>0.9118055555555555</v>
      </c>
      <c r="E622" s="436">
        <f t="array" ref="E622">IF(B622=0,"",(J622+K622)/60)</f>
        <v>0.75</v>
      </c>
      <c r="F622" s="437">
        <f t="shared" si="1"/>
        <v>7.483333333</v>
      </c>
      <c r="G622" s="438">
        <f t="shared" si="9"/>
        <v>59.19821826</v>
      </c>
      <c r="H622" s="438">
        <f t="shared" si="3"/>
        <v>65.79207921</v>
      </c>
      <c r="I622" s="436">
        <f t="shared" si="10"/>
        <v>1.259536559</v>
      </c>
      <c r="J622" s="460">
        <v>30.0</v>
      </c>
      <c r="K622" s="464">
        <f>15</f>
        <v>15</v>
      </c>
      <c r="L622" s="449" t="s">
        <v>974</v>
      </c>
      <c r="M622" s="447">
        <f>IFERROR(__xludf.DUMMYFUNCTION("""COMPUTED_VALUE"""),57.0)</f>
        <v>57</v>
      </c>
      <c r="N622" s="447">
        <f>IFERROR(__xludf.DUMMYFUNCTION("""COMPUTED_VALUE"""),54.0)</f>
        <v>54</v>
      </c>
      <c r="O622" s="447">
        <f>IFERROR(__xludf.DUMMYFUNCTION("""COMPUTED_VALUE"""),0.0)</f>
        <v>0</v>
      </c>
      <c r="P622" s="447">
        <f>IFERROR(__xludf.DUMMYFUNCTION("""COMPUTED_VALUE"""),1.0)</f>
        <v>1</v>
      </c>
      <c r="Q622" s="447">
        <f>IFERROR(__xludf.DUMMYFUNCTION("""COMPUTED_VALUE"""),0.0)</f>
        <v>0</v>
      </c>
      <c r="R622" s="447">
        <f>IFERROR(__xludf.DUMMYFUNCTION("""COMPUTED_VALUE"""),0.0)</f>
        <v>0</v>
      </c>
      <c r="S622" s="447">
        <f>IFERROR(__xludf.DUMMYFUNCTION("""COMPUTED_VALUE"""),0.0)</f>
        <v>0</v>
      </c>
      <c r="T622" s="447">
        <f>IFERROR(__xludf.DUMMYFUNCTION("""COMPUTED_VALUE"""),0.0)</f>
        <v>0</v>
      </c>
      <c r="U622" s="447">
        <f>IFERROR(__xludf.DUMMYFUNCTION("""COMPUTED_VALUE"""),2.0)</f>
        <v>2</v>
      </c>
      <c r="V622" s="447">
        <f>IFERROR(__xludf.DUMMYFUNCTION("""COMPUTED_VALUE"""),0.0)</f>
        <v>0</v>
      </c>
      <c r="W622" s="447">
        <f>IFERROR(__xludf.DUMMYFUNCTION("""COMPUTED_VALUE"""),0.0)</f>
        <v>0</v>
      </c>
      <c r="X622" s="447">
        <f>IFERROR(__xludf.DUMMYFUNCTION("""COMPUTED_VALUE"""),1.0)</f>
        <v>1</v>
      </c>
      <c r="Y622" s="447">
        <f>IFERROR(__xludf.DUMMYFUNCTION("""COMPUTED_VALUE"""),1.0)</f>
        <v>1</v>
      </c>
      <c r="Z622" s="447">
        <f>IFERROR(__xludf.DUMMYFUNCTION("""COMPUTED_VALUE"""),0.0)</f>
        <v>0</v>
      </c>
      <c r="AA622" s="447">
        <f>IFERROR(__xludf.DUMMYFUNCTION("""COMPUTED_VALUE"""),1.0)</f>
        <v>1</v>
      </c>
      <c r="AB622" s="447">
        <f>IFERROR(__xludf.DUMMYFUNCTION("""COMPUTED_VALUE"""),0.0)</f>
        <v>0</v>
      </c>
      <c r="AC622" s="447">
        <f>IFERROR(__xludf.DUMMYFUNCTION("""COMPUTED_VALUE"""),1.0)</f>
        <v>1</v>
      </c>
      <c r="AD622" s="447">
        <f>IFERROR(__xludf.DUMMYFUNCTION("""COMPUTED_VALUE"""),47.0)</f>
        <v>47</v>
      </c>
      <c r="AE622" s="447">
        <f>IFERROR(__xludf.DUMMYFUNCTION("""COMPUTED_VALUE"""),8.0)</f>
        <v>8</v>
      </c>
      <c r="AF622" s="447">
        <f>IFERROR(__xludf.DUMMYFUNCTION("""COMPUTED_VALUE"""),3.0)</f>
        <v>3</v>
      </c>
      <c r="AG622" s="443" t="s">
        <v>132</v>
      </c>
      <c r="AH622" s="443" t="s">
        <v>961</v>
      </c>
      <c r="AI622" s="443"/>
      <c r="AJ622" s="443"/>
      <c r="AK622" s="443"/>
      <c r="AL622" s="443"/>
      <c r="AM622" s="443"/>
      <c r="AN622" s="443"/>
      <c r="AO622" s="443"/>
      <c r="AP622" s="443"/>
      <c r="AQ622" s="443"/>
      <c r="AR622" s="443"/>
      <c r="AS622" s="443"/>
      <c r="AT622" s="443"/>
      <c r="AU622" s="443"/>
      <c r="AV622" s="443"/>
      <c r="AW622" s="443"/>
      <c r="AX622" s="443"/>
      <c r="AY622" s="443"/>
      <c r="AZ622" s="443"/>
      <c r="BA622" s="443"/>
      <c r="BB622" s="443"/>
      <c r="BC622" s="443"/>
      <c r="BD622" s="443"/>
      <c r="BE622" s="443"/>
    </row>
    <row r="623" hidden="1">
      <c r="A623" s="445">
        <f t="shared" si="5"/>
        <v>45913</v>
      </c>
      <c r="B623" s="449">
        <v>325.0</v>
      </c>
      <c r="C623" s="462">
        <v>0.6</v>
      </c>
      <c r="D623" s="462">
        <v>0.7916666666666666</v>
      </c>
      <c r="E623" s="436">
        <f t="array" ref="E623">IF(B623=0,"",(J623+K623)/60)</f>
        <v>0.45</v>
      </c>
      <c r="F623" s="437">
        <f t="shared" si="1"/>
        <v>4.6</v>
      </c>
      <c r="G623" s="438">
        <f t="shared" si="9"/>
        <v>70.65217391</v>
      </c>
      <c r="H623" s="438">
        <f t="shared" si="3"/>
        <v>78.31325301</v>
      </c>
      <c r="I623" s="436">
        <f t="shared" si="10"/>
        <v>1.605731225</v>
      </c>
      <c r="J623" s="460">
        <v>0.0</v>
      </c>
      <c r="K623" s="464">
        <f>7+6+5+9</f>
        <v>27</v>
      </c>
      <c r="L623" s="443"/>
      <c r="M623" s="447">
        <f>IFERROR(__xludf.DUMMYFUNCTION("""COMPUTED_VALUE"""),57.0)</f>
        <v>57</v>
      </c>
      <c r="N623" s="447">
        <f>IFERROR(__xludf.DUMMYFUNCTION("""COMPUTED_VALUE"""),54.0)</f>
        <v>54</v>
      </c>
      <c r="O623" s="447">
        <f>IFERROR(__xludf.DUMMYFUNCTION("""COMPUTED_VALUE"""),0.0)</f>
        <v>0</v>
      </c>
      <c r="P623" s="447">
        <f>IFERROR(__xludf.DUMMYFUNCTION("""COMPUTED_VALUE"""),1.0)</f>
        <v>1</v>
      </c>
      <c r="Q623" s="447">
        <f>IFERROR(__xludf.DUMMYFUNCTION("""COMPUTED_VALUE"""),0.0)</f>
        <v>0</v>
      </c>
      <c r="R623" s="447">
        <f>IFERROR(__xludf.DUMMYFUNCTION("""COMPUTED_VALUE"""),0.0)</f>
        <v>0</v>
      </c>
      <c r="S623" s="447">
        <f>IFERROR(__xludf.DUMMYFUNCTION("""COMPUTED_VALUE"""),1.0)</f>
        <v>1</v>
      </c>
      <c r="T623" s="447">
        <f>IFERROR(__xludf.DUMMYFUNCTION("""COMPUTED_VALUE"""),0.0)</f>
        <v>0</v>
      </c>
      <c r="U623" s="447">
        <f>IFERROR(__xludf.DUMMYFUNCTION("""COMPUTED_VALUE"""),2.0)</f>
        <v>2</v>
      </c>
      <c r="V623" s="447">
        <f>IFERROR(__xludf.DUMMYFUNCTION("""COMPUTED_VALUE"""),3.0)</f>
        <v>3</v>
      </c>
      <c r="W623" s="447">
        <f>IFERROR(__xludf.DUMMYFUNCTION("""COMPUTED_VALUE"""),0.0)</f>
        <v>0</v>
      </c>
      <c r="X623" s="447">
        <f>IFERROR(__xludf.DUMMYFUNCTION("""COMPUTED_VALUE"""),1.0)</f>
        <v>1</v>
      </c>
      <c r="Y623" s="447">
        <f>IFERROR(__xludf.DUMMYFUNCTION("""COMPUTED_VALUE"""),1.0)</f>
        <v>1</v>
      </c>
      <c r="Z623" s="447">
        <f>IFERROR(__xludf.DUMMYFUNCTION("""COMPUTED_VALUE"""),1.0)</f>
        <v>1</v>
      </c>
      <c r="AA623" s="447">
        <f>IFERROR(__xludf.DUMMYFUNCTION("""COMPUTED_VALUE"""),0.0)</f>
        <v>0</v>
      </c>
      <c r="AB623" s="447">
        <f>IFERROR(__xludf.DUMMYFUNCTION("""COMPUTED_VALUE"""),0.0)</f>
        <v>0</v>
      </c>
      <c r="AC623" s="447">
        <f>IFERROR(__xludf.DUMMYFUNCTION("""COMPUTED_VALUE"""),0.0)</f>
        <v>0</v>
      </c>
      <c r="AD623" s="447">
        <f>IFERROR(__xludf.DUMMYFUNCTION("""COMPUTED_VALUE"""),44.0)</f>
        <v>44</v>
      </c>
      <c r="AE623" s="447">
        <f>IFERROR(__xludf.DUMMYFUNCTION("""COMPUTED_VALUE"""),11.0)</f>
        <v>11</v>
      </c>
      <c r="AF623" s="447">
        <f>IFERROR(__xludf.DUMMYFUNCTION("""COMPUTED_VALUE"""),3.0)</f>
        <v>3</v>
      </c>
      <c r="AG623" s="443" t="s">
        <v>132</v>
      </c>
      <c r="AH623" s="443" t="s">
        <v>961</v>
      </c>
      <c r="AI623" s="443"/>
      <c r="AJ623" s="443"/>
      <c r="AK623" s="443"/>
      <c r="AL623" s="443"/>
      <c r="AM623" s="443"/>
      <c r="AN623" s="443"/>
      <c r="AO623" s="443"/>
      <c r="AP623" s="443"/>
      <c r="AQ623" s="443"/>
      <c r="AR623" s="443"/>
      <c r="AS623" s="443"/>
      <c r="AT623" s="443"/>
      <c r="AU623" s="443"/>
      <c r="AV623" s="443"/>
      <c r="AW623" s="443"/>
      <c r="AX623" s="443"/>
      <c r="AY623" s="443"/>
      <c r="AZ623" s="443"/>
      <c r="BA623" s="443"/>
      <c r="BB623" s="443"/>
      <c r="BC623" s="443"/>
      <c r="BD623" s="443"/>
      <c r="BE623" s="443"/>
    </row>
    <row r="624" hidden="1">
      <c r="A624" s="445">
        <f t="shared" si="5"/>
        <v>45914</v>
      </c>
      <c r="B624" s="449">
        <v>0.0</v>
      </c>
      <c r="C624" s="443"/>
      <c r="D624" s="462"/>
      <c r="E624" s="436" t="str">
        <f t="array" ref="E624">IF(B624=0,"",(J624+K624)/60)</f>
        <v/>
      </c>
      <c r="F624" s="437" t="str">
        <f t="shared" si="1"/>
        <v/>
      </c>
      <c r="G624" s="438" t="str">
        <f t="shared" si="9"/>
        <v>#DIV/0!</v>
      </c>
      <c r="H624" s="438" t="str">
        <f t="shared" si="3"/>
        <v/>
      </c>
      <c r="I624" s="436" t="str">
        <f t="shared" si="10"/>
        <v/>
      </c>
      <c r="J624" s="464"/>
      <c r="K624" s="464"/>
      <c r="L624" s="443"/>
      <c r="M624" s="447">
        <f>IFERROR(__xludf.DUMMYFUNCTION("""COMPUTED_VALUE"""),57.0)</f>
        <v>57</v>
      </c>
      <c r="N624" s="447">
        <f>IFERROR(__xludf.DUMMYFUNCTION("""COMPUTED_VALUE"""),54.0)</f>
        <v>54</v>
      </c>
      <c r="O624" s="447">
        <f>IFERROR(__xludf.DUMMYFUNCTION("""COMPUTED_VALUE"""),0.0)</f>
        <v>0</v>
      </c>
      <c r="P624" s="447">
        <f>IFERROR(__xludf.DUMMYFUNCTION("""COMPUTED_VALUE"""),0.0)</f>
        <v>0</v>
      </c>
      <c r="Q624" s="447">
        <f>IFERROR(__xludf.DUMMYFUNCTION("""COMPUTED_VALUE"""),0.0)</f>
        <v>0</v>
      </c>
      <c r="R624" s="447">
        <f>IFERROR(__xludf.DUMMYFUNCTION("""COMPUTED_VALUE"""),0.0)</f>
        <v>0</v>
      </c>
      <c r="S624" s="447">
        <f>IFERROR(__xludf.DUMMYFUNCTION("""COMPUTED_VALUE"""),0.0)</f>
        <v>0</v>
      </c>
      <c r="T624" s="447">
        <f>IFERROR(__xludf.DUMMYFUNCTION("""COMPUTED_VALUE"""),0.0)</f>
        <v>0</v>
      </c>
      <c r="U624" s="447">
        <f>IFERROR(__xludf.DUMMYFUNCTION("""COMPUTED_VALUE"""),2.0)</f>
        <v>2</v>
      </c>
      <c r="V624" s="447">
        <f>IFERROR(__xludf.DUMMYFUNCTION("""COMPUTED_VALUE"""),3.0)</f>
        <v>3</v>
      </c>
      <c r="W624" s="447">
        <f>IFERROR(__xludf.DUMMYFUNCTION("""COMPUTED_VALUE"""),0.0)</f>
        <v>0</v>
      </c>
      <c r="X624" s="447">
        <f>IFERROR(__xludf.DUMMYFUNCTION("""COMPUTED_VALUE"""),1.0)</f>
        <v>1</v>
      </c>
      <c r="Y624" s="447">
        <f>IFERROR(__xludf.DUMMYFUNCTION("""COMPUTED_VALUE"""),1.0)</f>
        <v>1</v>
      </c>
      <c r="Z624" s="447">
        <f>IFERROR(__xludf.DUMMYFUNCTION("""COMPUTED_VALUE"""),0.0)</f>
        <v>0</v>
      </c>
      <c r="AA624" s="447">
        <f>IFERROR(__xludf.DUMMYFUNCTION("""COMPUTED_VALUE"""),0.0)</f>
        <v>0</v>
      </c>
      <c r="AB624" s="447">
        <f>IFERROR(__xludf.DUMMYFUNCTION("""COMPUTED_VALUE"""),0.0)</f>
        <v>0</v>
      </c>
      <c r="AC624" s="447">
        <f>IFERROR(__xludf.DUMMYFUNCTION("""COMPUTED_VALUE"""),0.0)</f>
        <v>0</v>
      </c>
      <c r="AD624" s="447">
        <f>IFERROR(__xludf.DUMMYFUNCTION("""COMPUTED_VALUE"""),0.0)</f>
        <v>0</v>
      </c>
      <c r="AE624" s="447">
        <f>IFERROR(__xludf.DUMMYFUNCTION("""COMPUTED_VALUE"""),8.0)</f>
        <v>8</v>
      </c>
      <c r="AF624" s="447">
        <f>IFERROR(__xludf.DUMMYFUNCTION("""COMPUTED_VALUE"""),3.0)</f>
        <v>3</v>
      </c>
      <c r="AG624" s="443" t="s">
        <v>132</v>
      </c>
      <c r="AH624" s="443" t="s">
        <v>961</v>
      </c>
      <c r="AI624" s="443"/>
      <c r="AJ624" s="443"/>
      <c r="AK624" s="443"/>
      <c r="AL624" s="443"/>
      <c r="AM624" s="443"/>
      <c r="AN624" s="443"/>
      <c r="AO624" s="443"/>
      <c r="AP624" s="443"/>
      <c r="AQ624" s="443"/>
      <c r="AR624" s="443"/>
      <c r="AS624" s="443"/>
      <c r="AT624" s="443"/>
      <c r="AU624" s="443"/>
      <c r="AV624" s="443"/>
      <c r="AW624" s="443"/>
      <c r="AX624" s="443"/>
      <c r="AY624" s="443"/>
      <c r="AZ624" s="443"/>
      <c r="BA624" s="443"/>
      <c r="BB624" s="443"/>
      <c r="BC624" s="443"/>
      <c r="BD624" s="443"/>
      <c r="BE624" s="443"/>
    </row>
    <row r="625" hidden="1">
      <c r="A625" s="445">
        <f t="shared" si="5"/>
        <v>45915</v>
      </c>
      <c r="B625" s="449">
        <v>659.0</v>
      </c>
      <c r="C625" s="462">
        <v>0.6</v>
      </c>
      <c r="D625" s="462">
        <v>1.0243055555555556</v>
      </c>
      <c r="E625" s="436">
        <f t="array" ref="E625">IF(B625=0,"",(J625+K625)/60)</f>
        <v>1</v>
      </c>
      <c r="F625" s="437">
        <f t="shared" si="1"/>
        <v>10.18333333</v>
      </c>
      <c r="G625" s="438">
        <f t="shared" si="9"/>
        <v>64.71358429</v>
      </c>
      <c r="H625" s="438">
        <f t="shared" si="3"/>
        <v>71.76043557</v>
      </c>
      <c r="I625" s="436">
        <f t="shared" si="10"/>
        <v>1.470763279</v>
      </c>
      <c r="J625" s="460">
        <v>60.0</v>
      </c>
      <c r="K625" s="460">
        <v>0.0</v>
      </c>
      <c r="L625" s="443"/>
      <c r="M625" s="447">
        <f>IFERROR(__xludf.DUMMYFUNCTION("""COMPUTED_VALUE"""),57.0)</f>
        <v>57</v>
      </c>
      <c r="N625" s="447">
        <f>IFERROR(__xludf.DUMMYFUNCTION("""COMPUTED_VALUE"""),54.0)</f>
        <v>54</v>
      </c>
      <c r="O625" s="447">
        <f>IFERROR(__xludf.DUMMYFUNCTION("""COMPUTED_VALUE"""),0.0)</f>
        <v>0</v>
      </c>
      <c r="P625" s="447">
        <f>IFERROR(__xludf.DUMMYFUNCTION("""COMPUTED_VALUE"""),0.0)</f>
        <v>0</v>
      </c>
      <c r="Q625" s="447">
        <f>IFERROR(__xludf.DUMMYFUNCTION("""COMPUTED_VALUE"""),1.0)</f>
        <v>1</v>
      </c>
      <c r="R625" s="447">
        <f>IFERROR(__xludf.DUMMYFUNCTION("""COMPUTED_VALUE"""),0.0)</f>
        <v>0</v>
      </c>
      <c r="S625" s="447">
        <f>IFERROR(__xludf.DUMMYFUNCTION("""COMPUTED_VALUE"""),1.0)</f>
        <v>1</v>
      </c>
      <c r="T625" s="447">
        <f>IFERROR(__xludf.DUMMYFUNCTION("""COMPUTED_VALUE"""),1.0)</f>
        <v>1</v>
      </c>
      <c r="U625" s="447">
        <f>IFERROR(__xludf.DUMMYFUNCTION("""COMPUTED_VALUE"""),2.0)</f>
        <v>2</v>
      </c>
      <c r="V625" s="447">
        <f>IFERROR(__xludf.DUMMYFUNCTION("""COMPUTED_VALUE"""),3.0)</f>
        <v>3</v>
      </c>
      <c r="W625" s="447">
        <f>IFERROR(__xludf.DUMMYFUNCTION("""COMPUTED_VALUE"""),0.0)</f>
        <v>0</v>
      </c>
      <c r="X625" s="447">
        <f>IFERROR(__xludf.DUMMYFUNCTION("""COMPUTED_VALUE"""),1.0)</f>
        <v>1</v>
      </c>
      <c r="Y625" s="447">
        <f>IFERROR(__xludf.DUMMYFUNCTION("""COMPUTED_VALUE"""),1.0)</f>
        <v>1</v>
      </c>
      <c r="Z625" s="447">
        <f>IFERROR(__xludf.DUMMYFUNCTION("""COMPUTED_VALUE"""),0.0)</f>
        <v>0</v>
      </c>
      <c r="AA625" s="447">
        <f>IFERROR(__xludf.DUMMYFUNCTION("""COMPUTED_VALUE"""),0.0)</f>
        <v>0</v>
      </c>
      <c r="AB625" s="447">
        <f>IFERROR(__xludf.DUMMYFUNCTION("""COMPUTED_VALUE"""),0.0)</f>
        <v>0</v>
      </c>
      <c r="AC625" s="447">
        <f>IFERROR(__xludf.DUMMYFUNCTION("""COMPUTED_VALUE"""),0.0)</f>
        <v>0</v>
      </c>
      <c r="AD625" s="447">
        <f>IFERROR(__xludf.DUMMYFUNCTION("""COMPUTED_VALUE"""),44.0)</f>
        <v>44</v>
      </c>
      <c r="AE625" s="447">
        <f>IFERROR(__xludf.DUMMYFUNCTION("""COMPUTED_VALUE"""),11.0)</f>
        <v>11</v>
      </c>
      <c r="AF625" s="447">
        <f>IFERROR(__xludf.DUMMYFUNCTION("""COMPUTED_VALUE"""),3.0)</f>
        <v>3</v>
      </c>
      <c r="AG625" s="443" t="s">
        <v>132</v>
      </c>
      <c r="AH625" s="443" t="s">
        <v>961</v>
      </c>
      <c r="AI625" s="443"/>
      <c r="AJ625" s="443"/>
      <c r="AK625" s="443"/>
      <c r="AL625" s="443"/>
      <c r="AM625" s="443"/>
      <c r="AN625" s="443"/>
      <c r="AO625" s="443"/>
      <c r="AP625" s="443"/>
      <c r="AQ625" s="443"/>
      <c r="AR625" s="443"/>
      <c r="AS625" s="443"/>
      <c r="AT625" s="443"/>
      <c r="AU625" s="443"/>
      <c r="AV625" s="443"/>
      <c r="AW625" s="443"/>
      <c r="AX625" s="443"/>
      <c r="AY625" s="443"/>
      <c r="AZ625" s="443"/>
      <c r="BA625" s="443"/>
      <c r="BB625" s="443"/>
      <c r="BC625" s="443"/>
      <c r="BD625" s="443"/>
      <c r="BE625" s="443"/>
    </row>
    <row r="626" hidden="1">
      <c r="A626" s="445">
        <f t="shared" si="5"/>
        <v>45916</v>
      </c>
      <c r="B626" s="449">
        <v>527.0</v>
      </c>
      <c r="C626" s="462">
        <v>0.6</v>
      </c>
      <c r="D626" s="462">
        <v>0.9791666666666666</v>
      </c>
      <c r="E626" s="436">
        <f t="array" ref="E626">IF(B626=0,"",(J626+K626)/60)</f>
        <v>0.9</v>
      </c>
      <c r="F626" s="437">
        <f t="shared" si="1"/>
        <v>9.1</v>
      </c>
      <c r="G626" s="438">
        <f t="shared" si="9"/>
        <v>57.91208791</v>
      </c>
      <c r="H626" s="438">
        <f t="shared" si="3"/>
        <v>64.26829268</v>
      </c>
      <c r="I626" s="436">
        <f t="shared" si="10"/>
        <v>1.378859236</v>
      </c>
      <c r="J626" s="460">
        <v>30.0</v>
      </c>
      <c r="K626" s="464">
        <f>5+7+5+7</f>
        <v>24</v>
      </c>
      <c r="L626" s="443"/>
      <c r="M626" s="447">
        <f>IFERROR(__xludf.DUMMYFUNCTION("""COMPUTED_VALUE"""),57.0)</f>
        <v>57</v>
      </c>
      <c r="N626" s="447">
        <f>IFERROR(__xludf.DUMMYFUNCTION("""COMPUTED_VALUE"""),55.0)</f>
        <v>55</v>
      </c>
      <c r="O626" s="447">
        <f>IFERROR(__xludf.DUMMYFUNCTION("""COMPUTED_VALUE"""),0.0)</f>
        <v>0</v>
      </c>
      <c r="P626" s="447">
        <f>IFERROR(__xludf.DUMMYFUNCTION("""COMPUTED_VALUE"""),0.0)</f>
        <v>0</v>
      </c>
      <c r="Q626" s="447">
        <f>IFERROR(__xludf.DUMMYFUNCTION("""COMPUTED_VALUE"""),0.0)</f>
        <v>0</v>
      </c>
      <c r="R626" s="447">
        <f>IFERROR(__xludf.DUMMYFUNCTION("""COMPUTED_VALUE"""),1.0)</f>
        <v>1</v>
      </c>
      <c r="S626" s="447">
        <f>IFERROR(__xludf.DUMMYFUNCTION("""COMPUTED_VALUE"""),3.0)</f>
        <v>3</v>
      </c>
      <c r="T626" s="447">
        <f>IFERROR(__xludf.DUMMYFUNCTION("""COMPUTED_VALUE"""),1.0)</f>
        <v>1</v>
      </c>
      <c r="U626" s="447">
        <f>IFERROR(__xludf.DUMMYFUNCTION("""COMPUTED_VALUE"""),1.0)</f>
        <v>1</v>
      </c>
      <c r="V626" s="447">
        <f>IFERROR(__xludf.DUMMYFUNCTION("""COMPUTED_VALUE"""),3.0)</f>
        <v>3</v>
      </c>
      <c r="W626" s="447">
        <f>IFERROR(__xludf.DUMMYFUNCTION("""COMPUTED_VALUE"""),0.0)</f>
        <v>0</v>
      </c>
      <c r="X626" s="447">
        <f>IFERROR(__xludf.DUMMYFUNCTION("""COMPUTED_VALUE"""),1.0)</f>
        <v>1</v>
      </c>
      <c r="Y626" s="447">
        <f>IFERROR(__xludf.DUMMYFUNCTION("""COMPUTED_VALUE"""),1.0)</f>
        <v>1</v>
      </c>
      <c r="Z626" s="447">
        <f>IFERROR(__xludf.DUMMYFUNCTION("""COMPUTED_VALUE"""),0.0)</f>
        <v>0</v>
      </c>
      <c r="AA626" s="447">
        <f>IFERROR(__xludf.DUMMYFUNCTION("""COMPUTED_VALUE"""),0.0)</f>
        <v>0</v>
      </c>
      <c r="AB626" s="447">
        <f>IFERROR(__xludf.DUMMYFUNCTION("""COMPUTED_VALUE"""),1.0)</f>
        <v>1</v>
      </c>
      <c r="AC626" s="447">
        <f>IFERROR(__xludf.DUMMYFUNCTION("""COMPUTED_VALUE"""),0.0)</f>
        <v>0</v>
      </c>
      <c r="AD626" s="447">
        <f>IFERROR(__xludf.DUMMYFUNCTION("""COMPUTED_VALUE"""),42.0)</f>
        <v>42</v>
      </c>
      <c r="AE626" s="447">
        <f>IFERROR(__xludf.DUMMYFUNCTION("""COMPUTED_VALUE"""),10.0)</f>
        <v>10</v>
      </c>
      <c r="AF626" s="447">
        <f>IFERROR(__xludf.DUMMYFUNCTION("""COMPUTED_VALUE"""),2.0)</f>
        <v>2</v>
      </c>
      <c r="AG626" s="443" t="s">
        <v>132</v>
      </c>
      <c r="AH626" s="443" t="s">
        <v>961</v>
      </c>
      <c r="AI626" s="443"/>
      <c r="AJ626" s="443"/>
      <c r="AK626" s="443"/>
      <c r="AL626" s="443"/>
      <c r="AM626" s="443"/>
      <c r="AN626" s="443"/>
      <c r="AO626" s="443"/>
      <c r="AP626" s="443"/>
      <c r="AQ626" s="443"/>
      <c r="AR626" s="443"/>
      <c r="AS626" s="443"/>
      <c r="AT626" s="443"/>
      <c r="AU626" s="443"/>
      <c r="AV626" s="443"/>
      <c r="AW626" s="443"/>
      <c r="AX626" s="443"/>
      <c r="AY626" s="443"/>
      <c r="AZ626" s="443"/>
      <c r="BA626" s="443"/>
      <c r="BB626" s="443"/>
      <c r="BC626" s="443"/>
      <c r="BD626" s="443"/>
      <c r="BE626" s="443"/>
    </row>
    <row r="627" hidden="1">
      <c r="A627" s="445">
        <f t="shared" si="5"/>
        <v>45917</v>
      </c>
      <c r="B627" s="449">
        <v>591.0</v>
      </c>
      <c r="C627" s="462">
        <v>0.6</v>
      </c>
      <c r="D627" s="462">
        <v>0.9930555555555556</v>
      </c>
      <c r="E627" s="436">
        <f t="array" ref="E627">IF(B627=0,"",(J627+K627)/60)</f>
        <v>1</v>
      </c>
      <c r="F627" s="437">
        <f t="shared" si="1"/>
        <v>9.433333333</v>
      </c>
      <c r="G627" s="438">
        <f t="shared" si="9"/>
        <v>62.65017668</v>
      </c>
      <c r="H627" s="438">
        <f t="shared" si="3"/>
        <v>70.07905138</v>
      </c>
      <c r="I627" s="436">
        <f t="shared" si="10"/>
        <v>1.392226148</v>
      </c>
      <c r="J627" s="460">
        <v>60.0</v>
      </c>
      <c r="K627" s="460">
        <v>0.0</v>
      </c>
      <c r="L627" s="443"/>
      <c r="M627" s="447">
        <f>IFERROR(__xludf.DUMMYFUNCTION("""COMPUTED_VALUE"""),57.0)</f>
        <v>57</v>
      </c>
      <c r="N627" s="447">
        <f>IFERROR(__xludf.DUMMYFUNCTION("""COMPUTED_VALUE"""),55.0)</f>
        <v>55</v>
      </c>
      <c r="O627" s="447">
        <f>IFERROR(__xludf.DUMMYFUNCTION("""COMPUTED_VALUE"""),0.0)</f>
        <v>0</v>
      </c>
      <c r="P627" s="447">
        <f>IFERROR(__xludf.DUMMYFUNCTION("""COMPUTED_VALUE"""),0.0)</f>
        <v>0</v>
      </c>
      <c r="Q627" s="447">
        <f>IFERROR(__xludf.DUMMYFUNCTION("""COMPUTED_VALUE"""),1.0)</f>
        <v>1</v>
      </c>
      <c r="R627" s="447">
        <f>IFERROR(__xludf.DUMMYFUNCTION("""COMPUTED_VALUE"""),0.0)</f>
        <v>0</v>
      </c>
      <c r="S627" s="447">
        <f>IFERROR(__xludf.DUMMYFUNCTION("""COMPUTED_VALUE"""),2.0)</f>
        <v>2</v>
      </c>
      <c r="T627" s="447">
        <f>IFERROR(__xludf.DUMMYFUNCTION("""COMPUTED_VALUE"""),1.0)</f>
        <v>1</v>
      </c>
      <c r="U627" s="447">
        <f>IFERROR(__xludf.DUMMYFUNCTION("""COMPUTED_VALUE"""),2.0)</f>
        <v>2</v>
      </c>
      <c r="V627" s="447">
        <f>IFERROR(__xludf.DUMMYFUNCTION("""COMPUTED_VALUE"""),3.0)</f>
        <v>3</v>
      </c>
      <c r="W627" s="447">
        <f>IFERROR(__xludf.DUMMYFUNCTION("""COMPUTED_VALUE"""),0.0)</f>
        <v>0</v>
      </c>
      <c r="X627" s="447">
        <f>IFERROR(__xludf.DUMMYFUNCTION("""COMPUTED_VALUE"""),1.0)</f>
        <v>1</v>
      </c>
      <c r="Y627" s="447">
        <f>IFERROR(__xludf.DUMMYFUNCTION("""COMPUTED_VALUE"""),0.0)</f>
        <v>0</v>
      </c>
      <c r="Z627" s="447">
        <f>IFERROR(__xludf.DUMMYFUNCTION("""COMPUTED_VALUE"""),0.0)</f>
        <v>0</v>
      </c>
      <c r="AA627" s="447">
        <f>IFERROR(__xludf.DUMMYFUNCTION("""COMPUTED_VALUE"""),0.0)</f>
        <v>0</v>
      </c>
      <c r="AB627" s="447">
        <f>IFERROR(__xludf.DUMMYFUNCTION("""COMPUTED_VALUE"""),0.0)</f>
        <v>0</v>
      </c>
      <c r="AC627" s="447">
        <f>IFERROR(__xludf.DUMMYFUNCTION("""COMPUTED_VALUE"""),0.0)</f>
        <v>0</v>
      </c>
      <c r="AD627" s="447">
        <f>IFERROR(__xludf.DUMMYFUNCTION("""COMPUTED_VALUE"""),45.0)</f>
        <v>45</v>
      </c>
      <c r="AE627" s="447">
        <f>IFERROR(__xludf.DUMMYFUNCTION("""COMPUTED_VALUE"""),10.0)</f>
        <v>10</v>
      </c>
      <c r="AF627" s="447">
        <f>IFERROR(__xludf.DUMMYFUNCTION("""COMPUTED_VALUE"""),2.0)</f>
        <v>2</v>
      </c>
      <c r="AG627" s="443" t="s">
        <v>132</v>
      </c>
      <c r="AH627" s="443" t="s">
        <v>961</v>
      </c>
      <c r="AI627" s="443"/>
      <c r="AJ627" s="443"/>
      <c r="AK627" s="443"/>
      <c r="AL627" s="443"/>
      <c r="AM627" s="443"/>
      <c r="AN627" s="443"/>
      <c r="AO627" s="443"/>
      <c r="AP627" s="443"/>
      <c r="AQ627" s="443"/>
      <c r="AR627" s="443"/>
      <c r="AS627" s="443"/>
      <c r="AT627" s="443"/>
      <c r="AU627" s="443"/>
      <c r="AV627" s="443"/>
      <c r="AW627" s="443"/>
      <c r="AX627" s="443"/>
      <c r="AY627" s="443"/>
      <c r="AZ627" s="443"/>
      <c r="BA627" s="443"/>
      <c r="BB627" s="443"/>
      <c r="BC627" s="443"/>
      <c r="BD627" s="443"/>
      <c r="BE627" s="443"/>
    </row>
    <row r="628" hidden="1">
      <c r="A628" s="445">
        <f t="shared" si="5"/>
        <v>45918</v>
      </c>
      <c r="B628" s="449">
        <v>434.0</v>
      </c>
      <c r="C628" s="462">
        <v>0.6</v>
      </c>
      <c r="D628" s="462">
        <v>0.875</v>
      </c>
      <c r="E628" s="436">
        <f t="array" ref="E628">IF(B628=0,"",(J628+K628)/60)</f>
        <v>0.5</v>
      </c>
      <c r="F628" s="437">
        <f t="shared" si="1"/>
        <v>6.6</v>
      </c>
      <c r="G628" s="438">
        <f t="shared" si="9"/>
        <v>65.75757576</v>
      </c>
      <c r="H628" s="438">
        <f t="shared" si="3"/>
        <v>71.14754098</v>
      </c>
      <c r="I628" s="436">
        <f t="shared" si="10"/>
        <v>1.429512516</v>
      </c>
      <c r="J628" s="460">
        <v>30.0</v>
      </c>
      <c r="K628" s="460">
        <v>0.0</v>
      </c>
      <c r="L628" s="443"/>
      <c r="M628" s="447">
        <f>IFERROR(__xludf.DUMMYFUNCTION("""COMPUTED_VALUE"""),57.0)</f>
        <v>57</v>
      </c>
      <c r="N628" s="447">
        <f>IFERROR(__xludf.DUMMYFUNCTION("""COMPUTED_VALUE"""),55.0)</f>
        <v>55</v>
      </c>
      <c r="O628" s="447">
        <f>IFERROR(__xludf.DUMMYFUNCTION("""COMPUTED_VALUE"""),0.0)</f>
        <v>0</v>
      </c>
      <c r="P628" s="447">
        <f>IFERROR(__xludf.DUMMYFUNCTION("""COMPUTED_VALUE"""),0.0)</f>
        <v>0</v>
      </c>
      <c r="Q628" s="447">
        <f>IFERROR(__xludf.DUMMYFUNCTION("""COMPUTED_VALUE"""),0.0)</f>
        <v>0</v>
      </c>
      <c r="R628" s="447">
        <f>IFERROR(__xludf.DUMMYFUNCTION("""COMPUTED_VALUE"""),0.0)</f>
        <v>0</v>
      </c>
      <c r="S628" s="447">
        <f>IFERROR(__xludf.DUMMYFUNCTION("""COMPUTED_VALUE"""),3.0)</f>
        <v>3</v>
      </c>
      <c r="T628" s="447">
        <f>IFERROR(__xludf.DUMMYFUNCTION("""COMPUTED_VALUE"""),0.0)</f>
        <v>0</v>
      </c>
      <c r="U628" s="447">
        <f>IFERROR(__xludf.DUMMYFUNCTION("""COMPUTED_VALUE"""),2.0)</f>
        <v>2</v>
      </c>
      <c r="V628" s="447">
        <f>IFERROR(__xludf.DUMMYFUNCTION("""COMPUTED_VALUE"""),3.0)</f>
        <v>3</v>
      </c>
      <c r="W628" s="447">
        <f>IFERROR(__xludf.DUMMYFUNCTION("""COMPUTED_VALUE"""),0.0)</f>
        <v>0</v>
      </c>
      <c r="X628" s="447">
        <f>IFERROR(__xludf.DUMMYFUNCTION("""COMPUTED_VALUE"""),1.0)</f>
        <v>1</v>
      </c>
      <c r="Y628" s="447">
        <f>IFERROR(__xludf.DUMMYFUNCTION("""COMPUTED_VALUE"""),0.0)</f>
        <v>0</v>
      </c>
      <c r="Z628" s="447">
        <f>IFERROR(__xludf.DUMMYFUNCTION("""COMPUTED_VALUE"""),0.0)</f>
        <v>0</v>
      </c>
      <c r="AA628" s="447">
        <f>IFERROR(__xludf.DUMMYFUNCTION("""COMPUTED_VALUE"""),0.0)</f>
        <v>0</v>
      </c>
      <c r="AB628" s="447">
        <f>IFERROR(__xludf.DUMMYFUNCTION("""COMPUTED_VALUE"""),0.0)</f>
        <v>0</v>
      </c>
      <c r="AC628" s="447">
        <f>IFERROR(__xludf.DUMMYFUNCTION("""COMPUTED_VALUE"""),0.0)</f>
        <v>0</v>
      </c>
      <c r="AD628" s="447">
        <f>IFERROR(__xludf.DUMMYFUNCTION("""COMPUTED_VALUE"""),46.0)</f>
        <v>46</v>
      </c>
      <c r="AE628" s="447">
        <f>IFERROR(__xludf.DUMMYFUNCTION("""COMPUTED_VALUE"""),9.0)</f>
        <v>9</v>
      </c>
      <c r="AF628" s="447">
        <f>IFERROR(__xludf.DUMMYFUNCTION("""COMPUTED_VALUE"""),2.0)</f>
        <v>2</v>
      </c>
      <c r="AG628" s="443" t="s">
        <v>132</v>
      </c>
      <c r="AH628" s="443" t="s">
        <v>961</v>
      </c>
      <c r="AI628" s="443"/>
      <c r="AJ628" s="443"/>
      <c r="AK628" s="443"/>
      <c r="AL628" s="443"/>
      <c r="AM628" s="443"/>
      <c r="AN628" s="443"/>
      <c r="AO628" s="443"/>
      <c r="AP628" s="443"/>
      <c r="AQ628" s="443"/>
      <c r="AR628" s="443"/>
      <c r="AS628" s="443"/>
      <c r="AT628" s="443"/>
      <c r="AU628" s="443"/>
      <c r="AV628" s="443"/>
      <c r="AW628" s="443"/>
      <c r="AX628" s="443"/>
      <c r="AY628" s="443"/>
      <c r="AZ628" s="443"/>
      <c r="BA628" s="443"/>
      <c r="BB628" s="443"/>
      <c r="BC628" s="443"/>
      <c r="BD628" s="443"/>
      <c r="BE628" s="443"/>
    </row>
    <row r="629" hidden="1">
      <c r="A629" s="445">
        <f t="shared" si="5"/>
        <v>45919</v>
      </c>
      <c r="B629" s="449">
        <v>323.0</v>
      </c>
      <c r="C629" s="462">
        <v>0.6</v>
      </c>
      <c r="D629" s="462">
        <v>0.8236111111111111</v>
      </c>
      <c r="E629" s="436">
        <f t="array" ref="E629">IF(B629=0,"",(J629+K629)/60)</f>
        <v>0.5</v>
      </c>
      <c r="F629" s="437">
        <f t="shared" si="1"/>
        <v>5.366666667</v>
      </c>
      <c r="G629" s="438">
        <f t="shared" si="9"/>
        <v>60.1863354</v>
      </c>
      <c r="H629" s="438">
        <f t="shared" si="3"/>
        <v>66.36986301</v>
      </c>
      <c r="I629" s="436">
        <f t="shared" si="10"/>
        <v>1.399682219</v>
      </c>
      <c r="J629" s="460">
        <v>30.0</v>
      </c>
      <c r="K629" s="464"/>
      <c r="L629" s="443"/>
      <c r="M629" s="447">
        <f>IFERROR(__xludf.DUMMYFUNCTION("""COMPUTED_VALUE"""),57.0)</f>
        <v>57</v>
      </c>
      <c r="N629" s="447">
        <f>IFERROR(__xludf.DUMMYFUNCTION("""COMPUTED_VALUE"""),55.0)</f>
        <v>55</v>
      </c>
      <c r="O629" s="447">
        <f>IFERROR(__xludf.DUMMYFUNCTION("""COMPUTED_VALUE"""),0.0)</f>
        <v>0</v>
      </c>
      <c r="P629" s="447">
        <f>IFERROR(__xludf.DUMMYFUNCTION("""COMPUTED_VALUE"""),1.0)</f>
        <v>1</v>
      </c>
      <c r="Q629" s="447">
        <f>IFERROR(__xludf.DUMMYFUNCTION("""COMPUTED_VALUE"""),0.0)</f>
        <v>0</v>
      </c>
      <c r="R629" s="447">
        <f>IFERROR(__xludf.DUMMYFUNCTION("""COMPUTED_VALUE"""),0.0)</f>
        <v>0</v>
      </c>
      <c r="S629" s="447">
        <f>IFERROR(__xludf.DUMMYFUNCTION("""COMPUTED_VALUE"""),3.0)</f>
        <v>3</v>
      </c>
      <c r="T629" s="447">
        <f>IFERROR(__xludf.DUMMYFUNCTION("""COMPUTED_VALUE"""),0.0)</f>
        <v>0</v>
      </c>
      <c r="U629" s="447">
        <f>IFERROR(__xludf.DUMMYFUNCTION("""COMPUTED_VALUE"""),2.0)</f>
        <v>2</v>
      </c>
      <c r="V629" s="447">
        <f>IFERROR(__xludf.DUMMYFUNCTION("""COMPUTED_VALUE"""),4.0)</f>
        <v>4</v>
      </c>
      <c r="W629" s="447">
        <f>IFERROR(__xludf.DUMMYFUNCTION("""COMPUTED_VALUE"""),0.0)</f>
        <v>0</v>
      </c>
      <c r="X629" s="447">
        <f>IFERROR(__xludf.DUMMYFUNCTION("""COMPUTED_VALUE"""),1.0)</f>
        <v>1</v>
      </c>
      <c r="Y629" s="447">
        <f>IFERROR(__xludf.DUMMYFUNCTION("""COMPUTED_VALUE"""),0.0)</f>
        <v>0</v>
      </c>
      <c r="Z629" s="447">
        <f>IFERROR(__xludf.DUMMYFUNCTION("""COMPUTED_VALUE"""),0.0)</f>
        <v>0</v>
      </c>
      <c r="AA629" s="447">
        <f>IFERROR(__xludf.DUMMYFUNCTION("""COMPUTED_VALUE"""),0.0)</f>
        <v>0</v>
      </c>
      <c r="AB629" s="447">
        <f>IFERROR(__xludf.DUMMYFUNCTION("""COMPUTED_VALUE"""),0.0)</f>
        <v>0</v>
      </c>
      <c r="AC629" s="447">
        <f>IFERROR(__xludf.DUMMYFUNCTION("""COMPUTED_VALUE"""),1.0)</f>
        <v>1</v>
      </c>
      <c r="AD629" s="447">
        <f>IFERROR(__xludf.DUMMYFUNCTION("""COMPUTED_VALUE"""),43.0)</f>
        <v>43</v>
      </c>
      <c r="AE629" s="447">
        <f>IFERROR(__xludf.DUMMYFUNCTION("""COMPUTED_VALUE"""),12.0)</f>
        <v>12</v>
      </c>
      <c r="AF629" s="447">
        <f>IFERROR(__xludf.DUMMYFUNCTION("""COMPUTED_VALUE"""),2.0)</f>
        <v>2</v>
      </c>
      <c r="AG629" s="443" t="s">
        <v>132</v>
      </c>
      <c r="AH629" s="443" t="s">
        <v>961</v>
      </c>
      <c r="AI629" s="443"/>
      <c r="AJ629" s="443"/>
      <c r="AK629" s="443"/>
      <c r="AL629" s="443"/>
      <c r="AM629" s="443"/>
      <c r="AN629" s="443"/>
      <c r="AO629" s="443"/>
      <c r="AP629" s="443"/>
      <c r="AQ629" s="443"/>
      <c r="AR629" s="443"/>
      <c r="AS629" s="443"/>
      <c r="AT629" s="443"/>
      <c r="AU629" s="443"/>
      <c r="AV629" s="443"/>
      <c r="AW629" s="443"/>
      <c r="AX629" s="443"/>
      <c r="AY629" s="443"/>
      <c r="AZ629" s="443"/>
      <c r="BA629" s="443"/>
      <c r="BB629" s="443"/>
      <c r="BC629" s="443"/>
      <c r="BD629" s="443"/>
      <c r="BE629" s="443"/>
    </row>
    <row r="630" hidden="1">
      <c r="A630" s="445">
        <f t="shared" si="5"/>
        <v>45920</v>
      </c>
      <c r="B630" s="449">
        <v>380.0</v>
      </c>
      <c r="C630" s="462">
        <v>0.6</v>
      </c>
      <c r="D630" s="462">
        <v>0.8513888888888889</v>
      </c>
      <c r="E630" s="436">
        <f t="array" ref="E630">IF(B630=0,"",(J630+K630)/60)</f>
        <v>0.7833333333</v>
      </c>
      <c r="F630" s="437">
        <f t="shared" si="1"/>
        <v>6.033333333</v>
      </c>
      <c r="G630" s="438">
        <f t="shared" si="9"/>
        <v>62.98342541</v>
      </c>
      <c r="H630" s="438">
        <f t="shared" si="3"/>
        <v>72.38095238</v>
      </c>
      <c r="I630" s="436">
        <f t="shared" si="10"/>
        <v>1.399631676</v>
      </c>
      <c r="J630" s="460">
        <v>30.0</v>
      </c>
      <c r="K630" s="464">
        <f>5+5+7</f>
        <v>17</v>
      </c>
      <c r="L630" s="443"/>
      <c r="M630" s="447">
        <f>IFERROR(__xludf.DUMMYFUNCTION("""COMPUTED_VALUE"""),57.0)</f>
        <v>57</v>
      </c>
      <c r="N630" s="447">
        <f>IFERROR(__xludf.DUMMYFUNCTION("""COMPUTED_VALUE"""),55.0)</f>
        <v>55</v>
      </c>
      <c r="O630" s="447">
        <f>IFERROR(__xludf.DUMMYFUNCTION("""COMPUTED_VALUE"""),0.0)</f>
        <v>0</v>
      </c>
      <c r="P630" s="447">
        <f>IFERROR(__xludf.DUMMYFUNCTION("""COMPUTED_VALUE"""),1.0)</f>
        <v>1</v>
      </c>
      <c r="Q630" s="447">
        <f>IFERROR(__xludf.DUMMYFUNCTION("""COMPUTED_VALUE"""),0.0)</f>
        <v>0</v>
      </c>
      <c r="R630" s="447">
        <f>IFERROR(__xludf.DUMMYFUNCTION("""COMPUTED_VALUE"""),0.0)</f>
        <v>0</v>
      </c>
      <c r="S630" s="447">
        <f>IFERROR(__xludf.DUMMYFUNCTION("""COMPUTED_VALUE"""),2.0)</f>
        <v>2</v>
      </c>
      <c r="T630" s="447">
        <f>IFERROR(__xludf.DUMMYFUNCTION("""COMPUTED_VALUE"""),0.0)</f>
        <v>0</v>
      </c>
      <c r="U630" s="447">
        <f>IFERROR(__xludf.DUMMYFUNCTION("""COMPUTED_VALUE"""),2.0)</f>
        <v>2</v>
      </c>
      <c r="V630" s="447">
        <f>IFERROR(__xludf.DUMMYFUNCTION("""COMPUTED_VALUE"""),4.0)</f>
        <v>4</v>
      </c>
      <c r="W630" s="447">
        <f>IFERROR(__xludf.DUMMYFUNCTION("""COMPUTED_VALUE"""),0.0)</f>
        <v>0</v>
      </c>
      <c r="X630" s="447">
        <f>IFERROR(__xludf.DUMMYFUNCTION("""COMPUTED_VALUE"""),1.0)</f>
        <v>1</v>
      </c>
      <c r="Y630" s="447">
        <f>IFERROR(__xludf.DUMMYFUNCTION("""COMPUTED_VALUE"""),0.0)</f>
        <v>0</v>
      </c>
      <c r="Z630" s="447">
        <f>IFERROR(__xludf.DUMMYFUNCTION("""COMPUTED_VALUE"""),0.0)</f>
        <v>0</v>
      </c>
      <c r="AA630" s="447">
        <f>IFERROR(__xludf.DUMMYFUNCTION("""COMPUTED_VALUE"""),0.0)</f>
        <v>0</v>
      </c>
      <c r="AB630" s="447">
        <f>IFERROR(__xludf.DUMMYFUNCTION("""COMPUTED_VALUE"""),0.0)</f>
        <v>0</v>
      </c>
      <c r="AC630" s="447">
        <f>IFERROR(__xludf.DUMMYFUNCTION("""COMPUTED_VALUE"""),0.0)</f>
        <v>0</v>
      </c>
      <c r="AD630" s="447">
        <f>IFERROR(__xludf.DUMMYFUNCTION("""COMPUTED_VALUE"""),45.0)</f>
        <v>45</v>
      </c>
      <c r="AE630" s="447">
        <f>IFERROR(__xludf.DUMMYFUNCTION("""COMPUTED_VALUE"""),10.0)</f>
        <v>10</v>
      </c>
      <c r="AF630" s="447">
        <f>IFERROR(__xludf.DUMMYFUNCTION("""COMPUTED_VALUE"""),2.0)</f>
        <v>2</v>
      </c>
      <c r="AG630" s="443" t="s">
        <v>132</v>
      </c>
      <c r="AH630" s="443" t="s">
        <v>961</v>
      </c>
      <c r="AI630" s="443"/>
      <c r="AJ630" s="443"/>
      <c r="AK630" s="443"/>
      <c r="AL630" s="443"/>
      <c r="AM630" s="443"/>
      <c r="AN630" s="443"/>
      <c r="AO630" s="443"/>
      <c r="AP630" s="443"/>
      <c r="AQ630" s="443"/>
      <c r="AR630" s="443"/>
      <c r="AS630" s="443"/>
      <c r="AT630" s="443"/>
      <c r="AU630" s="443"/>
      <c r="AV630" s="443"/>
      <c r="AW630" s="443"/>
      <c r="AX630" s="443"/>
      <c r="AY630" s="443"/>
      <c r="AZ630" s="443"/>
      <c r="BA630" s="443"/>
      <c r="BB630" s="443"/>
      <c r="BC630" s="443"/>
      <c r="BD630" s="443"/>
      <c r="BE630" s="443"/>
    </row>
    <row r="631" hidden="1">
      <c r="A631" s="445">
        <f t="shared" si="5"/>
        <v>45921</v>
      </c>
      <c r="B631" s="449">
        <v>0.0</v>
      </c>
      <c r="C631" s="443"/>
      <c r="D631" s="462"/>
      <c r="E631" s="436" t="str">
        <f t="array" ref="E631">IF(B631=0,"",(J631+K631)/60)</f>
        <v/>
      </c>
      <c r="F631" s="437" t="str">
        <f t="shared" si="1"/>
        <v/>
      </c>
      <c r="G631" s="438" t="str">
        <f t="shared" si="9"/>
        <v>#DIV/0!</v>
      </c>
      <c r="H631" s="438" t="str">
        <f t="shared" si="3"/>
        <v/>
      </c>
      <c r="I631" s="436" t="str">
        <f t="shared" si="10"/>
        <v/>
      </c>
      <c r="J631" s="464"/>
      <c r="K631" s="464"/>
      <c r="L631" s="443"/>
      <c r="M631" s="447">
        <f>IFERROR(__xludf.DUMMYFUNCTION("""COMPUTED_VALUE"""),57.0)</f>
        <v>57</v>
      </c>
      <c r="N631" s="447">
        <f>IFERROR(__xludf.DUMMYFUNCTION("""COMPUTED_VALUE"""),57.0)</f>
        <v>57</v>
      </c>
      <c r="O631" s="447">
        <f>IFERROR(__xludf.DUMMYFUNCTION("""COMPUTED_VALUE"""),0.0)</f>
        <v>0</v>
      </c>
      <c r="P631" s="447">
        <f>IFERROR(__xludf.DUMMYFUNCTION("""COMPUTED_VALUE"""),0.0)</f>
        <v>0</v>
      </c>
      <c r="Q631" s="447">
        <f>IFERROR(__xludf.DUMMYFUNCTION("""COMPUTED_VALUE"""),0.0)</f>
        <v>0</v>
      </c>
      <c r="R631" s="447">
        <f>IFERROR(__xludf.DUMMYFUNCTION("""COMPUTED_VALUE"""),0.0)</f>
        <v>0</v>
      </c>
      <c r="S631" s="447">
        <f>IFERROR(__xludf.DUMMYFUNCTION("""COMPUTED_VALUE"""),0.0)</f>
        <v>0</v>
      </c>
      <c r="T631" s="447">
        <f>IFERROR(__xludf.DUMMYFUNCTION("""COMPUTED_VALUE"""),0.0)</f>
        <v>0</v>
      </c>
      <c r="U631" s="447">
        <f>IFERROR(__xludf.DUMMYFUNCTION("""COMPUTED_VALUE"""),0.0)</f>
        <v>0</v>
      </c>
      <c r="V631" s="447">
        <f>IFERROR(__xludf.DUMMYFUNCTION("""COMPUTED_VALUE"""),0.0)</f>
        <v>0</v>
      </c>
      <c r="W631" s="447">
        <f>IFERROR(__xludf.DUMMYFUNCTION("""COMPUTED_VALUE"""),0.0)</f>
        <v>0</v>
      </c>
      <c r="X631" s="447">
        <f>IFERROR(__xludf.DUMMYFUNCTION("""COMPUTED_VALUE"""),0.0)</f>
        <v>0</v>
      </c>
      <c r="Y631" s="447">
        <f>IFERROR(__xludf.DUMMYFUNCTION("""COMPUTED_VALUE"""),0.0)</f>
        <v>0</v>
      </c>
      <c r="Z631" s="447">
        <f>IFERROR(__xludf.DUMMYFUNCTION("""COMPUTED_VALUE"""),0.0)</f>
        <v>0</v>
      </c>
      <c r="AA631" s="447">
        <f>IFERROR(__xludf.DUMMYFUNCTION("""COMPUTED_VALUE"""),0.0)</f>
        <v>0</v>
      </c>
      <c r="AB631" s="447">
        <f>IFERROR(__xludf.DUMMYFUNCTION("""COMPUTED_VALUE"""),0.0)</f>
        <v>0</v>
      </c>
      <c r="AC631" s="447">
        <f>IFERROR(__xludf.DUMMYFUNCTION("""COMPUTED_VALUE"""),0.0)</f>
        <v>0</v>
      </c>
      <c r="AD631" s="447">
        <f>IFERROR(__xludf.DUMMYFUNCTION("""COMPUTED_VALUE"""),0.0)</f>
        <v>0</v>
      </c>
      <c r="AE631" s="447">
        <f>IFERROR(__xludf.DUMMYFUNCTION("""COMPUTED_VALUE"""),0.0)</f>
        <v>0</v>
      </c>
      <c r="AF631" s="447">
        <f>IFERROR(__xludf.DUMMYFUNCTION("""COMPUTED_VALUE"""),0.0)</f>
        <v>0</v>
      </c>
      <c r="AG631" s="443" t="s">
        <v>132</v>
      </c>
      <c r="AH631" s="443" t="s">
        <v>961</v>
      </c>
      <c r="AI631" s="443"/>
      <c r="AJ631" s="443"/>
      <c r="AK631" s="443"/>
      <c r="AL631" s="443"/>
      <c r="AM631" s="443"/>
      <c r="AN631" s="443"/>
      <c r="AO631" s="443"/>
      <c r="AP631" s="443"/>
      <c r="AQ631" s="443"/>
      <c r="AR631" s="443"/>
      <c r="AS631" s="443"/>
      <c r="AT631" s="443"/>
      <c r="AU631" s="443"/>
      <c r="AV631" s="443"/>
      <c r="AW631" s="443"/>
      <c r="AX631" s="443"/>
      <c r="AY631" s="443"/>
      <c r="AZ631" s="443"/>
      <c r="BA631" s="443"/>
      <c r="BB631" s="443"/>
      <c r="BC631" s="443"/>
      <c r="BD631" s="443"/>
      <c r="BE631" s="443"/>
    </row>
    <row r="632" hidden="1">
      <c r="A632" s="445">
        <f t="shared" si="5"/>
        <v>45922</v>
      </c>
      <c r="B632" s="449">
        <v>499.0</v>
      </c>
      <c r="C632" s="462">
        <v>0.6</v>
      </c>
      <c r="D632" s="462">
        <v>0.9305555555555556</v>
      </c>
      <c r="E632" s="436">
        <f t="array" ref="E632">IF(B632=0,"",(J632+K632)/60)</f>
        <v>1.016666667</v>
      </c>
      <c r="F632" s="437">
        <f t="shared" si="1"/>
        <v>7.933333333</v>
      </c>
      <c r="G632" s="438">
        <f t="shared" si="9"/>
        <v>62.89915966</v>
      </c>
      <c r="H632" s="438">
        <f t="shared" si="3"/>
        <v>72.14457831</v>
      </c>
      <c r="I632" s="436">
        <f t="shared" si="10"/>
        <v>1.367373036</v>
      </c>
      <c r="J632" s="460">
        <v>30.0</v>
      </c>
      <c r="K632" s="464">
        <f>7+5+8+6+5</f>
        <v>31</v>
      </c>
      <c r="L632" s="443"/>
      <c r="M632" s="447">
        <f>IFERROR(__xludf.DUMMYFUNCTION("""COMPUTED_VALUE"""),57.0)</f>
        <v>57</v>
      </c>
      <c r="N632" s="447">
        <f>IFERROR(__xludf.DUMMYFUNCTION("""COMPUTED_VALUE"""),55.0)</f>
        <v>55</v>
      </c>
      <c r="O632" s="447">
        <f>IFERROR(__xludf.DUMMYFUNCTION("""COMPUTED_VALUE"""),0.0)</f>
        <v>0</v>
      </c>
      <c r="P632" s="447">
        <f>IFERROR(__xludf.DUMMYFUNCTION("""COMPUTED_VALUE"""),0.0)</f>
        <v>0</v>
      </c>
      <c r="Q632" s="447">
        <f>IFERROR(__xludf.DUMMYFUNCTION("""COMPUTED_VALUE"""),0.0)</f>
        <v>0</v>
      </c>
      <c r="R632" s="447">
        <f>IFERROR(__xludf.DUMMYFUNCTION("""COMPUTED_VALUE"""),0.0)</f>
        <v>0</v>
      </c>
      <c r="S632" s="447">
        <f>IFERROR(__xludf.DUMMYFUNCTION("""COMPUTED_VALUE"""),1.0)</f>
        <v>1</v>
      </c>
      <c r="T632" s="447">
        <f>IFERROR(__xludf.DUMMYFUNCTION("""COMPUTED_VALUE"""),0.0)</f>
        <v>0</v>
      </c>
      <c r="U632" s="447">
        <f>IFERROR(__xludf.DUMMYFUNCTION("""COMPUTED_VALUE"""),2.0)</f>
        <v>2</v>
      </c>
      <c r="V632" s="447">
        <f>IFERROR(__xludf.DUMMYFUNCTION("""COMPUTED_VALUE"""),4.0)</f>
        <v>4</v>
      </c>
      <c r="W632" s="447">
        <f>IFERROR(__xludf.DUMMYFUNCTION("""COMPUTED_VALUE"""),0.0)</f>
        <v>0</v>
      </c>
      <c r="X632" s="447">
        <f>IFERROR(__xludf.DUMMYFUNCTION("""COMPUTED_VALUE"""),1.0)</f>
        <v>1</v>
      </c>
      <c r="Y632" s="447">
        <f>IFERROR(__xludf.DUMMYFUNCTION("""COMPUTED_VALUE"""),0.0)</f>
        <v>0</v>
      </c>
      <c r="Z632" s="447">
        <f>IFERROR(__xludf.DUMMYFUNCTION("""COMPUTED_VALUE"""),0.0)</f>
        <v>0</v>
      </c>
      <c r="AA632" s="447">
        <f>IFERROR(__xludf.DUMMYFUNCTION("""COMPUTED_VALUE"""),0.0)</f>
        <v>0</v>
      </c>
      <c r="AB632" s="447">
        <f>IFERROR(__xludf.DUMMYFUNCTION("""COMPUTED_VALUE"""),0.0)</f>
        <v>0</v>
      </c>
      <c r="AC632" s="447">
        <f>IFERROR(__xludf.DUMMYFUNCTION("""COMPUTED_VALUE"""),1.0)</f>
        <v>1</v>
      </c>
      <c r="AD632" s="447">
        <f>IFERROR(__xludf.DUMMYFUNCTION("""COMPUTED_VALUE"""),46.0)</f>
        <v>46</v>
      </c>
      <c r="AE632" s="447">
        <f>IFERROR(__xludf.DUMMYFUNCTION("""COMPUTED_VALUE"""),9.0)</f>
        <v>9</v>
      </c>
      <c r="AF632" s="447">
        <f>IFERROR(__xludf.DUMMYFUNCTION("""COMPUTED_VALUE"""),2.0)</f>
        <v>2</v>
      </c>
      <c r="AG632" s="443" t="s">
        <v>132</v>
      </c>
      <c r="AH632" s="443" t="s">
        <v>961</v>
      </c>
      <c r="AI632" s="443"/>
      <c r="AJ632" s="443"/>
      <c r="AK632" s="443"/>
      <c r="AL632" s="443"/>
      <c r="AM632" s="443"/>
      <c r="AN632" s="443"/>
      <c r="AO632" s="443"/>
      <c r="AP632" s="443"/>
      <c r="AQ632" s="443"/>
      <c r="AR632" s="443"/>
      <c r="AS632" s="443"/>
      <c r="AT632" s="443"/>
      <c r="AU632" s="443"/>
      <c r="AV632" s="443"/>
      <c r="AW632" s="443"/>
      <c r="AX632" s="443"/>
      <c r="AY632" s="443"/>
      <c r="AZ632" s="443"/>
      <c r="BA632" s="443"/>
      <c r="BB632" s="443"/>
      <c r="BC632" s="443"/>
      <c r="BD632" s="443"/>
      <c r="BE632" s="443"/>
    </row>
    <row r="633" hidden="1">
      <c r="A633" s="445">
        <f t="shared" si="5"/>
        <v>45923</v>
      </c>
      <c r="B633" s="449">
        <v>427.0</v>
      </c>
      <c r="C633" s="462">
        <v>0.6</v>
      </c>
      <c r="D633" s="462">
        <v>0.89375</v>
      </c>
      <c r="E633" s="436">
        <f t="array" ref="E633">IF(B633=0,"",(J633+K633)/60)</f>
        <v>0.5</v>
      </c>
      <c r="F633" s="437">
        <f t="shared" si="1"/>
        <v>7.05</v>
      </c>
      <c r="G633" s="438">
        <f t="shared" si="9"/>
        <v>60.56737589</v>
      </c>
      <c r="H633" s="438">
        <f t="shared" si="3"/>
        <v>65.19083969</v>
      </c>
      <c r="I633" s="436">
        <f t="shared" si="10"/>
        <v>1.261820331</v>
      </c>
      <c r="J633" s="460">
        <v>30.0</v>
      </c>
      <c r="K633" s="460">
        <v>0.0</v>
      </c>
      <c r="L633" s="443"/>
      <c r="M633" s="447">
        <f>IFERROR(__xludf.DUMMYFUNCTION("""COMPUTED_VALUE"""),57.0)</f>
        <v>57</v>
      </c>
      <c r="N633" s="447">
        <f>IFERROR(__xludf.DUMMYFUNCTION("""COMPUTED_VALUE"""),56.0)</f>
        <v>56</v>
      </c>
      <c r="O633" s="447">
        <f>IFERROR(__xludf.DUMMYFUNCTION("""COMPUTED_VALUE"""),0.0)</f>
        <v>0</v>
      </c>
      <c r="P633" s="447">
        <f>IFERROR(__xludf.DUMMYFUNCTION("""COMPUTED_VALUE"""),0.0)</f>
        <v>0</v>
      </c>
      <c r="Q633" s="447">
        <f>IFERROR(__xludf.DUMMYFUNCTION("""COMPUTED_VALUE"""),0.0)</f>
        <v>0</v>
      </c>
      <c r="R633" s="447">
        <f>IFERROR(__xludf.DUMMYFUNCTION("""COMPUTED_VALUE"""),0.0)</f>
        <v>0</v>
      </c>
      <c r="S633" s="447">
        <f>IFERROR(__xludf.DUMMYFUNCTION("""COMPUTED_VALUE"""),1.0)</f>
        <v>1</v>
      </c>
      <c r="T633" s="447">
        <f>IFERROR(__xludf.DUMMYFUNCTION("""COMPUTED_VALUE"""),0.0)</f>
        <v>0</v>
      </c>
      <c r="U633" s="447">
        <f>IFERROR(__xludf.DUMMYFUNCTION("""COMPUTED_VALUE"""),1.0)</f>
        <v>1</v>
      </c>
      <c r="V633" s="447">
        <f>IFERROR(__xludf.DUMMYFUNCTION("""COMPUTED_VALUE"""),4.0)</f>
        <v>4</v>
      </c>
      <c r="W633" s="447">
        <f>IFERROR(__xludf.DUMMYFUNCTION("""COMPUTED_VALUE"""),0.0)</f>
        <v>0</v>
      </c>
      <c r="X633" s="447">
        <f>IFERROR(__xludf.DUMMYFUNCTION("""COMPUTED_VALUE"""),1.0)</f>
        <v>1</v>
      </c>
      <c r="Y633" s="447">
        <f>IFERROR(__xludf.DUMMYFUNCTION("""COMPUTED_VALUE"""),0.0)</f>
        <v>0</v>
      </c>
      <c r="Z633" s="447">
        <f>IFERROR(__xludf.DUMMYFUNCTION("""COMPUTED_VALUE"""),0.0)</f>
        <v>0</v>
      </c>
      <c r="AA633" s="447">
        <f>IFERROR(__xludf.DUMMYFUNCTION("""COMPUTED_VALUE"""),0.0)</f>
        <v>0</v>
      </c>
      <c r="AB633" s="447">
        <f>IFERROR(__xludf.DUMMYFUNCTION("""COMPUTED_VALUE"""),0.0)</f>
        <v>0</v>
      </c>
      <c r="AC633" s="447">
        <f>IFERROR(__xludf.DUMMYFUNCTION("""COMPUTED_VALUE"""),0.0)</f>
        <v>0</v>
      </c>
      <c r="AD633" s="447">
        <f>IFERROR(__xludf.DUMMYFUNCTION("""COMPUTED_VALUE"""),48.0)</f>
        <v>48</v>
      </c>
      <c r="AE633" s="447">
        <f>IFERROR(__xludf.DUMMYFUNCTION("""COMPUTED_VALUE"""),7.0)</f>
        <v>7</v>
      </c>
      <c r="AF633" s="447">
        <f>IFERROR(__xludf.DUMMYFUNCTION("""COMPUTED_VALUE"""),1.0)</f>
        <v>1</v>
      </c>
      <c r="AG633" s="443" t="s">
        <v>132</v>
      </c>
      <c r="AH633" s="443" t="s">
        <v>961</v>
      </c>
      <c r="AI633" s="443"/>
      <c r="AJ633" s="443"/>
      <c r="AK633" s="443"/>
      <c r="AL633" s="443"/>
      <c r="AM633" s="443"/>
      <c r="AN633" s="443"/>
      <c r="AO633" s="443"/>
      <c r="AP633" s="443"/>
      <c r="AQ633" s="443"/>
      <c r="AR633" s="443"/>
      <c r="AS633" s="443"/>
      <c r="AT633" s="443"/>
      <c r="AU633" s="443"/>
      <c r="AV633" s="443"/>
      <c r="AW633" s="443"/>
      <c r="AX633" s="443"/>
      <c r="AY633" s="443"/>
      <c r="AZ633" s="443"/>
      <c r="BA633" s="443"/>
      <c r="BB633" s="443"/>
      <c r="BC633" s="443"/>
      <c r="BD633" s="443"/>
      <c r="BE633" s="443"/>
    </row>
    <row r="634" hidden="1">
      <c r="A634" s="445">
        <f t="shared" si="5"/>
        <v>45924</v>
      </c>
      <c r="B634" s="449">
        <v>603.0</v>
      </c>
      <c r="C634" s="462">
        <v>0.6</v>
      </c>
      <c r="D634" s="462">
        <v>1.0</v>
      </c>
      <c r="E634" s="436">
        <f t="array" ref="E634">IF(B634=0,"",(J634+K634)/60)</f>
        <v>1.15</v>
      </c>
      <c r="F634" s="437">
        <f t="shared" si="1"/>
        <v>9.6</v>
      </c>
      <c r="G634" s="438">
        <f t="shared" si="9"/>
        <v>62.8125</v>
      </c>
      <c r="H634" s="438">
        <f t="shared" si="3"/>
        <v>71.36094675</v>
      </c>
      <c r="I634" s="436">
        <f t="shared" si="10"/>
        <v>1.30859375</v>
      </c>
      <c r="J634" s="460">
        <v>60.0</v>
      </c>
      <c r="K634" s="460">
        <v>9.0</v>
      </c>
      <c r="L634" s="443"/>
      <c r="M634" s="447">
        <f>IFERROR(__xludf.DUMMYFUNCTION("""COMPUTED_VALUE"""),57.0)</f>
        <v>57</v>
      </c>
      <c r="N634" s="447">
        <f>IFERROR(__xludf.DUMMYFUNCTION("""COMPUTED_VALUE"""),56.0)</f>
        <v>56</v>
      </c>
      <c r="O634" s="447">
        <f>IFERROR(__xludf.DUMMYFUNCTION("""COMPUTED_VALUE"""),0.0)</f>
        <v>0</v>
      </c>
      <c r="P634" s="447">
        <f>IFERROR(__xludf.DUMMYFUNCTION("""COMPUTED_VALUE"""),1.0)</f>
        <v>1</v>
      </c>
      <c r="Q634" s="447">
        <f>IFERROR(__xludf.DUMMYFUNCTION("""COMPUTED_VALUE"""),0.0)</f>
        <v>0</v>
      </c>
      <c r="R634" s="447">
        <f>IFERROR(__xludf.DUMMYFUNCTION("""COMPUTED_VALUE"""),0.0)</f>
        <v>0</v>
      </c>
      <c r="S634" s="447">
        <f>IFERROR(__xludf.DUMMYFUNCTION("""COMPUTED_VALUE"""),0.0)</f>
        <v>0</v>
      </c>
      <c r="T634" s="447">
        <f>IFERROR(__xludf.DUMMYFUNCTION("""COMPUTED_VALUE"""),0.0)</f>
        <v>0</v>
      </c>
      <c r="U634" s="447">
        <f>IFERROR(__xludf.DUMMYFUNCTION("""COMPUTED_VALUE"""),1.0)</f>
        <v>1</v>
      </c>
      <c r="V634" s="447">
        <f>IFERROR(__xludf.DUMMYFUNCTION("""COMPUTED_VALUE"""),3.0)</f>
        <v>3</v>
      </c>
      <c r="W634" s="447">
        <f>IFERROR(__xludf.DUMMYFUNCTION("""COMPUTED_VALUE"""),0.0)</f>
        <v>0</v>
      </c>
      <c r="X634" s="447">
        <f>IFERROR(__xludf.DUMMYFUNCTION("""COMPUTED_VALUE"""),1.0)</f>
        <v>1</v>
      </c>
      <c r="Y634" s="447">
        <f>IFERROR(__xludf.DUMMYFUNCTION("""COMPUTED_VALUE"""),0.0)</f>
        <v>0</v>
      </c>
      <c r="Z634" s="447">
        <f>IFERROR(__xludf.DUMMYFUNCTION("""COMPUTED_VALUE"""),0.0)</f>
        <v>0</v>
      </c>
      <c r="AA634" s="447">
        <f>IFERROR(__xludf.DUMMYFUNCTION("""COMPUTED_VALUE"""),0.0)</f>
        <v>0</v>
      </c>
      <c r="AB634" s="447">
        <f>IFERROR(__xludf.DUMMYFUNCTION("""COMPUTED_VALUE"""),0.0)</f>
        <v>0</v>
      </c>
      <c r="AC634" s="447">
        <f>IFERROR(__xludf.DUMMYFUNCTION("""COMPUTED_VALUE"""),1.0)</f>
        <v>1</v>
      </c>
      <c r="AD634" s="447">
        <f>IFERROR(__xludf.DUMMYFUNCTION("""COMPUTED_VALUE"""),48.0)</f>
        <v>48</v>
      </c>
      <c r="AE634" s="447">
        <f>IFERROR(__xludf.DUMMYFUNCTION("""COMPUTED_VALUE"""),7.0)</f>
        <v>7</v>
      </c>
      <c r="AF634" s="447">
        <f>IFERROR(__xludf.DUMMYFUNCTION("""COMPUTED_VALUE"""),1.0)</f>
        <v>1</v>
      </c>
      <c r="AG634" s="443" t="s">
        <v>132</v>
      </c>
      <c r="AH634" s="443" t="s">
        <v>961</v>
      </c>
      <c r="AI634" s="443"/>
      <c r="AJ634" s="443"/>
      <c r="AK634" s="443"/>
      <c r="AL634" s="443"/>
      <c r="AM634" s="443"/>
      <c r="AN634" s="443"/>
      <c r="AO634" s="443"/>
      <c r="AP634" s="443"/>
      <c r="AQ634" s="443"/>
      <c r="AR634" s="443"/>
      <c r="AS634" s="443"/>
      <c r="AT634" s="443"/>
      <c r="AU634" s="443"/>
      <c r="AV634" s="443"/>
      <c r="AW634" s="443"/>
      <c r="AX634" s="443"/>
      <c r="AY634" s="443"/>
      <c r="AZ634" s="443"/>
      <c r="BA634" s="443"/>
      <c r="BB634" s="443"/>
      <c r="BC634" s="443"/>
      <c r="BD634" s="443"/>
      <c r="BE634" s="443"/>
    </row>
    <row r="635" hidden="1">
      <c r="A635" s="445">
        <f t="shared" si="5"/>
        <v>45925</v>
      </c>
      <c r="B635" s="449">
        <v>438.0</v>
      </c>
      <c r="C635" s="462">
        <v>0.6</v>
      </c>
      <c r="D635" s="462">
        <v>0.9215277777777777</v>
      </c>
      <c r="E635" s="436">
        <f t="array" ref="E635">IF(B635=0,"",(J635+K635)/60)</f>
        <v>0.95</v>
      </c>
      <c r="F635" s="437">
        <f t="shared" si="1"/>
        <v>7.716666667</v>
      </c>
      <c r="G635" s="438">
        <f t="shared" si="9"/>
        <v>56.76025918</v>
      </c>
      <c r="H635" s="438">
        <f t="shared" si="3"/>
        <v>64.72906404</v>
      </c>
      <c r="I635" s="436">
        <f t="shared" si="10"/>
        <v>1.135205184</v>
      </c>
      <c r="J635" s="460">
        <v>30.0</v>
      </c>
      <c r="K635" s="464">
        <f>27</f>
        <v>27</v>
      </c>
      <c r="L635" s="443"/>
      <c r="M635" s="447">
        <f>IFERROR(__xludf.DUMMYFUNCTION("""COMPUTED_VALUE"""),57.0)</f>
        <v>57</v>
      </c>
      <c r="N635" s="447">
        <f>IFERROR(__xludf.DUMMYFUNCTION("""COMPUTED_VALUE"""),56.0)</f>
        <v>56</v>
      </c>
      <c r="O635" s="447">
        <f>IFERROR(__xludf.DUMMYFUNCTION("""COMPUTED_VALUE"""),0.0)</f>
        <v>0</v>
      </c>
      <c r="P635" s="447">
        <f>IFERROR(__xludf.DUMMYFUNCTION("""COMPUTED_VALUE"""),0.0)</f>
        <v>0</v>
      </c>
      <c r="Q635" s="447">
        <f>IFERROR(__xludf.DUMMYFUNCTION("""COMPUTED_VALUE"""),0.0)</f>
        <v>0</v>
      </c>
      <c r="R635" s="447">
        <f>IFERROR(__xludf.DUMMYFUNCTION("""COMPUTED_VALUE"""),0.0)</f>
        <v>0</v>
      </c>
      <c r="S635" s="447">
        <f>IFERROR(__xludf.DUMMYFUNCTION("""COMPUTED_VALUE"""),0.0)</f>
        <v>0</v>
      </c>
      <c r="T635" s="447">
        <f>IFERROR(__xludf.DUMMYFUNCTION("""COMPUTED_VALUE"""),0.0)</f>
        <v>0</v>
      </c>
      <c r="U635" s="447">
        <f>IFERROR(__xludf.DUMMYFUNCTION("""COMPUTED_VALUE"""),1.0)</f>
        <v>1</v>
      </c>
      <c r="V635" s="447">
        <f>IFERROR(__xludf.DUMMYFUNCTION("""COMPUTED_VALUE"""),3.0)</f>
        <v>3</v>
      </c>
      <c r="W635" s="447">
        <f>IFERROR(__xludf.DUMMYFUNCTION("""COMPUTED_VALUE"""),0.0)</f>
        <v>0</v>
      </c>
      <c r="X635" s="447">
        <f>IFERROR(__xludf.DUMMYFUNCTION("""COMPUTED_VALUE"""),1.0)</f>
        <v>1</v>
      </c>
      <c r="Y635" s="447">
        <f>IFERROR(__xludf.DUMMYFUNCTION("""COMPUTED_VALUE"""),0.0)</f>
        <v>0</v>
      </c>
      <c r="Z635" s="447">
        <f>IFERROR(__xludf.DUMMYFUNCTION("""COMPUTED_VALUE"""),0.0)</f>
        <v>0</v>
      </c>
      <c r="AA635" s="447">
        <f>IFERROR(__xludf.DUMMYFUNCTION("""COMPUTED_VALUE"""),0.0)</f>
        <v>0</v>
      </c>
      <c r="AB635" s="447">
        <f>IFERROR(__xludf.DUMMYFUNCTION("""COMPUTED_VALUE"""),0.0)</f>
        <v>0</v>
      </c>
      <c r="AC635" s="447">
        <f>IFERROR(__xludf.DUMMYFUNCTION("""COMPUTED_VALUE"""),0.0)</f>
        <v>0</v>
      </c>
      <c r="AD635" s="447">
        <f>IFERROR(__xludf.DUMMYFUNCTION("""COMPUTED_VALUE"""),50.0)</f>
        <v>50</v>
      </c>
      <c r="AE635" s="447">
        <f>IFERROR(__xludf.DUMMYFUNCTION("""COMPUTED_VALUE"""),5.0)</f>
        <v>5</v>
      </c>
      <c r="AF635" s="447">
        <f>IFERROR(__xludf.DUMMYFUNCTION("""COMPUTED_VALUE"""),1.0)</f>
        <v>1</v>
      </c>
      <c r="AG635" s="443" t="s">
        <v>132</v>
      </c>
      <c r="AH635" s="443" t="s">
        <v>961</v>
      </c>
      <c r="AI635" s="443"/>
      <c r="AJ635" s="443"/>
      <c r="AK635" s="443"/>
      <c r="AL635" s="443"/>
      <c r="AM635" s="443"/>
      <c r="AN635" s="443"/>
      <c r="AO635" s="443"/>
      <c r="AP635" s="443"/>
      <c r="AQ635" s="443"/>
      <c r="AR635" s="443"/>
      <c r="AS635" s="443"/>
      <c r="AT635" s="443"/>
      <c r="AU635" s="443"/>
      <c r="AV635" s="443"/>
      <c r="AW635" s="443"/>
      <c r="AX635" s="443"/>
      <c r="AY635" s="443"/>
      <c r="AZ635" s="443"/>
      <c r="BA635" s="443"/>
      <c r="BB635" s="443"/>
      <c r="BC635" s="443"/>
      <c r="BD635" s="443"/>
      <c r="BE635" s="443"/>
    </row>
    <row r="636" hidden="1">
      <c r="A636" s="445">
        <f t="shared" si="5"/>
        <v>45926</v>
      </c>
      <c r="B636" s="449">
        <v>426.0</v>
      </c>
      <c r="C636" s="462">
        <v>0.6</v>
      </c>
      <c r="D636" s="462">
        <v>0.8930555555555556</v>
      </c>
      <c r="E636" s="436">
        <f t="array" ref="E636">IF(B636=0,"",(J636+K636)/60)</f>
        <v>0.6833333333</v>
      </c>
      <c r="F636" s="437">
        <f t="shared" si="1"/>
        <v>7.033333333</v>
      </c>
      <c r="G636" s="438">
        <f t="shared" si="9"/>
        <v>60.56872038</v>
      </c>
      <c r="H636" s="438">
        <f t="shared" si="3"/>
        <v>67.08661417</v>
      </c>
      <c r="I636" s="436">
        <f t="shared" si="10"/>
        <v>1.211374408</v>
      </c>
      <c r="J636" s="460">
        <v>30.0</v>
      </c>
      <c r="K636" s="460">
        <v>11.0</v>
      </c>
      <c r="L636" s="443"/>
      <c r="M636" s="447">
        <f>IFERROR(__xludf.DUMMYFUNCTION("""COMPUTED_VALUE"""),57.0)</f>
        <v>57</v>
      </c>
      <c r="N636" s="447">
        <f>IFERROR(__xludf.DUMMYFUNCTION("""COMPUTED_VALUE"""),56.0)</f>
        <v>56</v>
      </c>
      <c r="O636" s="447">
        <f>IFERROR(__xludf.DUMMYFUNCTION("""COMPUTED_VALUE"""),0.0)</f>
        <v>0</v>
      </c>
      <c r="P636" s="447">
        <f>IFERROR(__xludf.DUMMYFUNCTION("""COMPUTED_VALUE"""),0.0)</f>
        <v>0</v>
      </c>
      <c r="Q636" s="447">
        <f>IFERROR(__xludf.DUMMYFUNCTION("""COMPUTED_VALUE"""),0.0)</f>
        <v>0</v>
      </c>
      <c r="R636" s="447">
        <f>IFERROR(__xludf.DUMMYFUNCTION("""COMPUTED_VALUE"""),0.0)</f>
        <v>0</v>
      </c>
      <c r="S636" s="447">
        <f>IFERROR(__xludf.DUMMYFUNCTION("""COMPUTED_VALUE"""),0.0)</f>
        <v>0</v>
      </c>
      <c r="T636" s="447">
        <f>IFERROR(__xludf.DUMMYFUNCTION("""COMPUTED_VALUE"""),0.0)</f>
        <v>0</v>
      </c>
      <c r="U636" s="447">
        <f>IFERROR(__xludf.DUMMYFUNCTION("""COMPUTED_VALUE"""),1.0)</f>
        <v>1</v>
      </c>
      <c r="V636" s="447">
        <f>IFERROR(__xludf.DUMMYFUNCTION("""COMPUTED_VALUE"""),3.0)</f>
        <v>3</v>
      </c>
      <c r="W636" s="447">
        <f>IFERROR(__xludf.DUMMYFUNCTION("""COMPUTED_VALUE"""),0.0)</f>
        <v>0</v>
      </c>
      <c r="X636" s="447">
        <f>IFERROR(__xludf.DUMMYFUNCTION("""COMPUTED_VALUE"""),1.0)</f>
        <v>1</v>
      </c>
      <c r="Y636" s="447">
        <f>IFERROR(__xludf.DUMMYFUNCTION("""COMPUTED_VALUE"""),0.0)</f>
        <v>0</v>
      </c>
      <c r="Z636" s="447">
        <f>IFERROR(__xludf.DUMMYFUNCTION("""COMPUTED_VALUE"""),0.0)</f>
        <v>0</v>
      </c>
      <c r="AA636" s="447">
        <f>IFERROR(__xludf.DUMMYFUNCTION("""COMPUTED_VALUE"""),0.0)</f>
        <v>0</v>
      </c>
      <c r="AB636" s="447">
        <f>IFERROR(__xludf.DUMMYFUNCTION("""COMPUTED_VALUE"""),0.0)</f>
        <v>0</v>
      </c>
      <c r="AC636" s="447">
        <f>IFERROR(__xludf.DUMMYFUNCTION("""COMPUTED_VALUE"""),0.0)</f>
        <v>0</v>
      </c>
      <c r="AD636" s="447">
        <f>IFERROR(__xludf.DUMMYFUNCTION("""COMPUTED_VALUE"""),50.0)</f>
        <v>50</v>
      </c>
      <c r="AE636" s="447">
        <f>IFERROR(__xludf.DUMMYFUNCTION("""COMPUTED_VALUE"""),5.0)</f>
        <v>5</v>
      </c>
      <c r="AF636" s="447">
        <f>IFERROR(__xludf.DUMMYFUNCTION("""COMPUTED_VALUE"""),1.0)</f>
        <v>1</v>
      </c>
      <c r="AG636" s="443" t="s">
        <v>132</v>
      </c>
      <c r="AH636" s="443" t="s">
        <v>961</v>
      </c>
      <c r="AI636" s="443"/>
      <c r="AJ636" s="443"/>
      <c r="AK636" s="443"/>
      <c r="AL636" s="443"/>
      <c r="AM636" s="443"/>
      <c r="AN636" s="443"/>
      <c r="AO636" s="443"/>
      <c r="AP636" s="443"/>
      <c r="AQ636" s="443"/>
      <c r="AR636" s="443"/>
      <c r="AS636" s="443"/>
      <c r="AT636" s="443"/>
      <c r="AU636" s="443"/>
      <c r="AV636" s="443"/>
      <c r="AW636" s="443"/>
      <c r="AX636" s="443"/>
      <c r="AY636" s="443"/>
      <c r="AZ636" s="443"/>
      <c r="BA636" s="443"/>
      <c r="BB636" s="443"/>
      <c r="BC636" s="443"/>
      <c r="BD636" s="443"/>
      <c r="BE636" s="443"/>
    </row>
    <row r="637" hidden="1">
      <c r="A637" s="445">
        <f t="shared" si="5"/>
        <v>45927</v>
      </c>
      <c r="B637" s="449">
        <v>386.0</v>
      </c>
      <c r="C637" s="462">
        <v>0.6</v>
      </c>
      <c r="D637" s="462">
        <v>0.8055555555555556</v>
      </c>
      <c r="E637" s="436">
        <f t="array" ref="E637">IF(B637=0,"",(J637+K637)/60)</f>
        <v>1.083333333</v>
      </c>
      <c r="F637" s="437">
        <f t="shared" si="1"/>
        <v>4.933333333</v>
      </c>
      <c r="G637" s="438">
        <f t="shared" si="9"/>
        <v>78.24324324</v>
      </c>
      <c r="H637" s="438">
        <f t="shared" si="3"/>
        <v>100.2597403</v>
      </c>
      <c r="I637" s="436">
        <f t="shared" si="10"/>
        <v>1.664749856</v>
      </c>
      <c r="J637" s="460">
        <v>30.0</v>
      </c>
      <c r="K637" s="460">
        <v>35.0</v>
      </c>
      <c r="L637" s="443"/>
      <c r="M637" s="447">
        <f>IFERROR(__xludf.DUMMYFUNCTION("""COMPUTED_VALUE"""),57.0)</f>
        <v>57</v>
      </c>
      <c r="N637" s="447">
        <f>IFERROR(__xludf.DUMMYFUNCTION("""COMPUTED_VALUE"""),56.0)</f>
        <v>56</v>
      </c>
      <c r="O637" s="447">
        <f>IFERROR(__xludf.DUMMYFUNCTION("""COMPUTED_VALUE"""),0.0)</f>
        <v>0</v>
      </c>
      <c r="P637" s="447">
        <f>IFERROR(__xludf.DUMMYFUNCTION("""COMPUTED_VALUE"""),1.0)</f>
        <v>1</v>
      </c>
      <c r="Q637" s="447">
        <f>IFERROR(__xludf.DUMMYFUNCTION("""COMPUTED_VALUE"""),1.0)</f>
        <v>1</v>
      </c>
      <c r="R637" s="447">
        <f>IFERROR(__xludf.DUMMYFUNCTION("""COMPUTED_VALUE"""),0.0)</f>
        <v>0</v>
      </c>
      <c r="S637" s="447">
        <f>IFERROR(__xludf.DUMMYFUNCTION("""COMPUTED_VALUE"""),0.0)</f>
        <v>0</v>
      </c>
      <c r="T637" s="447">
        <f>IFERROR(__xludf.DUMMYFUNCTION("""COMPUTED_VALUE"""),0.0)</f>
        <v>0</v>
      </c>
      <c r="U637" s="447">
        <f>IFERROR(__xludf.DUMMYFUNCTION("""COMPUTED_VALUE"""),1.0)</f>
        <v>1</v>
      </c>
      <c r="V637" s="447">
        <f>IFERROR(__xludf.DUMMYFUNCTION("""COMPUTED_VALUE"""),3.0)</f>
        <v>3</v>
      </c>
      <c r="W637" s="447">
        <f>IFERROR(__xludf.DUMMYFUNCTION("""COMPUTED_VALUE"""),0.0)</f>
        <v>0</v>
      </c>
      <c r="X637" s="447">
        <f>IFERROR(__xludf.DUMMYFUNCTION("""COMPUTED_VALUE"""),1.0)</f>
        <v>1</v>
      </c>
      <c r="Y637" s="447">
        <f>IFERROR(__xludf.DUMMYFUNCTION("""COMPUTED_VALUE"""),0.0)</f>
        <v>0</v>
      </c>
      <c r="Z637" s="447">
        <f>IFERROR(__xludf.DUMMYFUNCTION("""COMPUTED_VALUE"""),1.0)</f>
        <v>1</v>
      </c>
      <c r="AA637" s="447">
        <f>IFERROR(__xludf.DUMMYFUNCTION("""COMPUTED_VALUE"""),0.0)</f>
        <v>0</v>
      </c>
      <c r="AB637" s="447">
        <f>IFERROR(__xludf.DUMMYFUNCTION("""COMPUTED_VALUE"""),0.0)</f>
        <v>0</v>
      </c>
      <c r="AC637" s="447">
        <f>IFERROR(__xludf.DUMMYFUNCTION("""COMPUTED_VALUE"""),0.0)</f>
        <v>0</v>
      </c>
      <c r="AD637" s="447">
        <f>IFERROR(__xludf.DUMMYFUNCTION("""COMPUTED_VALUE"""),47.0)</f>
        <v>47</v>
      </c>
      <c r="AE637" s="447">
        <f>IFERROR(__xludf.DUMMYFUNCTION("""COMPUTED_VALUE"""),8.0)</f>
        <v>8</v>
      </c>
      <c r="AF637" s="447">
        <f>IFERROR(__xludf.DUMMYFUNCTION("""COMPUTED_VALUE"""),1.0)</f>
        <v>1</v>
      </c>
      <c r="AG637" s="443" t="s">
        <v>132</v>
      </c>
      <c r="AH637" s="443" t="s">
        <v>961</v>
      </c>
      <c r="AI637" s="443"/>
      <c r="AJ637" s="443"/>
      <c r="AK637" s="443"/>
      <c r="AL637" s="443"/>
      <c r="AM637" s="443"/>
      <c r="AN637" s="443"/>
      <c r="AO637" s="443"/>
      <c r="AP637" s="443"/>
      <c r="AQ637" s="443"/>
      <c r="AR637" s="443"/>
      <c r="AS637" s="443"/>
      <c r="AT637" s="443"/>
      <c r="AU637" s="443"/>
      <c r="AV637" s="443"/>
      <c r="AW637" s="443"/>
      <c r="AX637" s="443"/>
      <c r="AY637" s="443"/>
      <c r="AZ637" s="443"/>
      <c r="BA637" s="443"/>
      <c r="BB637" s="443"/>
      <c r="BC637" s="443"/>
      <c r="BD637" s="443"/>
      <c r="BE637" s="443"/>
    </row>
    <row r="638" hidden="1">
      <c r="A638" s="445">
        <f t="shared" si="5"/>
        <v>45928</v>
      </c>
      <c r="B638" s="449">
        <v>0.0</v>
      </c>
      <c r="C638" s="443"/>
      <c r="D638" s="462"/>
      <c r="E638" s="436" t="str">
        <f t="array" ref="E638">IF(B638=0,"",(J638+K638)/60)</f>
        <v/>
      </c>
      <c r="F638" s="437" t="str">
        <f t="shared" si="1"/>
        <v/>
      </c>
      <c r="G638" s="438" t="str">
        <f t="shared" si="9"/>
        <v>#DIV/0!</v>
      </c>
      <c r="H638" s="438" t="str">
        <f t="shared" si="3"/>
        <v/>
      </c>
      <c r="I638" s="436" t="str">
        <f t="shared" si="10"/>
        <v/>
      </c>
      <c r="J638" s="464"/>
      <c r="K638" s="464"/>
      <c r="L638" s="443"/>
      <c r="M638" s="447">
        <f>IFERROR(__xludf.DUMMYFUNCTION("""COMPUTED_VALUE"""),57.0)</f>
        <v>57</v>
      </c>
      <c r="N638" s="447">
        <f>IFERROR(__xludf.DUMMYFUNCTION("""COMPUTED_VALUE"""),57.0)</f>
        <v>57</v>
      </c>
      <c r="O638" s="447">
        <f>IFERROR(__xludf.DUMMYFUNCTION("""COMPUTED_VALUE"""),0.0)</f>
        <v>0</v>
      </c>
      <c r="P638" s="447">
        <f>IFERROR(__xludf.DUMMYFUNCTION("""COMPUTED_VALUE"""),0.0)</f>
        <v>0</v>
      </c>
      <c r="Q638" s="447">
        <f>IFERROR(__xludf.DUMMYFUNCTION("""COMPUTED_VALUE"""),0.0)</f>
        <v>0</v>
      </c>
      <c r="R638" s="447">
        <f>IFERROR(__xludf.DUMMYFUNCTION("""COMPUTED_VALUE"""),0.0)</f>
        <v>0</v>
      </c>
      <c r="S638" s="447">
        <f>IFERROR(__xludf.DUMMYFUNCTION("""COMPUTED_VALUE"""),0.0)</f>
        <v>0</v>
      </c>
      <c r="T638" s="447">
        <f>IFERROR(__xludf.DUMMYFUNCTION("""COMPUTED_VALUE"""),0.0)</f>
        <v>0</v>
      </c>
      <c r="U638" s="447">
        <f>IFERROR(__xludf.DUMMYFUNCTION("""COMPUTED_VALUE"""),0.0)</f>
        <v>0</v>
      </c>
      <c r="V638" s="447">
        <f>IFERROR(__xludf.DUMMYFUNCTION("""COMPUTED_VALUE"""),0.0)</f>
        <v>0</v>
      </c>
      <c r="W638" s="447">
        <f>IFERROR(__xludf.DUMMYFUNCTION("""COMPUTED_VALUE"""),0.0)</f>
        <v>0</v>
      </c>
      <c r="X638" s="447">
        <f>IFERROR(__xludf.DUMMYFUNCTION("""COMPUTED_VALUE"""),0.0)</f>
        <v>0</v>
      </c>
      <c r="Y638" s="447">
        <f>IFERROR(__xludf.DUMMYFUNCTION("""COMPUTED_VALUE"""),0.0)</f>
        <v>0</v>
      </c>
      <c r="Z638" s="447">
        <f>IFERROR(__xludf.DUMMYFUNCTION("""COMPUTED_VALUE"""),0.0)</f>
        <v>0</v>
      </c>
      <c r="AA638" s="447">
        <f>IFERROR(__xludf.DUMMYFUNCTION("""COMPUTED_VALUE"""),0.0)</f>
        <v>0</v>
      </c>
      <c r="AB638" s="447">
        <f>IFERROR(__xludf.DUMMYFUNCTION("""COMPUTED_VALUE"""),0.0)</f>
        <v>0</v>
      </c>
      <c r="AC638" s="447">
        <f>IFERROR(__xludf.DUMMYFUNCTION("""COMPUTED_VALUE"""),0.0)</f>
        <v>0</v>
      </c>
      <c r="AD638" s="447">
        <f>IFERROR(__xludf.DUMMYFUNCTION("""COMPUTED_VALUE"""),0.0)</f>
        <v>0</v>
      </c>
      <c r="AE638" s="447">
        <f>IFERROR(__xludf.DUMMYFUNCTION("""COMPUTED_VALUE"""),0.0)</f>
        <v>0</v>
      </c>
      <c r="AF638" s="447">
        <f>IFERROR(__xludf.DUMMYFUNCTION("""COMPUTED_VALUE"""),0.0)</f>
        <v>0</v>
      </c>
      <c r="AG638" s="443" t="s">
        <v>132</v>
      </c>
      <c r="AH638" s="443" t="s">
        <v>961</v>
      </c>
      <c r="AI638" s="443"/>
      <c r="AJ638" s="443"/>
      <c r="AK638" s="443"/>
      <c r="AL638" s="443"/>
      <c r="AM638" s="443"/>
      <c r="AN638" s="443"/>
      <c r="AO638" s="443"/>
      <c r="AP638" s="443"/>
      <c r="AQ638" s="443"/>
      <c r="AR638" s="443"/>
      <c r="AS638" s="443"/>
      <c r="AT638" s="443"/>
      <c r="AU638" s="443"/>
      <c r="AV638" s="443"/>
      <c r="AW638" s="443"/>
      <c r="AX638" s="443"/>
      <c r="AY638" s="443"/>
      <c r="AZ638" s="443"/>
      <c r="BA638" s="443"/>
      <c r="BB638" s="443"/>
      <c r="BC638" s="443"/>
      <c r="BD638" s="443"/>
      <c r="BE638" s="443"/>
    </row>
    <row r="639" hidden="1">
      <c r="A639" s="445">
        <f t="shared" si="5"/>
        <v>45929</v>
      </c>
      <c r="B639" s="449">
        <v>643.0</v>
      </c>
      <c r="C639" s="462">
        <v>0.6</v>
      </c>
      <c r="D639" s="462">
        <v>1.0125</v>
      </c>
      <c r="E639" s="436">
        <f t="array" ref="E639">IF(B639=0,"",(J639+K639)/60)</f>
        <v>1.133333333</v>
      </c>
      <c r="F639" s="437">
        <f t="shared" si="1"/>
        <v>9.9</v>
      </c>
      <c r="G639" s="438">
        <f t="shared" si="9"/>
        <v>64.94949495</v>
      </c>
      <c r="H639" s="438">
        <f t="shared" si="3"/>
        <v>73.3460076</v>
      </c>
      <c r="I639" s="436">
        <f t="shared" si="10"/>
        <v>1.325499897</v>
      </c>
      <c r="J639" s="460">
        <v>60.0</v>
      </c>
      <c r="K639" s="464">
        <f>8</f>
        <v>8</v>
      </c>
      <c r="L639" s="443"/>
      <c r="M639" s="447">
        <f>IFERROR(__xludf.DUMMYFUNCTION("""COMPUTED_VALUE"""),57.0)</f>
        <v>57</v>
      </c>
      <c r="N639" s="447">
        <f>IFERROR(__xludf.DUMMYFUNCTION("""COMPUTED_VALUE"""),56.0)</f>
        <v>56</v>
      </c>
      <c r="O639" s="447">
        <f>IFERROR(__xludf.DUMMYFUNCTION("""COMPUTED_VALUE"""),0.0)</f>
        <v>0</v>
      </c>
      <c r="P639" s="447">
        <f>IFERROR(__xludf.DUMMYFUNCTION("""COMPUTED_VALUE"""),0.0)</f>
        <v>0</v>
      </c>
      <c r="Q639" s="447">
        <f>IFERROR(__xludf.DUMMYFUNCTION("""COMPUTED_VALUE"""),0.0)</f>
        <v>0</v>
      </c>
      <c r="R639" s="447">
        <f>IFERROR(__xludf.DUMMYFUNCTION("""COMPUTED_VALUE"""),0.0)</f>
        <v>0</v>
      </c>
      <c r="S639" s="447">
        <f>IFERROR(__xludf.DUMMYFUNCTION("""COMPUTED_VALUE"""),0.0)</f>
        <v>0</v>
      </c>
      <c r="T639" s="447">
        <f>IFERROR(__xludf.DUMMYFUNCTION("""COMPUTED_VALUE"""),1.0)</f>
        <v>1</v>
      </c>
      <c r="U639" s="447">
        <f>IFERROR(__xludf.DUMMYFUNCTION("""COMPUTED_VALUE"""),1.0)</f>
        <v>1</v>
      </c>
      <c r="V639" s="447">
        <f>IFERROR(__xludf.DUMMYFUNCTION("""COMPUTED_VALUE"""),3.0)</f>
        <v>3</v>
      </c>
      <c r="W639" s="447">
        <f>IFERROR(__xludf.DUMMYFUNCTION("""COMPUTED_VALUE"""),0.0)</f>
        <v>0</v>
      </c>
      <c r="X639" s="447">
        <f>IFERROR(__xludf.DUMMYFUNCTION("""COMPUTED_VALUE"""),1.0)</f>
        <v>1</v>
      </c>
      <c r="Y639" s="447">
        <f>IFERROR(__xludf.DUMMYFUNCTION("""COMPUTED_VALUE"""),0.0)</f>
        <v>0</v>
      </c>
      <c r="Z639" s="447">
        <f>IFERROR(__xludf.DUMMYFUNCTION("""COMPUTED_VALUE"""),0.0)</f>
        <v>0</v>
      </c>
      <c r="AA639" s="447">
        <f>IFERROR(__xludf.DUMMYFUNCTION("""COMPUTED_VALUE"""),0.0)</f>
        <v>0</v>
      </c>
      <c r="AB639" s="447">
        <f>IFERROR(__xludf.DUMMYFUNCTION("""COMPUTED_VALUE"""),0.0)</f>
        <v>0</v>
      </c>
      <c r="AC639" s="447">
        <f>IFERROR(__xludf.DUMMYFUNCTION("""COMPUTED_VALUE"""),0.0)</f>
        <v>0</v>
      </c>
      <c r="AD639" s="447">
        <f>IFERROR(__xludf.DUMMYFUNCTION("""COMPUTED_VALUE"""),49.0)</f>
        <v>49</v>
      </c>
      <c r="AE639" s="447">
        <f>IFERROR(__xludf.DUMMYFUNCTION("""COMPUTED_VALUE"""),6.0)</f>
        <v>6</v>
      </c>
      <c r="AF639" s="447">
        <f>IFERROR(__xludf.DUMMYFUNCTION("""COMPUTED_VALUE"""),1.0)</f>
        <v>1</v>
      </c>
      <c r="AG639" s="443" t="s">
        <v>132</v>
      </c>
      <c r="AH639" s="443" t="s">
        <v>961</v>
      </c>
      <c r="AI639" s="443"/>
      <c r="AJ639" s="443"/>
      <c r="AK639" s="443"/>
      <c r="AL639" s="443"/>
      <c r="AM639" s="443"/>
      <c r="AN639" s="443"/>
      <c r="AO639" s="443"/>
      <c r="AP639" s="443"/>
      <c r="AQ639" s="443"/>
      <c r="AR639" s="443"/>
      <c r="AS639" s="443"/>
      <c r="AT639" s="443"/>
      <c r="AU639" s="443"/>
      <c r="AV639" s="443"/>
      <c r="AW639" s="443"/>
      <c r="AX639" s="443"/>
      <c r="AY639" s="443"/>
      <c r="AZ639" s="443"/>
      <c r="BA639" s="443"/>
      <c r="BB639" s="443"/>
      <c r="BC639" s="443"/>
      <c r="BD639" s="443"/>
      <c r="BE639" s="443"/>
    </row>
    <row r="640" hidden="1">
      <c r="A640" s="445">
        <f t="shared" si="5"/>
        <v>45930</v>
      </c>
      <c r="B640" s="449">
        <v>467.0</v>
      </c>
      <c r="C640" s="462">
        <v>0.6</v>
      </c>
      <c r="D640" s="462">
        <v>0.9277777777777778</v>
      </c>
      <c r="E640" s="436">
        <f t="array" ref="E640">IF(B640=0,"",(J640+K640)/60)</f>
        <v>0.9666666667</v>
      </c>
      <c r="F640" s="437">
        <f t="shared" si="1"/>
        <v>7.866666667</v>
      </c>
      <c r="G640" s="438">
        <f t="shared" si="9"/>
        <v>59.36440678</v>
      </c>
      <c r="H640" s="438">
        <f t="shared" si="3"/>
        <v>67.68115942</v>
      </c>
      <c r="I640" s="436">
        <f t="shared" si="10"/>
        <v>1.211518506</v>
      </c>
      <c r="J640" s="460">
        <v>30.0</v>
      </c>
      <c r="K640" s="464">
        <f>10+18</f>
        <v>28</v>
      </c>
      <c r="L640" s="443"/>
      <c r="M640" s="447">
        <f>IFERROR(__xludf.DUMMYFUNCTION("""COMPUTED_VALUE"""),57.0)</f>
        <v>57</v>
      </c>
      <c r="N640" s="447">
        <f>IFERROR(__xludf.DUMMYFUNCTION("""COMPUTED_VALUE"""),56.0)</f>
        <v>56</v>
      </c>
      <c r="O640" s="447">
        <f>IFERROR(__xludf.DUMMYFUNCTION("""COMPUTED_VALUE"""),0.0)</f>
        <v>0</v>
      </c>
      <c r="P640" s="447">
        <f>IFERROR(__xludf.DUMMYFUNCTION("""COMPUTED_VALUE"""),0.0)</f>
        <v>0</v>
      </c>
      <c r="Q640" s="447">
        <f>IFERROR(__xludf.DUMMYFUNCTION("""COMPUTED_VALUE"""),0.0)</f>
        <v>0</v>
      </c>
      <c r="R640" s="447">
        <f>IFERROR(__xludf.DUMMYFUNCTION("""COMPUTED_VALUE"""),0.0)</f>
        <v>0</v>
      </c>
      <c r="S640" s="447">
        <f>IFERROR(__xludf.DUMMYFUNCTION("""COMPUTED_VALUE"""),1.0)</f>
        <v>1</v>
      </c>
      <c r="T640" s="447">
        <f>IFERROR(__xludf.DUMMYFUNCTION("""COMPUTED_VALUE"""),0.0)</f>
        <v>0</v>
      </c>
      <c r="U640" s="447">
        <f>IFERROR(__xludf.DUMMYFUNCTION("""COMPUTED_VALUE"""),1.0)</f>
        <v>1</v>
      </c>
      <c r="V640" s="447">
        <f>IFERROR(__xludf.DUMMYFUNCTION("""COMPUTED_VALUE"""),3.0)</f>
        <v>3</v>
      </c>
      <c r="W640" s="447">
        <f>IFERROR(__xludf.DUMMYFUNCTION("""COMPUTED_VALUE"""),0.0)</f>
        <v>0</v>
      </c>
      <c r="X640" s="447">
        <f>IFERROR(__xludf.DUMMYFUNCTION("""COMPUTED_VALUE"""),1.0)</f>
        <v>1</v>
      </c>
      <c r="Y640" s="447">
        <f>IFERROR(__xludf.DUMMYFUNCTION("""COMPUTED_VALUE"""),0.0)</f>
        <v>0</v>
      </c>
      <c r="Z640" s="447">
        <f>IFERROR(__xludf.DUMMYFUNCTION("""COMPUTED_VALUE"""),0.0)</f>
        <v>0</v>
      </c>
      <c r="AA640" s="447">
        <f>IFERROR(__xludf.DUMMYFUNCTION("""COMPUTED_VALUE"""),0.0)</f>
        <v>0</v>
      </c>
      <c r="AB640" s="447">
        <f>IFERROR(__xludf.DUMMYFUNCTION("""COMPUTED_VALUE"""),0.0)</f>
        <v>0</v>
      </c>
      <c r="AC640" s="447">
        <f>IFERROR(__xludf.DUMMYFUNCTION("""COMPUTED_VALUE"""),0.0)</f>
        <v>0</v>
      </c>
      <c r="AD640" s="447">
        <f>IFERROR(__xludf.DUMMYFUNCTION("""COMPUTED_VALUE"""),49.0)</f>
        <v>49</v>
      </c>
      <c r="AE640" s="447">
        <f>IFERROR(__xludf.DUMMYFUNCTION("""COMPUTED_VALUE"""),6.0)</f>
        <v>6</v>
      </c>
      <c r="AF640" s="447">
        <f>IFERROR(__xludf.DUMMYFUNCTION("""COMPUTED_VALUE"""),1.0)</f>
        <v>1</v>
      </c>
      <c r="AG640" s="443" t="s">
        <v>132</v>
      </c>
      <c r="AH640" s="443" t="s">
        <v>961</v>
      </c>
      <c r="AI640" s="443"/>
      <c r="AJ640" s="443"/>
      <c r="AK640" s="443"/>
      <c r="AL640" s="443"/>
      <c r="AM640" s="443"/>
      <c r="AN640" s="443"/>
      <c r="AO640" s="443"/>
      <c r="AP640" s="443"/>
      <c r="AQ640" s="443"/>
      <c r="AR640" s="443"/>
      <c r="AS640" s="443"/>
      <c r="AT640" s="443"/>
      <c r="AU640" s="443"/>
      <c r="AV640" s="443"/>
      <c r="AW640" s="443"/>
      <c r="AX640" s="443"/>
      <c r="AY640" s="443"/>
      <c r="AZ640" s="443"/>
      <c r="BA640" s="443"/>
      <c r="BB640" s="443"/>
      <c r="BC640" s="443"/>
      <c r="BD640" s="443"/>
      <c r="BE640" s="443"/>
    </row>
    <row r="641" hidden="1">
      <c r="A641" s="445">
        <f t="shared" si="5"/>
        <v>45931</v>
      </c>
      <c r="B641" s="449">
        <v>482.0</v>
      </c>
      <c r="C641" s="462">
        <v>0.6</v>
      </c>
      <c r="D641" s="462">
        <v>0.9138888888888889</v>
      </c>
      <c r="E641" s="436">
        <f t="array" ref="E641">IF(B641=0,"",(J641+K641)/60)</f>
        <v>0.8</v>
      </c>
      <c r="F641" s="437">
        <f t="shared" si="1"/>
        <v>7.533333333</v>
      </c>
      <c r="G641" s="438">
        <f t="shared" si="9"/>
        <v>63.98230088</v>
      </c>
      <c r="H641" s="438">
        <f t="shared" si="3"/>
        <v>71.58415842</v>
      </c>
      <c r="I641" s="436">
        <f t="shared" si="10"/>
        <v>1.279646018</v>
      </c>
      <c r="J641" s="460">
        <v>30.0</v>
      </c>
      <c r="K641" s="464">
        <f>6+5+7</f>
        <v>18</v>
      </c>
      <c r="L641" s="443"/>
      <c r="M641" s="447">
        <f>IFERROR(__xludf.DUMMYFUNCTION("TRANSPOSE(IMPORTRANGE(""https://docs.google.com/spreadsheets/d/1CNeKSHTeNNJnfn5EymHwGg5Mkuk6EcepW7_9QkJxalc/edit#gid=1218471306"",""OCTUBRE 2025!F2:AJ21""))"),57.0)</f>
        <v>57</v>
      </c>
      <c r="N641" s="447">
        <f>IFERROR(__xludf.DUMMYFUNCTION("""COMPUTED_VALUE"""),56.0)</f>
        <v>56</v>
      </c>
      <c r="O641" s="447">
        <f>IFERROR(__xludf.DUMMYFUNCTION("""COMPUTED_VALUE"""),0.0)</f>
        <v>0</v>
      </c>
      <c r="P641" s="447">
        <f>IFERROR(__xludf.DUMMYFUNCTION("""COMPUTED_VALUE"""),0.0)</f>
        <v>0</v>
      </c>
      <c r="Q641" s="447">
        <f>IFERROR(__xludf.DUMMYFUNCTION("""COMPUTED_VALUE"""),0.0)</f>
        <v>0</v>
      </c>
      <c r="R641" s="447">
        <f>IFERROR(__xludf.DUMMYFUNCTION("""COMPUTED_VALUE"""),0.0)</f>
        <v>0</v>
      </c>
      <c r="S641" s="447">
        <f>IFERROR(__xludf.DUMMYFUNCTION("""COMPUTED_VALUE"""),2.0)</f>
        <v>2</v>
      </c>
      <c r="T641" s="447">
        <f>IFERROR(__xludf.DUMMYFUNCTION("""COMPUTED_VALUE"""),0.0)</f>
        <v>0</v>
      </c>
      <c r="U641" s="447">
        <f>IFERROR(__xludf.DUMMYFUNCTION("""COMPUTED_VALUE"""),1.0)</f>
        <v>1</v>
      </c>
      <c r="V641" s="447">
        <f>IFERROR(__xludf.DUMMYFUNCTION("""COMPUTED_VALUE"""),0.0)</f>
        <v>0</v>
      </c>
      <c r="W641" s="447">
        <f>IFERROR(__xludf.DUMMYFUNCTION("""COMPUTED_VALUE"""),0.0)</f>
        <v>0</v>
      </c>
      <c r="X641" s="447">
        <f>IFERROR(__xludf.DUMMYFUNCTION("""COMPUTED_VALUE"""),1.0)</f>
        <v>1</v>
      </c>
      <c r="Y641" s="447">
        <f>IFERROR(__xludf.DUMMYFUNCTION("""COMPUTED_VALUE"""),0.0)</f>
        <v>0</v>
      </c>
      <c r="Z641" s="447">
        <f>IFERROR(__xludf.DUMMYFUNCTION("""COMPUTED_VALUE"""),0.0)</f>
        <v>0</v>
      </c>
      <c r="AA641" s="447">
        <f>IFERROR(__xludf.DUMMYFUNCTION("""COMPUTED_VALUE"""),0.0)</f>
        <v>0</v>
      </c>
      <c r="AB641" s="447">
        <f>IFERROR(__xludf.DUMMYFUNCTION("""COMPUTED_VALUE"""),0.0)</f>
        <v>0</v>
      </c>
      <c r="AC641" s="447">
        <f>IFERROR(__xludf.DUMMYFUNCTION("""COMPUTED_VALUE"""),0.0)</f>
        <v>0</v>
      </c>
      <c r="AD641" s="447">
        <f>IFERROR(__xludf.DUMMYFUNCTION("""COMPUTED_VALUE"""),50.0)</f>
        <v>50</v>
      </c>
      <c r="AE641" s="447">
        <f>IFERROR(__xludf.DUMMYFUNCTION("""COMPUTED_VALUE"""),4.0)</f>
        <v>4</v>
      </c>
      <c r="AF641" s="447">
        <f>IFERROR(__xludf.DUMMYFUNCTION("""COMPUTED_VALUE"""),1.0)</f>
        <v>1</v>
      </c>
      <c r="AG641" s="443" t="s">
        <v>137</v>
      </c>
      <c r="AH641" s="443" t="s">
        <v>961</v>
      </c>
      <c r="AI641" s="443"/>
      <c r="AJ641" s="443"/>
      <c r="AK641" s="443"/>
      <c r="AL641" s="443"/>
      <c r="AM641" s="443"/>
      <c r="AN641" s="443"/>
      <c r="AO641" s="443"/>
      <c r="AP641" s="443"/>
      <c r="AQ641" s="443"/>
      <c r="AR641" s="443"/>
      <c r="AS641" s="443"/>
      <c r="AT641" s="443"/>
      <c r="AU641" s="443"/>
      <c r="AV641" s="443"/>
      <c r="AW641" s="443"/>
      <c r="AX641" s="443"/>
      <c r="AY641" s="443"/>
      <c r="AZ641" s="443"/>
      <c r="BA641" s="443"/>
      <c r="BB641" s="443"/>
      <c r="BC641" s="443"/>
      <c r="BD641" s="443"/>
      <c r="BE641" s="443"/>
    </row>
    <row r="642" hidden="1">
      <c r="A642" s="445">
        <f t="shared" si="5"/>
        <v>45932</v>
      </c>
      <c r="B642" s="449">
        <v>550.0</v>
      </c>
      <c r="C642" s="462">
        <v>0.6</v>
      </c>
      <c r="D642" s="462">
        <v>0.9895833333333334</v>
      </c>
      <c r="E642" s="436">
        <f t="array" ref="E642">IF(B642=0,"",(J642+K642)/60)</f>
        <v>1.666666667</v>
      </c>
      <c r="F642" s="437">
        <f t="shared" si="1"/>
        <v>9.35</v>
      </c>
      <c r="G642" s="438">
        <f t="shared" si="9"/>
        <v>58.82352941</v>
      </c>
      <c r="H642" s="438">
        <f t="shared" si="3"/>
        <v>71.5835141</v>
      </c>
      <c r="I642" s="436">
        <f t="shared" si="10"/>
        <v>1.251564456</v>
      </c>
      <c r="J642" s="460">
        <v>60.0</v>
      </c>
      <c r="K642" s="464">
        <f>27+5+8</f>
        <v>40</v>
      </c>
      <c r="L642" s="443"/>
      <c r="M642" s="447">
        <f>IFERROR(__xludf.DUMMYFUNCTION("""COMPUTED_VALUE"""),57.0)</f>
        <v>57</v>
      </c>
      <c r="N642" s="447">
        <f>IFERROR(__xludf.DUMMYFUNCTION("""COMPUTED_VALUE"""),56.0)</f>
        <v>56</v>
      </c>
      <c r="O642" s="447">
        <f>IFERROR(__xludf.DUMMYFUNCTION("""COMPUTED_VALUE"""),0.0)</f>
        <v>0</v>
      </c>
      <c r="P642" s="447">
        <f>IFERROR(__xludf.DUMMYFUNCTION("""COMPUTED_VALUE"""),0.0)</f>
        <v>0</v>
      </c>
      <c r="Q642" s="447">
        <f>IFERROR(__xludf.DUMMYFUNCTION("""COMPUTED_VALUE"""),0.0)</f>
        <v>0</v>
      </c>
      <c r="R642" s="447">
        <f>IFERROR(__xludf.DUMMYFUNCTION("""COMPUTED_VALUE"""),0.0)</f>
        <v>0</v>
      </c>
      <c r="S642" s="447">
        <f>IFERROR(__xludf.DUMMYFUNCTION("""COMPUTED_VALUE"""),2.0)</f>
        <v>2</v>
      </c>
      <c r="T642" s="447">
        <f>IFERROR(__xludf.DUMMYFUNCTION("""COMPUTED_VALUE"""),1.0)</f>
        <v>1</v>
      </c>
      <c r="U642" s="447">
        <f>IFERROR(__xludf.DUMMYFUNCTION("""COMPUTED_VALUE"""),1.0)</f>
        <v>1</v>
      </c>
      <c r="V642" s="447">
        <f>IFERROR(__xludf.DUMMYFUNCTION("""COMPUTED_VALUE"""),2.0)</f>
        <v>2</v>
      </c>
      <c r="W642" s="447">
        <f>IFERROR(__xludf.DUMMYFUNCTION("""COMPUTED_VALUE"""),0.0)</f>
        <v>0</v>
      </c>
      <c r="X642" s="447">
        <f>IFERROR(__xludf.DUMMYFUNCTION("""COMPUTED_VALUE"""),1.0)</f>
        <v>1</v>
      </c>
      <c r="Y642" s="447">
        <f>IFERROR(__xludf.DUMMYFUNCTION("""COMPUTED_VALUE"""),0.0)</f>
        <v>0</v>
      </c>
      <c r="Z642" s="447">
        <f>IFERROR(__xludf.DUMMYFUNCTION("""COMPUTED_VALUE"""),0.0)</f>
        <v>0</v>
      </c>
      <c r="AA642" s="447">
        <f>IFERROR(__xludf.DUMMYFUNCTION("""COMPUTED_VALUE"""),0.0)</f>
        <v>0</v>
      </c>
      <c r="AB642" s="447">
        <f>IFERROR(__xludf.DUMMYFUNCTION("""COMPUTED_VALUE"""),0.0)</f>
        <v>0</v>
      </c>
      <c r="AC642" s="447">
        <f>IFERROR(__xludf.DUMMYFUNCTION("""COMPUTED_VALUE"""),0.0)</f>
        <v>0</v>
      </c>
      <c r="AD642" s="447">
        <f>IFERROR(__xludf.DUMMYFUNCTION("""COMPUTED_VALUE"""),47.0)</f>
        <v>47</v>
      </c>
      <c r="AE642" s="447">
        <f>IFERROR(__xludf.DUMMYFUNCTION("""COMPUTED_VALUE"""),7.0)</f>
        <v>7</v>
      </c>
      <c r="AF642" s="447">
        <f>IFERROR(__xludf.DUMMYFUNCTION("""COMPUTED_VALUE"""),1.0)</f>
        <v>1</v>
      </c>
      <c r="AG642" s="443" t="s">
        <v>137</v>
      </c>
      <c r="AH642" s="443" t="s">
        <v>961</v>
      </c>
      <c r="AI642" s="443"/>
      <c r="AJ642" s="443"/>
      <c r="AK642" s="443"/>
      <c r="AL642" s="443"/>
      <c r="AM642" s="443"/>
      <c r="AN642" s="443"/>
      <c r="AO642" s="443"/>
      <c r="AP642" s="443"/>
      <c r="AQ642" s="443"/>
      <c r="AR642" s="443"/>
      <c r="AS642" s="443"/>
      <c r="AT642" s="443"/>
      <c r="AU642" s="443"/>
      <c r="AV642" s="443"/>
      <c r="AW642" s="443"/>
      <c r="AX642" s="443"/>
      <c r="AY642" s="443"/>
      <c r="AZ642" s="443"/>
      <c r="BA642" s="443"/>
      <c r="BB642" s="443"/>
      <c r="BC642" s="443"/>
      <c r="BD642" s="443"/>
      <c r="BE642" s="443"/>
    </row>
    <row r="643" hidden="1">
      <c r="A643" s="445">
        <f t="shared" si="5"/>
        <v>45933</v>
      </c>
      <c r="B643" s="449">
        <v>470.0</v>
      </c>
      <c r="C643" s="462">
        <v>0.6</v>
      </c>
      <c r="D643" s="462">
        <v>0.9222222222222223</v>
      </c>
      <c r="E643" s="436">
        <f t="array" ref="E643">IF(B643=0,"",(J643+K643)/60)</f>
        <v>1</v>
      </c>
      <c r="F643" s="437">
        <f t="shared" si="1"/>
        <v>7.733333333</v>
      </c>
      <c r="G643" s="438">
        <f t="shared" si="9"/>
        <v>60.77586207</v>
      </c>
      <c r="H643" s="438">
        <f t="shared" si="3"/>
        <v>69.8019802</v>
      </c>
      <c r="I643" s="436">
        <f t="shared" si="10"/>
        <v>1.266163793</v>
      </c>
      <c r="J643" s="460">
        <v>30.0</v>
      </c>
      <c r="K643" s="460">
        <v>30.0</v>
      </c>
      <c r="L643" s="443"/>
      <c r="M643" s="447">
        <f>IFERROR(__xludf.DUMMYFUNCTION("""COMPUTED_VALUE"""),57.0)</f>
        <v>57</v>
      </c>
      <c r="N643" s="447">
        <f>IFERROR(__xludf.DUMMYFUNCTION("""COMPUTED_VALUE"""),56.0)</f>
        <v>56</v>
      </c>
      <c r="O643" s="447">
        <f>IFERROR(__xludf.DUMMYFUNCTION("""COMPUTED_VALUE"""),0.0)</f>
        <v>0</v>
      </c>
      <c r="P643" s="447">
        <f>IFERROR(__xludf.DUMMYFUNCTION("""COMPUTED_VALUE"""),0.0)</f>
        <v>0</v>
      </c>
      <c r="Q643" s="447">
        <f>IFERROR(__xludf.DUMMYFUNCTION("""COMPUTED_VALUE"""),0.0)</f>
        <v>0</v>
      </c>
      <c r="R643" s="447">
        <f>IFERROR(__xludf.DUMMYFUNCTION("""COMPUTED_VALUE"""),0.0)</f>
        <v>0</v>
      </c>
      <c r="S643" s="447">
        <f>IFERROR(__xludf.DUMMYFUNCTION("""COMPUTED_VALUE"""),1.0)</f>
        <v>1</v>
      </c>
      <c r="T643" s="447">
        <f>IFERROR(__xludf.DUMMYFUNCTION("""COMPUTED_VALUE"""),1.0)</f>
        <v>1</v>
      </c>
      <c r="U643" s="447">
        <f>IFERROR(__xludf.DUMMYFUNCTION("""COMPUTED_VALUE"""),1.0)</f>
        <v>1</v>
      </c>
      <c r="V643" s="447">
        <f>IFERROR(__xludf.DUMMYFUNCTION("""COMPUTED_VALUE"""),2.0)</f>
        <v>2</v>
      </c>
      <c r="W643" s="447">
        <f>IFERROR(__xludf.DUMMYFUNCTION("""COMPUTED_VALUE"""),0.0)</f>
        <v>0</v>
      </c>
      <c r="X643" s="447">
        <f>IFERROR(__xludf.DUMMYFUNCTION("""COMPUTED_VALUE"""),1.0)</f>
        <v>1</v>
      </c>
      <c r="Y643" s="447">
        <f>IFERROR(__xludf.DUMMYFUNCTION("""COMPUTED_VALUE"""),0.0)</f>
        <v>0</v>
      </c>
      <c r="Z643" s="447">
        <f>IFERROR(__xludf.DUMMYFUNCTION("""COMPUTED_VALUE"""),0.0)</f>
        <v>0</v>
      </c>
      <c r="AA643" s="447">
        <f>IFERROR(__xludf.DUMMYFUNCTION("""COMPUTED_VALUE"""),0.0)</f>
        <v>0</v>
      </c>
      <c r="AB643" s="447">
        <f>IFERROR(__xludf.DUMMYFUNCTION("""COMPUTED_VALUE"""),0.0)</f>
        <v>0</v>
      </c>
      <c r="AC643" s="447">
        <f>IFERROR(__xludf.DUMMYFUNCTION("""COMPUTED_VALUE"""),0.0)</f>
        <v>0</v>
      </c>
      <c r="AD643" s="447">
        <f>IFERROR(__xludf.DUMMYFUNCTION("""COMPUTED_VALUE"""),48.0)</f>
        <v>48</v>
      </c>
      <c r="AE643" s="447">
        <f>IFERROR(__xludf.DUMMYFUNCTION("""COMPUTED_VALUE"""),6.0)</f>
        <v>6</v>
      </c>
      <c r="AF643" s="447">
        <f>IFERROR(__xludf.DUMMYFUNCTION("""COMPUTED_VALUE"""),1.0)</f>
        <v>1</v>
      </c>
      <c r="AG643" s="443" t="s">
        <v>137</v>
      </c>
      <c r="AH643" s="443" t="s">
        <v>961</v>
      </c>
      <c r="AI643" s="443"/>
      <c r="AJ643" s="443"/>
      <c r="AK643" s="443"/>
      <c r="AL643" s="443"/>
      <c r="AM643" s="443"/>
      <c r="AN643" s="443"/>
      <c r="AO643" s="443"/>
      <c r="AP643" s="443"/>
      <c r="AQ643" s="443"/>
      <c r="AR643" s="443"/>
      <c r="AS643" s="443"/>
      <c r="AT643" s="443"/>
      <c r="AU643" s="443"/>
      <c r="AV643" s="443"/>
      <c r="AW643" s="443"/>
      <c r="AX643" s="443"/>
      <c r="AY643" s="443"/>
      <c r="AZ643" s="443"/>
      <c r="BA643" s="443"/>
      <c r="BB643" s="443"/>
      <c r="BC643" s="443"/>
      <c r="BD643" s="443"/>
      <c r="BE643" s="443"/>
    </row>
    <row r="644" hidden="1">
      <c r="A644" s="445">
        <f t="shared" si="5"/>
        <v>45934</v>
      </c>
      <c r="B644" s="449">
        <v>253.0</v>
      </c>
      <c r="C644" s="462">
        <v>0.6</v>
      </c>
      <c r="D644" s="462">
        <v>0.7583333333333333</v>
      </c>
      <c r="E644" s="436">
        <f t="array" ref="E644">IF(B644=0,"",(J644+K644)/60)</f>
        <v>0.5</v>
      </c>
      <c r="F644" s="437">
        <f t="shared" si="1"/>
        <v>3.8</v>
      </c>
      <c r="G644" s="438">
        <f t="shared" si="9"/>
        <v>66.57894737</v>
      </c>
      <c r="H644" s="438">
        <f t="shared" si="3"/>
        <v>76.66666667</v>
      </c>
      <c r="I644" s="436">
        <f t="shared" si="10"/>
        <v>1.416573348</v>
      </c>
      <c r="J644" s="460">
        <v>30.0</v>
      </c>
      <c r="K644" s="460">
        <v>0.0</v>
      </c>
      <c r="L644" s="443"/>
      <c r="M644" s="447">
        <f>IFERROR(__xludf.DUMMYFUNCTION("""COMPUTED_VALUE"""),57.0)</f>
        <v>57</v>
      </c>
      <c r="N644" s="447">
        <f>IFERROR(__xludf.DUMMYFUNCTION("""COMPUTED_VALUE"""),56.0)</f>
        <v>56</v>
      </c>
      <c r="O644" s="447">
        <f>IFERROR(__xludf.DUMMYFUNCTION("""COMPUTED_VALUE"""),0.0)</f>
        <v>0</v>
      </c>
      <c r="P644" s="447">
        <f>IFERROR(__xludf.DUMMYFUNCTION("""COMPUTED_VALUE"""),1.0)</f>
        <v>1</v>
      </c>
      <c r="Q644" s="447">
        <f>IFERROR(__xludf.DUMMYFUNCTION("""COMPUTED_VALUE"""),0.0)</f>
        <v>0</v>
      </c>
      <c r="R644" s="447">
        <f>IFERROR(__xludf.DUMMYFUNCTION("""COMPUTED_VALUE"""),0.0)</f>
        <v>0</v>
      </c>
      <c r="S644" s="447">
        <f>IFERROR(__xludf.DUMMYFUNCTION("""COMPUTED_VALUE"""),1.0)</f>
        <v>1</v>
      </c>
      <c r="T644" s="447">
        <f>IFERROR(__xludf.DUMMYFUNCTION("""COMPUTED_VALUE"""),1.0)</f>
        <v>1</v>
      </c>
      <c r="U644" s="447">
        <f>IFERROR(__xludf.DUMMYFUNCTION("""COMPUTED_VALUE"""),1.0)</f>
        <v>1</v>
      </c>
      <c r="V644" s="447">
        <f>IFERROR(__xludf.DUMMYFUNCTION("""COMPUTED_VALUE"""),2.0)</f>
        <v>2</v>
      </c>
      <c r="W644" s="447">
        <f>IFERROR(__xludf.DUMMYFUNCTION("""COMPUTED_VALUE"""),0.0)</f>
        <v>0</v>
      </c>
      <c r="X644" s="447">
        <f>IFERROR(__xludf.DUMMYFUNCTION("""COMPUTED_VALUE"""),1.0)</f>
        <v>1</v>
      </c>
      <c r="Y644" s="447">
        <f>IFERROR(__xludf.DUMMYFUNCTION("""COMPUTED_VALUE"""),0.0)</f>
        <v>0</v>
      </c>
      <c r="Z644" s="447">
        <f>IFERROR(__xludf.DUMMYFUNCTION("""COMPUTED_VALUE"""),0.0)</f>
        <v>0</v>
      </c>
      <c r="AA644" s="447">
        <f>IFERROR(__xludf.DUMMYFUNCTION("""COMPUTED_VALUE"""),0.0)</f>
        <v>0</v>
      </c>
      <c r="AB644" s="447">
        <f>IFERROR(__xludf.DUMMYFUNCTION("""COMPUTED_VALUE"""),0.0)</f>
        <v>0</v>
      </c>
      <c r="AC644" s="447">
        <f>IFERROR(__xludf.DUMMYFUNCTION("""COMPUTED_VALUE"""),0.0)</f>
        <v>0</v>
      </c>
      <c r="AD644" s="447">
        <f>IFERROR(__xludf.DUMMYFUNCTION("""COMPUTED_VALUE"""),47.0)</f>
        <v>47</v>
      </c>
      <c r="AE644" s="447">
        <f>IFERROR(__xludf.DUMMYFUNCTION("""COMPUTED_VALUE"""),7.0)</f>
        <v>7</v>
      </c>
      <c r="AF644" s="447">
        <f>IFERROR(__xludf.DUMMYFUNCTION("""COMPUTED_VALUE"""),1.0)</f>
        <v>1</v>
      </c>
      <c r="AG644" s="443" t="s">
        <v>137</v>
      </c>
      <c r="AH644" s="443" t="s">
        <v>961</v>
      </c>
      <c r="AI644" s="443"/>
      <c r="AJ644" s="443"/>
      <c r="AK644" s="443"/>
      <c r="AL644" s="443"/>
      <c r="AM644" s="443"/>
      <c r="AN644" s="443"/>
      <c r="AO644" s="443"/>
      <c r="AP644" s="443"/>
      <c r="AQ644" s="443"/>
      <c r="AR644" s="443"/>
      <c r="AS644" s="443"/>
      <c r="AT644" s="443"/>
      <c r="AU644" s="443"/>
      <c r="AV644" s="443"/>
      <c r="AW644" s="443"/>
      <c r="AX644" s="443"/>
      <c r="AY644" s="443"/>
      <c r="AZ644" s="443"/>
      <c r="BA644" s="443"/>
      <c r="BB644" s="443"/>
      <c r="BC644" s="443"/>
      <c r="BD644" s="443"/>
      <c r="BE644" s="443"/>
    </row>
    <row r="645" hidden="1">
      <c r="A645" s="445">
        <f t="shared" si="5"/>
        <v>45935</v>
      </c>
      <c r="B645" s="449">
        <v>0.0</v>
      </c>
      <c r="C645" s="443"/>
      <c r="D645" s="462"/>
      <c r="E645" s="436" t="str">
        <f t="array" ref="E645">IF(B645=0,"",(J645+K645)/60)</f>
        <v/>
      </c>
      <c r="F645" s="437" t="str">
        <f t="shared" si="1"/>
        <v/>
      </c>
      <c r="G645" s="438" t="str">
        <f t="shared" si="9"/>
        <v>#DIV/0!</v>
      </c>
      <c r="H645" s="438" t="str">
        <f t="shared" si="3"/>
        <v/>
      </c>
      <c r="I645" s="436" t="str">
        <f t="shared" si="10"/>
        <v/>
      </c>
      <c r="J645" s="464"/>
      <c r="K645" s="464"/>
      <c r="L645" s="443"/>
      <c r="M645" s="447">
        <f>IFERROR(__xludf.DUMMYFUNCTION("""COMPUTED_VALUE"""),57.0)</f>
        <v>57</v>
      </c>
      <c r="N645" s="447">
        <f>IFERROR(__xludf.DUMMYFUNCTION("""COMPUTED_VALUE"""),57.0)</f>
        <v>57</v>
      </c>
      <c r="O645" s="447">
        <f>IFERROR(__xludf.DUMMYFUNCTION("""COMPUTED_VALUE"""),0.0)</f>
        <v>0</v>
      </c>
      <c r="P645" s="447">
        <f>IFERROR(__xludf.DUMMYFUNCTION("""COMPUTED_VALUE"""),0.0)</f>
        <v>0</v>
      </c>
      <c r="Q645" s="447">
        <f>IFERROR(__xludf.DUMMYFUNCTION("""COMPUTED_VALUE"""),0.0)</f>
        <v>0</v>
      </c>
      <c r="R645" s="447">
        <f>IFERROR(__xludf.DUMMYFUNCTION("""COMPUTED_VALUE"""),0.0)</f>
        <v>0</v>
      </c>
      <c r="S645" s="447">
        <f>IFERROR(__xludf.DUMMYFUNCTION("""COMPUTED_VALUE"""),0.0)</f>
        <v>0</v>
      </c>
      <c r="T645" s="447">
        <f>IFERROR(__xludf.DUMMYFUNCTION("""COMPUTED_VALUE"""),0.0)</f>
        <v>0</v>
      </c>
      <c r="U645" s="447">
        <f>IFERROR(__xludf.DUMMYFUNCTION("""COMPUTED_VALUE"""),0.0)</f>
        <v>0</v>
      </c>
      <c r="V645" s="447">
        <f>IFERROR(__xludf.DUMMYFUNCTION("""COMPUTED_VALUE"""),0.0)</f>
        <v>0</v>
      </c>
      <c r="W645" s="447">
        <f>IFERROR(__xludf.DUMMYFUNCTION("""COMPUTED_VALUE"""),0.0)</f>
        <v>0</v>
      </c>
      <c r="X645" s="447">
        <f>IFERROR(__xludf.DUMMYFUNCTION("""COMPUTED_VALUE"""),0.0)</f>
        <v>0</v>
      </c>
      <c r="Y645" s="447">
        <f>IFERROR(__xludf.DUMMYFUNCTION("""COMPUTED_VALUE"""),0.0)</f>
        <v>0</v>
      </c>
      <c r="Z645" s="447">
        <f>IFERROR(__xludf.DUMMYFUNCTION("""COMPUTED_VALUE"""),0.0)</f>
        <v>0</v>
      </c>
      <c r="AA645" s="447">
        <f>IFERROR(__xludf.DUMMYFUNCTION("""COMPUTED_VALUE"""),0.0)</f>
        <v>0</v>
      </c>
      <c r="AB645" s="447">
        <f>IFERROR(__xludf.DUMMYFUNCTION("""COMPUTED_VALUE"""),0.0)</f>
        <v>0</v>
      </c>
      <c r="AC645" s="447">
        <f>IFERROR(__xludf.DUMMYFUNCTION("""COMPUTED_VALUE"""),0.0)</f>
        <v>0</v>
      </c>
      <c r="AD645" s="447">
        <f>IFERROR(__xludf.DUMMYFUNCTION("""COMPUTED_VALUE"""),0.0)</f>
        <v>0</v>
      </c>
      <c r="AE645" s="447">
        <f>IFERROR(__xludf.DUMMYFUNCTION("""COMPUTED_VALUE"""),0.0)</f>
        <v>0</v>
      </c>
      <c r="AF645" s="447">
        <f>IFERROR(__xludf.DUMMYFUNCTION("""COMPUTED_VALUE"""),0.0)</f>
        <v>0</v>
      </c>
      <c r="AG645" s="443" t="s">
        <v>137</v>
      </c>
      <c r="AH645" s="443" t="s">
        <v>961</v>
      </c>
      <c r="AI645" s="443"/>
      <c r="AJ645" s="443"/>
      <c r="AK645" s="443"/>
      <c r="AL645" s="443"/>
      <c r="AM645" s="443"/>
      <c r="AN645" s="443"/>
      <c r="AO645" s="443"/>
      <c r="AP645" s="443"/>
      <c r="AQ645" s="443"/>
      <c r="AR645" s="443"/>
      <c r="AS645" s="443"/>
      <c r="AT645" s="443"/>
      <c r="AU645" s="443"/>
      <c r="AV645" s="443"/>
      <c r="AW645" s="443"/>
      <c r="AX645" s="443"/>
      <c r="AY645" s="443"/>
      <c r="AZ645" s="443"/>
      <c r="BA645" s="443"/>
      <c r="BB645" s="443"/>
      <c r="BC645" s="443"/>
      <c r="BD645" s="443"/>
      <c r="BE645" s="443"/>
    </row>
    <row r="646" hidden="1">
      <c r="A646" s="445">
        <f t="shared" si="5"/>
        <v>45936</v>
      </c>
      <c r="B646" s="449">
        <v>612.0</v>
      </c>
      <c r="C646" s="462">
        <v>0.6</v>
      </c>
      <c r="D646" s="462">
        <v>0.9875</v>
      </c>
      <c r="E646" s="436">
        <f t="array" ref="E646">IF(B646=0,"",(J646+K646)/60)</f>
        <v>1</v>
      </c>
      <c r="F646" s="437">
        <f t="shared" si="1"/>
        <v>9.3</v>
      </c>
      <c r="G646" s="438">
        <f t="shared" si="9"/>
        <v>65.80645161</v>
      </c>
      <c r="H646" s="438">
        <f t="shared" si="3"/>
        <v>73.73493976</v>
      </c>
      <c r="I646" s="436">
        <f t="shared" si="10"/>
        <v>1.370967742</v>
      </c>
      <c r="J646" s="460">
        <v>60.0</v>
      </c>
      <c r="K646" s="460">
        <v>0.0</v>
      </c>
      <c r="L646" s="443"/>
      <c r="M646" s="447">
        <f>IFERROR(__xludf.DUMMYFUNCTION("""COMPUTED_VALUE"""),57.0)</f>
        <v>57</v>
      </c>
      <c r="N646" s="447">
        <f>IFERROR(__xludf.DUMMYFUNCTION("""COMPUTED_VALUE"""),57.0)</f>
        <v>57</v>
      </c>
      <c r="O646" s="447">
        <f>IFERROR(__xludf.DUMMYFUNCTION("""COMPUTED_VALUE"""),0.0)</f>
        <v>0</v>
      </c>
      <c r="P646" s="447">
        <f>IFERROR(__xludf.DUMMYFUNCTION("""COMPUTED_VALUE"""),1.0)</f>
        <v>1</v>
      </c>
      <c r="Q646" s="447">
        <f>IFERROR(__xludf.DUMMYFUNCTION("""COMPUTED_VALUE"""),0.0)</f>
        <v>0</v>
      </c>
      <c r="R646" s="447">
        <f>IFERROR(__xludf.DUMMYFUNCTION("""COMPUTED_VALUE"""),0.0)</f>
        <v>0</v>
      </c>
      <c r="S646" s="447">
        <f>IFERROR(__xludf.DUMMYFUNCTION("""COMPUTED_VALUE"""),1.0)</f>
        <v>1</v>
      </c>
      <c r="T646" s="447">
        <f>IFERROR(__xludf.DUMMYFUNCTION("""COMPUTED_VALUE"""),0.0)</f>
        <v>0</v>
      </c>
      <c r="U646" s="447">
        <f>IFERROR(__xludf.DUMMYFUNCTION("""COMPUTED_VALUE"""),0.0)</f>
        <v>0</v>
      </c>
      <c r="V646" s="447">
        <f>IFERROR(__xludf.DUMMYFUNCTION("""COMPUTED_VALUE"""),2.0)</f>
        <v>2</v>
      </c>
      <c r="W646" s="447">
        <f>IFERROR(__xludf.DUMMYFUNCTION("""COMPUTED_VALUE"""),0.0)</f>
        <v>0</v>
      </c>
      <c r="X646" s="447">
        <f>IFERROR(__xludf.DUMMYFUNCTION("""COMPUTED_VALUE"""),1.0)</f>
        <v>1</v>
      </c>
      <c r="Y646" s="447">
        <f>IFERROR(__xludf.DUMMYFUNCTION("""COMPUTED_VALUE"""),0.0)</f>
        <v>0</v>
      </c>
      <c r="Z646" s="447">
        <f>IFERROR(__xludf.DUMMYFUNCTION("""COMPUTED_VALUE"""),0.0)</f>
        <v>0</v>
      </c>
      <c r="AA646" s="447">
        <f>IFERROR(__xludf.DUMMYFUNCTION("""COMPUTED_VALUE"""),0.0)</f>
        <v>0</v>
      </c>
      <c r="AB646" s="447">
        <f>IFERROR(__xludf.DUMMYFUNCTION("""COMPUTED_VALUE"""),1.0)</f>
        <v>1</v>
      </c>
      <c r="AC646" s="447">
        <f>IFERROR(__xludf.DUMMYFUNCTION("""COMPUTED_VALUE"""),0.0)</f>
        <v>0</v>
      </c>
      <c r="AD646" s="447">
        <f>IFERROR(__xludf.DUMMYFUNCTION("""COMPUTED_VALUE"""),48.0)</f>
        <v>48</v>
      </c>
      <c r="AE646" s="447">
        <f>IFERROR(__xludf.DUMMYFUNCTION("""COMPUTED_VALUE"""),5.0)</f>
        <v>5</v>
      </c>
      <c r="AF646" s="447">
        <f>IFERROR(__xludf.DUMMYFUNCTION("""COMPUTED_VALUE"""),0.0)</f>
        <v>0</v>
      </c>
      <c r="AG646" s="443" t="s">
        <v>137</v>
      </c>
      <c r="AH646" s="443" t="s">
        <v>961</v>
      </c>
      <c r="AI646" s="443"/>
      <c r="AJ646" s="443"/>
      <c r="AK646" s="443"/>
      <c r="AL646" s="443"/>
      <c r="AM646" s="443"/>
      <c r="AN646" s="443"/>
      <c r="AO646" s="443"/>
      <c r="AP646" s="443"/>
      <c r="AQ646" s="443"/>
      <c r="AR646" s="443"/>
      <c r="AS646" s="443"/>
      <c r="AT646" s="443"/>
      <c r="AU646" s="443"/>
      <c r="AV646" s="443"/>
      <c r="AW646" s="443"/>
      <c r="AX646" s="443"/>
      <c r="AY646" s="443"/>
      <c r="AZ646" s="443"/>
      <c r="BA646" s="443"/>
      <c r="BB646" s="443"/>
      <c r="BC646" s="443"/>
      <c r="BD646" s="443"/>
      <c r="BE646" s="443"/>
    </row>
    <row r="647" hidden="1">
      <c r="A647" s="445">
        <f t="shared" si="5"/>
        <v>45937</v>
      </c>
      <c r="B647" s="449">
        <v>570.0</v>
      </c>
      <c r="C647" s="462">
        <v>0.6</v>
      </c>
      <c r="D647" s="462">
        <v>0.9361111111111111</v>
      </c>
      <c r="E647" s="436">
        <f t="array" ref="E647">IF(B647=0,"",(J647+K647)/60)</f>
        <v>0.5</v>
      </c>
      <c r="F647" s="437">
        <f t="shared" si="1"/>
        <v>8.066666667</v>
      </c>
      <c r="G647" s="438">
        <f t="shared" si="9"/>
        <v>70.66115702</v>
      </c>
      <c r="H647" s="438">
        <f t="shared" si="3"/>
        <v>75.33039648</v>
      </c>
      <c r="I647" s="436">
        <f t="shared" si="10"/>
        <v>1.442064429</v>
      </c>
      <c r="J647" s="460">
        <v>30.0</v>
      </c>
      <c r="K647" s="464"/>
      <c r="L647" s="449" t="s">
        <v>975</v>
      </c>
      <c r="M647" s="447">
        <f>IFERROR(__xludf.DUMMYFUNCTION("""COMPUTED_VALUE"""),57.0)</f>
        <v>57</v>
      </c>
      <c r="N647" s="447">
        <f>IFERROR(__xludf.DUMMYFUNCTION("""COMPUTED_VALUE"""),57.0)</f>
        <v>57</v>
      </c>
      <c r="O647" s="447">
        <f>IFERROR(__xludf.DUMMYFUNCTION("""COMPUTED_VALUE"""),0.0)</f>
        <v>0</v>
      </c>
      <c r="P647" s="447">
        <f>IFERROR(__xludf.DUMMYFUNCTION("""COMPUTED_VALUE"""),0.0)</f>
        <v>0</v>
      </c>
      <c r="Q647" s="447">
        <f>IFERROR(__xludf.DUMMYFUNCTION("""COMPUTED_VALUE"""),0.0)</f>
        <v>0</v>
      </c>
      <c r="R647" s="447">
        <f>IFERROR(__xludf.DUMMYFUNCTION("""COMPUTED_VALUE"""),0.0)</f>
        <v>0</v>
      </c>
      <c r="S647" s="447">
        <f>IFERROR(__xludf.DUMMYFUNCTION("""COMPUTED_VALUE"""),2.0)</f>
        <v>2</v>
      </c>
      <c r="T647" s="447">
        <f>IFERROR(__xludf.DUMMYFUNCTION("""COMPUTED_VALUE"""),0.0)</f>
        <v>0</v>
      </c>
      <c r="U647" s="447">
        <f>IFERROR(__xludf.DUMMYFUNCTION("""COMPUTED_VALUE"""),0.0)</f>
        <v>0</v>
      </c>
      <c r="V647" s="447">
        <f>IFERROR(__xludf.DUMMYFUNCTION("""COMPUTED_VALUE"""),2.0)</f>
        <v>2</v>
      </c>
      <c r="W647" s="447">
        <f>IFERROR(__xludf.DUMMYFUNCTION("""COMPUTED_VALUE"""),0.0)</f>
        <v>0</v>
      </c>
      <c r="X647" s="447">
        <f>IFERROR(__xludf.DUMMYFUNCTION("""COMPUTED_VALUE"""),1.0)</f>
        <v>1</v>
      </c>
      <c r="Y647" s="447">
        <f>IFERROR(__xludf.DUMMYFUNCTION("""COMPUTED_VALUE"""),0.0)</f>
        <v>0</v>
      </c>
      <c r="Z647" s="447">
        <f>IFERROR(__xludf.DUMMYFUNCTION("""COMPUTED_VALUE"""),0.0)</f>
        <v>0</v>
      </c>
      <c r="AA647" s="447">
        <f>IFERROR(__xludf.DUMMYFUNCTION("""COMPUTED_VALUE"""),0.0)</f>
        <v>0</v>
      </c>
      <c r="AB647" s="447">
        <f>IFERROR(__xludf.DUMMYFUNCTION("""COMPUTED_VALUE"""),0.0)</f>
        <v>0</v>
      </c>
      <c r="AC647" s="447">
        <f>IFERROR(__xludf.DUMMYFUNCTION("""COMPUTED_VALUE"""),0.0)</f>
        <v>0</v>
      </c>
      <c r="AD647" s="447">
        <f>IFERROR(__xludf.DUMMYFUNCTION("""COMPUTED_VALUE"""),49.0)</f>
        <v>49</v>
      </c>
      <c r="AE647" s="447">
        <f>IFERROR(__xludf.DUMMYFUNCTION("""COMPUTED_VALUE"""),5.0)</f>
        <v>5</v>
      </c>
      <c r="AF647" s="447">
        <f>IFERROR(__xludf.DUMMYFUNCTION("""COMPUTED_VALUE"""),0.0)</f>
        <v>0</v>
      </c>
      <c r="AG647" s="443" t="s">
        <v>137</v>
      </c>
      <c r="AH647" s="443" t="s">
        <v>961</v>
      </c>
      <c r="AI647" s="443"/>
      <c r="AJ647" s="443"/>
      <c r="AK647" s="443"/>
      <c r="AL647" s="443"/>
      <c r="AM647" s="443"/>
      <c r="AN647" s="443"/>
      <c r="AO647" s="443"/>
      <c r="AP647" s="443"/>
      <c r="AQ647" s="443"/>
      <c r="AR647" s="443"/>
      <c r="AS647" s="443"/>
      <c r="AT647" s="443"/>
      <c r="AU647" s="443"/>
      <c r="AV647" s="443"/>
      <c r="AW647" s="443"/>
      <c r="AX647" s="443"/>
      <c r="AY647" s="443"/>
      <c r="AZ647" s="443"/>
      <c r="BA647" s="443"/>
      <c r="BB647" s="443"/>
      <c r="BC647" s="443"/>
      <c r="BD647" s="443"/>
      <c r="BE647" s="443"/>
    </row>
    <row r="648" hidden="1">
      <c r="A648" s="445">
        <f t="shared" si="5"/>
        <v>45938</v>
      </c>
      <c r="B648" s="449">
        <v>483.0</v>
      </c>
      <c r="C648" s="462">
        <v>0.6</v>
      </c>
      <c r="D648" s="462">
        <v>0.9041666666666667</v>
      </c>
      <c r="E648" s="436">
        <f t="array" ref="E648">IF(B648=0,"",(J648+K648)/60)</f>
        <v>0.5</v>
      </c>
      <c r="F648" s="437">
        <f t="shared" si="1"/>
        <v>7.3</v>
      </c>
      <c r="G648" s="438">
        <f t="shared" si="9"/>
        <v>66.16438356</v>
      </c>
      <c r="H648" s="438">
        <f t="shared" si="3"/>
        <v>71.02941176</v>
      </c>
      <c r="I648" s="436">
        <f t="shared" si="10"/>
        <v>1.407752842</v>
      </c>
      <c r="J648" s="460">
        <v>30.0</v>
      </c>
      <c r="K648" s="464"/>
      <c r="L648" s="443"/>
      <c r="M648" s="447">
        <f>IFERROR(__xludf.DUMMYFUNCTION("""COMPUTED_VALUE"""),57.0)</f>
        <v>57</v>
      </c>
      <c r="N648" s="447">
        <f>IFERROR(__xludf.DUMMYFUNCTION("""COMPUTED_VALUE"""),57.0)</f>
        <v>57</v>
      </c>
      <c r="O648" s="447">
        <f>IFERROR(__xludf.DUMMYFUNCTION("""COMPUTED_VALUE"""),0.0)</f>
        <v>0</v>
      </c>
      <c r="P648" s="447">
        <f>IFERROR(__xludf.DUMMYFUNCTION("""COMPUTED_VALUE"""),0.0)</f>
        <v>0</v>
      </c>
      <c r="Q648" s="447">
        <f>IFERROR(__xludf.DUMMYFUNCTION("""COMPUTED_VALUE"""),0.0)</f>
        <v>0</v>
      </c>
      <c r="R648" s="447">
        <f>IFERROR(__xludf.DUMMYFUNCTION("""COMPUTED_VALUE"""),0.0)</f>
        <v>0</v>
      </c>
      <c r="S648" s="447">
        <f>IFERROR(__xludf.DUMMYFUNCTION("""COMPUTED_VALUE"""),4.0)</f>
        <v>4</v>
      </c>
      <c r="T648" s="447">
        <f>IFERROR(__xludf.DUMMYFUNCTION("""COMPUTED_VALUE"""),0.0)</f>
        <v>0</v>
      </c>
      <c r="U648" s="447">
        <f>IFERROR(__xludf.DUMMYFUNCTION("""COMPUTED_VALUE"""),0.0)</f>
        <v>0</v>
      </c>
      <c r="V648" s="447">
        <f>IFERROR(__xludf.DUMMYFUNCTION("""COMPUTED_VALUE"""),2.0)</f>
        <v>2</v>
      </c>
      <c r="W648" s="447">
        <f>IFERROR(__xludf.DUMMYFUNCTION("""COMPUTED_VALUE"""),0.0)</f>
        <v>0</v>
      </c>
      <c r="X648" s="447">
        <f>IFERROR(__xludf.DUMMYFUNCTION("""COMPUTED_VALUE"""),1.0)</f>
        <v>1</v>
      </c>
      <c r="Y648" s="447">
        <f>IFERROR(__xludf.DUMMYFUNCTION("""COMPUTED_VALUE"""),0.0)</f>
        <v>0</v>
      </c>
      <c r="Z648" s="447">
        <f>IFERROR(__xludf.DUMMYFUNCTION("""COMPUTED_VALUE"""),0.0)</f>
        <v>0</v>
      </c>
      <c r="AA648" s="447">
        <f>IFERROR(__xludf.DUMMYFUNCTION("""COMPUTED_VALUE"""),0.0)</f>
        <v>0</v>
      </c>
      <c r="AB648" s="447">
        <f>IFERROR(__xludf.DUMMYFUNCTION("""COMPUTED_VALUE"""),0.0)</f>
        <v>0</v>
      </c>
      <c r="AC648" s="447">
        <f>IFERROR(__xludf.DUMMYFUNCTION("""COMPUTED_VALUE"""),0.0)</f>
        <v>0</v>
      </c>
      <c r="AD648" s="447">
        <f>IFERROR(__xludf.DUMMYFUNCTION("""COMPUTED_VALUE"""),47.0)</f>
        <v>47</v>
      </c>
      <c r="AE648" s="447">
        <f>IFERROR(__xludf.DUMMYFUNCTION("""COMPUTED_VALUE"""),7.0)</f>
        <v>7</v>
      </c>
      <c r="AF648" s="447">
        <f>IFERROR(__xludf.DUMMYFUNCTION("""COMPUTED_VALUE"""),0.0)</f>
        <v>0</v>
      </c>
      <c r="AG648" s="443" t="s">
        <v>137</v>
      </c>
      <c r="AH648" s="443" t="s">
        <v>961</v>
      </c>
      <c r="AI648" s="443"/>
      <c r="AJ648" s="443"/>
      <c r="AK648" s="443"/>
      <c r="AL648" s="443"/>
      <c r="AM648" s="443"/>
      <c r="AN648" s="443"/>
      <c r="AO648" s="443"/>
      <c r="AP648" s="443"/>
      <c r="AQ648" s="443"/>
      <c r="AR648" s="443"/>
      <c r="AS648" s="443"/>
      <c r="AT648" s="443"/>
      <c r="AU648" s="443"/>
      <c r="AV648" s="443"/>
      <c r="AW648" s="443"/>
      <c r="AX648" s="443"/>
      <c r="AY648" s="443"/>
      <c r="AZ648" s="443"/>
      <c r="BA648" s="443"/>
      <c r="BB648" s="443"/>
      <c r="BC648" s="443"/>
      <c r="BD648" s="443"/>
      <c r="BE648" s="443"/>
    </row>
    <row r="649" hidden="1">
      <c r="A649" s="445">
        <f t="shared" si="5"/>
        <v>45939</v>
      </c>
      <c r="B649" s="449">
        <v>385.0</v>
      </c>
      <c r="C649" s="462">
        <v>0.6</v>
      </c>
      <c r="D649" s="462">
        <v>0.85625</v>
      </c>
      <c r="E649" s="436">
        <f t="array" ref="E649">IF(B649=0,"",(J649+K649)/60)</f>
        <v>1.066666667</v>
      </c>
      <c r="F649" s="437">
        <f t="shared" si="1"/>
        <v>6.15</v>
      </c>
      <c r="G649" s="438">
        <f t="shared" si="9"/>
        <v>62.60162602</v>
      </c>
      <c r="H649" s="438">
        <f t="shared" si="3"/>
        <v>75.73770492</v>
      </c>
      <c r="I649" s="436">
        <f t="shared" si="10"/>
        <v>1.33194949</v>
      </c>
      <c r="J649" s="460">
        <v>30.0</v>
      </c>
      <c r="K649" s="460">
        <v>34.0</v>
      </c>
      <c r="L649" s="443"/>
      <c r="M649" s="447">
        <f>IFERROR(__xludf.DUMMYFUNCTION("""COMPUTED_VALUE"""),57.0)</f>
        <v>57</v>
      </c>
      <c r="N649" s="447">
        <f>IFERROR(__xludf.DUMMYFUNCTION("""COMPUTED_VALUE"""),57.0)</f>
        <v>57</v>
      </c>
      <c r="O649" s="447">
        <f>IFERROR(__xludf.DUMMYFUNCTION("""COMPUTED_VALUE"""),0.0)</f>
        <v>0</v>
      </c>
      <c r="P649" s="447">
        <f>IFERROR(__xludf.DUMMYFUNCTION("""COMPUTED_VALUE"""),0.0)</f>
        <v>0</v>
      </c>
      <c r="Q649" s="447">
        <f>IFERROR(__xludf.DUMMYFUNCTION("""COMPUTED_VALUE"""),0.0)</f>
        <v>0</v>
      </c>
      <c r="R649" s="447">
        <f>IFERROR(__xludf.DUMMYFUNCTION("""COMPUTED_VALUE"""),0.0)</f>
        <v>0</v>
      </c>
      <c r="S649" s="447">
        <f>IFERROR(__xludf.DUMMYFUNCTION("""COMPUTED_VALUE"""),4.0)</f>
        <v>4</v>
      </c>
      <c r="T649" s="447">
        <f>IFERROR(__xludf.DUMMYFUNCTION("""COMPUTED_VALUE"""),0.0)</f>
        <v>0</v>
      </c>
      <c r="U649" s="447">
        <f>IFERROR(__xludf.DUMMYFUNCTION("""COMPUTED_VALUE"""),0.0)</f>
        <v>0</v>
      </c>
      <c r="V649" s="447">
        <f>IFERROR(__xludf.DUMMYFUNCTION("""COMPUTED_VALUE"""),2.0)</f>
        <v>2</v>
      </c>
      <c r="W649" s="447">
        <f>IFERROR(__xludf.DUMMYFUNCTION("""COMPUTED_VALUE"""),0.0)</f>
        <v>0</v>
      </c>
      <c r="X649" s="447">
        <f>IFERROR(__xludf.DUMMYFUNCTION("""COMPUTED_VALUE"""),1.0)</f>
        <v>1</v>
      </c>
      <c r="Y649" s="447">
        <f>IFERROR(__xludf.DUMMYFUNCTION("""COMPUTED_VALUE"""),0.0)</f>
        <v>0</v>
      </c>
      <c r="Z649" s="447">
        <f>IFERROR(__xludf.DUMMYFUNCTION("""COMPUTED_VALUE"""),0.0)</f>
        <v>0</v>
      </c>
      <c r="AA649" s="447">
        <f>IFERROR(__xludf.DUMMYFUNCTION("""COMPUTED_VALUE"""),0.0)</f>
        <v>0</v>
      </c>
      <c r="AB649" s="447">
        <f>IFERROR(__xludf.DUMMYFUNCTION("""COMPUTED_VALUE"""),0.0)</f>
        <v>0</v>
      </c>
      <c r="AC649" s="447">
        <f>IFERROR(__xludf.DUMMYFUNCTION("""COMPUTED_VALUE"""),0.0)</f>
        <v>0</v>
      </c>
      <c r="AD649" s="447">
        <f>IFERROR(__xludf.DUMMYFUNCTION("""COMPUTED_VALUE"""),47.0)</f>
        <v>47</v>
      </c>
      <c r="AE649" s="447">
        <f>IFERROR(__xludf.DUMMYFUNCTION("""COMPUTED_VALUE"""),7.0)</f>
        <v>7</v>
      </c>
      <c r="AF649" s="447">
        <f>IFERROR(__xludf.DUMMYFUNCTION("""COMPUTED_VALUE"""),0.0)</f>
        <v>0</v>
      </c>
      <c r="AG649" s="443" t="s">
        <v>137</v>
      </c>
      <c r="AH649" s="443" t="s">
        <v>961</v>
      </c>
      <c r="AI649" s="443"/>
      <c r="AJ649" s="443"/>
      <c r="AK649" s="443"/>
      <c r="AL649" s="443"/>
      <c r="AM649" s="443"/>
      <c r="AN649" s="443"/>
      <c r="AO649" s="443"/>
      <c r="AP649" s="443"/>
      <c r="AQ649" s="443"/>
      <c r="AR649" s="443"/>
      <c r="AS649" s="443"/>
      <c r="AT649" s="443"/>
      <c r="AU649" s="443"/>
      <c r="AV649" s="443"/>
      <c r="AW649" s="443"/>
      <c r="AX649" s="443"/>
      <c r="AY649" s="443"/>
      <c r="AZ649" s="443"/>
      <c r="BA649" s="443"/>
      <c r="BB649" s="443"/>
      <c r="BC649" s="443"/>
      <c r="BD649" s="443"/>
      <c r="BE649" s="443"/>
    </row>
    <row r="650" hidden="1">
      <c r="A650" s="445">
        <f t="shared" si="5"/>
        <v>45940</v>
      </c>
      <c r="B650" s="449">
        <v>464.0</v>
      </c>
      <c r="C650" s="462">
        <v>0.6416666666666667</v>
      </c>
      <c r="D650" s="462">
        <v>0.9861111111111112</v>
      </c>
      <c r="E650" s="436">
        <f t="array" ref="E650">IF(B650=0,"",(J650+K650)/60)</f>
        <v>1.716666667</v>
      </c>
      <c r="F650" s="437">
        <f t="shared" si="1"/>
        <v>8.266666667</v>
      </c>
      <c r="G650" s="438">
        <f t="shared" si="9"/>
        <v>56.12903226</v>
      </c>
      <c r="H650" s="438">
        <f t="shared" si="3"/>
        <v>70.83969466</v>
      </c>
      <c r="I650" s="436">
        <f t="shared" si="10"/>
        <v>1.145490454</v>
      </c>
      <c r="J650" s="460">
        <v>30.0</v>
      </c>
      <c r="K650" s="464">
        <f>14+17+25+17</f>
        <v>73</v>
      </c>
      <c r="L650" s="443"/>
      <c r="M650" s="447">
        <f>IFERROR(__xludf.DUMMYFUNCTION("""COMPUTED_VALUE"""),57.0)</f>
        <v>57</v>
      </c>
      <c r="N650" s="447">
        <f>IFERROR(__xludf.DUMMYFUNCTION("""COMPUTED_VALUE"""),57.0)</f>
        <v>57</v>
      </c>
      <c r="O650" s="447">
        <f>IFERROR(__xludf.DUMMYFUNCTION("""COMPUTED_VALUE"""),0.0)</f>
        <v>0</v>
      </c>
      <c r="P650" s="447">
        <f>IFERROR(__xludf.DUMMYFUNCTION("""COMPUTED_VALUE"""),0.0)</f>
        <v>0</v>
      </c>
      <c r="Q650" s="447">
        <f>IFERROR(__xludf.DUMMYFUNCTION("""COMPUTED_VALUE"""),0.0)</f>
        <v>0</v>
      </c>
      <c r="R650" s="447">
        <f>IFERROR(__xludf.DUMMYFUNCTION("""COMPUTED_VALUE"""),0.0)</f>
        <v>0</v>
      </c>
      <c r="S650" s="447">
        <f>IFERROR(__xludf.DUMMYFUNCTION("""COMPUTED_VALUE"""),2.0)</f>
        <v>2</v>
      </c>
      <c r="T650" s="447">
        <f>IFERROR(__xludf.DUMMYFUNCTION("""COMPUTED_VALUE"""),0.0)</f>
        <v>0</v>
      </c>
      <c r="U650" s="447">
        <f>IFERROR(__xludf.DUMMYFUNCTION("""COMPUTED_VALUE"""),0.0)</f>
        <v>0</v>
      </c>
      <c r="V650" s="447">
        <f>IFERROR(__xludf.DUMMYFUNCTION("""COMPUTED_VALUE"""),2.0)</f>
        <v>2</v>
      </c>
      <c r="W650" s="447">
        <f>IFERROR(__xludf.DUMMYFUNCTION("""COMPUTED_VALUE"""),0.0)</f>
        <v>0</v>
      </c>
      <c r="X650" s="447">
        <f>IFERROR(__xludf.DUMMYFUNCTION("""COMPUTED_VALUE"""),1.0)</f>
        <v>1</v>
      </c>
      <c r="Y650" s="447">
        <f>IFERROR(__xludf.DUMMYFUNCTION("""COMPUTED_VALUE"""),0.0)</f>
        <v>0</v>
      </c>
      <c r="Z650" s="447">
        <f>IFERROR(__xludf.DUMMYFUNCTION("""COMPUTED_VALUE"""),0.0)</f>
        <v>0</v>
      </c>
      <c r="AA650" s="447">
        <f>IFERROR(__xludf.DUMMYFUNCTION("""COMPUTED_VALUE"""),0.0)</f>
        <v>0</v>
      </c>
      <c r="AB650" s="447">
        <f>IFERROR(__xludf.DUMMYFUNCTION("""COMPUTED_VALUE"""),0.0)</f>
        <v>0</v>
      </c>
      <c r="AC650" s="447">
        <f>IFERROR(__xludf.DUMMYFUNCTION("""COMPUTED_VALUE"""),0.0)</f>
        <v>0</v>
      </c>
      <c r="AD650" s="447">
        <f>IFERROR(__xludf.DUMMYFUNCTION("""COMPUTED_VALUE"""),49.0)</f>
        <v>49</v>
      </c>
      <c r="AE650" s="447">
        <f>IFERROR(__xludf.DUMMYFUNCTION("""COMPUTED_VALUE"""),5.0)</f>
        <v>5</v>
      </c>
      <c r="AF650" s="447">
        <f>IFERROR(__xludf.DUMMYFUNCTION("""COMPUTED_VALUE"""),0.0)</f>
        <v>0</v>
      </c>
      <c r="AG650" s="443" t="s">
        <v>137</v>
      </c>
      <c r="AH650" s="443" t="s">
        <v>961</v>
      </c>
      <c r="AI650" s="443"/>
      <c r="AJ650" s="443"/>
      <c r="AK650" s="443"/>
      <c r="AL650" s="443"/>
      <c r="AM650" s="443"/>
      <c r="AN650" s="443"/>
      <c r="AO650" s="443"/>
      <c r="AP650" s="443"/>
      <c r="AQ650" s="443"/>
      <c r="AR650" s="443"/>
      <c r="AS650" s="443"/>
      <c r="AT650" s="443"/>
      <c r="AU650" s="443"/>
      <c r="AV650" s="443"/>
      <c r="AW650" s="443"/>
      <c r="AX650" s="443"/>
      <c r="AY650" s="443"/>
      <c r="AZ650" s="443"/>
      <c r="BA650" s="443"/>
      <c r="BB650" s="443"/>
      <c r="BC650" s="443"/>
      <c r="BD650" s="443"/>
      <c r="BE650" s="443"/>
    </row>
    <row r="651" hidden="1">
      <c r="A651" s="445">
        <f t="shared" si="5"/>
        <v>45941</v>
      </c>
      <c r="B651" s="449">
        <v>399.0</v>
      </c>
      <c r="C651" s="462">
        <v>0.6</v>
      </c>
      <c r="D651" s="462">
        <v>0.84375</v>
      </c>
      <c r="E651" s="436">
        <f t="array" ref="E651">IF(B651=0,"",(J651+K651)/60)</f>
        <v>0.5</v>
      </c>
      <c r="F651" s="437">
        <f t="shared" si="1"/>
        <v>5.85</v>
      </c>
      <c r="G651" s="438">
        <f t="shared" si="9"/>
        <v>68.20512821</v>
      </c>
      <c r="H651" s="438">
        <f t="shared" si="3"/>
        <v>74.57943925</v>
      </c>
      <c r="I651" s="436">
        <f t="shared" si="10"/>
        <v>1.391941392</v>
      </c>
      <c r="J651" s="460">
        <v>30.0</v>
      </c>
      <c r="K651" s="460">
        <v>0.0</v>
      </c>
      <c r="L651" s="443"/>
      <c r="M651" s="447">
        <f>IFERROR(__xludf.DUMMYFUNCTION("""COMPUTED_VALUE"""),57.0)</f>
        <v>57</v>
      </c>
      <c r="N651" s="447">
        <f>IFERROR(__xludf.DUMMYFUNCTION("""COMPUTED_VALUE"""),57.0)</f>
        <v>57</v>
      </c>
      <c r="O651" s="447">
        <f>IFERROR(__xludf.DUMMYFUNCTION("""COMPUTED_VALUE"""),0.0)</f>
        <v>0</v>
      </c>
      <c r="P651" s="447">
        <f>IFERROR(__xludf.DUMMYFUNCTION("""COMPUTED_VALUE"""),0.0)</f>
        <v>0</v>
      </c>
      <c r="Q651" s="447">
        <f>IFERROR(__xludf.DUMMYFUNCTION("""COMPUTED_VALUE"""),0.0)</f>
        <v>0</v>
      </c>
      <c r="R651" s="447">
        <f>IFERROR(__xludf.DUMMYFUNCTION("""COMPUTED_VALUE"""),0.0)</f>
        <v>0</v>
      </c>
      <c r="S651" s="447">
        <f>IFERROR(__xludf.DUMMYFUNCTION("""COMPUTED_VALUE"""),1.0)</f>
        <v>1</v>
      </c>
      <c r="T651" s="447">
        <f>IFERROR(__xludf.DUMMYFUNCTION("""COMPUTED_VALUE"""),0.0)</f>
        <v>0</v>
      </c>
      <c r="U651" s="447">
        <f>IFERROR(__xludf.DUMMYFUNCTION("""COMPUTED_VALUE"""),0.0)</f>
        <v>0</v>
      </c>
      <c r="V651" s="447">
        <f>IFERROR(__xludf.DUMMYFUNCTION("""COMPUTED_VALUE"""),2.0)</f>
        <v>2</v>
      </c>
      <c r="W651" s="447">
        <f>IFERROR(__xludf.DUMMYFUNCTION("""COMPUTED_VALUE"""),0.0)</f>
        <v>0</v>
      </c>
      <c r="X651" s="447">
        <f>IFERROR(__xludf.DUMMYFUNCTION("""COMPUTED_VALUE"""),1.0)</f>
        <v>1</v>
      </c>
      <c r="Y651" s="447">
        <f>IFERROR(__xludf.DUMMYFUNCTION("""COMPUTED_VALUE"""),0.0)</f>
        <v>0</v>
      </c>
      <c r="Z651" s="447">
        <f>IFERROR(__xludf.DUMMYFUNCTION("""COMPUTED_VALUE"""),1.0)</f>
        <v>1</v>
      </c>
      <c r="AA651" s="447">
        <f>IFERROR(__xludf.DUMMYFUNCTION("""COMPUTED_VALUE"""),0.0)</f>
        <v>0</v>
      </c>
      <c r="AB651" s="447">
        <f>IFERROR(__xludf.DUMMYFUNCTION("""COMPUTED_VALUE"""),0.0)</f>
        <v>0</v>
      </c>
      <c r="AC651" s="447">
        <f>IFERROR(__xludf.DUMMYFUNCTION("""COMPUTED_VALUE"""),0.0)</f>
        <v>0</v>
      </c>
      <c r="AD651" s="447">
        <f>IFERROR(__xludf.DUMMYFUNCTION("""COMPUTED_VALUE"""),49.0)</f>
        <v>49</v>
      </c>
      <c r="AE651" s="447">
        <f>IFERROR(__xludf.DUMMYFUNCTION("""COMPUTED_VALUE"""),5.0)</f>
        <v>5</v>
      </c>
      <c r="AF651" s="447">
        <f>IFERROR(__xludf.DUMMYFUNCTION("""COMPUTED_VALUE"""),0.0)</f>
        <v>0</v>
      </c>
      <c r="AG651" s="443" t="s">
        <v>137</v>
      </c>
      <c r="AH651" s="443" t="s">
        <v>961</v>
      </c>
      <c r="AI651" s="443"/>
      <c r="AJ651" s="443"/>
      <c r="AK651" s="443"/>
      <c r="AL651" s="443"/>
      <c r="AM651" s="443"/>
      <c r="AN651" s="443"/>
      <c r="AO651" s="443"/>
      <c r="AP651" s="443"/>
      <c r="AQ651" s="443"/>
      <c r="AR651" s="443"/>
      <c r="AS651" s="443"/>
      <c r="AT651" s="443"/>
      <c r="AU651" s="443"/>
      <c r="AV651" s="443"/>
      <c r="AW651" s="443"/>
      <c r="AX651" s="443"/>
      <c r="AY651" s="443"/>
      <c r="AZ651" s="443"/>
      <c r="BA651" s="443"/>
      <c r="BB651" s="443"/>
      <c r="BC651" s="443"/>
      <c r="BD651" s="443"/>
      <c r="BE651" s="443"/>
    </row>
    <row r="652" hidden="1">
      <c r="A652" s="445">
        <f t="shared" si="5"/>
        <v>45942</v>
      </c>
      <c r="B652" s="449">
        <v>0.0</v>
      </c>
      <c r="C652" s="443"/>
      <c r="D652" s="462"/>
      <c r="E652" s="436" t="str">
        <f t="array" ref="E652">IF(B652=0,"",(J652+K652)/60)</f>
        <v/>
      </c>
      <c r="F652" s="437" t="str">
        <f t="shared" si="1"/>
        <v/>
      </c>
      <c r="G652" s="438" t="str">
        <f t="shared" si="9"/>
        <v>#DIV/0!</v>
      </c>
      <c r="H652" s="438" t="str">
        <f t="shared" si="3"/>
        <v/>
      </c>
      <c r="I652" s="436" t="str">
        <f t="shared" si="10"/>
        <v/>
      </c>
      <c r="J652" s="464"/>
      <c r="K652" s="464"/>
      <c r="L652" s="443"/>
      <c r="M652" s="447">
        <f>IFERROR(__xludf.DUMMYFUNCTION("""COMPUTED_VALUE"""),57.0)</f>
        <v>57</v>
      </c>
      <c r="N652" s="447">
        <f>IFERROR(__xludf.DUMMYFUNCTION("""COMPUTED_VALUE"""),57.0)</f>
        <v>57</v>
      </c>
      <c r="O652" s="447">
        <f>IFERROR(__xludf.DUMMYFUNCTION("""COMPUTED_VALUE"""),0.0)</f>
        <v>0</v>
      </c>
      <c r="P652" s="447">
        <f>IFERROR(__xludf.DUMMYFUNCTION("""COMPUTED_VALUE"""),0.0)</f>
        <v>0</v>
      </c>
      <c r="Q652" s="447">
        <f>IFERROR(__xludf.DUMMYFUNCTION("""COMPUTED_VALUE"""),0.0)</f>
        <v>0</v>
      </c>
      <c r="R652" s="447">
        <f>IFERROR(__xludf.DUMMYFUNCTION("""COMPUTED_VALUE"""),0.0)</f>
        <v>0</v>
      </c>
      <c r="S652" s="447">
        <f>IFERROR(__xludf.DUMMYFUNCTION("""COMPUTED_VALUE"""),0.0)</f>
        <v>0</v>
      </c>
      <c r="T652" s="447">
        <f>IFERROR(__xludf.DUMMYFUNCTION("""COMPUTED_VALUE"""),0.0)</f>
        <v>0</v>
      </c>
      <c r="U652" s="447">
        <f>IFERROR(__xludf.DUMMYFUNCTION("""COMPUTED_VALUE"""),0.0)</f>
        <v>0</v>
      </c>
      <c r="V652" s="447">
        <f>IFERROR(__xludf.DUMMYFUNCTION("""COMPUTED_VALUE"""),0.0)</f>
        <v>0</v>
      </c>
      <c r="W652" s="447">
        <f>IFERROR(__xludf.DUMMYFUNCTION("""COMPUTED_VALUE"""),0.0)</f>
        <v>0</v>
      </c>
      <c r="X652" s="447">
        <f>IFERROR(__xludf.DUMMYFUNCTION("""COMPUTED_VALUE"""),0.0)</f>
        <v>0</v>
      </c>
      <c r="Y652" s="447">
        <f>IFERROR(__xludf.DUMMYFUNCTION("""COMPUTED_VALUE"""),0.0)</f>
        <v>0</v>
      </c>
      <c r="Z652" s="447">
        <f>IFERROR(__xludf.DUMMYFUNCTION("""COMPUTED_VALUE"""),0.0)</f>
        <v>0</v>
      </c>
      <c r="AA652" s="447">
        <f>IFERROR(__xludf.DUMMYFUNCTION("""COMPUTED_VALUE"""),0.0)</f>
        <v>0</v>
      </c>
      <c r="AB652" s="447">
        <f>IFERROR(__xludf.DUMMYFUNCTION("""COMPUTED_VALUE"""),0.0)</f>
        <v>0</v>
      </c>
      <c r="AC652" s="447">
        <f>IFERROR(__xludf.DUMMYFUNCTION("""COMPUTED_VALUE"""),0.0)</f>
        <v>0</v>
      </c>
      <c r="AD652" s="447">
        <f>IFERROR(__xludf.DUMMYFUNCTION("""COMPUTED_VALUE"""),0.0)</f>
        <v>0</v>
      </c>
      <c r="AE652" s="447">
        <f>IFERROR(__xludf.DUMMYFUNCTION("""COMPUTED_VALUE"""),0.0)</f>
        <v>0</v>
      </c>
      <c r="AF652" s="447">
        <f>IFERROR(__xludf.DUMMYFUNCTION("""COMPUTED_VALUE"""),0.0)</f>
        <v>0</v>
      </c>
      <c r="AG652" s="443" t="s">
        <v>137</v>
      </c>
      <c r="AH652" s="443" t="s">
        <v>961</v>
      </c>
      <c r="AI652" s="443"/>
      <c r="AJ652" s="443"/>
      <c r="AK652" s="443"/>
      <c r="AL652" s="443"/>
      <c r="AM652" s="443"/>
      <c r="AN652" s="443"/>
      <c r="AO652" s="443"/>
      <c r="AP652" s="443"/>
      <c r="AQ652" s="443"/>
      <c r="AR652" s="443"/>
      <c r="AS652" s="443"/>
      <c r="AT652" s="443"/>
      <c r="AU652" s="443"/>
      <c r="AV652" s="443"/>
      <c r="AW652" s="443"/>
      <c r="AX652" s="443"/>
      <c r="AY652" s="443"/>
      <c r="AZ652" s="443"/>
      <c r="BA652" s="443"/>
      <c r="BB652" s="443"/>
      <c r="BC652" s="443"/>
      <c r="BD652" s="443"/>
      <c r="BE652" s="443"/>
    </row>
    <row r="653" hidden="1">
      <c r="A653" s="445">
        <f t="shared" si="5"/>
        <v>45943</v>
      </c>
      <c r="B653" s="449">
        <v>519.0</v>
      </c>
      <c r="C653" s="462">
        <v>0.6</v>
      </c>
      <c r="D653" s="462">
        <v>0.9368055555555556</v>
      </c>
      <c r="E653" s="436">
        <f t="array" ref="E653">IF(B653=0,"",(J653+K653)/60)</f>
        <v>0.6666666667</v>
      </c>
      <c r="F653" s="437">
        <f t="shared" si="1"/>
        <v>8.083333333</v>
      </c>
      <c r="G653" s="438">
        <f t="shared" si="9"/>
        <v>64.20618557</v>
      </c>
      <c r="H653" s="438">
        <f t="shared" si="3"/>
        <v>69.97752809</v>
      </c>
      <c r="I653" s="436">
        <f t="shared" si="10"/>
        <v>1.310330318</v>
      </c>
      <c r="J653" s="460">
        <v>30.0</v>
      </c>
      <c r="K653" s="460">
        <v>10.0</v>
      </c>
      <c r="L653" s="443"/>
      <c r="M653" s="447">
        <f>IFERROR(__xludf.DUMMYFUNCTION("""COMPUTED_VALUE"""),57.0)</f>
        <v>57</v>
      </c>
      <c r="N653" s="447">
        <f>IFERROR(__xludf.DUMMYFUNCTION("""COMPUTED_VALUE"""),57.0)</f>
        <v>57</v>
      </c>
      <c r="O653" s="447">
        <f>IFERROR(__xludf.DUMMYFUNCTION("""COMPUTED_VALUE"""),0.0)</f>
        <v>0</v>
      </c>
      <c r="P653" s="447">
        <f>IFERROR(__xludf.DUMMYFUNCTION("""COMPUTED_VALUE"""),0.0)</f>
        <v>0</v>
      </c>
      <c r="Q653" s="447">
        <f>IFERROR(__xludf.DUMMYFUNCTION("""COMPUTED_VALUE"""),0.0)</f>
        <v>0</v>
      </c>
      <c r="R653" s="447">
        <f>IFERROR(__xludf.DUMMYFUNCTION("""COMPUTED_VALUE"""),0.0)</f>
        <v>0</v>
      </c>
      <c r="S653" s="447">
        <f>IFERROR(__xludf.DUMMYFUNCTION("""COMPUTED_VALUE"""),1.0)</f>
        <v>1</v>
      </c>
      <c r="T653" s="447">
        <f>IFERROR(__xludf.DUMMYFUNCTION("""COMPUTED_VALUE"""),0.0)</f>
        <v>0</v>
      </c>
      <c r="U653" s="447">
        <f>IFERROR(__xludf.DUMMYFUNCTION("""COMPUTED_VALUE"""),0.0)</f>
        <v>0</v>
      </c>
      <c r="V653" s="447">
        <f>IFERROR(__xludf.DUMMYFUNCTION("""COMPUTED_VALUE"""),2.0)</f>
        <v>2</v>
      </c>
      <c r="W653" s="447">
        <f>IFERROR(__xludf.DUMMYFUNCTION("""COMPUTED_VALUE"""),0.0)</f>
        <v>0</v>
      </c>
      <c r="X653" s="447">
        <f>IFERROR(__xludf.DUMMYFUNCTION("""COMPUTED_VALUE"""),1.0)</f>
        <v>1</v>
      </c>
      <c r="Y653" s="447">
        <f>IFERROR(__xludf.DUMMYFUNCTION("""COMPUTED_VALUE"""),0.0)</f>
        <v>0</v>
      </c>
      <c r="Z653" s="447">
        <f>IFERROR(__xludf.DUMMYFUNCTION("""COMPUTED_VALUE"""),0.0)</f>
        <v>0</v>
      </c>
      <c r="AA653" s="447">
        <f>IFERROR(__xludf.DUMMYFUNCTION("""COMPUTED_VALUE"""),0.0)</f>
        <v>0</v>
      </c>
      <c r="AB653" s="447">
        <f>IFERROR(__xludf.DUMMYFUNCTION("""COMPUTED_VALUE"""),0.0)</f>
        <v>0</v>
      </c>
      <c r="AC653" s="447">
        <f>IFERROR(__xludf.DUMMYFUNCTION("""COMPUTED_VALUE"""),1.0)</f>
        <v>1</v>
      </c>
      <c r="AD653" s="447">
        <f>IFERROR(__xludf.DUMMYFUNCTION("""COMPUTED_VALUE"""),49.0)</f>
        <v>49</v>
      </c>
      <c r="AE653" s="447">
        <f>IFERROR(__xludf.DUMMYFUNCTION("""COMPUTED_VALUE"""),5.0)</f>
        <v>5</v>
      </c>
      <c r="AF653" s="447">
        <f>IFERROR(__xludf.DUMMYFUNCTION("""COMPUTED_VALUE"""),0.0)</f>
        <v>0</v>
      </c>
      <c r="AG653" s="443" t="s">
        <v>137</v>
      </c>
      <c r="AH653" s="443" t="s">
        <v>961</v>
      </c>
      <c r="AI653" s="443"/>
      <c r="AJ653" s="443"/>
      <c r="AK653" s="443"/>
      <c r="AL653" s="443"/>
      <c r="AM653" s="443"/>
      <c r="AN653" s="443"/>
      <c r="AO653" s="443"/>
      <c r="AP653" s="443"/>
      <c r="AQ653" s="443"/>
      <c r="AR653" s="443"/>
      <c r="AS653" s="443"/>
      <c r="AT653" s="443"/>
      <c r="AU653" s="443"/>
      <c r="AV653" s="443"/>
      <c r="AW653" s="443"/>
      <c r="AX653" s="443"/>
      <c r="AY653" s="443"/>
      <c r="AZ653" s="443"/>
      <c r="BA653" s="443"/>
      <c r="BB653" s="443"/>
      <c r="BC653" s="443"/>
      <c r="BD653" s="443"/>
      <c r="BE653" s="443"/>
    </row>
    <row r="654" hidden="1">
      <c r="A654" s="445">
        <f t="shared" si="5"/>
        <v>45944</v>
      </c>
      <c r="B654" s="449">
        <v>466.0</v>
      </c>
      <c r="C654" s="462">
        <v>0.6</v>
      </c>
      <c r="D654" s="462">
        <v>0.9027777777777778</v>
      </c>
      <c r="E654" s="436">
        <f t="array" ref="E654">IF(B654=0,"",(J654+K654)/60)</f>
        <v>0.5</v>
      </c>
      <c r="F654" s="437">
        <f t="shared" si="1"/>
        <v>7.266666667</v>
      </c>
      <c r="G654" s="438">
        <f t="shared" si="9"/>
        <v>64.12844037</v>
      </c>
      <c r="H654" s="438">
        <f t="shared" si="3"/>
        <v>68.86699507</v>
      </c>
      <c r="I654" s="436">
        <f t="shared" si="10"/>
        <v>1.336009174</v>
      </c>
      <c r="J654" s="460">
        <v>30.0</v>
      </c>
      <c r="K654" s="460">
        <v>0.0</v>
      </c>
      <c r="L654" s="443"/>
      <c r="M654" s="447">
        <f>IFERROR(__xludf.DUMMYFUNCTION("""COMPUTED_VALUE"""),57.0)</f>
        <v>57</v>
      </c>
      <c r="N654" s="447">
        <f>IFERROR(__xludf.DUMMYFUNCTION("""COMPUTED_VALUE"""),57.0)</f>
        <v>57</v>
      </c>
      <c r="O654" s="447">
        <f>IFERROR(__xludf.DUMMYFUNCTION("""COMPUTED_VALUE"""),0.0)</f>
        <v>0</v>
      </c>
      <c r="P654" s="447">
        <f>IFERROR(__xludf.DUMMYFUNCTION("""COMPUTED_VALUE"""),1.0)</f>
        <v>1</v>
      </c>
      <c r="Q654" s="447">
        <f>IFERROR(__xludf.DUMMYFUNCTION("""COMPUTED_VALUE"""),0.0)</f>
        <v>0</v>
      </c>
      <c r="R654" s="447">
        <f>IFERROR(__xludf.DUMMYFUNCTION("""COMPUTED_VALUE"""),0.0)</f>
        <v>0</v>
      </c>
      <c r="S654" s="447">
        <f>IFERROR(__xludf.DUMMYFUNCTION("""COMPUTED_VALUE"""),1.0)</f>
        <v>1</v>
      </c>
      <c r="T654" s="447">
        <f>IFERROR(__xludf.DUMMYFUNCTION("""COMPUTED_VALUE"""),0.0)</f>
        <v>0</v>
      </c>
      <c r="U654" s="447">
        <f>IFERROR(__xludf.DUMMYFUNCTION("""COMPUTED_VALUE"""),0.0)</f>
        <v>0</v>
      </c>
      <c r="V654" s="447">
        <f>IFERROR(__xludf.DUMMYFUNCTION("""COMPUTED_VALUE"""),2.0)</f>
        <v>2</v>
      </c>
      <c r="W654" s="447">
        <f>IFERROR(__xludf.DUMMYFUNCTION("""COMPUTED_VALUE"""),0.0)</f>
        <v>0</v>
      </c>
      <c r="X654" s="447">
        <f>IFERROR(__xludf.DUMMYFUNCTION("""COMPUTED_VALUE"""),1.0)</f>
        <v>1</v>
      </c>
      <c r="Y654" s="447">
        <f>IFERROR(__xludf.DUMMYFUNCTION("""COMPUTED_VALUE"""),0.0)</f>
        <v>0</v>
      </c>
      <c r="Z654" s="447">
        <f>IFERROR(__xludf.DUMMYFUNCTION("""COMPUTED_VALUE"""),0.0)</f>
        <v>0</v>
      </c>
      <c r="AA654" s="447">
        <f>IFERROR(__xludf.DUMMYFUNCTION("""COMPUTED_VALUE"""),0.0)</f>
        <v>0</v>
      </c>
      <c r="AB654" s="447">
        <f>IFERROR(__xludf.DUMMYFUNCTION("""COMPUTED_VALUE"""),0.0)</f>
        <v>0</v>
      </c>
      <c r="AC654" s="447">
        <f>IFERROR(__xludf.DUMMYFUNCTION("""COMPUTED_VALUE"""),1.0)</f>
        <v>1</v>
      </c>
      <c r="AD654" s="447">
        <f>IFERROR(__xludf.DUMMYFUNCTION("""COMPUTED_VALUE"""),48.0)</f>
        <v>48</v>
      </c>
      <c r="AE654" s="447">
        <f>IFERROR(__xludf.DUMMYFUNCTION("""COMPUTED_VALUE"""),6.0)</f>
        <v>6</v>
      </c>
      <c r="AF654" s="447">
        <f>IFERROR(__xludf.DUMMYFUNCTION("""COMPUTED_VALUE"""),0.0)</f>
        <v>0</v>
      </c>
      <c r="AG654" s="443" t="s">
        <v>137</v>
      </c>
      <c r="AH654" s="443" t="s">
        <v>961</v>
      </c>
      <c r="AI654" s="443"/>
      <c r="AJ654" s="443"/>
      <c r="AK654" s="443"/>
      <c r="AL654" s="443"/>
      <c r="AM654" s="443"/>
      <c r="AN654" s="443"/>
      <c r="AO654" s="443"/>
      <c r="AP654" s="443"/>
      <c r="AQ654" s="443"/>
      <c r="AR654" s="443"/>
      <c r="AS654" s="443"/>
      <c r="AT654" s="443"/>
      <c r="AU654" s="443"/>
      <c r="AV654" s="443"/>
      <c r="AW654" s="443"/>
      <c r="AX654" s="443"/>
      <c r="AY654" s="443"/>
      <c r="AZ654" s="443"/>
      <c r="BA654" s="443"/>
      <c r="BB654" s="443"/>
      <c r="BC654" s="443"/>
      <c r="BD654" s="443"/>
      <c r="BE654" s="443"/>
    </row>
    <row r="655" hidden="1">
      <c r="A655" s="445">
        <f t="shared" si="5"/>
        <v>45945</v>
      </c>
      <c r="B655" s="449">
        <v>501.0</v>
      </c>
      <c r="C655" s="462">
        <v>0.6</v>
      </c>
      <c r="D655" s="462">
        <v>0.9444444444444444</v>
      </c>
      <c r="E655" s="436">
        <f t="array" ref="E655">IF(B655=0,"",(J655+K655)/60)</f>
        <v>0.7666666667</v>
      </c>
      <c r="F655" s="437">
        <f t="shared" si="1"/>
        <v>8.266666667</v>
      </c>
      <c r="G655" s="438">
        <f t="shared" si="9"/>
        <v>60.60483871</v>
      </c>
      <c r="H655" s="438">
        <f t="shared" si="3"/>
        <v>66.8</v>
      </c>
      <c r="I655" s="436">
        <f t="shared" si="10"/>
        <v>1.262600806</v>
      </c>
      <c r="J655" s="460">
        <v>30.0</v>
      </c>
      <c r="K655" s="464">
        <f>10+6</f>
        <v>16</v>
      </c>
      <c r="L655" s="443"/>
      <c r="M655" s="447">
        <f>IFERROR(__xludf.DUMMYFUNCTION("""COMPUTED_VALUE"""),57.0)</f>
        <v>57</v>
      </c>
      <c r="N655" s="447">
        <f>IFERROR(__xludf.DUMMYFUNCTION("""COMPUTED_VALUE"""),57.0)</f>
        <v>57</v>
      </c>
      <c r="O655" s="447">
        <f>IFERROR(__xludf.DUMMYFUNCTION("""COMPUTED_VALUE"""),0.0)</f>
        <v>0</v>
      </c>
      <c r="P655" s="447">
        <f>IFERROR(__xludf.DUMMYFUNCTION("""COMPUTED_VALUE"""),0.0)</f>
        <v>0</v>
      </c>
      <c r="Q655" s="447">
        <f>IFERROR(__xludf.DUMMYFUNCTION("""COMPUTED_VALUE"""),0.0)</f>
        <v>0</v>
      </c>
      <c r="R655" s="447">
        <f>IFERROR(__xludf.DUMMYFUNCTION("""COMPUTED_VALUE"""),0.0)</f>
        <v>0</v>
      </c>
      <c r="S655" s="447">
        <f>IFERROR(__xludf.DUMMYFUNCTION("""COMPUTED_VALUE"""),2.0)</f>
        <v>2</v>
      </c>
      <c r="T655" s="447">
        <f>IFERROR(__xludf.DUMMYFUNCTION("""COMPUTED_VALUE"""),0.0)</f>
        <v>0</v>
      </c>
      <c r="U655" s="447">
        <f>IFERROR(__xludf.DUMMYFUNCTION("""COMPUTED_VALUE"""),0.0)</f>
        <v>0</v>
      </c>
      <c r="V655" s="447">
        <f>IFERROR(__xludf.DUMMYFUNCTION("""COMPUTED_VALUE"""),3.0)</f>
        <v>3</v>
      </c>
      <c r="W655" s="447">
        <f>IFERROR(__xludf.DUMMYFUNCTION("""COMPUTED_VALUE"""),0.0)</f>
        <v>0</v>
      </c>
      <c r="X655" s="447">
        <f>IFERROR(__xludf.DUMMYFUNCTION("""COMPUTED_VALUE"""),1.0)</f>
        <v>1</v>
      </c>
      <c r="Y655" s="447">
        <f>IFERROR(__xludf.DUMMYFUNCTION("""COMPUTED_VALUE"""),0.0)</f>
        <v>0</v>
      </c>
      <c r="Z655" s="447">
        <f>IFERROR(__xludf.DUMMYFUNCTION("""COMPUTED_VALUE"""),0.0)</f>
        <v>0</v>
      </c>
      <c r="AA655" s="447">
        <f>IFERROR(__xludf.DUMMYFUNCTION("""COMPUTED_VALUE"""),0.0)</f>
        <v>0</v>
      </c>
      <c r="AB655" s="447">
        <f>IFERROR(__xludf.DUMMYFUNCTION("""COMPUTED_VALUE"""),0.0)</f>
        <v>0</v>
      </c>
      <c r="AC655" s="447">
        <f>IFERROR(__xludf.DUMMYFUNCTION("""COMPUTED_VALUE"""),0.0)</f>
        <v>0</v>
      </c>
      <c r="AD655" s="447">
        <f>IFERROR(__xludf.DUMMYFUNCTION("""COMPUTED_VALUE"""),48.0)</f>
        <v>48</v>
      </c>
      <c r="AE655" s="447">
        <f>IFERROR(__xludf.DUMMYFUNCTION("""COMPUTED_VALUE"""),6.0)</f>
        <v>6</v>
      </c>
      <c r="AF655" s="447">
        <f>IFERROR(__xludf.DUMMYFUNCTION("""COMPUTED_VALUE"""),0.0)</f>
        <v>0</v>
      </c>
      <c r="AG655" s="443" t="s">
        <v>137</v>
      </c>
      <c r="AH655" s="443" t="s">
        <v>961</v>
      </c>
      <c r="AI655" s="443"/>
      <c r="AJ655" s="443"/>
      <c r="AK655" s="443"/>
      <c r="AL655" s="443"/>
      <c r="AM655" s="443"/>
      <c r="AN655" s="443"/>
      <c r="AO655" s="443"/>
      <c r="AP655" s="443"/>
      <c r="AQ655" s="443"/>
      <c r="AR655" s="443"/>
      <c r="AS655" s="443"/>
      <c r="AT655" s="443"/>
      <c r="AU655" s="443"/>
      <c r="AV655" s="443"/>
      <c r="AW655" s="443"/>
      <c r="AX655" s="443"/>
      <c r="AY655" s="443"/>
      <c r="AZ655" s="443"/>
      <c r="BA655" s="443"/>
      <c r="BB655" s="443"/>
      <c r="BC655" s="443"/>
      <c r="BD655" s="443"/>
      <c r="BE655" s="443"/>
    </row>
    <row r="656" hidden="1">
      <c r="A656" s="445">
        <f t="shared" si="5"/>
        <v>45946</v>
      </c>
      <c r="B656" s="449">
        <v>463.0</v>
      </c>
      <c r="C656" s="462">
        <v>0.6</v>
      </c>
      <c r="D656" s="462">
        <v>1.0333333333333334</v>
      </c>
      <c r="E656" s="436">
        <f t="array" ref="E656">IF(B656=0,"",(J656+K656)/60)</f>
        <v>4.083333333</v>
      </c>
      <c r="F656" s="437">
        <f t="shared" si="1"/>
        <v>10.4</v>
      </c>
      <c r="G656" s="438">
        <f t="shared" si="9"/>
        <v>44.51923077</v>
      </c>
      <c r="H656" s="438">
        <f t="shared" si="3"/>
        <v>73.29815303</v>
      </c>
      <c r="I656" s="436">
        <f t="shared" si="10"/>
        <v>0.9274839744</v>
      </c>
      <c r="J656" s="460">
        <v>30.0</v>
      </c>
      <c r="K656" s="464">
        <f>20+18+24+153</f>
        <v>215</v>
      </c>
      <c r="L656" s="443"/>
      <c r="M656" s="447">
        <f>IFERROR(__xludf.DUMMYFUNCTION("""COMPUTED_VALUE"""),57.0)</f>
        <v>57</v>
      </c>
      <c r="N656" s="447">
        <f>IFERROR(__xludf.DUMMYFUNCTION("""COMPUTED_VALUE"""),57.0)</f>
        <v>57</v>
      </c>
      <c r="O656" s="447">
        <f>IFERROR(__xludf.DUMMYFUNCTION("""COMPUTED_VALUE"""),0.0)</f>
        <v>0</v>
      </c>
      <c r="P656" s="447">
        <f>IFERROR(__xludf.DUMMYFUNCTION("""COMPUTED_VALUE"""),0.0)</f>
        <v>0</v>
      </c>
      <c r="Q656" s="447">
        <f>IFERROR(__xludf.DUMMYFUNCTION("""COMPUTED_VALUE"""),0.0)</f>
        <v>0</v>
      </c>
      <c r="R656" s="447">
        <f>IFERROR(__xludf.DUMMYFUNCTION("""COMPUTED_VALUE"""),0.0)</f>
        <v>0</v>
      </c>
      <c r="S656" s="447">
        <f>IFERROR(__xludf.DUMMYFUNCTION("""COMPUTED_VALUE"""),2.0)</f>
        <v>2</v>
      </c>
      <c r="T656" s="447">
        <f>IFERROR(__xludf.DUMMYFUNCTION("""COMPUTED_VALUE"""),0.0)</f>
        <v>0</v>
      </c>
      <c r="U656" s="447">
        <f>IFERROR(__xludf.DUMMYFUNCTION("""COMPUTED_VALUE"""),0.0)</f>
        <v>0</v>
      </c>
      <c r="V656" s="447">
        <f>IFERROR(__xludf.DUMMYFUNCTION("""COMPUTED_VALUE"""),3.0)</f>
        <v>3</v>
      </c>
      <c r="W656" s="447">
        <f>IFERROR(__xludf.DUMMYFUNCTION("""COMPUTED_VALUE"""),0.0)</f>
        <v>0</v>
      </c>
      <c r="X656" s="447">
        <f>IFERROR(__xludf.DUMMYFUNCTION("""COMPUTED_VALUE"""),1.0)</f>
        <v>1</v>
      </c>
      <c r="Y656" s="447">
        <f>IFERROR(__xludf.DUMMYFUNCTION("""COMPUTED_VALUE"""),0.0)</f>
        <v>0</v>
      </c>
      <c r="Z656" s="447">
        <f>IFERROR(__xludf.DUMMYFUNCTION("""COMPUTED_VALUE"""),0.0)</f>
        <v>0</v>
      </c>
      <c r="AA656" s="447">
        <f>IFERROR(__xludf.DUMMYFUNCTION("""COMPUTED_VALUE"""),0.0)</f>
        <v>0</v>
      </c>
      <c r="AB656" s="447">
        <f>IFERROR(__xludf.DUMMYFUNCTION("""COMPUTED_VALUE"""),0.0)</f>
        <v>0</v>
      </c>
      <c r="AC656" s="447">
        <f>IFERROR(__xludf.DUMMYFUNCTION("""COMPUTED_VALUE"""),0.0)</f>
        <v>0</v>
      </c>
      <c r="AD656" s="447">
        <f>IFERROR(__xludf.DUMMYFUNCTION("""COMPUTED_VALUE"""),48.0)</f>
        <v>48</v>
      </c>
      <c r="AE656" s="447">
        <f>IFERROR(__xludf.DUMMYFUNCTION("""COMPUTED_VALUE"""),6.0)</f>
        <v>6</v>
      </c>
      <c r="AF656" s="447">
        <f>IFERROR(__xludf.DUMMYFUNCTION("""COMPUTED_VALUE"""),0.0)</f>
        <v>0</v>
      </c>
      <c r="AG656" s="443" t="s">
        <v>137</v>
      </c>
      <c r="AH656" s="443" t="s">
        <v>961</v>
      </c>
      <c r="AI656" s="443"/>
      <c r="AJ656" s="443"/>
      <c r="AK656" s="443"/>
      <c r="AL656" s="443"/>
      <c r="AM656" s="443"/>
      <c r="AN656" s="443"/>
      <c r="AO656" s="443"/>
      <c r="AP656" s="443"/>
      <c r="AQ656" s="443"/>
      <c r="AR656" s="443"/>
      <c r="AS656" s="443"/>
      <c r="AT656" s="443"/>
      <c r="AU656" s="443"/>
      <c r="AV656" s="443"/>
      <c r="AW656" s="443"/>
      <c r="AX656" s="443"/>
      <c r="AY656" s="443"/>
      <c r="AZ656" s="443"/>
      <c r="BA656" s="443"/>
      <c r="BB656" s="443"/>
      <c r="BC656" s="443"/>
      <c r="BD656" s="443"/>
      <c r="BE656" s="443"/>
    </row>
    <row r="657" hidden="1">
      <c r="A657" s="445">
        <f t="shared" si="5"/>
        <v>45947</v>
      </c>
      <c r="B657" s="449">
        <v>408.0</v>
      </c>
      <c r="C657" s="462">
        <v>0.6833333333333333</v>
      </c>
      <c r="D657" s="462">
        <v>0.9513888888888888</v>
      </c>
      <c r="E657" s="436">
        <f t="array" ref="E657">IF(B657=0,"",(J657+K657)/60)</f>
        <v>0.6833333333</v>
      </c>
      <c r="F657" s="437">
        <f t="shared" si="1"/>
        <v>6.433333333</v>
      </c>
      <c r="G657" s="438">
        <f t="shared" si="9"/>
        <v>63.41968912</v>
      </c>
      <c r="H657" s="438">
        <f t="shared" si="3"/>
        <v>70.95652174</v>
      </c>
      <c r="I657" s="436">
        <f t="shared" si="10"/>
        <v>1.29427937</v>
      </c>
      <c r="J657" s="460">
        <v>30.0</v>
      </c>
      <c r="K657" s="464">
        <f>5+6</f>
        <v>11</v>
      </c>
      <c r="L657" s="449" t="s">
        <v>976</v>
      </c>
      <c r="M657" s="447">
        <f>IFERROR(__xludf.DUMMYFUNCTION("""COMPUTED_VALUE"""),57.0)</f>
        <v>57</v>
      </c>
      <c r="N657" s="447">
        <f>IFERROR(__xludf.DUMMYFUNCTION("""COMPUTED_VALUE"""),57.0)</f>
        <v>57</v>
      </c>
      <c r="O657" s="447">
        <f>IFERROR(__xludf.DUMMYFUNCTION("""COMPUTED_VALUE"""),0.0)</f>
        <v>0</v>
      </c>
      <c r="P657" s="447">
        <f>IFERROR(__xludf.DUMMYFUNCTION("""COMPUTED_VALUE"""),0.0)</f>
        <v>0</v>
      </c>
      <c r="Q657" s="447">
        <f>IFERROR(__xludf.DUMMYFUNCTION("""COMPUTED_VALUE"""),0.0)</f>
        <v>0</v>
      </c>
      <c r="R657" s="447">
        <f>IFERROR(__xludf.DUMMYFUNCTION("""COMPUTED_VALUE"""),0.0)</f>
        <v>0</v>
      </c>
      <c r="S657" s="447">
        <f>IFERROR(__xludf.DUMMYFUNCTION("""COMPUTED_VALUE"""),1.0)</f>
        <v>1</v>
      </c>
      <c r="T657" s="447">
        <f>IFERROR(__xludf.DUMMYFUNCTION("""COMPUTED_VALUE"""),0.0)</f>
        <v>0</v>
      </c>
      <c r="U657" s="447">
        <f>IFERROR(__xludf.DUMMYFUNCTION("""COMPUTED_VALUE"""),0.0)</f>
        <v>0</v>
      </c>
      <c r="V657" s="447">
        <f>IFERROR(__xludf.DUMMYFUNCTION("""COMPUTED_VALUE"""),3.0)</f>
        <v>3</v>
      </c>
      <c r="W657" s="447">
        <f>IFERROR(__xludf.DUMMYFUNCTION("""COMPUTED_VALUE"""),0.0)</f>
        <v>0</v>
      </c>
      <c r="X657" s="447">
        <f>IFERROR(__xludf.DUMMYFUNCTION("""COMPUTED_VALUE"""),1.0)</f>
        <v>1</v>
      </c>
      <c r="Y657" s="447">
        <f>IFERROR(__xludf.DUMMYFUNCTION("""COMPUTED_VALUE"""),0.0)</f>
        <v>0</v>
      </c>
      <c r="Z657" s="447">
        <f>IFERROR(__xludf.DUMMYFUNCTION("""COMPUTED_VALUE"""),0.0)</f>
        <v>0</v>
      </c>
      <c r="AA657" s="447">
        <f>IFERROR(__xludf.DUMMYFUNCTION("""COMPUTED_VALUE"""),0.0)</f>
        <v>0</v>
      </c>
      <c r="AB657" s="447">
        <f>IFERROR(__xludf.DUMMYFUNCTION("""COMPUTED_VALUE"""),0.0)</f>
        <v>0</v>
      </c>
      <c r="AC657" s="447">
        <f>IFERROR(__xludf.DUMMYFUNCTION("""COMPUTED_VALUE"""),0.0)</f>
        <v>0</v>
      </c>
      <c r="AD657" s="447">
        <f>IFERROR(__xludf.DUMMYFUNCTION("""COMPUTED_VALUE"""),49.0)</f>
        <v>49</v>
      </c>
      <c r="AE657" s="447">
        <f>IFERROR(__xludf.DUMMYFUNCTION("""COMPUTED_VALUE"""),5.0)</f>
        <v>5</v>
      </c>
      <c r="AF657" s="447">
        <f>IFERROR(__xludf.DUMMYFUNCTION("""COMPUTED_VALUE"""),0.0)</f>
        <v>0</v>
      </c>
      <c r="AG657" s="443" t="s">
        <v>137</v>
      </c>
      <c r="AH657" s="443" t="s">
        <v>961</v>
      </c>
      <c r="AI657" s="443"/>
      <c r="AJ657" s="443"/>
      <c r="AK657" s="443"/>
      <c r="AL657" s="443"/>
      <c r="AM657" s="443"/>
      <c r="AN657" s="443"/>
      <c r="AO657" s="443"/>
      <c r="AP657" s="443"/>
      <c r="AQ657" s="443"/>
      <c r="AR657" s="443"/>
      <c r="AS657" s="443"/>
      <c r="AT657" s="443"/>
      <c r="AU657" s="443"/>
      <c r="AV657" s="443"/>
      <c r="AW657" s="443"/>
      <c r="AX657" s="443"/>
      <c r="AY657" s="443"/>
      <c r="AZ657" s="443"/>
      <c r="BA657" s="443"/>
      <c r="BB657" s="443"/>
      <c r="BC657" s="443"/>
      <c r="BD657" s="443"/>
      <c r="BE657" s="443"/>
    </row>
    <row r="658" hidden="1">
      <c r="A658" s="445">
        <f t="shared" si="5"/>
        <v>45948</v>
      </c>
      <c r="B658" s="449">
        <v>291.0</v>
      </c>
      <c r="C658" s="462">
        <v>0.6104166666666667</v>
      </c>
      <c r="D658" s="462">
        <v>0.8104166666666667</v>
      </c>
      <c r="E658" s="436">
        <f t="array" ref="E658">IF(B658=0,"",(J658+K658)/60)</f>
        <v>0.35</v>
      </c>
      <c r="F658" s="437">
        <f t="shared" si="1"/>
        <v>4.8</v>
      </c>
      <c r="G658" s="438">
        <f t="shared" si="9"/>
        <v>60.625</v>
      </c>
      <c r="H658" s="438">
        <f t="shared" si="3"/>
        <v>65.39325843</v>
      </c>
      <c r="I658" s="436">
        <f t="shared" si="10"/>
        <v>1.289893617</v>
      </c>
      <c r="J658" s="460">
        <v>0.0</v>
      </c>
      <c r="K658" s="464">
        <f>9+6+6</f>
        <v>21</v>
      </c>
      <c r="L658" s="443"/>
      <c r="M658" s="447">
        <f>IFERROR(__xludf.DUMMYFUNCTION("""COMPUTED_VALUE"""),57.0)</f>
        <v>57</v>
      </c>
      <c r="N658" s="447">
        <f>IFERROR(__xludf.DUMMYFUNCTION("""COMPUTED_VALUE"""),57.0)</f>
        <v>57</v>
      </c>
      <c r="O658" s="447">
        <f>IFERROR(__xludf.DUMMYFUNCTION("""COMPUTED_VALUE"""),0.0)</f>
        <v>0</v>
      </c>
      <c r="P658" s="447">
        <f>IFERROR(__xludf.DUMMYFUNCTION("""COMPUTED_VALUE"""),1.0)</f>
        <v>1</v>
      </c>
      <c r="Q658" s="447">
        <f>IFERROR(__xludf.DUMMYFUNCTION("""COMPUTED_VALUE"""),0.0)</f>
        <v>0</v>
      </c>
      <c r="R658" s="447">
        <f>IFERROR(__xludf.DUMMYFUNCTION("""COMPUTED_VALUE"""),0.0)</f>
        <v>0</v>
      </c>
      <c r="S658" s="447">
        <f>IFERROR(__xludf.DUMMYFUNCTION("""COMPUTED_VALUE"""),1.0)</f>
        <v>1</v>
      </c>
      <c r="T658" s="447">
        <f>IFERROR(__xludf.DUMMYFUNCTION("""COMPUTED_VALUE"""),0.0)</f>
        <v>0</v>
      </c>
      <c r="U658" s="447">
        <f>IFERROR(__xludf.DUMMYFUNCTION("""COMPUTED_VALUE"""),0.0)</f>
        <v>0</v>
      </c>
      <c r="V658" s="447">
        <f>IFERROR(__xludf.DUMMYFUNCTION("""COMPUTED_VALUE"""),3.0)</f>
        <v>3</v>
      </c>
      <c r="W658" s="447">
        <f>IFERROR(__xludf.DUMMYFUNCTION("""COMPUTED_VALUE"""),0.0)</f>
        <v>0</v>
      </c>
      <c r="X658" s="447">
        <f>IFERROR(__xludf.DUMMYFUNCTION("""COMPUTED_VALUE"""),1.0)</f>
        <v>1</v>
      </c>
      <c r="Y658" s="447">
        <f>IFERROR(__xludf.DUMMYFUNCTION("""COMPUTED_VALUE"""),0.0)</f>
        <v>0</v>
      </c>
      <c r="Z658" s="447">
        <f>IFERROR(__xludf.DUMMYFUNCTION("""COMPUTED_VALUE"""),0.0)</f>
        <v>0</v>
      </c>
      <c r="AA658" s="447">
        <f>IFERROR(__xludf.DUMMYFUNCTION("""COMPUTED_VALUE"""),0.0)</f>
        <v>0</v>
      </c>
      <c r="AB658" s="447">
        <f>IFERROR(__xludf.DUMMYFUNCTION("""COMPUTED_VALUE"""),0.0)</f>
        <v>0</v>
      </c>
      <c r="AC658" s="447">
        <f>IFERROR(__xludf.DUMMYFUNCTION("""COMPUTED_VALUE"""),1.0)</f>
        <v>1</v>
      </c>
      <c r="AD658" s="447">
        <f>IFERROR(__xludf.DUMMYFUNCTION("""COMPUTED_VALUE"""),47.0)</f>
        <v>47</v>
      </c>
      <c r="AE658" s="447">
        <f>IFERROR(__xludf.DUMMYFUNCTION("""COMPUTED_VALUE"""),7.0)</f>
        <v>7</v>
      </c>
      <c r="AF658" s="447">
        <f>IFERROR(__xludf.DUMMYFUNCTION("""COMPUTED_VALUE"""),0.0)</f>
        <v>0</v>
      </c>
      <c r="AG658" s="443" t="s">
        <v>137</v>
      </c>
      <c r="AH658" s="443" t="s">
        <v>961</v>
      </c>
      <c r="AI658" s="443"/>
      <c r="AJ658" s="443"/>
      <c r="AK658" s="443"/>
      <c r="AL658" s="443"/>
      <c r="AM658" s="443"/>
      <c r="AN658" s="443"/>
      <c r="AO658" s="443"/>
      <c r="AP658" s="443"/>
      <c r="AQ658" s="443"/>
      <c r="AR658" s="443"/>
      <c r="AS658" s="443"/>
      <c r="AT658" s="443"/>
      <c r="AU658" s="443"/>
      <c r="AV658" s="443"/>
      <c r="AW658" s="443"/>
      <c r="AX658" s="443"/>
      <c r="AY658" s="443"/>
      <c r="AZ658" s="443"/>
      <c r="BA658" s="443"/>
      <c r="BB658" s="443"/>
      <c r="BC658" s="443"/>
      <c r="BD658" s="443"/>
      <c r="BE658" s="443"/>
    </row>
    <row r="659" hidden="1">
      <c r="A659" s="445">
        <f t="shared" si="5"/>
        <v>45949</v>
      </c>
      <c r="B659" s="449">
        <v>0.0</v>
      </c>
      <c r="C659" s="443"/>
      <c r="D659" s="462"/>
      <c r="E659" s="436" t="str">
        <f t="array" ref="E659">IF(B659=0,"",(J659+K659)/60)</f>
        <v/>
      </c>
      <c r="F659" s="437" t="str">
        <f t="shared" si="1"/>
        <v/>
      </c>
      <c r="G659" s="438" t="str">
        <f t="shared" si="9"/>
        <v>#DIV/0!</v>
      </c>
      <c r="H659" s="438" t="str">
        <f t="shared" si="3"/>
        <v/>
      </c>
      <c r="I659" s="436" t="str">
        <f t="shared" si="10"/>
        <v/>
      </c>
      <c r="J659" s="464"/>
      <c r="K659" s="464"/>
      <c r="L659" s="443"/>
      <c r="M659" s="447">
        <f>IFERROR(__xludf.DUMMYFUNCTION("""COMPUTED_VALUE"""),57.0)</f>
        <v>57</v>
      </c>
      <c r="N659" s="447">
        <f>IFERROR(__xludf.DUMMYFUNCTION("""COMPUTED_VALUE"""),57.0)</f>
        <v>57</v>
      </c>
      <c r="O659" s="447">
        <f>IFERROR(__xludf.DUMMYFUNCTION("""COMPUTED_VALUE"""),0.0)</f>
        <v>0</v>
      </c>
      <c r="P659" s="447">
        <f>IFERROR(__xludf.DUMMYFUNCTION("""COMPUTED_VALUE"""),0.0)</f>
        <v>0</v>
      </c>
      <c r="Q659" s="447">
        <f>IFERROR(__xludf.DUMMYFUNCTION("""COMPUTED_VALUE"""),0.0)</f>
        <v>0</v>
      </c>
      <c r="R659" s="447">
        <f>IFERROR(__xludf.DUMMYFUNCTION("""COMPUTED_VALUE"""),0.0)</f>
        <v>0</v>
      </c>
      <c r="S659" s="447">
        <f>IFERROR(__xludf.DUMMYFUNCTION("""COMPUTED_VALUE"""),0.0)</f>
        <v>0</v>
      </c>
      <c r="T659" s="447">
        <f>IFERROR(__xludf.DUMMYFUNCTION("""COMPUTED_VALUE"""),0.0)</f>
        <v>0</v>
      </c>
      <c r="U659" s="447">
        <f>IFERROR(__xludf.DUMMYFUNCTION("""COMPUTED_VALUE"""),0.0)</f>
        <v>0</v>
      </c>
      <c r="V659" s="447">
        <f>IFERROR(__xludf.DUMMYFUNCTION("""COMPUTED_VALUE"""),0.0)</f>
        <v>0</v>
      </c>
      <c r="W659" s="447">
        <f>IFERROR(__xludf.DUMMYFUNCTION("""COMPUTED_VALUE"""),0.0)</f>
        <v>0</v>
      </c>
      <c r="X659" s="447">
        <f>IFERROR(__xludf.DUMMYFUNCTION("""COMPUTED_VALUE"""),0.0)</f>
        <v>0</v>
      </c>
      <c r="Y659" s="447">
        <f>IFERROR(__xludf.DUMMYFUNCTION("""COMPUTED_VALUE"""),0.0)</f>
        <v>0</v>
      </c>
      <c r="Z659" s="447">
        <f>IFERROR(__xludf.DUMMYFUNCTION("""COMPUTED_VALUE"""),0.0)</f>
        <v>0</v>
      </c>
      <c r="AA659" s="447">
        <f>IFERROR(__xludf.DUMMYFUNCTION("""COMPUTED_VALUE"""),0.0)</f>
        <v>0</v>
      </c>
      <c r="AB659" s="447">
        <f>IFERROR(__xludf.DUMMYFUNCTION("""COMPUTED_VALUE"""),0.0)</f>
        <v>0</v>
      </c>
      <c r="AC659" s="447">
        <f>IFERROR(__xludf.DUMMYFUNCTION("""COMPUTED_VALUE"""),0.0)</f>
        <v>0</v>
      </c>
      <c r="AD659" s="447">
        <f>IFERROR(__xludf.DUMMYFUNCTION("""COMPUTED_VALUE"""),0.0)</f>
        <v>0</v>
      </c>
      <c r="AE659" s="447">
        <f>IFERROR(__xludf.DUMMYFUNCTION("""COMPUTED_VALUE"""),0.0)</f>
        <v>0</v>
      </c>
      <c r="AF659" s="447">
        <f>IFERROR(__xludf.DUMMYFUNCTION("""COMPUTED_VALUE"""),0.0)</f>
        <v>0</v>
      </c>
      <c r="AG659" s="443" t="s">
        <v>137</v>
      </c>
      <c r="AH659" s="443" t="s">
        <v>961</v>
      </c>
      <c r="AI659" s="443"/>
      <c r="AJ659" s="443"/>
      <c r="AK659" s="443"/>
      <c r="AL659" s="443"/>
      <c r="AM659" s="443"/>
      <c r="AN659" s="443"/>
      <c r="AO659" s="443"/>
      <c r="AP659" s="443"/>
      <c r="AQ659" s="443"/>
      <c r="AR659" s="443"/>
      <c r="AS659" s="443"/>
      <c r="AT659" s="443"/>
      <c r="AU659" s="443"/>
      <c r="AV659" s="443"/>
      <c r="AW659" s="443"/>
      <c r="AX659" s="443"/>
      <c r="AY659" s="443"/>
      <c r="AZ659" s="443"/>
      <c r="BA659" s="443"/>
      <c r="BB659" s="443"/>
      <c r="BC659" s="443"/>
      <c r="BD659" s="443"/>
      <c r="BE659" s="443"/>
    </row>
    <row r="660" hidden="1">
      <c r="A660" s="445">
        <f t="shared" si="5"/>
        <v>45950</v>
      </c>
      <c r="B660" s="449">
        <v>715.0</v>
      </c>
      <c r="C660" s="462">
        <v>0.6416666666666667</v>
      </c>
      <c r="D660" s="462">
        <v>1.075</v>
      </c>
      <c r="E660" s="436">
        <f t="array" ref="E660">IF(B660=0,"",(J660+K660)/60)</f>
        <v>1.183333333</v>
      </c>
      <c r="F660" s="437">
        <f t="shared" si="1"/>
        <v>10.4</v>
      </c>
      <c r="G660" s="438">
        <f t="shared" si="9"/>
        <v>68.75</v>
      </c>
      <c r="H660" s="438">
        <f t="shared" si="3"/>
        <v>77.57685353</v>
      </c>
      <c r="I660" s="436">
        <f t="shared" si="10"/>
        <v>1.462765957</v>
      </c>
      <c r="J660" s="460">
        <v>60.0</v>
      </c>
      <c r="K660" s="460">
        <v>11.0</v>
      </c>
      <c r="L660" s="443"/>
      <c r="M660" s="447">
        <f>IFERROR(__xludf.DUMMYFUNCTION("""COMPUTED_VALUE"""),57.0)</f>
        <v>57</v>
      </c>
      <c r="N660" s="447">
        <f>IFERROR(__xludf.DUMMYFUNCTION("""COMPUTED_VALUE"""),57.0)</f>
        <v>57</v>
      </c>
      <c r="O660" s="447">
        <f>IFERROR(__xludf.DUMMYFUNCTION("""COMPUTED_VALUE"""),0.0)</f>
        <v>0</v>
      </c>
      <c r="P660" s="447">
        <f>IFERROR(__xludf.DUMMYFUNCTION("""COMPUTED_VALUE"""),0.0)</f>
        <v>0</v>
      </c>
      <c r="Q660" s="447">
        <f>IFERROR(__xludf.DUMMYFUNCTION("""COMPUTED_VALUE"""),0.0)</f>
        <v>0</v>
      </c>
      <c r="R660" s="447">
        <f>IFERROR(__xludf.DUMMYFUNCTION("""COMPUTED_VALUE"""),0.0)</f>
        <v>0</v>
      </c>
      <c r="S660" s="447">
        <f>IFERROR(__xludf.DUMMYFUNCTION("""COMPUTED_VALUE"""),2.0)</f>
        <v>2</v>
      </c>
      <c r="T660" s="447">
        <f>IFERROR(__xludf.DUMMYFUNCTION("""COMPUTED_VALUE"""),0.0)</f>
        <v>0</v>
      </c>
      <c r="U660" s="447">
        <f>IFERROR(__xludf.DUMMYFUNCTION("""COMPUTED_VALUE"""),0.0)</f>
        <v>0</v>
      </c>
      <c r="V660" s="447">
        <f>IFERROR(__xludf.DUMMYFUNCTION("""COMPUTED_VALUE"""),3.0)</f>
        <v>3</v>
      </c>
      <c r="W660" s="447">
        <f>IFERROR(__xludf.DUMMYFUNCTION("""COMPUTED_VALUE"""),0.0)</f>
        <v>0</v>
      </c>
      <c r="X660" s="447">
        <f>IFERROR(__xludf.DUMMYFUNCTION("""COMPUTED_VALUE"""),1.0)</f>
        <v>1</v>
      </c>
      <c r="Y660" s="447">
        <f>IFERROR(__xludf.DUMMYFUNCTION("""COMPUTED_VALUE"""),0.0)</f>
        <v>0</v>
      </c>
      <c r="Z660" s="447">
        <f>IFERROR(__xludf.DUMMYFUNCTION("""COMPUTED_VALUE"""),0.0)</f>
        <v>0</v>
      </c>
      <c r="AA660" s="447">
        <f>IFERROR(__xludf.DUMMYFUNCTION("""COMPUTED_VALUE"""),0.0)</f>
        <v>0</v>
      </c>
      <c r="AB660" s="447">
        <f>IFERROR(__xludf.DUMMYFUNCTION("""COMPUTED_VALUE"""),0.0)</f>
        <v>0</v>
      </c>
      <c r="AC660" s="447">
        <f>IFERROR(__xludf.DUMMYFUNCTION("""COMPUTED_VALUE"""),1.0)</f>
        <v>1</v>
      </c>
      <c r="AD660" s="447">
        <f>IFERROR(__xludf.DUMMYFUNCTION("""COMPUTED_VALUE"""),47.0)</f>
        <v>47</v>
      </c>
      <c r="AE660" s="447">
        <f>IFERROR(__xludf.DUMMYFUNCTION("""COMPUTED_VALUE"""),7.0)</f>
        <v>7</v>
      </c>
      <c r="AF660" s="447">
        <f>IFERROR(__xludf.DUMMYFUNCTION("""COMPUTED_VALUE"""),0.0)</f>
        <v>0</v>
      </c>
      <c r="AG660" s="443" t="s">
        <v>137</v>
      </c>
      <c r="AH660" s="443" t="s">
        <v>961</v>
      </c>
      <c r="AI660" s="443"/>
      <c r="AJ660" s="443"/>
      <c r="AK660" s="443"/>
      <c r="AL660" s="443"/>
      <c r="AM660" s="443"/>
      <c r="AN660" s="443"/>
      <c r="AO660" s="443"/>
      <c r="AP660" s="443"/>
      <c r="AQ660" s="443"/>
      <c r="AR660" s="443"/>
      <c r="AS660" s="443"/>
      <c r="AT660" s="443"/>
      <c r="AU660" s="443"/>
      <c r="AV660" s="443"/>
      <c r="AW660" s="443"/>
      <c r="AX660" s="443"/>
      <c r="AY660" s="443"/>
      <c r="AZ660" s="443"/>
      <c r="BA660" s="443"/>
      <c r="BB660" s="443"/>
      <c r="BC660" s="443"/>
      <c r="BD660" s="443"/>
      <c r="BE660" s="443"/>
    </row>
    <row r="661" hidden="1">
      <c r="A661" s="445">
        <f t="shared" si="5"/>
        <v>45951</v>
      </c>
      <c r="B661" s="449">
        <v>418.0</v>
      </c>
      <c r="C661" s="462">
        <v>0.6416666666666667</v>
      </c>
      <c r="D661" s="462">
        <v>0.9166666666666666</v>
      </c>
      <c r="E661" s="436">
        <f t="array" ref="E661">IF(B661=0,"",(J661+K661)/60)</f>
        <v>0.5</v>
      </c>
      <c r="F661" s="437">
        <f t="shared" si="1"/>
        <v>6.6</v>
      </c>
      <c r="G661" s="438">
        <f t="shared" si="9"/>
        <v>63.33333333</v>
      </c>
      <c r="H661" s="438">
        <f t="shared" si="3"/>
        <v>68.52459016</v>
      </c>
      <c r="I661" s="436">
        <f t="shared" si="10"/>
        <v>1.407407407</v>
      </c>
      <c r="J661" s="460">
        <v>30.0</v>
      </c>
      <c r="K661" s="464"/>
      <c r="L661" s="443"/>
      <c r="M661" s="447">
        <f>IFERROR(__xludf.DUMMYFUNCTION("""COMPUTED_VALUE"""),57.0)</f>
        <v>57</v>
      </c>
      <c r="N661" s="447">
        <f>IFERROR(__xludf.DUMMYFUNCTION("""COMPUTED_VALUE"""),57.0)</f>
        <v>57</v>
      </c>
      <c r="O661" s="447">
        <f>IFERROR(__xludf.DUMMYFUNCTION("""COMPUTED_VALUE"""),1.0)</f>
        <v>1</v>
      </c>
      <c r="P661" s="447">
        <f>IFERROR(__xludf.DUMMYFUNCTION("""COMPUTED_VALUE"""),1.0)</f>
        <v>1</v>
      </c>
      <c r="Q661" s="447">
        <f>IFERROR(__xludf.DUMMYFUNCTION("""COMPUTED_VALUE"""),0.0)</f>
        <v>0</v>
      </c>
      <c r="R661" s="447">
        <f>IFERROR(__xludf.DUMMYFUNCTION("""COMPUTED_VALUE"""),0.0)</f>
        <v>0</v>
      </c>
      <c r="S661" s="447">
        <f>IFERROR(__xludf.DUMMYFUNCTION("""COMPUTED_VALUE"""),4.0)</f>
        <v>4</v>
      </c>
      <c r="T661" s="447">
        <f>IFERROR(__xludf.DUMMYFUNCTION("""COMPUTED_VALUE"""),0.0)</f>
        <v>0</v>
      </c>
      <c r="U661" s="447">
        <f>IFERROR(__xludf.DUMMYFUNCTION("""COMPUTED_VALUE"""),0.0)</f>
        <v>0</v>
      </c>
      <c r="V661" s="447">
        <f>IFERROR(__xludf.DUMMYFUNCTION("""COMPUTED_VALUE"""),1.0)</f>
        <v>1</v>
      </c>
      <c r="W661" s="447">
        <f>IFERROR(__xludf.DUMMYFUNCTION("""COMPUTED_VALUE"""),0.0)</f>
        <v>0</v>
      </c>
      <c r="X661" s="447">
        <f>IFERROR(__xludf.DUMMYFUNCTION("""COMPUTED_VALUE"""),1.0)</f>
        <v>1</v>
      </c>
      <c r="Y661" s="447">
        <f>IFERROR(__xludf.DUMMYFUNCTION("""COMPUTED_VALUE"""),0.0)</f>
        <v>0</v>
      </c>
      <c r="Z661" s="447">
        <f>IFERROR(__xludf.DUMMYFUNCTION("""COMPUTED_VALUE"""),0.0)</f>
        <v>0</v>
      </c>
      <c r="AA661" s="447">
        <f>IFERROR(__xludf.DUMMYFUNCTION("""COMPUTED_VALUE"""),1.0)</f>
        <v>1</v>
      </c>
      <c r="AB661" s="447">
        <f>IFERROR(__xludf.DUMMYFUNCTION("""COMPUTED_VALUE"""),0.0)</f>
        <v>0</v>
      </c>
      <c r="AC661" s="447">
        <f>IFERROR(__xludf.DUMMYFUNCTION("""COMPUTED_VALUE"""),0.0)</f>
        <v>0</v>
      </c>
      <c r="AD661" s="447">
        <f>IFERROR(__xludf.DUMMYFUNCTION("""COMPUTED_VALUE"""),45.0)</f>
        <v>45</v>
      </c>
      <c r="AE661" s="447">
        <f>IFERROR(__xludf.DUMMYFUNCTION("""COMPUTED_VALUE"""),9.0)</f>
        <v>9</v>
      </c>
      <c r="AF661" s="447">
        <f>IFERROR(__xludf.DUMMYFUNCTION("""COMPUTED_VALUE"""),0.0)</f>
        <v>0</v>
      </c>
      <c r="AG661" s="443" t="s">
        <v>137</v>
      </c>
      <c r="AH661" s="443" t="s">
        <v>961</v>
      </c>
      <c r="AI661" s="443"/>
      <c r="AJ661" s="443"/>
      <c r="AK661" s="443"/>
      <c r="AL661" s="443"/>
      <c r="AM661" s="443"/>
      <c r="AN661" s="443"/>
      <c r="AO661" s="443"/>
      <c r="AP661" s="443"/>
      <c r="AQ661" s="443"/>
      <c r="AR661" s="443"/>
      <c r="AS661" s="443"/>
      <c r="AT661" s="443"/>
      <c r="AU661" s="443"/>
      <c r="AV661" s="443"/>
      <c r="AW661" s="443"/>
      <c r="AX661" s="443"/>
      <c r="AY661" s="443"/>
      <c r="AZ661" s="443"/>
      <c r="BA661" s="443"/>
      <c r="BB661" s="443"/>
      <c r="BC661" s="443"/>
      <c r="BD661" s="443"/>
      <c r="BE661" s="443"/>
    </row>
    <row r="662" hidden="1">
      <c r="A662" s="445">
        <f t="shared" si="5"/>
        <v>45952</v>
      </c>
      <c r="B662" s="449">
        <v>497.0</v>
      </c>
      <c r="C662" s="462">
        <v>0.6</v>
      </c>
      <c r="D662" s="462">
        <v>0.9166666666666666</v>
      </c>
      <c r="E662" s="436">
        <f t="array" ref="E662">IF(B662=0,"",(J662+K662)/60)</f>
        <v>0.6833333333</v>
      </c>
      <c r="F662" s="437">
        <f t="shared" si="1"/>
        <v>7.6</v>
      </c>
      <c r="G662" s="438">
        <f t="shared" si="9"/>
        <v>65.39473684</v>
      </c>
      <c r="H662" s="438">
        <f t="shared" si="3"/>
        <v>71.85542169</v>
      </c>
      <c r="I662" s="436">
        <f t="shared" si="10"/>
        <v>1.421624714</v>
      </c>
      <c r="J662" s="460">
        <v>30.0</v>
      </c>
      <c r="K662" s="464">
        <f>6+5</f>
        <v>11</v>
      </c>
      <c r="L662" s="443"/>
      <c r="M662" s="447">
        <f>IFERROR(__xludf.DUMMYFUNCTION("""COMPUTED_VALUE"""),57.0)</f>
        <v>57</v>
      </c>
      <c r="N662" s="447">
        <f>IFERROR(__xludf.DUMMYFUNCTION("""COMPUTED_VALUE"""),57.0)</f>
        <v>57</v>
      </c>
      <c r="O662" s="447">
        <f>IFERROR(__xludf.DUMMYFUNCTION("""COMPUTED_VALUE"""),0.0)</f>
        <v>0</v>
      </c>
      <c r="P662" s="447">
        <f>IFERROR(__xludf.DUMMYFUNCTION("""COMPUTED_VALUE"""),2.0)</f>
        <v>2</v>
      </c>
      <c r="Q662" s="447">
        <f>IFERROR(__xludf.DUMMYFUNCTION("""COMPUTED_VALUE"""),0.0)</f>
        <v>0</v>
      </c>
      <c r="R662" s="447">
        <f>IFERROR(__xludf.DUMMYFUNCTION("""COMPUTED_VALUE"""),0.0)</f>
        <v>0</v>
      </c>
      <c r="S662" s="447">
        <f>IFERROR(__xludf.DUMMYFUNCTION("""COMPUTED_VALUE"""),3.0)</f>
        <v>3</v>
      </c>
      <c r="T662" s="447">
        <f>IFERROR(__xludf.DUMMYFUNCTION("""COMPUTED_VALUE"""),0.0)</f>
        <v>0</v>
      </c>
      <c r="U662" s="447">
        <f>IFERROR(__xludf.DUMMYFUNCTION("""COMPUTED_VALUE"""),0.0)</f>
        <v>0</v>
      </c>
      <c r="V662" s="447">
        <f>IFERROR(__xludf.DUMMYFUNCTION("""COMPUTED_VALUE"""),2.0)</f>
        <v>2</v>
      </c>
      <c r="W662" s="447">
        <f>IFERROR(__xludf.DUMMYFUNCTION("""COMPUTED_VALUE"""),0.0)</f>
        <v>0</v>
      </c>
      <c r="X662" s="447">
        <f>IFERROR(__xludf.DUMMYFUNCTION("""COMPUTED_VALUE"""),1.0)</f>
        <v>1</v>
      </c>
      <c r="Y662" s="447">
        <f>IFERROR(__xludf.DUMMYFUNCTION("""COMPUTED_VALUE"""),0.0)</f>
        <v>0</v>
      </c>
      <c r="Z662" s="447">
        <f>IFERROR(__xludf.DUMMYFUNCTION("""COMPUTED_VALUE"""),0.0)</f>
        <v>0</v>
      </c>
      <c r="AA662" s="447">
        <f>IFERROR(__xludf.DUMMYFUNCTION("""COMPUTED_VALUE"""),0.0)</f>
        <v>0</v>
      </c>
      <c r="AB662" s="447">
        <f>IFERROR(__xludf.DUMMYFUNCTION("""COMPUTED_VALUE"""),0.0)</f>
        <v>0</v>
      </c>
      <c r="AC662" s="447">
        <f>IFERROR(__xludf.DUMMYFUNCTION("""COMPUTED_VALUE"""),0.0)</f>
        <v>0</v>
      </c>
      <c r="AD662" s="447">
        <f>IFERROR(__xludf.DUMMYFUNCTION("""COMPUTED_VALUE"""),46.0)</f>
        <v>46</v>
      </c>
      <c r="AE662" s="447">
        <f>IFERROR(__xludf.DUMMYFUNCTION("""COMPUTED_VALUE"""),8.0)</f>
        <v>8</v>
      </c>
      <c r="AF662" s="447">
        <f>IFERROR(__xludf.DUMMYFUNCTION("""COMPUTED_VALUE"""),0.0)</f>
        <v>0</v>
      </c>
      <c r="AG662" s="443" t="s">
        <v>137</v>
      </c>
      <c r="AH662" s="443" t="s">
        <v>961</v>
      </c>
      <c r="AI662" s="443"/>
      <c r="AJ662" s="443"/>
      <c r="AK662" s="443"/>
      <c r="AL662" s="443"/>
      <c r="AM662" s="443"/>
      <c r="AN662" s="443"/>
      <c r="AO662" s="443"/>
      <c r="AP662" s="443"/>
      <c r="AQ662" s="443"/>
      <c r="AR662" s="443"/>
      <c r="AS662" s="443"/>
      <c r="AT662" s="443"/>
      <c r="AU662" s="443"/>
      <c r="AV662" s="443"/>
      <c r="AW662" s="443"/>
      <c r="AX662" s="443"/>
      <c r="AY662" s="443"/>
      <c r="AZ662" s="443"/>
      <c r="BA662" s="443"/>
      <c r="BB662" s="443"/>
      <c r="BC662" s="443"/>
      <c r="BD662" s="443"/>
      <c r="BE662" s="443"/>
    </row>
    <row r="663" hidden="1">
      <c r="A663" s="445">
        <f t="shared" si="5"/>
        <v>45953</v>
      </c>
      <c r="B663" s="449">
        <v>528.0</v>
      </c>
      <c r="C663" s="462">
        <v>0.6</v>
      </c>
      <c r="D663" s="462">
        <v>0.9291666666666667</v>
      </c>
      <c r="E663" s="436">
        <f t="array" ref="E663">IF(B663=0,"",(J663+K663)/60)</f>
        <v>0.8</v>
      </c>
      <c r="F663" s="437">
        <f t="shared" si="1"/>
        <v>7.9</v>
      </c>
      <c r="G663" s="438">
        <f t="shared" si="9"/>
        <v>66.83544304</v>
      </c>
      <c r="H663" s="438">
        <f t="shared" si="3"/>
        <v>74.36619718</v>
      </c>
      <c r="I663" s="436">
        <f t="shared" si="10"/>
        <v>1.336708861</v>
      </c>
      <c r="J663" s="460">
        <v>30.0</v>
      </c>
      <c r="K663" s="460">
        <v>18.0</v>
      </c>
      <c r="L663" s="443"/>
      <c r="M663" s="447">
        <f>IFERROR(__xludf.DUMMYFUNCTION("""COMPUTED_VALUE"""),57.0)</f>
        <v>57</v>
      </c>
      <c r="N663" s="447">
        <f>IFERROR(__xludf.DUMMYFUNCTION("""COMPUTED_VALUE"""),57.0)</f>
        <v>57</v>
      </c>
      <c r="O663" s="447">
        <f>IFERROR(__xludf.DUMMYFUNCTION("""COMPUTED_VALUE"""),0.0)</f>
        <v>0</v>
      </c>
      <c r="P663" s="447">
        <f>IFERROR(__xludf.DUMMYFUNCTION("""COMPUTED_VALUE"""),0.0)</f>
        <v>0</v>
      </c>
      <c r="Q663" s="447">
        <f>IFERROR(__xludf.DUMMYFUNCTION("""COMPUTED_VALUE"""),0.0)</f>
        <v>0</v>
      </c>
      <c r="R663" s="447">
        <f>IFERROR(__xludf.DUMMYFUNCTION("""COMPUTED_VALUE"""),0.0)</f>
        <v>0</v>
      </c>
      <c r="S663" s="447">
        <f>IFERROR(__xludf.DUMMYFUNCTION("""COMPUTED_VALUE"""),2.0)</f>
        <v>2</v>
      </c>
      <c r="T663" s="447">
        <f>IFERROR(__xludf.DUMMYFUNCTION("""COMPUTED_VALUE"""),0.0)</f>
        <v>0</v>
      </c>
      <c r="U663" s="447">
        <f>IFERROR(__xludf.DUMMYFUNCTION("""COMPUTED_VALUE"""),0.0)</f>
        <v>0</v>
      </c>
      <c r="V663" s="447">
        <f>IFERROR(__xludf.DUMMYFUNCTION("""COMPUTED_VALUE"""),1.0)</f>
        <v>1</v>
      </c>
      <c r="W663" s="447">
        <f>IFERROR(__xludf.DUMMYFUNCTION("""COMPUTED_VALUE"""),0.0)</f>
        <v>0</v>
      </c>
      <c r="X663" s="447">
        <f>IFERROR(__xludf.DUMMYFUNCTION("""COMPUTED_VALUE"""),1.0)</f>
        <v>1</v>
      </c>
      <c r="Y663" s="447">
        <f>IFERROR(__xludf.DUMMYFUNCTION("""COMPUTED_VALUE"""),0.0)</f>
        <v>0</v>
      </c>
      <c r="Z663" s="447">
        <f>IFERROR(__xludf.DUMMYFUNCTION("""COMPUTED_VALUE"""),0.0)</f>
        <v>0</v>
      </c>
      <c r="AA663" s="447">
        <f>IFERROR(__xludf.DUMMYFUNCTION("""COMPUTED_VALUE"""),0.0)</f>
        <v>0</v>
      </c>
      <c r="AB663" s="447">
        <f>IFERROR(__xludf.DUMMYFUNCTION("""COMPUTED_VALUE"""),0.0)</f>
        <v>0</v>
      </c>
      <c r="AC663" s="447">
        <f>IFERROR(__xludf.DUMMYFUNCTION("""COMPUTED_VALUE"""),0.0)</f>
        <v>0</v>
      </c>
      <c r="AD663" s="447">
        <f>IFERROR(__xludf.DUMMYFUNCTION("""COMPUTED_VALUE"""),50.0)</f>
        <v>50</v>
      </c>
      <c r="AE663" s="447">
        <f>IFERROR(__xludf.DUMMYFUNCTION("""COMPUTED_VALUE"""),4.0)</f>
        <v>4</v>
      </c>
      <c r="AF663" s="447">
        <f>IFERROR(__xludf.DUMMYFUNCTION("""COMPUTED_VALUE"""),0.0)</f>
        <v>0</v>
      </c>
      <c r="AG663" s="443" t="s">
        <v>137</v>
      </c>
      <c r="AH663" s="443" t="s">
        <v>961</v>
      </c>
      <c r="AI663" s="443"/>
      <c r="AJ663" s="443"/>
      <c r="AK663" s="443"/>
      <c r="AL663" s="443"/>
      <c r="AM663" s="443"/>
      <c r="AN663" s="443"/>
      <c r="AO663" s="443"/>
      <c r="AP663" s="443"/>
      <c r="AQ663" s="443"/>
      <c r="AR663" s="443"/>
      <c r="AS663" s="443"/>
      <c r="AT663" s="443"/>
      <c r="AU663" s="443"/>
      <c r="AV663" s="443"/>
      <c r="AW663" s="443"/>
      <c r="AX663" s="443"/>
      <c r="AY663" s="443"/>
      <c r="AZ663" s="443"/>
      <c r="BA663" s="443"/>
      <c r="BB663" s="443"/>
      <c r="BC663" s="443"/>
      <c r="BD663" s="443"/>
      <c r="BE663" s="443"/>
    </row>
    <row r="664" hidden="1">
      <c r="A664" s="445">
        <f t="shared" si="5"/>
        <v>45954</v>
      </c>
      <c r="B664" s="449">
        <v>528.0</v>
      </c>
      <c r="C664" s="462">
        <v>0.6</v>
      </c>
      <c r="D664" s="462">
        <v>0.9284722222222223</v>
      </c>
      <c r="E664" s="436">
        <f t="array" ref="E664">IF(B664=0,"",(J664+K664)/60)</f>
        <v>0.6666666667</v>
      </c>
      <c r="F664" s="437">
        <f t="shared" si="1"/>
        <v>7.883333333</v>
      </c>
      <c r="G664" s="438">
        <f t="shared" si="9"/>
        <v>66.97674419</v>
      </c>
      <c r="H664" s="438">
        <f t="shared" si="3"/>
        <v>73.16397229</v>
      </c>
      <c r="I664" s="436">
        <f t="shared" si="10"/>
        <v>1.339534884</v>
      </c>
      <c r="J664" s="460">
        <v>30.0</v>
      </c>
      <c r="K664" s="460">
        <v>10.0</v>
      </c>
      <c r="L664" s="443"/>
      <c r="M664" s="447">
        <f>IFERROR(__xludf.DUMMYFUNCTION("""COMPUTED_VALUE"""),57.0)</f>
        <v>57</v>
      </c>
      <c r="N664" s="447">
        <f>IFERROR(__xludf.DUMMYFUNCTION("""COMPUTED_VALUE"""),57.0)</f>
        <v>57</v>
      </c>
      <c r="O664" s="447">
        <f>IFERROR(__xludf.DUMMYFUNCTION("""COMPUTED_VALUE"""),0.0)</f>
        <v>0</v>
      </c>
      <c r="P664" s="447">
        <f>IFERROR(__xludf.DUMMYFUNCTION("""COMPUTED_VALUE"""),0.0)</f>
        <v>0</v>
      </c>
      <c r="Q664" s="447">
        <f>IFERROR(__xludf.DUMMYFUNCTION("""COMPUTED_VALUE"""),0.0)</f>
        <v>0</v>
      </c>
      <c r="R664" s="447">
        <f>IFERROR(__xludf.DUMMYFUNCTION("""COMPUTED_VALUE"""),0.0)</f>
        <v>0</v>
      </c>
      <c r="S664" s="447">
        <f>IFERROR(__xludf.DUMMYFUNCTION("""COMPUTED_VALUE"""),2.0)</f>
        <v>2</v>
      </c>
      <c r="T664" s="447">
        <f>IFERROR(__xludf.DUMMYFUNCTION("""COMPUTED_VALUE"""),0.0)</f>
        <v>0</v>
      </c>
      <c r="U664" s="447">
        <f>IFERROR(__xludf.DUMMYFUNCTION("""COMPUTED_VALUE"""),0.0)</f>
        <v>0</v>
      </c>
      <c r="V664" s="447">
        <f>IFERROR(__xludf.DUMMYFUNCTION("""COMPUTED_VALUE"""),1.0)</f>
        <v>1</v>
      </c>
      <c r="W664" s="447">
        <f>IFERROR(__xludf.DUMMYFUNCTION("""COMPUTED_VALUE"""),0.0)</f>
        <v>0</v>
      </c>
      <c r="X664" s="447">
        <f>IFERROR(__xludf.DUMMYFUNCTION("""COMPUTED_VALUE"""),1.0)</f>
        <v>1</v>
      </c>
      <c r="Y664" s="447">
        <f>IFERROR(__xludf.DUMMYFUNCTION("""COMPUTED_VALUE"""),0.0)</f>
        <v>0</v>
      </c>
      <c r="Z664" s="447">
        <f>IFERROR(__xludf.DUMMYFUNCTION("""COMPUTED_VALUE"""),0.0)</f>
        <v>0</v>
      </c>
      <c r="AA664" s="447">
        <f>IFERROR(__xludf.DUMMYFUNCTION("""COMPUTED_VALUE"""),0.0)</f>
        <v>0</v>
      </c>
      <c r="AB664" s="447">
        <f>IFERROR(__xludf.DUMMYFUNCTION("""COMPUTED_VALUE"""),0.0)</f>
        <v>0</v>
      </c>
      <c r="AC664" s="447">
        <f>IFERROR(__xludf.DUMMYFUNCTION("""COMPUTED_VALUE"""),0.0)</f>
        <v>0</v>
      </c>
      <c r="AD664" s="447">
        <f>IFERROR(__xludf.DUMMYFUNCTION("""COMPUTED_VALUE"""),50.0)</f>
        <v>50</v>
      </c>
      <c r="AE664" s="447">
        <f>IFERROR(__xludf.DUMMYFUNCTION("""COMPUTED_VALUE"""),4.0)</f>
        <v>4</v>
      </c>
      <c r="AF664" s="447">
        <f>IFERROR(__xludf.DUMMYFUNCTION("""COMPUTED_VALUE"""),0.0)</f>
        <v>0</v>
      </c>
      <c r="AG664" s="443" t="s">
        <v>137</v>
      </c>
      <c r="AH664" s="443" t="s">
        <v>961</v>
      </c>
      <c r="AI664" s="443"/>
      <c r="AJ664" s="443"/>
      <c r="AK664" s="443"/>
      <c r="AL664" s="443"/>
      <c r="AM664" s="443"/>
      <c r="AN664" s="443"/>
      <c r="AO664" s="443"/>
      <c r="AP664" s="443"/>
      <c r="AQ664" s="443"/>
      <c r="AR664" s="443"/>
      <c r="AS664" s="443"/>
      <c r="AT664" s="443"/>
      <c r="AU664" s="443"/>
      <c r="AV664" s="443"/>
      <c r="AW664" s="443"/>
      <c r="AX664" s="443"/>
      <c r="AY664" s="443"/>
      <c r="AZ664" s="443"/>
      <c r="BA664" s="443"/>
      <c r="BB664" s="443"/>
      <c r="BC664" s="443"/>
      <c r="BD664" s="443"/>
      <c r="BE664" s="443"/>
    </row>
    <row r="665" hidden="1">
      <c r="A665" s="445">
        <f t="shared" si="5"/>
        <v>45955</v>
      </c>
      <c r="B665" s="449">
        <v>418.0</v>
      </c>
      <c r="C665" s="462">
        <v>0.6416666666666667</v>
      </c>
      <c r="D665" s="462">
        <v>0.9083333333333333</v>
      </c>
      <c r="E665" s="436">
        <f t="array" ref="E665">IF(B665=0,"",(J665+K665)/60)</f>
        <v>0.6</v>
      </c>
      <c r="F665" s="437">
        <f t="shared" si="1"/>
        <v>6.4</v>
      </c>
      <c r="G665" s="438">
        <f t="shared" si="9"/>
        <v>65.3125</v>
      </c>
      <c r="H665" s="438">
        <f t="shared" si="3"/>
        <v>72.06896552</v>
      </c>
      <c r="I665" s="436">
        <f t="shared" si="10"/>
        <v>1.332908163</v>
      </c>
      <c r="J665" s="460">
        <v>30.0</v>
      </c>
      <c r="K665" s="460">
        <v>6.0</v>
      </c>
      <c r="L665" s="443"/>
      <c r="M665" s="447">
        <f>IFERROR(__xludf.DUMMYFUNCTION("""COMPUTED_VALUE"""),57.0)</f>
        <v>57</v>
      </c>
      <c r="N665" s="447">
        <f>IFERROR(__xludf.DUMMYFUNCTION("""COMPUTED_VALUE"""),57.0)</f>
        <v>57</v>
      </c>
      <c r="O665" s="447">
        <f>IFERROR(__xludf.DUMMYFUNCTION("""COMPUTED_VALUE"""),0.0)</f>
        <v>0</v>
      </c>
      <c r="P665" s="447">
        <f>IFERROR(__xludf.DUMMYFUNCTION("""COMPUTED_VALUE"""),1.0)</f>
        <v>1</v>
      </c>
      <c r="Q665" s="447">
        <f>IFERROR(__xludf.DUMMYFUNCTION("""COMPUTED_VALUE"""),0.0)</f>
        <v>0</v>
      </c>
      <c r="R665" s="447">
        <f>IFERROR(__xludf.DUMMYFUNCTION("""COMPUTED_VALUE"""),0.0)</f>
        <v>0</v>
      </c>
      <c r="S665" s="447">
        <f>IFERROR(__xludf.DUMMYFUNCTION("""COMPUTED_VALUE"""),1.0)</f>
        <v>1</v>
      </c>
      <c r="T665" s="447">
        <f>IFERROR(__xludf.DUMMYFUNCTION("""COMPUTED_VALUE"""),0.0)</f>
        <v>0</v>
      </c>
      <c r="U665" s="447">
        <f>IFERROR(__xludf.DUMMYFUNCTION("""COMPUTED_VALUE"""),0.0)</f>
        <v>0</v>
      </c>
      <c r="V665" s="447">
        <f>IFERROR(__xludf.DUMMYFUNCTION("""COMPUTED_VALUE"""),2.0)</f>
        <v>2</v>
      </c>
      <c r="W665" s="447">
        <f>IFERROR(__xludf.DUMMYFUNCTION("""COMPUTED_VALUE"""),0.0)</f>
        <v>0</v>
      </c>
      <c r="X665" s="447">
        <f>IFERROR(__xludf.DUMMYFUNCTION("""COMPUTED_VALUE"""),1.0)</f>
        <v>1</v>
      </c>
      <c r="Y665" s="447">
        <f>IFERROR(__xludf.DUMMYFUNCTION("""COMPUTED_VALUE"""),0.0)</f>
        <v>0</v>
      </c>
      <c r="Z665" s="447">
        <f>IFERROR(__xludf.DUMMYFUNCTION("""COMPUTED_VALUE"""),0.0)</f>
        <v>0</v>
      </c>
      <c r="AA665" s="447">
        <f>IFERROR(__xludf.DUMMYFUNCTION("""COMPUTED_VALUE"""),0.0)</f>
        <v>0</v>
      </c>
      <c r="AB665" s="447">
        <f>IFERROR(__xludf.DUMMYFUNCTION("""COMPUTED_VALUE"""),0.0)</f>
        <v>0</v>
      </c>
      <c r="AC665" s="447">
        <f>IFERROR(__xludf.DUMMYFUNCTION("""COMPUTED_VALUE"""),0.0)</f>
        <v>0</v>
      </c>
      <c r="AD665" s="447">
        <f>IFERROR(__xludf.DUMMYFUNCTION("""COMPUTED_VALUE"""),49.0)</f>
        <v>49</v>
      </c>
      <c r="AE665" s="447">
        <f>IFERROR(__xludf.DUMMYFUNCTION("""COMPUTED_VALUE"""),5.0)</f>
        <v>5</v>
      </c>
      <c r="AF665" s="447">
        <f>IFERROR(__xludf.DUMMYFUNCTION("""COMPUTED_VALUE"""),0.0)</f>
        <v>0</v>
      </c>
      <c r="AG665" s="443" t="s">
        <v>137</v>
      </c>
      <c r="AH665" s="443" t="s">
        <v>961</v>
      </c>
      <c r="AI665" s="443"/>
      <c r="AJ665" s="443"/>
      <c r="AK665" s="443"/>
      <c r="AL665" s="443"/>
      <c r="AM665" s="443"/>
      <c r="AN665" s="443"/>
      <c r="AO665" s="443"/>
      <c r="AP665" s="443"/>
      <c r="AQ665" s="443"/>
      <c r="AR665" s="443"/>
      <c r="AS665" s="443"/>
      <c r="AT665" s="443"/>
      <c r="AU665" s="443"/>
      <c r="AV665" s="443"/>
      <c r="AW665" s="443"/>
      <c r="AX665" s="443"/>
      <c r="AY665" s="443"/>
      <c r="AZ665" s="443"/>
      <c r="BA665" s="443"/>
      <c r="BB665" s="443"/>
      <c r="BC665" s="443"/>
      <c r="BD665" s="443"/>
      <c r="BE665" s="443"/>
    </row>
    <row r="666" hidden="1">
      <c r="A666" s="445">
        <f t="shared" si="5"/>
        <v>45956</v>
      </c>
      <c r="B666" s="449">
        <v>0.0</v>
      </c>
      <c r="C666" s="443"/>
      <c r="D666" s="462"/>
      <c r="E666" s="436" t="str">
        <f t="array" ref="E666">IF(B666=0,"",(J666+K666)/60)</f>
        <v/>
      </c>
      <c r="F666" s="437" t="str">
        <f t="shared" si="1"/>
        <v/>
      </c>
      <c r="G666" s="438" t="str">
        <f t="shared" si="9"/>
        <v>#DIV/0!</v>
      </c>
      <c r="H666" s="438" t="str">
        <f t="shared" si="3"/>
        <v/>
      </c>
      <c r="I666" s="436" t="str">
        <f t="shared" si="10"/>
        <v/>
      </c>
      <c r="J666" s="464"/>
      <c r="K666" s="464"/>
      <c r="L666" s="443"/>
      <c r="M666" s="447">
        <f>IFERROR(__xludf.DUMMYFUNCTION("""COMPUTED_VALUE"""),57.0)</f>
        <v>57</v>
      </c>
      <c r="N666" s="447">
        <f>IFERROR(__xludf.DUMMYFUNCTION("""COMPUTED_VALUE"""),57.0)</f>
        <v>57</v>
      </c>
      <c r="O666" s="447">
        <f>IFERROR(__xludf.DUMMYFUNCTION("""COMPUTED_VALUE"""),0.0)</f>
        <v>0</v>
      </c>
      <c r="P666" s="447">
        <f>IFERROR(__xludf.DUMMYFUNCTION("""COMPUTED_VALUE"""),0.0)</f>
        <v>0</v>
      </c>
      <c r="Q666" s="447">
        <f>IFERROR(__xludf.DUMMYFUNCTION("""COMPUTED_VALUE"""),0.0)</f>
        <v>0</v>
      </c>
      <c r="R666" s="447">
        <f>IFERROR(__xludf.DUMMYFUNCTION("""COMPUTED_VALUE"""),0.0)</f>
        <v>0</v>
      </c>
      <c r="S666" s="447">
        <f>IFERROR(__xludf.DUMMYFUNCTION("""COMPUTED_VALUE"""),0.0)</f>
        <v>0</v>
      </c>
      <c r="T666" s="447">
        <f>IFERROR(__xludf.DUMMYFUNCTION("""COMPUTED_VALUE"""),0.0)</f>
        <v>0</v>
      </c>
      <c r="U666" s="447">
        <f>IFERROR(__xludf.DUMMYFUNCTION("""COMPUTED_VALUE"""),0.0)</f>
        <v>0</v>
      </c>
      <c r="V666" s="447">
        <f>IFERROR(__xludf.DUMMYFUNCTION("""COMPUTED_VALUE"""),0.0)</f>
        <v>0</v>
      </c>
      <c r="W666" s="447">
        <f>IFERROR(__xludf.DUMMYFUNCTION("""COMPUTED_VALUE"""),0.0)</f>
        <v>0</v>
      </c>
      <c r="X666" s="447">
        <f>IFERROR(__xludf.DUMMYFUNCTION("""COMPUTED_VALUE"""),0.0)</f>
        <v>0</v>
      </c>
      <c r="Y666" s="447">
        <f>IFERROR(__xludf.DUMMYFUNCTION("""COMPUTED_VALUE"""),0.0)</f>
        <v>0</v>
      </c>
      <c r="Z666" s="447">
        <f>IFERROR(__xludf.DUMMYFUNCTION("""COMPUTED_VALUE"""),0.0)</f>
        <v>0</v>
      </c>
      <c r="AA666" s="447">
        <f>IFERROR(__xludf.DUMMYFUNCTION("""COMPUTED_VALUE"""),0.0)</f>
        <v>0</v>
      </c>
      <c r="AB666" s="447">
        <f>IFERROR(__xludf.DUMMYFUNCTION("""COMPUTED_VALUE"""),0.0)</f>
        <v>0</v>
      </c>
      <c r="AC666" s="447">
        <f>IFERROR(__xludf.DUMMYFUNCTION("""COMPUTED_VALUE"""),0.0)</f>
        <v>0</v>
      </c>
      <c r="AD666" s="447">
        <f>IFERROR(__xludf.DUMMYFUNCTION("""COMPUTED_VALUE"""),0.0)</f>
        <v>0</v>
      </c>
      <c r="AE666" s="447">
        <f>IFERROR(__xludf.DUMMYFUNCTION("""COMPUTED_VALUE"""),0.0)</f>
        <v>0</v>
      </c>
      <c r="AF666" s="447">
        <f>IFERROR(__xludf.DUMMYFUNCTION("""COMPUTED_VALUE"""),0.0)</f>
        <v>0</v>
      </c>
      <c r="AG666" s="443" t="s">
        <v>137</v>
      </c>
      <c r="AH666" s="443" t="s">
        <v>961</v>
      </c>
      <c r="AI666" s="443"/>
      <c r="AJ666" s="443"/>
      <c r="AK666" s="443"/>
      <c r="AL666" s="443"/>
      <c r="AM666" s="443"/>
      <c r="AN666" s="443"/>
      <c r="AO666" s="443"/>
      <c r="AP666" s="443"/>
      <c r="AQ666" s="443"/>
      <c r="AR666" s="443"/>
      <c r="AS666" s="443"/>
      <c r="AT666" s="443"/>
      <c r="AU666" s="443"/>
      <c r="AV666" s="443"/>
      <c r="AW666" s="443"/>
      <c r="AX666" s="443"/>
      <c r="AY666" s="443"/>
      <c r="AZ666" s="443"/>
      <c r="BA666" s="443"/>
      <c r="BB666" s="443"/>
      <c r="BC666" s="443"/>
      <c r="BD666" s="443"/>
      <c r="BE666" s="443"/>
    </row>
    <row r="667" hidden="1">
      <c r="A667" s="445">
        <f t="shared" si="5"/>
        <v>45957</v>
      </c>
      <c r="B667" s="449">
        <v>470.0</v>
      </c>
      <c r="C667" s="462">
        <v>0.6</v>
      </c>
      <c r="D667" s="462">
        <v>0.9291666666666667</v>
      </c>
      <c r="E667" s="436">
        <f t="array" ref="E667">IF(B667=0,"",(J667+K667)/60)</f>
        <v>0.9166666667</v>
      </c>
      <c r="F667" s="437">
        <f t="shared" si="1"/>
        <v>7.9</v>
      </c>
      <c r="G667" s="438">
        <f t="shared" si="9"/>
        <v>59.49367089</v>
      </c>
      <c r="H667" s="438">
        <f t="shared" si="3"/>
        <v>67.30310263</v>
      </c>
      <c r="I667" s="436">
        <f t="shared" si="10"/>
        <v>1.214156549</v>
      </c>
      <c r="J667" s="460">
        <v>30.0</v>
      </c>
      <c r="K667" s="464">
        <f>5+5+15</f>
        <v>25</v>
      </c>
      <c r="L667" s="443"/>
      <c r="M667" s="447">
        <f>IFERROR(__xludf.DUMMYFUNCTION("""COMPUTED_VALUE"""),57.0)</f>
        <v>57</v>
      </c>
      <c r="N667" s="447">
        <f>IFERROR(__xludf.DUMMYFUNCTION("""COMPUTED_VALUE"""),57.0)</f>
        <v>57</v>
      </c>
      <c r="O667" s="447">
        <f>IFERROR(__xludf.DUMMYFUNCTION("""COMPUTED_VALUE"""),0.0)</f>
        <v>0</v>
      </c>
      <c r="P667" s="447">
        <f>IFERROR(__xludf.DUMMYFUNCTION("""COMPUTED_VALUE"""),1.0)</f>
        <v>1</v>
      </c>
      <c r="Q667" s="447">
        <f>IFERROR(__xludf.DUMMYFUNCTION("""COMPUTED_VALUE"""),0.0)</f>
        <v>0</v>
      </c>
      <c r="R667" s="447">
        <f>IFERROR(__xludf.DUMMYFUNCTION("""COMPUTED_VALUE"""),0.0)</f>
        <v>0</v>
      </c>
      <c r="S667" s="447">
        <f>IFERROR(__xludf.DUMMYFUNCTION("""COMPUTED_VALUE"""),1.0)</f>
        <v>1</v>
      </c>
      <c r="T667" s="447">
        <f>IFERROR(__xludf.DUMMYFUNCTION("""COMPUTED_VALUE"""),0.0)</f>
        <v>0</v>
      </c>
      <c r="U667" s="447">
        <f>IFERROR(__xludf.DUMMYFUNCTION("""COMPUTED_VALUE"""),0.0)</f>
        <v>0</v>
      </c>
      <c r="V667" s="447">
        <f>IFERROR(__xludf.DUMMYFUNCTION("""COMPUTED_VALUE"""),2.0)</f>
        <v>2</v>
      </c>
      <c r="W667" s="447">
        <f>IFERROR(__xludf.DUMMYFUNCTION("""COMPUTED_VALUE"""),0.0)</f>
        <v>0</v>
      </c>
      <c r="X667" s="447">
        <f>IFERROR(__xludf.DUMMYFUNCTION("""COMPUTED_VALUE"""),1.0)</f>
        <v>1</v>
      </c>
      <c r="Y667" s="447">
        <f>IFERROR(__xludf.DUMMYFUNCTION("""COMPUTED_VALUE"""),0.0)</f>
        <v>0</v>
      </c>
      <c r="Z667" s="447">
        <f>IFERROR(__xludf.DUMMYFUNCTION("""COMPUTED_VALUE"""),0.0)</f>
        <v>0</v>
      </c>
      <c r="AA667" s="447">
        <f>IFERROR(__xludf.DUMMYFUNCTION("""COMPUTED_VALUE"""),0.0)</f>
        <v>0</v>
      </c>
      <c r="AB667" s="447">
        <f>IFERROR(__xludf.DUMMYFUNCTION("""COMPUTED_VALUE"""),0.0)</f>
        <v>0</v>
      </c>
      <c r="AC667" s="447">
        <f>IFERROR(__xludf.DUMMYFUNCTION("""COMPUTED_VALUE"""),0.0)</f>
        <v>0</v>
      </c>
      <c r="AD667" s="447">
        <f>IFERROR(__xludf.DUMMYFUNCTION("""COMPUTED_VALUE"""),49.0)</f>
        <v>49</v>
      </c>
      <c r="AE667" s="447">
        <f>IFERROR(__xludf.DUMMYFUNCTION("""COMPUTED_VALUE"""),5.0)</f>
        <v>5</v>
      </c>
      <c r="AF667" s="447">
        <f>IFERROR(__xludf.DUMMYFUNCTION("""COMPUTED_VALUE"""),0.0)</f>
        <v>0</v>
      </c>
      <c r="AG667" s="443" t="s">
        <v>137</v>
      </c>
      <c r="AH667" s="443" t="s">
        <v>961</v>
      </c>
      <c r="AI667" s="443"/>
      <c r="AJ667" s="443"/>
      <c r="AK667" s="443"/>
      <c r="AL667" s="443"/>
      <c r="AM667" s="443"/>
      <c r="AN667" s="443"/>
      <c r="AO667" s="443"/>
      <c r="AP667" s="443"/>
      <c r="AQ667" s="443"/>
      <c r="AR667" s="443"/>
      <c r="AS667" s="443"/>
      <c r="AT667" s="443"/>
      <c r="AU667" s="443"/>
      <c r="AV667" s="443"/>
      <c r="AW667" s="443"/>
      <c r="AX667" s="443"/>
      <c r="AY667" s="443"/>
      <c r="AZ667" s="443"/>
      <c r="BA667" s="443"/>
      <c r="BB667" s="443"/>
      <c r="BC667" s="443"/>
      <c r="BD667" s="443"/>
      <c r="BE667" s="443"/>
    </row>
    <row r="668" hidden="1">
      <c r="A668" s="445">
        <f t="shared" si="5"/>
        <v>45958</v>
      </c>
      <c r="B668" s="449">
        <v>677.0</v>
      </c>
      <c r="C668" s="462">
        <v>0.6</v>
      </c>
      <c r="D668" s="462">
        <v>1.0638888888888889</v>
      </c>
      <c r="E668" s="436">
        <f t="array" ref="E668">IF(B668=0,"",(J668+K668)/60)</f>
        <v>1.833333333</v>
      </c>
      <c r="F668" s="437">
        <f t="shared" si="1"/>
        <v>11.13333333</v>
      </c>
      <c r="G668" s="438">
        <f t="shared" si="9"/>
        <v>60.80838323</v>
      </c>
      <c r="H668" s="438">
        <f t="shared" si="3"/>
        <v>72.79569892</v>
      </c>
      <c r="I668" s="436">
        <f t="shared" si="10"/>
        <v>1.266841317</v>
      </c>
      <c r="J668" s="460">
        <v>60.0</v>
      </c>
      <c r="K668" s="464">
        <f>12+16+6+8+8</f>
        <v>50</v>
      </c>
      <c r="L668" s="443"/>
      <c r="M668" s="447">
        <f>IFERROR(__xludf.DUMMYFUNCTION("""COMPUTED_VALUE"""),57.0)</f>
        <v>57</v>
      </c>
      <c r="N668" s="447">
        <f>IFERROR(__xludf.DUMMYFUNCTION("""COMPUTED_VALUE"""),57.0)</f>
        <v>57</v>
      </c>
      <c r="O668" s="447">
        <f>IFERROR(__xludf.DUMMYFUNCTION("""COMPUTED_VALUE"""),0.0)</f>
        <v>0</v>
      </c>
      <c r="P668" s="447">
        <f>IFERROR(__xludf.DUMMYFUNCTION("""COMPUTED_VALUE"""),0.0)</f>
        <v>0</v>
      </c>
      <c r="Q668" s="447">
        <f>IFERROR(__xludf.DUMMYFUNCTION("""COMPUTED_VALUE"""),0.0)</f>
        <v>0</v>
      </c>
      <c r="R668" s="447">
        <f>IFERROR(__xludf.DUMMYFUNCTION("""COMPUTED_VALUE"""),0.0)</f>
        <v>0</v>
      </c>
      <c r="S668" s="447">
        <f>IFERROR(__xludf.DUMMYFUNCTION("""COMPUTED_VALUE"""),3.0)</f>
        <v>3</v>
      </c>
      <c r="T668" s="447">
        <f>IFERROR(__xludf.DUMMYFUNCTION("""COMPUTED_VALUE"""),0.0)</f>
        <v>0</v>
      </c>
      <c r="U668" s="447">
        <f>IFERROR(__xludf.DUMMYFUNCTION("""COMPUTED_VALUE"""),0.0)</f>
        <v>0</v>
      </c>
      <c r="V668" s="447">
        <f>IFERROR(__xludf.DUMMYFUNCTION("""COMPUTED_VALUE"""),2.0)</f>
        <v>2</v>
      </c>
      <c r="W668" s="447">
        <f>IFERROR(__xludf.DUMMYFUNCTION("""COMPUTED_VALUE"""),0.0)</f>
        <v>0</v>
      </c>
      <c r="X668" s="447">
        <f>IFERROR(__xludf.DUMMYFUNCTION("""COMPUTED_VALUE"""),1.0)</f>
        <v>1</v>
      </c>
      <c r="Y668" s="447">
        <f>IFERROR(__xludf.DUMMYFUNCTION("""COMPUTED_VALUE"""),0.0)</f>
        <v>0</v>
      </c>
      <c r="Z668" s="447">
        <f>IFERROR(__xludf.DUMMYFUNCTION("""COMPUTED_VALUE"""),0.0)</f>
        <v>0</v>
      </c>
      <c r="AA668" s="447">
        <f>IFERROR(__xludf.DUMMYFUNCTION("""COMPUTED_VALUE"""),0.0)</f>
        <v>0</v>
      </c>
      <c r="AB668" s="447">
        <f>IFERROR(__xludf.DUMMYFUNCTION("""COMPUTED_VALUE"""),0.0)</f>
        <v>0</v>
      </c>
      <c r="AC668" s="447">
        <f>IFERROR(__xludf.DUMMYFUNCTION("""COMPUTED_VALUE"""),0.0)</f>
        <v>0</v>
      </c>
      <c r="AD668" s="447">
        <f>IFERROR(__xludf.DUMMYFUNCTION("""COMPUTED_VALUE"""),48.0)</f>
        <v>48</v>
      </c>
      <c r="AE668" s="447">
        <f>IFERROR(__xludf.DUMMYFUNCTION("""COMPUTED_VALUE"""),6.0)</f>
        <v>6</v>
      </c>
      <c r="AF668" s="447">
        <f>IFERROR(__xludf.DUMMYFUNCTION("""COMPUTED_VALUE"""),0.0)</f>
        <v>0</v>
      </c>
      <c r="AG668" s="443" t="s">
        <v>137</v>
      </c>
      <c r="AH668" s="443" t="s">
        <v>961</v>
      </c>
      <c r="AI668" s="443"/>
      <c r="AJ668" s="443"/>
      <c r="AK668" s="443"/>
      <c r="AL668" s="443"/>
      <c r="AM668" s="443"/>
      <c r="AN668" s="443"/>
      <c r="AO668" s="443"/>
      <c r="AP668" s="443"/>
      <c r="AQ668" s="443"/>
      <c r="AR668" s="443"/>
      <c r="AS668" s="443"/>
      <c r="AT668" s="443"/>
      <c r="AU668" s="443"/>
      <c r="AV668" s="443"/>
      <c r="AW668" s="443"/>
      <c r="AX668" s="443"/>
      <c r="AY668" s="443"/>
      <c r="AZ668" s="443"/>
      <c r="BA668" s="443"/>
      <c r="BB668" s="443"/>
      <c r="BC668" s="443"/>
      <c r="BD668" s="443"/>
      <c r="BE668" s="443"/>
    </row>
    <row r="669" hidden="1">
      <c r="A669" s="445">
        <f t="shared" si="5"/>
        <v>45959</v>
      </c>
      <c r="B669" s="449">
        <v>470.0</v>
      </c>
      <c r="C669" s="462">
        <v>0.6416666666666667</v>
      </c>
      <c r="D669" s="462">
        <v>0.9402777777777778</v>
      </c>
      <c r="E669" s="436">
        <f t="array" ref="E669">IF(B669=0,"",(J669+K669)/60)</f>
        <v>0.5</v>
      </c>
      <c r="F669" s="437">
        <f t="shared" si="1"/>
        <v>7.166666667</v>
      </c>
      <c r="G669" s="438">
        <f t="shared" si="9"/>
        <v>65.58139535</v>
      </c>
      <c r="H669" s="438">
        <f t="shared" si="3"/>
        <v>70.5</v>
      </c>
      <c r="I669" s="436">
        <f t="shared" si="10"/>
        <v>1.311627907</v>
      </c>
      <c r="J669" s="460">
        <v>30.0</v>
      </c>
      <c r="K669" s="464"/>
      <c r="L669" s="449" t="s">
        <v>977</v>
      </c>
      <c r="M669" s="447">
        <f>IFERROR(__xludf.DUMMYFUNCTION("""COMPUTED_VALUE"""),57.0)</f>
        <v>57</v>
      </c>
      <c r="N669" s="447">
        <f>IFERROR(__xludf.DUMMYFUNCTION("""COMPUTED_VALUE"""),57.0)</f>
        <v>57</v>
      </c>
      <c r="O669" s="447">
        <f>IFERROR(__xludf.DUMMYFUNCTION("""COMPUTED_VALUE"""),0.0)</f>
        <v>0</v>
      </c>
      <c r="P669" s="447">
        <f>IFERROR(__xludf.DUMMYFUNCTION("""COMPUTED_VALUE"""),0.0)</f>
        <v>0</v>
      </c>
      <c r="Q669" s="447">
        <f>IFERROR(__xludf.DUMMYFUNCTION("""COMPUTED_VALUE"""),0.0)</f>
        <v>0</v>
      </c>
      <c r="R669" s="447">
        <f>IFERROR(__xludf.DUMMYFUNCTION("""COMPUTED_VALUE"""),0.0)</f>
        <v>0</v>
      </c>
      <c r="S669" s="447">
        <f>IFERROR(__xludf.DUMMYFUNCTION("""COMPUTED_VALUE"""),2.0)</f>
        <v>2</v>
      </c>
      <c r="T669" s="447">
        <f>IFERROR(__xludf.DUMMYFUNCTION("""COMPUTED_VALUE"""),0.0)</f>
        <v>0</v>
      </c>
      <c r="U669" s="447">
        <f>IFERROR(__xludf.DUMMYFUNCTION("""COMPUTED_VALUE"""),0.0)</f>
        <v>0</v>
      </c>
      <c r="V669" s="447">
        <f>IFERROR(__xludf.DUMMYFUNCTION("""COMPUTED_VALUE"""),2.0)</f>
        <v>2</v>
      </c>
      <c r="W669" s="447">
        <f>IFERROR(__xludf.DUMMYFUNCTION("""COMPUTED_VALUE"""),0.0)</f>
        <v>0</v>
      </c>
      <c r="X669" s="447">
        <f>IFERROR(__xludf.DUMMYFUNCTION("""COMPUTED_VALUE"""),1.0)</f>
        <v>1</v>
      </c>
      <c r="Y669" s="447">
        <f>IFERROR(__xludf.DUMMYFUNCTION("""COMPUTED_VALUE"""),0.0)</f>
        <v>0</v>
      </c>
      <c r="Z669" s="447">
        <f>IFERROR(__xludf.DUMMYFUNCTION("""COMPUTED_VALUE"""),0.0)</f>
        <v>0</v>
      </c>
      <c r="AA669" s="447">
        <f>IFERROR(__xludf.DUMMYFUNCTION("""COMPUTED_VALUE"""),0.0)</f>
        <v>0</v>
      </c>
      <c r="AB669" s="447">
        <f>IFERROR(__xludf.DUMMYFUNCTION("""COMPUTED_VALUE"""),0.0)</f>
        <v>0</v>
      </c>
      <c r="AC669" s="447">
        <f>IFERROR(__xludf.DUMMYFUNCTION("""COMPUTED_VALUE"""),0.0)</f>
        <v>0</v>
      </c>
      <c r="AD669" s="447">
        <f>IFERROR(__xludf.DUMMYFUNCTION("""COMPUTED_VALUE"""),50.0)</f>
        <v>50</v>
      </c>
      <c r="AE669" s="447">
        <f>IFERROR(__xludf.DUMMYFUNCTION("""COMPUTED_VALUE"""),5.0)</f>
        <v>5</v>
      </c>
      <c r="AF669" s="447">
        <f>IFERROR(__xludf.DUMMYFUNCTION("""COMPUTED_VALUE"""),0.0)</f>
        <v>0</v>
      </c>
      <c r="AG669" s="443" t="s">
        <v>137</v>
      </c>
      <c r="AH669" s="443" t="s">
        <v>961</v>
      </c>
      <c r="AI669" s="443"/>
      <c r="AJ669" s="443"/>
      <c r="AK669" s="443"/>
      <c r="AL669" s="443"/>
      <c r="AM669" s="443"/>
      <c r="AN669" s="443"/>
      <c r="AO669" s="443"/>
      <c r="AP669" s="443"/>
      <c r="AQ669" s="443"/>
      <c r="AR669" s="443"/>
      <c r="AS669" s="443"/>
      <c r="AT669" s="443"/>
      <c r="AU669" s="443"/>
      <c r="AV669" s="443"/>
      <c r="AW669" s="443"/>
      <c r="AX669" s="443"/>
      <c r="AY669" s="443"/>
      <c r="AZ669" s="443"/>
      <c r="BA669" s="443"/>
      <c r="BB669" s="443"/>
      <c r="BC669" s="443"/>
      <c r="BD669" s="443"/>
      <c r="BE669" s="443"/>
    </row>
    <row r="670" hidden="1">
      <c r="A670" s="445">
        <f t="shared" si="5"/>
        <v>45960</v>
      </c>
      <c r="B670" s="449">
        <v>531.0</v>
      </c>
      <c r="C670" s="462">
        <v>0.6416666666666667</v>
      </c>
      <c r="D670" s="462">
        <v>1.0</v>
      </c>
      <c r="E670" s="436">
        <f t="array" ref="E670">IF(B670=0,"",(J670+K670)/60)</f>
        <v>0.85</v>
      </c>
      <c r="F670" s="437">
        <f t="shared" si="1"/>
        <v>8.6</v>
      </c>
      <c r="G670" s="438">
        <f t="shared" si="9"/>
        <v>61.74418605</v>
      </c>
      <c r="H670" s="438">
        <f t="shared" si="3"/>
        <v>68.51612903</v>
      </c>
      <c r="I670" s="436">
        <f t="shared" si="10"/>
        <v>1.210670315</v>
      </c>
      <c r="J670" s="460">
        <v>30.0</v>
      </c>
      <c r="K670" s="464">
        <f>5+6+6+4</f>
        <v>21</v>
      </c>
      <c r="L670" s="443"/>
      <c r="M670" s="447">
        <f>IFERROR(__xludf.DUMMYFUNCTION("""COMPUTED_VALUE"""),57.0)</f>
        <v>57</v>
      </c>
      <c r="N670" s="447">
        <f>IFERROR(__xludf.DUMMYFUNCTION("""COMPUTED_VALUE"""),57.0)</f>
        <v>57</v>
      </c>
      <c r="O670" s="447">
        <f>IFERROR(__xludf.DUMMYFUNCTION("""COMPUTED_VALUE"""),0.0)</f>
        <v>0</v>
      </c>
      <c r="P670" s="447">
        <f>IFERROR(__xludf.DUMMYFUNCTION("""COMPUTED_VALUE"""),0.0)</f>
        <v>0</v>
      </c>
      <c r="Q670" s="447">
        <f>IFERROR(__xludf.DUMMYFUNCTION("""COMPUTED_VALUE"""),0.0)</f>
        <v>0</v>
      </c>
      <c r="R670" s="447">
        <f>IFERROR(__xludf.DUMMYFUNCTION("""COMPUTED_VALUE"""),0.0)</f>
        <v>0</v>
      </c>
      <c r="S670" s="447">
        <f>IFERROR(__xludf.DUMMYFUNCTION("""COMPUTED_VALUE"""),1.0)</f>
        <v>1</v>
      </c>
      <c r="T670" s="447">
        <f>IFERROR(__xludf.DUMMYFUNCTION("""COMPUTED_VALUE"""),0.0)</f>
        <v>0</v>
      </c>
      <c r="U670" s="447">
        <f>IFERROR(__xludf.DUMMYFUNCTION("""COMPUTED_VALUE"""),0.0)</f>
        <v>0</v>
      </c>
      <c r="V670" s="447">
        <f>IFERROR(__xludf.DUMMYFUNCTION("""COMPUTED_VALUE"""),2.0)</f>
        <v>2</v>
      </c>
      <c r="W670" s="447">
        <f>IFERROR(__xludf.DUMMYFUNCTION("""COMPUTED_VALUE"""),0.0)</f>
        <v>0</v>
      </c>
      <c r="X670" s="447">
        <f>IFERROR(__xludf.DUMMYFUNCTION("""COMPUTED_VALUE"""),1.0)</f>
        <v>1</v>
      </c>
      <c r="Y670" s="447">
        <f>IFERROR(__xludf.DUMMYFUNCTION("""COMPUTED_VALUE"""),0.0)</f>
        <v>0</v>
      </c>
      <c r="Z670" s="447">
        <f>IFERROR(__xludf.DUMMYFUNCTION("""COMPUTED_VALUE"""),0.0)</f>
        <v>0</v>
      </c>
      <c r="AA670" s="447">
        <f>IFERROR(__xludf.DUMMYFUNCTION("""COMPUTED_VALUE"""),0.0)</f>
        <v>0</v>
      </c>
      <c r="AB670" s="447">
        <f>IFERROR(__xludf.DUMMYFUNCTION("""COMPUTED_VALUE"""),0.0)</f>
        <v>0</v>
      </c>
      <c r="AC670" s="447">
        <f>IFERROR(__xludf.DUMMYFUNCTION("""COMPUTED_VALUE"""),0.0)</f>
        <v>0</v>
      </c>
      <c r="AD670" s="447">
        <f>IFERROR(__xludf.DUMMYFUNCTION("""COMPUTED_VALUE"""),51.0)</f>
        <v>51</v>
      </c>
      <c r="AE670" s="447">
        <f>IFERROR(__xludf.DUMMYFUNCTION("""COMPUTED_VALUE"""),4.0)</f>
        <v>4</v>
      </c>
      <c r="AF670" s="447">
        <f>IFERROR(__xludf.DUMMYFUNCTION("""COMPUTED_VALUE"""),0.0)</f>
        <v>0</v>
      </c>
      <c r="AG670" s="443" t="s">
        <v>137</v>
      </c>
      <c r="AH670" s="443" t="s">
        <v>961</v>
      </c>
      <c r="AI670" s="443"/>
      <c r="AJ670" s="443"/>
      <c r="AK670" s="443"/>
      <c r="AL670" s="443"/>
      <c r="AM670" s="443"/>
      <c r="AN670" s="443"/>
      <c r="AO670" s="443"/>
      <c r="AP670" s="443"/>
      <c r="AQ670" s="443"/>
      <c r="AR670" s="443"/>
      <c r="AS670" s="443"/>
      <c r="AT670" s="443"/>
      <c r="AU670" s="443"/>
      <c r="AV670" s="443"/>
      <c r="AW670" s="443"/>
      <c r="AX670" s="443"/>
      <c r="AY670" s="443"/>
      <c r="AZ670" s="443"/>
      <c r="BA670" s="443"/>
      <c r="BB670" s="443"/>
      <c r="BC670" s="443"/>
      <c r="BD670" s="443"/>
      <c r="BE670" s="443"/>
    </row>
    <row r="671" hidden="1">
      <c r="A671" s="445">
        <f t="shared" si="5"/>
        <v>45961</v>
      </c>
      <c r="B671" s="449">
        <v>615.0</v>
      </c>
      <c r="C671" s="462">
        <v>0.6416666666666667</v>
      </c>
      <c r="D671" s="462">
        <v>1.0368055555555555</v>
      </c>
      <c r="E671" s="436">
        <f t="array" ref="E671">IF(B671=0,"",(J671+K671)/60)</f>
        <v>1</v>
      </c>
      <c r="F671" s="437">
        <f t="shared" si="1"/>
        <v>9.483333333</v>
      </c>
      <c r="G671" s="438">
        <f t="shared" si="9"/>
        <v>64.85061511</v>
      </c>
      <c r="H671" s="438">
        <f t="shared" si="3"/>
        <v>72.49508841</v>
      </c>
      <c r="I671" s="436">
        <f t="shared" si="10"/>
        <v>1.323481941</v>
      </c>
      <c r="J671" s="460">
        <v>60.0</v>
      </c>
      <c r="K671" s="464"/>
      <c r="L671" s="449" t="s">
        <v>978</v>
      </c>
      <c r="M671" s="447">
        <f>IFERROR(__xludf.DUMMYFUNCTION("""COMPUTED_VALUE"""),57.0)</f>
        <v>57</v>
      </c>
      <c r="N671" s="447">
        <f>IFERROR(__xludf.DUMMYFUNCTION("""COMPUTED_VALUE"""),56.0)</f>
        <v>56</v>
      </c>
      <c r="O671" s="447">
        <f>IFERROR(__xludf.DUMMYFUNCTION("""COMPUTED_VALUE"""),0.0)</f>
        <v>0</v>
      </c>
      <c r="P671" s="447">
        <f>IFERROR(__xludf.DUMMYFUNCTION("""COMPUTED_VALUE"""),1.0)</f>
        <v>1</v>
      </c>
      <c r="Q671" s="447">
        <f>IFERROR(__xludf.DUMMYFUNCTION("""COMPUTED_VALUE"""),0.0)</f>
        <v>0</v>
      </c>
      <c r="R671" s="447">
        <f>IFERROR(__xludf.DUMMYFUNCTION("""COMPUTED_VALUE"""),0.0)</f>
        <v>0</v>
      </c>
      <c r="S671" s="447">
        <f>IFERROR(__xludf.DUMMYFUNCTION("""COMPUTED_VALUE"""),1.0)</f>
        <v>1</v>
      </c>
      <c r="T671" s="447">
        <f>IFERROR(__xludf.DUMMYFUNCTION("""COMPUTED_VALUE"""),0.0)</f>
        <v>0</v>
      </c>
      <c r="U671" s="447">
        <f>IFERROR(__xludf.DUMMYFUNCTION("""COMPUTED_VALUE"""),1.0)</f>
        <v>1</v>
      </c>
      <c r="V671" s="447">
        <f>IFERROR(__xludf.DUMMYFUNCTION("""COMPUTED_VALUE"""),2.0)</f>
        <v>2</v>
      </c>
      <c r="W671" s="447">
        <f>IFERROR(__xludf.DUMMYFUNCTION("""COMPUTED_VALUE"""),0.0)</f>
        <v>0</v>
      </c>
      <c r="X671" s="447">
        <f>IFERROR(__xludf.DUMMYFUNCTION("""COMPUTED_VALUE"""),1.0)</f>
        <v>1</v>
      </c>
      <c r="Y671" s="447">
        <f>IFERROR(__xludf.DUMMYFUNCTION("""COMPUTED_VALUE"""),0.0)</f>
        <v>0</v>
      </c>
      <c r="Z671" s="447">
        <f>IFERROR(__xludf.DUMMYFUNCTION("""COMPUTED_VALUE"""),0.0)</f>
        <v>0</v>
      </c>
      <c r="AA671" s="447">
        <f>IFERROR(__xludf.DUMMYFUNCTION("""COMPUTED_VALUE"""),0.0)</f>
        <v>0</v>
      </c>
      <c r="AB671" s="447">
        <f>IFERROR(__xludf.DUMMYFUNCTION("""COMPUTED_VALUE"""),0.0)</f>
        <v>0</v>
      </c>
      <c r="AC671" s="447">
        <f>IFERROR(__xludf.DUMMYFUNCTION("""COMPUTED_VALUE"""),0.0)</f>
        <v>0</v>
      </c>
      <c r="AD671" s="447">
        <f>IFERROR(__xludf.DUMMYFUNCTION("""COMPUTED_VALUE"""),49.0)</f>
        <v>49</v>
      </c>
      <c r="AE671" s="447">
        <f>IFERROR(__xludf.DUMMYFUNCTION("""COMPUTED_VALUE"""),6.0)</f>
        <v>6</v>
      </c>
      <c r="AF671" s="447">
        <f>IFERROR(__xludf.DUMMYFUNCTION("""COMPUTED_VALUE"""),1.0)</f>
        <v>1</v>
      </c>
      <c r="AG671" s="443" t="s">
        <v>137</v>
      </c>
      <c r="AH671" s="443" t="s">
        <v>961</v>
      </c>
      <c r="AI671" s="443"/>
      <c r="AJ671" s="443"/>
      <c r="AK671" s="443"/>
      <c r="AL671" s="443"/>
      <c r="AM671" s="443"/>
      <c r="AN671" s="443"/>
      <c r="AO671" s="443"/>
      <c r="AP671" s="443"/>
      <c r="AQ671" s="443"/>
      <c r="AR671" s="443"/>
      <c r="AS671" s="443"/>
      <c r="AT671" s="443"/>
      <c r="AU671" s="443"/>
      <c r="AV671" s="443"/>
      <c r="AW671" s="443"/>
      <c r="AX671" s="443"/>
      <c r="AY671" s="443"/>
      <c r="AZ671" s="443"/>
      <c r="BA671" s="443"/>
      <c r="BB671" s="443"/>
      <c r="BC671" s="443"/>
      <c r="BD671" s="443"/>
      <c r="BE671" s="443"/>
    </row>
    <row r="672" hidden="1">
      <c r="A672" s="445">
        <f t="shared" si="5"/>
        <v>45962</v>
      </c>
      <c r="B672" s="449">
        <v>383.0</v>
      </c>
      <c r="C672" s="462">
        <v>0.6416666666666667</v>
      </c>
      <c r="D672" s="462">
        <v>0.8597222222222223</v>
      </c>
      <c r="E672" s="436">
        <f t="array" ref="E672">IF(B672=0,"",(J672+K672)/60)</f>
        <v>0.5</v>
      </c>
      <c r="F672" s="437">
        <f t="shared" si="1"/>
        <v>5.233333333</v>
      </c>
      <c r="G672" s="438">
        <f t="shared" si="9"/>
        <v>73.18471338</v>
      </c>
      <c r="H672" s="438">
        <f t="shared" si="3"/>
        <v>80.91549296</v>
      </c>
      <c r="I672" s="436">
        <f t="shared" si="10"/>
        <v>1.626326964</v>
      </c>
      <c r="J672" s="460">
        <v>30.0</v>
      </c>
      <c r="K672" s="460">
        <v>0.0</v>
      </c>
      <c r="L672" s="443"/>
      <c r="M672" s="447">
        <f>IFERROR(__xludf.DUMMYFUNCTION("TRANSPOSE(IMPORTRANGE(""https://docs.google.com/spreadsheets/d/1CNeKSHTeNNJnfn5EymHwGg5Mkuk6EcepW7_9QkJxalc/edit#gid=1218471306"",""NOVIEMBRE 2025!F2:AI21""))"),57.0)</f>
        <v>57</v>
      </c>
      <c r="N672" s="447">
        <f>IFERROR(__xludf.DUMMYFUNCTION("""COMPUTED_VALUE"""),57.0)</f>
        <v>57</v>
      </c>
      <c r="O672" s="447">
        <f>IFERROR(__xludf.DUMMYFUNCTION("""COMPUTED_VALUE"""),0.0)</f>
        <v>0</v>
      </c>
      <c r="P672" s="447">
        <f>IFERROR(__xludf.DUMMYFUNCTION("""COMPUTED_VALUE"""),0.0)</f>
        <v>0</v>
      </c>
      <c r="Q672" s="447">
        <f>IFERROR(__xludf.DUMMYFUNCTION("""COMPUTED_VALUE"""),2.0)</f>
        <v>2</v>
      </c>
      <c r="R672" s="447">
        <f>IFERROR(__xludf.DUMMYFUNCTION("""COMPUTED_VALUE"""),0.0)</f>
        <v>0</v>
      </c>
      <c r="S672" s="447">
        <f>IFERROR(__xludf.DUMMYFUNCTION("""COMPUTED_VALUE"""),2.0)</f>
        <v>2</v>
      </c>
      <c r="T672" s="447">
        <f>IFERROR(__xludf.DUMMYFUNCTION("""COMPUTED_VALUE"""),0.0)</f>
        <v>0</v>
      </c>
      <c r="U672" s="447">
        <f>IFERROR(__xludf.DUMMYFUNCTION("""COMPUTED_VALUE"""),0.0)</f>
        <v>0</v>
      </c>
      <c r="V672" s="447">
        <f>IFERROR(__xludf.DUMMYFUNCTION("""COMPUTED_VALUE"""),2.0)</f>
        <v>2</v>
      </c>
      <c r="W672" s="447">
        <f>IFERROR(__xludf.DUMMYFUNCTION("""COMPUTED_VALUE"""),0.0)</f>
        <v>0</v>
      </c>
      <c r="X672" s="447">
        <f>IFERROR(__xludf.DUMMYFUNCTION("""COMPUTED_VALUE"""),1.0)</f>
        <v>1</v>
      </c>
      <c r="Y672" s="447">
        <f>IFERROR(__xludf.DUMMYFUNCTION("""COMPUTED_VALUE"""),0.0)</f>
        <v>0</v>
      </c>
      <c r="Z672" s="447">
        <f>IFERROR(__xludf.DUMMYFUNCTION("""COMPUTED_VALUE"""),1.0)</f>
        <v>1</v>
      </c>
      <c r="AA672" s="447">
        <f>IFERROR(__xludf.DUMMYFUNCTION("""COMPUTED_VALUE"""),0.0)</f>
        <v>0</v>
      </c>
      <c r="AB672" s="447">
        <f>IFERROR(__xludf.DUMMYFUNCTION("""COMPUTED_VALUE"""),0.0)</f>
        <v>0</v>
      </c>
      <c r="AC672" s="447">
        <f>IFERROR(__xludf.DUMMYFUNCTION("""COMPUTED_VALUE"""),1.0)</f>
        <v>1</v>
      </c>
      <c r="AD672" s="447">
        <f>IFERROR(__xludf.DUMMYFUNCTION("""COMPUTED_VALUE"""),45.0)</f>
        <v>45</v>
      </c>
      <c r="AE672" s="447">
        <f>IFERROR(__xludf.DUMMYFUNCTION("""COMPUTED_VALUE"""),9.0)</f>
        <v>9</v>
      </c>
      <c r="AF672" s="447">
        <f>IFERROR(__xludf.DUMMYFUNCTION("""COMPUTED_VALUE"""),0.0)</f>
        <v>0</v>
      </c>
      <c r="AG672" s="443" t="s">
        <v>140</v>
      </c>
      <c r="AH672" s="443" t="s">
        <v>961</v>
      </c>
      <c r="AI672" s="443"/>
      <c r="AJ672" s="443"/>
      <c r="AK672" s="443"/>
      <c r="AL672" s="443"/>
      <c r="AM672" s="443"/>
      <c r="AN672" s="443"/>
      <c r="AO672" s="443"/>
      <c r="AP672" s="443"/>
      <c r="AQ672" s="443"/>
      <c r="AR672" s="443"/>
      <c r="AS672" s="443"/>
      <c r="AT672" s="443"/>
      <c r="AU672" s="443"/>
      <c r="AV672" s="443"/>
      <c r="AW672" s="443"/>
      <c r="AX672" s="443"/>
      <c r="AY672" s="443"/>
      <c r="AZ672" s="443"/>
      <c r="BA672" s="443"/>
      <c r="BB672" s="443"/>
      <c r="BC672" s="443"/>
      <c r="BD672" s="443"/>
      <c r="BE672" s="443"/>
    </row>
    <row r="673" hidden="1">
      <c r="A673" s="445">
        <f t="shared" si="5"/>
        <v>45963</v>
      </c>
      <c r="B673" s="449">
        <v>0.0</v>
      </c>
      <c r="C673" s="443"/>
      <c r="D673" s="462"/>
      <c r="E673" s="436" t="str">
        <f t="array" ref="E673">IF(B673=0,"",(J673+K673)/60)</f>
        <v/>
      </c>
      <c r="F673" s="437" t="str">
        <f t="shared" si="1"/>
        <v/>
      </c>
      <c r="G673" s="438" t="str">
        <f t="shared" si="9"/>
        <v>#DIV/0!</v>
      </c>
      <c r="H673" s="438" t="str">
        <f t="shared" si="3"/>
        <v/>
      </c>
      <c r="I673" s="436" t="str">
        <f t="shared" si="10"/>
        <v/>
      </c>
      <c r="J673" s="464"/>
      <c r="K673" s="464"/>
      <c r="L673" s="443"/>
      <c r="M673" s="447">
        <f>IFERROR(__xludf.DUMMYFUNCTION("""COMPUTED_VALUE"""),57.0)</f>
        <v>57</v>
      </c>
      <c r="N673" s="447">
        <f>IFERROR(__xludf.DUMMYFUNCTION("""COMPUTED_VALUE"""),57.0)</f>
        <v>57</v>
      </c>
      <c r="O673" s="447">
        <f>IFERROR(__xludf.DUMMYFUNCTION("""COMPUTED_VALUE"""),0.0)</f>
        <v>0</v>
      </c>
      <c r="P673" s="447">
        <f>IFERROR(__xludf.DUMMYFUNCTION("""COMPUTED_VALUE"""),0.0)</f>
        <v>0</v>
      </c>
      <c r="Q673" s="447">
        <f>IFERROR(__xludf.DUMMYFUNCTION("""COMPUTED_VALUE"""),0.0)</f>
        <v>0</v>
      </c>
      <c r="R673" s="447">
        <f>IFERROR(__xludf.DUMMYFUNCTION("""COMPUTED_VALUE"""),0.0)</f>
        <v>0</v>
      </c>
      <c r="S673" s="447">
        <f>IFERROR(__xludf.DUMMYFUNCTION("""COMPUTED_VALUE"""),0.0)</f>
        <v>0</v>
      </c>
      <c r="T673" s="447">
        <f>IFERROR(__xludf.DUMMYFUNCTION("""COMPUTED_VALUE"""),0.0)</f>
        <v>0</v>
      </c>
      <c r="U673" s="447">
        <f>IFERROR(__xludf.DUMMYFUNCTION("""COMPUTED_VALUE"""),0.0)</f>
        <v>0</v>
      </c>
      <c r="V673" s="447">
        <f>IFERROR(__xludf.DUMMYFUNCTION("""COMPUTED_VALUE"""),0.0)</f>
        <v>0</v>
      </c>
      <c r="W673" s="447">
        <f>IFERROR(__xludf.DUMMYFUNCTION("""COMPUTED_VALUE"""),0.0)</f>
        <v>0</v>
      </c>
      <c r="X673" s="447">
        <f>IFERROR(__xludf.DUMMYFUNCTION("""COMPUTED_VALUE"""),0.0)</f>
        <v>0</v>
      </c>
      <c r="Y673" s="447">
        <f>IFERROR(__xludf.DUMMYFUNCTION("""COMPUTED_VALUE"""),0.0)</f>
        <v>0</v>
      </c>
      <c r="Z673" s="447">
        <f>IFERROR(__xludf.DUMMYFUNCTION("""COMPUTED_VALUE"""),0.0)</f>
        <v>0</v>
      </c>
      <c r="AA673" s="447">
        <f>IFERROR(__xludf.DUMMYFUNCTION("""COMPUTED_VALUE"""),0.0)</f>
        <v>0</v>
      </c>
      <c r="AB673" s="447">
        <f>IFERROR(__xludf.DUMMYFUNCTION("""COMPUTED_VALUE"""),0.0)</f>
        <v>0</v>
      </c>
      <c r="AC673" s="447">
        <f>IFERROR(__xludf.DUMMYFUNCTION("""COMPUTED_VALUE"""),0.0)</f>
        <v>0</v>
      </c>
      <c r="AD673" s="447">
        <f>IFERROR(__xludf.DUMMYFUNCTION("""COMPUTED_VALUE"""),0.0)</f>
        <v>0</v>
      </c>
      <c r="AE673" s="447">
        <f>IFERROR(__xludf.DUMMYFUNCTION("""COMPUTED_VALUE"""),0.0)</f>
        <v>0</v>
      </c>
      <c r="AF673" s="447">
        <f>IFERROR(__xludf.DUMMYFUNCTION("""COMPUTED_VALUE"""),0.0)</f>
        <v>0</v>
      </c>
      <c r="AG673" s="443" t="s">
        <v>140</v>
      </c>
      <c r="AH673" s="443" t="s">
        <v>961</v>
      </c>
      <c r="AI673" s="443"/>
      <c r="AJ673" s="443"/>
      <c r="AK673" s="443"/>
      <c r="AL673" s="443"/>
      <c r="AM673" s="443"/>
      <c r="AN673" s="443"/>
      <c r="AO673" s="443"/>
      <c r="AP673" s="443"/>
      <c r="AQ673" s="443"/>
      <c r="AR673" s="443"/>
      <c r="AS673" s="443"/>
      <c r="AT673" s="443"/>
      <c r="AU673" s="443"/>
      <c r="AV673" s="443"/>
      <c r="AW673" s="443"/>
      <c r="AX673" s="443"/>
      <c r="AY673" s="443"/>
      <c r="AZ673" s="443"/>
      <c r="BA673" s="443"/>
      <c r="BB673" s="443"/>
      <c r="BC673" s="443"/>
      <c r="BD673" s="443"/>
      <c r="BE673" s="443"/>
    </row>
    <row r="674" hidden="1">
      <c r="A674" s="445">
        <f t="shared" si="5"/>
        <v>45964</v>
      </c>
      <c r="B674" s="449">
        <v>596.0</v>
      </c>
      <c r="C674" s="462">
        <v>0.6</v>
      </c>
      <c r="D674" s="462">
        <v>0.9979166666666667</v>
      </c>
      <c r="E674" s="436">
        <f t="array" ref="E674">IF(B674=0,"",(J674+K674)/60)</f>
        <v>1.316666667</v>
      </c>
      <c r="F674" s="437">
        <f t="shared" si="1"/>
        <v>9.55</v>
      </c>
      <c r="G674" s="438">
        <f t="shared" si="9"/>
        <v>62.40837696</v>
      </c>
      <c r="H674" s="438">
        <f t="shared" si="3"/>
        <v>72.38866397</v>
      </c>
      <c r="I674" s="436">
        <f t="shared" si="10"/>
        <v>1.248167539</v>
      </c>
      <c r="J674" s="460">
        <v>60.0</v>
      </c>
      <c r="K674" s="464">
        <f>6+7+6</f>
        <v>19</v>
      </c>
      <c r="L674" s="443"/>
      <c r="M674" s="447">
        <f>IFERROR(__xludf.DUMMYFUNCTION("""COMPUTED_VALUE"""),57.0)</f>
        <v>57</v>
      </c>
      <c r="N674" s="447">
        <f>IFERROR(__xludf.DUMMYFUNCTION("""COMPUTED_VALUE"""),57.0)</f>
        <v>57</v>
      </c>
      <c r="O674" s="447">
        <f>IFERROR(__xludf.DUMMYFUNCTION("""COMPUTED_VALUE"""),0.0)</f>
        <v>0</v>
      </c>
      <c r="P674" s="447">
        <f>IFERROR(__xludf.DUMMYFUNCTION("""COMPUTED_VALUE"""),0.0)</f>
        <v>0</v>
      </c>
      <c r="Q674" s="447">
        <f>IFERROR(__xludf.DUMMYFUNCTION("""COMPUTED_VALUE"""),0.0)</f>
        <v>0</v>
      </c>
      <c r="R674" s="447">
        <f>IFERROR(__xludf.DUMMYFUNCTION("""COMPUTED_VALUE"""),0.0)</f>
        <v>0</v>
      </c>
      <c r="S674" s="447">
        <f>IFERROR(__xludf.DUMMYFUNCTION("""COMPUTED_VALUE"""),1.0)</f>
        <v>1</v>
      </c>
      <c r="T674" s="447">
        <f>IFERROR(__xludf.DUMMYFUNCTION("""COMPUTED_VALUE"""),0.0)</f>
        <v>0</v>
      </c>
      <c r="U674" s="447">
        <f>IFERROR(__xludf.DUMMYFUNCTION("""COMPUTED_VALUE"""),0.0)</f>
        <v>0</v>
      </c>
      <c r="V674" s="447">
        <f>IFERROR(__xludf.DUMMYFUNCTION("""COMPUTED_VALUE"""),2.0)</f>
        <v>2</v>
      </c>
      <c r="W674" s="447">
        <f>IFERROR(__xludf.DUMMYFUNCTION("""COMPUTED_VALUE"""),0.0)</f>
        <v>0</v>
      </c>
      <c r="X674" s="447">
        <f>IFERROR(__xludf.DUMMYFUNCTION("""COMPUTED_VALUE"""),1.0)</f>
        <v>1</v>
      </c>
      <c r="Y674" s="447">
        <f>IFERROR(__xludf.DUMMYFUNCTION("""COMPUTED_VALUE"""),0.0)</f>
        <v>0</v>
      </c>
      <c r="Z674" s="447">
        <f>IFERROR(__xludf.DUMMYFUNCTION("""COMPUTED_VALUE"""),0.0)</f>
        <v>0</v>
      </c>
      <c r="AA674" s="447">
        <f>IFERROR(__xludf.DUMMYFUNCTION("""COMPUTED_VALUE"""),0.0)</f>
        <v>0</v>
      </c>
      <c r="AB674" s="447">
        <f>IFERROR(__xludf.DUMMYFUNCTION("""COMPUTED_VALUE"""),0.0)</f>
        <v>0</v>
      </c>
      <c r="AC674" s="447">
        <f>IFERROR(__xludf.DUMMYFUNCTION("""COMPUTED_VALUE"""),0.0)</f>
        <v>0</v>
      </c>
      <c r="AD674" s="447">
        <f>IFERROR(__xludf.DUMMYFUNCTION("""COMPUTED_VALUE"""),50.0)</f>
        <v>50</v>
      </c>
      <c r="AE674" s="447">
        <f>IFERROR(__xludf.DUMMYFUNCTION("""COMPUTED_VALUE"""),4.0)</f>
        <v>4</v>
      </c>
      <c r="AF674" s="447">
        <f>IFERROR(__xludf.DUMMYFUNCTION("""COMPUTED_VALUE"""),0.0)</f>
        <v>0</v>
      </c>
      <c r="AG674" s="443" t="s">
        <v>140</v>
      </c>
      <c r="AH674" s="443" t="s">
        <v>961</v>
      </c>
      <c r="AI674" s="443"/>
      <c r="AJ674" s="443"/>
      <c r="AK674" s="443"/>
      <c r="AL674" s="443"/>
      <c r="AM674" s="443"/>
      <c r="AN674" s="443"/>
      <c r="AO674" s="443"/>
      <c r="AP674" s="443"/>
      <c r="AQ674" s="443"/>
      <c r="AR674" s="443"/>
      <c r="AS674" s="443"/>
      <c r="AT674" s="443"/>
      <c r="AU674" s="443"/>
      <c r="AV674" s="443"/>
      <c r="AW674" s="443"/>
      <c r="AX674" s="443"/>
      <c r="AY674" s="443"/>
      <c r="AZ674" s="443"/>
      <c r="BA674" s="443"/>
      <c r="BB674" s="443"/>
      <c r="BC674" s="443"/>
      <c r="BD674" s="443"/>
      <c r="BE674" s="443"/>
    </row>
    <row r="675" hidden="1">
      <c r="A675" s="445">
        <f t="shared" si="5"/>
        <v>45965</v>
      </c>
      <c r="B675" s="449">
        <v>506.0</v>
      </c>
      <c r="C675" s="462">
        <v>0.6</v>
      </c>
      <c r="D675" s="462">
        <v>0.9395833333333333</v>
      </c>
      <c r="E675" s="436">
        <f t="array" ref="E675">IF(B675=0,"",(J675+K675)/60)</f>
        <v>0.9833333333</v>
      </c>
      <c r="F675" s="437">
        <f t="shared" si="1"/>
        <v>8.15</v>
      </c>
      <c r="G675" s="438">
        <f t="shared" si="9"/>
        <v>62.08588957</v>
      </c>
      <c r="H675" s="438">
        <f t="shared" si="3"/>
        <v>70.60465116</v>
      </c>
      <c r="I675" s="436">
        <f t="shared" si="10"/>
        <v>1.267058971</v>
      </c>
      <c r="J675" s="460">
        <v>30.0</v>
      </c>
      <c r="K675" s="464">
        <f>13+16</f>
        <v>29</v>
      </c>
      <c r="L675" s="443"/>
      <c r="M675" s="447">
        <f>IFERROR(__xludf.DUMMYFUNCTION("""COMPUTED_VALUE"""),57.0)</f>
        <v>57</v>
      </c>
      <c r="N675" s="447">
        <f>IFERROR(__xludf.DUMMYFUNCTION("""COMPUTED_VALUE"""),57.0)</f>
        <v>57</v>
      </c>
      <c r="O675" s="447">
        <f>IFERROR(__xludf.DUMMYFUNCTION("""COMPUTED_VALUE"""),0.0)</f>
        <v>0</v>
      </c>
      <c r="P675" s="447">
        <f>IFERROR(__xludf.DUMMYFUNCTION("""COMPUTED_VALUE"""),0.0)</f>
        <v>0</v>
      </c>
      <c r="Q675" s="447">
        <f>IFERROR(__xludf.DUMMYFUNCTION("""COMPUTED_VALUE"""),0.0)</f>
        <v>0</v>
      </c>
      <c r="R675" s="447">
        <f>IFERROR(__xludf.DUMMYFUNCTION("""COMPUTED_VALUE"""),0.0)</f>
        <v>0</v>
      </c>
      <c r="S675" s="447">
        <f>IFERROR(__xludf.DUMMYFUNCTION("""COMPUTED_VALUE"""),2.0)</f>
        <v>2</v>
      </c>
      <c r="T675" s="447">
        <f>IFERROR(__xludf.DUMMYFUNCTION("""COMPUTED_VALUE"""),0.0)</f>
        <v>0</v>
      </c>
      <c r="U675" s="447">
        <f>IFERROR(__xludf.DUMMYFUNCTION("""COMPUTED_VALUE"""),0.0)</f>
        <v>0</v>
      </c>
      <c r="V675" s="447">
        <f>IFERROR(__xludf.DUMMYFUNCTION("""COMPUTED_VALUE"""),2.0)</f>
        <v>2</v>
      </c>
      <c r="W675" s="447">
        <f>IFERROR(__xludf.DUMMYFUNCTION("""COMPUTED_VALUE"""),0.0)</f>
        <v>0</v>
      </c>
      <c r="X675" s="447">
        <f>IFERROR(__xludf.DUMMYFUNCTION("""COMPUTED_VALUE"""),1.0)</f>
        <v>1</v>
      </c>
      <c r="Y675" s="447">
        <f>IFERROR(__xludf.DUMMYFUNCTION("""COMPUTED_VALUE"""),0.0)</f>
        <v>0</v>
      </c>
      <c r="Z675" s="447">
        <f>IFERROR(__xludf.DUMMYFUNCTION("""COMPUTED_VALUE"""),0.0)</f>
        <v>0</v>
      </c>
      <c r="AA675" s="447">
        <f>IFERROR(__xludf.DUMMYFUNCTION("""COMPUTED_VALUE"""),0.0)</f>
        <v>0</v>
      </c>
      <c r="AB675" s="447">
        <f>IFERROR(__xludf.DUMMYFUNCTION("""COMPUTED_VALUE"""),0.0)</f>
        <v>0</v>
      </c>
      <c r="AC675" s="447">
        <f>IFERROR(__xludf.DUMMYFUNCTION("""COMPUTED_VALUE"""),0.0)</f>
        <v>0</v>
      </c>
      <c r="AD675" s="447">
        <f>IFERROR(__xludf.DUMMYFUNCTION("""COMPUTED_VALUE"""),49.0)</f>
        <v>49</v>
      </c>
      <c r="AE675" s="447">
        <f>IFERROR(__xludf.DUMMYFUNCTION("""COMPUTED_VALUE"""),5.0)</f>
        <v>5</v>
      </c>
      <c r="AF675" s="447">
        <f>IFERROR(__xludf.DUMMYFUNCTION("""COMPUTED_VALUE"""),0.0)</f>
        <v>0</v>
      </c>
      <c r="AG675" s="443" t="s">
        <v>140</v>
      </c>
      <c r="AH675" s="443" t="s">
        <v>961</v>
      </c>
      <c r="AI675" s="443"/>
      <c r="AJ675" s="443"/>
      <c r="AK675" s="443"/>
      <c r="AL675" s="443"/>
      <c r="AM675" s="443"/>
      <c r="AN675" s="443"/>
      <c r="AO675" s="443"/>
      <c r="AP675" s="443"/>
      <c r="AQ675" s="443"/>
      <c r="AR675" s="443"/>
      <c r="AS675" s="443"/>
      <c r="AT675" s="443"/>
      <c r="AU675" s="443"/>
      <c r="AV675" s="443"/>
      <c r="AW675" s="443"/>
      <c r="AX675" s="443"/>
      <c r="AY675" s="443"/>
      <c r="AZ675" s="443"/>
      <c r="BA675" s="443"/>
      <c r="BB675" s="443"/>
      <c r="BC675" s="443"/>
      <c r="BD675" s="443"/>
      <c r="BE675" s="443"/>
    </row>
    <row r="676" hidden="1">
      <c r="A676" s="445">
        <f t="shared" si="5"/>
        <v>45966</v>
      </c>
      <c r="B676" s="449">
        <v>513.0</v>
      </c>
      <c r="C676" s="462">
        <v>0.6</v>
      </c>
      <c r="D676" s="462">
        <v>0.9263888888888889</v>
      </c>
      <c r="E676" s="436">
        <f t="array" ref="E676">IF(B676=0,"",(J676+K676)/60)</f>
        <v>0.5</v>
      </c>
      <c r="F676" s="437">
        <f t="shared" si="1"/>
        <v>7.833333333</v>
      </c>
      <c r="G676" s="438">
        <f t="shared" si="9"/>
        <v>65.4893617</v>
      </c>
      <c r="H676" s="438">
        <f t="shared" si="3"/>
        <v>69.95454545</v>
      </c>
      <c r="I676" s="436">
        <f t="shared" si="10"/>
        <v>1.393390675</v>
      </c>
      <c r="J676" s="460">
        <v>30.0</v>
      </c>
      <c r="K676" s="464"/>
      <c r="L676" s="443"/>
      <c r="M676" s="447">
        <f>IFERROR(__xludf.DUMMYFUNCTION("""COMPUTED_VALUE"""),57.0)</f>
        <v>57</v>
      </c>
      <c r="N676" s="447">
        <f>IFERROR(__xludf.DUMMYFUNCTION("""COMPUTED_VALUE"""),57.0)</f>
        <v>57</v>
      </c>
      <c r="O676" s="447">
        <f>IFERROR(__xludf.DUMMYFUNCTION("""COMPUTED_VALUE"""),0.0)</f>
        <v>0</v>
      </c>
      <c r="P676" s="447">
        <f>IFERROR(__xludf.DUMMYFUNCTION("""COMPUTED_VALUE"""),0.0)</f>
        <v>0</v>
      </c>
      <c r="Q676" s="447">
        <f>IFERROR(__xludf.DUMMYFUNCTION("""COMPUTED_VALUE"""),0.0)</f>
        <v>0</v>
      </c>
      <c r="R676" s="447">
        <f>IFERROR(__xludf.DUMMYFUNCTION("""COMPUTED_VALUE"""),0.0)</f>
        <v>0</v>
      </c>
      <c r="S676" s="447">
        <f>IFERROR(__xludf.DUMMYFUNCTION("""COMPUTED_VALUE"""),3.0)</f>
        <v>3</v>
      </c>
      <c r="T676" s="447">
        <f>IFERROR(__xludf.DUMMYFUNCTION("""COMPUTED_VALUE"""),0.0)</f>
        <v>0</v>
      </c>
      <c r="U676" s="447">
        <f>IFERROR(__xludf.DUMMYFUNCTION("""COMPUTED_VALUE"""),0.0)</f>
        <v>0</v>
      </c>
      <c r="V676" s="447">
        <f>IFERROR(__xludf.DUMMYFUNCTION("""COMPUTED_VALUE"""),2.0)</f>
        <v>2</v>
      </c>
      <c r="W676" s="447">
        <f>IFERROR(__xludf.DUMMYFUNCTION("""COMPUTED_VALUE"""),0.0)</f>
        <v>0</v>
      </c>
      <c r="X676" s="447">
        <f>IFERROR(__xludf.DUMMYFUNCTION("""COMPUTED_VALUE"""),1.0)</f>
        <v>1</v>
      </c>
      <c r="Y676" s="447">
        <f>IFERROR(__xludf.DUMMYFUNCTION("""COMPUTED_VALUE"""),0.0)</f>
        <v>0</v>
      </c>
      <c r="Z676" s="447">
        <f>IFERROR(__xludf.DUMMYFUNCTION("""COMPUTED_VALUE"""),0.0)</f>
        <v>0</v>
      </c>
      <c r="AA676" s="447">
        <f>IFERROR(__xludf.DUMMYFUNCTION("""COMPUTED_VALUE"""),0.0)</f>
        <v>0</v>
      </c>
      <c r="AB676" s="447">
        <f>IFERROR(__xludf.DUMMYFUNCTION("""COMPUTED_VALUE"""),0.0)</f>
        <v>0</v>
      </c>
      <c r="AC676" s="447">
        <f>IFERROR(__xludf.DUMMYFUNCTION("""COMPUTED_VALUE"""),1.0)</f>
        <v>1</v>
      </c>
      <c r="AD676" s="447">
        <f>IFERROR(__xludf.DUMMYFUNCTION("""COMPUTED_VALUE"""),47.0)</f>
        <v>47</v>
      </c>
      <c r="AE676" s="447">
        <f>IFERROR(__xludf.DUMMYFUNCTION("""COMPUTED_VALUE"""),7.0)</f>
        <v>7</v>
      </c>
      <c r="AF676" s="447">
        <f>IFERROR(__xludf.DUMMYFUNCTION("""COMPUTED_VALUE"""),0.0)</f>
        <v>0</v>
      </c>
      <c r="AG676" s="443" t="s">
        <v>140</v>
      </c>
      <c r="AH676" s="443" t="s">
        <v>961</v>
      </c>
      <c r="AI676" s="443"/>
      <c r="AJ676" s="443"/>
      <c r="AK676" s="443"/>
      <c r="AL676" s="443"/>
      <c r="AM676" s="443"/>
      <c r="AN676" s="443"/>
      <c r="AO676" s="443"/>
      <c r="AP676" s="443"/>
      <c r="AQ676" s="443"/>
      <c r="AR676" s="443"/>
      <c r="AS676" s="443"/>
      <c r="AT676" s="443"/>
      <c r="AU676" s="443"/>
      <c r="AV676" s="443"/>
      <c r="AW676" s="443"/>
      <c r="AX676" s="443"/>
      <c r="AY676" s="443"/>
      <c r="AZ676" s="443"/>
      <c r="BA676" s="443"/>
      <c r="BB676" s="443"/>
      <c r="BC676" s="443"/>
      <c r="BD676" s="443"/>
      <c r="BE676" s="443"/>
    </row>
    <row r="677" hidden="1">
      <c r="A677" s="445">
        <f t="shared" si="5"/>
        <v>45967</v>
      </c>
      <c r="B677" s="449">
        <v>535.0</v>
      </c>
      <c r="C677" s="462">
        <v>0.6</v>
      </c>
      <c r="D677" s="462">
        <v>0.9493055555555555</v>
      </c>
      <c r="E677" s="436">
        <f t="array" ref="E677">IF(B677=0,"",(J677+K677)/60)</f>
        <v>0.6</v>
      </c>
      <c r="F677" s="437">
        <f t="shared" si="1"/>
        <v>8.383333333</v>
      </c>
      <c r="G677" s="438">
        <f t="shared" si="9"/>
        <v>63.81709742</v>
      </c>
      <c r="H677" s="438">
        <f t="shared" si="3"/>
        <v>68.7366167</v>
      </c>
      <c r="I677" s="436">
        <f t="shared" si="10"/>
        <v>1.251315636</v>
      </c>
      <c r="J677" s="460">
        <v>30.0</v>
      </c>
      <c r="K677" s="464">
        <f>6</f>
        <v>6</v>
      </c>
      <c r="L677" s="443"/>
      <c r="M677" s="447">
        <f>IFERROR(__xludf.DUMMYFUNCTION("""COMPUTED_VALUE"""),57.0)</f>
        <v>57</v>
      </c>
      <c r="N677" s="447">
        <f>IFERROR(__xludf.DUMMYFUNCTION("""COMPUTED_VALUE"""),57.0)</f>
        <v>57</v>
      </c>
      <c r="O677" s="447">
        <f>IFERROR(__xludf.DUMMYFUNCTION("""COMPUTED_VALUE"""),0.0)</f>
        <v>0</v>
      </c>
      <c r="P677" s="447">
        <f>IFERROR(__xludf.DUMMYFUNCTION("""COMPUTED_VALUE"""),0.0)</f>
        <v>0</v>
      </c>
      <c r="Q677" s="447">
        <f>IFERROR(__xludf.DUMMYFUNCTION("""COMPUTED_VALUE"""),0.0)</f>
        <v>0</v>
      </c>
      <c r="R677" s="447">
        <f>IFERROR(__xludf.DUMMYFUNCTION("""COMPUTED_VALUE"""),0.0)</f>
        <v>0</v>
      </c>
      <c r="S677" s="447">
        <f>IFERROR(__xludf.DUMMYFUNCTION("""COMPUTED_VALUE"""),0.0)</f>
        <v>0</v>
      </c>
      <c r="T677" s="447">
        <f>IFERROR(__xludf.DUMMYFUNCTION("""COMPUTED_VALUE"""),0.0)</f>
        <v>0</v>
      </c>
      <c r="U677" s="447">
        <f>IFERROR(__xludf.DUMMYFUNCTION("""COMPUTED_VALUE"""),0.0)</f>
        <v>0</v>
      </c>
      <c r="V677" s="447">
        <f>IFERROR(__xludf.DUMMYFUNCTION("""COMPUTED_VALUE"""),2.0)</f>
        <v>2</v>
      </c>
      <c r="W677" s="447">
        <f>IFERROR(__xludf.DUMMYFUNCTION("""COMPUTED_VALUE"""),0.0)</f>
        <v>0</v>
      </c>
      <c r="X677" s="447">
        <f>IFERROR(__xludf.DUMMYFUNCTION("""COMPUTED_VALUE"""),1.0)</f>
        <v>1</v>
      </c>
      <c r="Y677" s="447">
        <f>IFERROR(__xludf.DUMMYFUNCTION("""COMPUTED_VALUE"""),0.0)</f>
        <v>0</v>
      </c>
      <c r="Z677" s="447">
        <f>IFERROR(__xludf.DUMMYFUNCTION("""COMPUTED_VALUE"""),0.0)</f>
        <v>0</v>
      </c>
      <c r="AA677" s="447">
        <f>IFERROR(__xludf.DUMMYFUNCTION("""COMPUTED_VALUE"""),0.0)</f>
        <v>0</v>
      </c>
      <c r="AB677" s="447">
        <f>IFERROR(__xludf.DUMMYFUNCTION("""COMPUTED_VALUE"""),0.0)</f>
        <v>0</v>
      </c>
      <c r="AC677" s="447">
        <f>IFERROR(__xludf.DUMMYFUNCTION("""COMPUTED_VALUE"""),0.0)</f>
        <v>0</v>
      </c>
      <c r="AD677" s="447">
        <f>IFERROR(__xludf.DUMMYFUNCTION("""COMPUTED_VALUE"""),51.0)</f>
        <v>51</v>
      </c>
      <c r="AE677" s="447">
        <f>IFERROR(__xludf.DUMMYFUNCTION("""COMPUTED_VALUE"""),3.0)</f>
        <v>3</v>
      </c>
      <c r="AF677" s="447">
        <f>IFERROR(__xludf.DUMMYFUNCTION("""COMPUTED_VALUE"""),0.0)</f>
        <v>0</v>
      </c>
      <c r="AG677" s="443" t="s">
        <v>140</v>
      </c>
      <c r="AH677" s="443" t="s">
        <v>961</v>
      </c>
      <c r="AI677" s="443"/>
      <c r="AJ677" s="443"/>
      <c r="AK677" s="443"/>
      <c r="AL677" s="443"/>
      <c r="AM677" s="443"/>
      <c r="AN677" s="443"/>
      <c r="AO677" s="443"/>
      <c r="AP677" s="443"/>
      <c r="AQ677" s="443"/>
      <c r="AR677" s="443"/>
      <c r="AS677" s="443"/>
      <c r="AT677" s="443"/>
      <c r="AU677" s="443"/>
      <c r="AV677" s="443"/>
      <c r="AW677" s="443"/>
      <c r="AX677" s="443"/>
      <c r="AY677" s="443"/>
      <c r="AZ677" s="443"/>
      <c r="BA677" s="443"/>
      <c r="BB677" s="443"/>
      <c r="BC677" s="443"/>
      <c r="BD677" s="443"/>
      <c r="BE677" s="443"/>
    </row>
    <row r="678" hidden="1">
      <c r="A678" s="445">
        <f t="shared" si="5"/>
        <v>45968</v>
      </c>
      <c r="B678" s="449">
        <v>592.0</v>
      </c>
      <c r="C678" s="462">
        <v>0.6</v>
      </c>
      <c r="D678" s="462">
        <v>1.0138888888888888</v>
      </c>
      <c r="E678" s="436">
        <f t="array" ref="E678">IF(B678=0,"",(J678+K678)/60)</f>
        <v>2.1</v>
      </c>
      <c r="F678" s="437">
        <f t="shared" si="1"/>
        <v>9.933333333</v>
      </c>
      <c r="G678" s="438">
        <f t="shared" si="9"/>
        <v>59.59731544</v>
      </c>
      <c r="H678" s="438">
        <f t="shared" si="3"/>
        <v>75.57446809</v>
      </c>
      <c r="I678" s="436">
        <f t="shared" si="10"/>
        <v>1.216271744</v>
      </c>
      <c r="J678" s="460">
        <v>60.0</v>
      </c>
      <c r="K678" s="464">
        <f>9+20+5+7+10+15</f>
        <v>66</v>
      </c>
      <c r="L678" s="443"/>
      <c r="M678" s="447">
        <f>IFERROR(__xludf.DUMMYFUNCTION("""COMPUTED_VALUE"""),57.0)</f>
        <v>57</v>
      </c>
      <c r="N678" s="447">
        <f>IFERROR(__xludf.DUMMYFUNCTION("""COMPUTED_VALUE"""),57.0)</f>
        <v>57</v>
      </c>
      <c r="O678" s="447">
        <f>IFERROR(__xludf.DUMMYFUNCTION("""COMPUTED_VALUE"""),0.0)</f>
        <v>0</v>
      </c>
      <c r="P678" s="447">
        <f>IFERROR(__xludf.DUMMYFUNCTION("""COMPUTED_VALUE"""),0.0)</f>
        <v>0</v>
      </c>
      <c r="Q678" s="447">
        <f>IFERROR(__xludf.DUMMYFUNCTION("""COMPUTED_VALUE"""),1.0)</f>
        <v>1</v>
      </c>
      <c r="R678" s="447">
        <f>IFERROR(__xludf.DUMMYFUNCTION("""COMPUTED_VALUE"""),0.0)</f>
        <v>0</v>
      </c>
      <c r="S678" s="447">
        <f>IFERROR(__xludf.DUMMYFUNCTION("""COMPUTED_VALUE"""),1.0)</f>
        <v>1</v>
      </c>
      <c r="T678" s="447">
        <f>IFERROR(__xludf.DUMMYFUNCTION("""COMPUTED_VALUE"""),0.0)</f>
        <v>0</v>
      </c>
      <c r="U678" s="447">
        <f>IFERROR(__xludf.DUMMYFUNCTION("""COMPUTED_VALUE"""),0.0)</f>
        <v>0</v>
      </c>
      <c r="V678" s="447">
        <f>IFERROR(__xludf.DUMMYFUNCTION("""COMPUTED_VALUE"""),2.0)</f>
        <v>2</v>
      </c>
      <c r="W678" s="447">
        <f>IFERROR(__xludf.DUMMYFUNCTION("""COMPUTED_VALUE"""),0.0)</f>
        <v>0</v>
      </c>
      <c r="X678" s="447">
        <f>IFERROR(__xludf.DUMMYFUNCTION("""COMPUTED_VALUE"""),1.0)</f>
        <v>1</v>
      </c>
      <c r="Y678" s="447">
        <f>IFERROR(__xludf.DUMMYFUNCTION("""COMPUTED_VALUE"""),0.0)</f>
        <v>0</v>
      </c>
      <c r="Z678" s="447">
        <f>IFERROR(__xludf.DUMMYFUNCTION("""COMPUTED_VALUE"""),0.0)</f>
        <v>0</v>
      </c>
      <c r="AA678" s="447">
        <f>IFERROR(__xludf.DUMMYFUNCTION("""COMPUTED_VALUE"""),0.0)</f>
        <v>0</v>
      </c>
      <c r="AB678" s="447">
        <f>IFERROR(__xludf.DUMMYFUNCTION("""COMPUTED_VALUE"""),0.0)</f>
        <v>0</v>
      </c>
      <c r="AC678" s="447">
        <f>IFERROR(__xludf.DUMMYFUNCTION("""COMPUTED_VALUE"""),0.0)</f>
        <v>0</v>
      </c>
      <c r="AD678" s="447">
        <f>IFERROR(__xludf.DUMMYFUNCTION("""COMPUTED_VALUE"""),49.0)</f>
        <v>49</v>
      </c>
      <c r="AE678" s="447">
        <f>IFERROR(__xludf.DUMMYFUNCTION("""COMPUTED_VALUE"""),5.0)</f>
        <v>5</v>
      </c>
      <c r="AF678" s="447">
        <f>IFERROR(__xludf.DUMMYFUNCTION("""COMPUTED_VALUE"""),0.0)</f>
        <v>0</v>
      </c>
      <c r="AG678" s="443" t="s">
        <v>140</v>
      </c>
      <c r="AH678" s="443" t="s">
        <v>961</v>
      </c>
      <c r="AI678" s="443"/>
      <c r="AJ678" s="443"/>
      <c r="AK678" s="443"/>
      <c r="AL678" s="443"/>
      <c r="AM678" s="443"/>
      <c r="AN678" s="443"/>
      <c r="AO678" s="443"/>
      <c r="AP678" s="443"/>
      <c r="AQ678" s="443"/>
      <c r="AR678" s="443"/>
      <c r="AS678" s="443"/>
      <c r="AT678" s="443"/>
      <c r="AU678" s="443"/>
      <c r="AV678" s="443"/>
      <c r="AW678" s="443"/>
      <c r="AX678" s="443"/>
      <c r="AY678" s="443"/>
      <c r="AZ678" s="443"/>
      <c r="BA678" s="443"/>
      <c r="BB678" s="443"/>
      <c r="BC678" s="443"/>
      <c r="BD678" s="443"/>
      <c r="BE678" s="443"/>
    </row>
    <row r="679" hidden="1">
      <c r="A679" s="445">
        <f t="shared" si="5"/>
        <v>45969</v>
      </c>
      <c r="B679" s="449">
        <v>410.0</v>
      </c>
      <c r="C679" s="462">
        <v>0.6</v>
      </c>
      <c r="D679" s="462">
        <v>0.8847222222222222</v>
      </c>
      <c r="E679" s="436">
        <f t="array" ref="E679">IF(B679=0,"",(J679+K679)/60)</f>
        <v>1.266666667</v>
      </c>
      <c r="F679" s="437">
        <f t="shared" si="1"/>
        <v>6.833333333</v>
      </c>
      <c r="G679" s="438">
        <f t="shared" si="9"/>
        <v>60</v>
      </c>
      <c r="H679" s="438">
        <f t="shared" si="3"/>
        <v>73.65269461</v>
      </c>
      <c r="I679" s="436">
        <f t="shared" si="10"/>
        <v>1.25</v>
      </c>
      <c r="J679" s="460">
        <v>30.0</v>
      </c>
      <c r="K679" s="460">
        <f>9+10+5+5+17</f>
        <v>46</v>
      </c>
      <c r="L679" s="443"/>
      <c r="M679" s="447">
        <f>IFERROR(__xludf.DUMMYFUNCTION("""COMPUTED_VALUE"""),57.0)</f>
        <v>57</v>
      </c>
      <c r="N679" s="447">
        <f>IFERROR(__xludf.DUMMYFUNCTION("""COMPUTED_VALUE"""),57.0)</f>
        <v>57</v>
      </c>
      <c r="O679" s="447">
        <f>IFERROR(__xludf.DUMMYFUNCTION("""COMPUTED_VALUE"""),0.0)</f>
        <v>0</v>
      </c>
      <c r="P679" s="447">
        <f>IFERROR(__xludf.DUMMYFUNCTION("""COMPUTED_VALUE"""),0.0)</f>
        <v>0</v>
      </c>
      <c r="Q679" s="447">
        <f>IFERROR(__xludf.DUMMYFUNCTION("""COMPUTED_VALUE"""),0.0)</f>
        <v>0</v>
      </c>
      <c r="R679" s="447">
        <f>IFERROR(__xludf.DUMMYFUNCTION("""COMPUTED_VALUE"""),0.0)</f>
        <v>0</v>
      </c>
      <c r="S679" s="447">
        <f>IFERROR(__xludf.DUMMYFUNCTION("""COMPUTED_VALUE"""),2.0)</f>
        <v>2</v>
      </c>
      <c r="T679" s="447">
        <f>IFERROR(__xludf.DUMMYFUNCTION("""COMPUTED_VALUE"""),0.0)</f>
        <v>0</v>
      </c>
      <c r="U679" s="447">
        <f>IFERROR(__xludf.DUMMYFUNCTION("""COMPUTED_VALUE"""),0.0)</f>
        <v>0</v>
      </c>
      <c r="V679" s="447">
        <f>IFERROR(__xludf.DUMMYFUNCTION("""COMPUTED_VALUE"""),2.0)</f>
        <v>2</v>
      </c>
      <c r="W679" s="447">
        <f>IFERROR(__xludf.DUMMYFUNCTION("""COMPUTED_VALUE"""),0.0)</f>
        <v>0</v>
      </c>
      <c r="X679" s="447">
        <f>IFERROR(__xludf.DUMMYFUNCTION("""COMPUTED_VALUE"""),1.0)</f>
        <v>1</v>
      </c>
      <c r="Y679" s="447">
        <f>IFERROR(__xludf.DUMMYFUNCTION("""COMPUTED_VALUE"""),0.0)</f>
        <v>0</v>
      </c>
      <c r="Z679" s="447">
        <f>IFERROR(__xludf.DUMMYFUNCTION("""COMPUTED_VALUE"""),0.0)</f>
        <v>0</v>
      </c>
      <c r="AA679" s="447">
        <f>IFERROR(__xludf.DUMMYFUNCTION("""COMPUTED_VALUE"""),0.0)</f>
        <v>0</v>
      </c>
      <c r="AB679" s="447">
        <f>IFERROR(__xludf.DUMMYFUNCTION("""COMPUTED_VALUE"""),0.0)</f>
        <v>0</v>
      </c>
      <c r="AC679" s="447">
        <f>IFERROR(__xludf.DUMMYFUNCTION("""COMPUTED_VALUE"""),1.0)</f>
        <v>1</v>
      </c>
      <c r="AD679" s="447">
        <f>IFERROR(__xludf.DUMMYFUNCTION("""COMPUTED_VALUE"""),48.0)</f>
        <v>48</v>
      </c>
      <c r="AE679" s="447">
        <f>IFERROR(__xludf.DUMMYFUNCTION("""COMPUTED_VALUE"""),6.0)</f>
        <v>6</v>
      </c>
      <c r="AF679" s="447">
        <f>IFERROR(__xludf.DUMMYFUNCTION("""COMPUTED_VALUE"""),0.0)</f>
        <v>0</v>
      </c>
      <c r="AG679" s="443" t="s">
        <v>140</v>
      </c>
      <c r="AH679" s="443" t="s">
        <v>961</v>
      </c>
      <c r="AI679" s="443"/>
      <c r="AJ679" s="443"/>
      <c r="AK679" s="443"/>
      <c r="AL679" s="443"/>
      <c r="AM679" s="443"/>
      <c r="AN679" s="443"/>
      <c r="AO679" s="443"/>
      <c r="AP679" s="443"/>
      <c r="AQ679" s="443"/>
      <c r="AR679" s="443"/>
      <c r="AS679" s="443"/>
      <c r="AT679" s="443"/>
      <c r="AU679" s="443"/>
      <c r="AV679" s="443"/>
      <c r="AW679" s="443"/>
      <c r="AX679" s="443"/>
      <c r="AY679" s="443"/>
      <c r="AZ679" s="443"/>
      <c r="BA679" s="443"/>
      <c r="BB679" s="443"/>
      <c r="BC679" s="443"/>
      <c r="BD679" s="443"/>
      <c r="BE679" s="443"/>
    </row>
    <row r="680" hidden="1">
      <c r="A680" s="445">
        <f t="shared" si="5"/>
        <v>45970</v>
      </c>
      <c r="B680" s="449">
        <v>0.0</v>
      </c>
      <c r="C680" s="443"/>
      <c r="D680" s="462"/>
      <c r="E680" s="436" t="str">
        <f t="array" ref="E680">IF(B680=0,"",(J680+K680)/60)</f>
        <v/>
      </c>
      <c r="F680" s="437" t="str">
        <f t="shared" si="1"/>
        <v/>
      </c>
      <c r="G680" s="438" t="str">
        <f t="shared" si="9"/>
        <v>#DIV/0!</v>
      </c>
      <c r="H680" s="438" t="str">
        <f t="shared" si="3"/>
        <v/>
      </c>
      <c r="I680" s="436" t="str">
        <f t="shared" si="10"/>
        <v/>
      </c>
      <c r="J680" s="464"/>
      <c r="K680" s="464"/>
      <c r="L680" s="443"/>
      <c r="M680" s="447">
        <f>IFERROR(__xludf.DUMMYFUNCTION("""COMPUTED_VALUE"""),57.0)</f>
        <v>57</v>
      </c>
      <c r="N680" s="447">
        <f>IFERROR(__xludf.DUMMYFUNCTION("""COMPUTED_VALUE"""),57.0)</f>
        <v>57</v>
      </c>
      <c r="O680" s="447">
        <f>IFERROR(__xludf.DUMMYFUNCTION("""COMPUTED_VALUE"""),0.0)</f>
        <v>0</v>
      </c>
      <c r="P680" s="447">
        <f>IFERROR(__xludf.DUMMYFUNCTION("""COMPUTED_VALUE"""),0.0)</f>
        <v>0</v>
      </c>
      <c r="Q680" s="447">
        <f>IFERROR(__xludf.DUMMYFUNCTION("""COMPUTED_VALUE"""),0.0)</f>
        <v>0</v>
      </c>
      <c r="R680" s="447">
        <f>IFERROR(__xludf.DUMMYFUNCTION("""COMPUTED_VALUE"""),0.0)</f>
        <v>0</v>
      </c>
      <c r="S680" s="447">
        <f>IFERROR(__xludf.DUMMYFUNCTION("""COMPUTED_VALUE"""),0.0)</f>
        <v>0</v>
      </c>
      <c r="T680" s="447">
        <f>IFERROR(__xludf.DUMMYFUNCTION("""COMPUTED_VALUE"""),0.0)</f>
        <v>0</v>
      </c>
      <c r="U680" s="447">
        <f>IFERROR(__xludf.DUMMYFUNCTION("""COMPUTED_VALUE"""),0.0)</f>
        <v>0</v>
      </c>
      <c r="V680" s="447">
        <f>IFERROR(__xludf.DUMMYFUNCTION("""COMPUTED_VALUE"""),0.0)</f>
        <v>0</v>
      </c>
      <c r="W680" s="447">
        <f>IFERROR(__xludf.DUMMYFUNCTION("""COMPUTED_VALUE"""),0.0)</f>
        <v>0</v>
      </c>
      <c r="X680" s="447">
        <f>IFERROR(__xludf.DUMMYFUNCTION("""COMPUTED_VALUE"""),0.0)</f>
        <v>0</v>
      </c>
      <c r="Y680" s="447">
        <f>IFERROR(__xludf.DUMMYFUNCTION("""COMPUTED_VALUE"""),0.0)</f>
        <v>0</v>
      </c>
      <c r="Z680" s="447">
        <f>IFERROR(__xludf.DUMMYFUNCTION("""COMPUTED_VALUE"""),0.0)</f>
        <v>0</v>
      </c>
      <c r="AA680" s="447">
        <f>IFERROR(__xludf.DUMMYFUNCTION("""COMPUTED_VALUE"""),0.0)</f>
        <v>0</v>
      </c>
      <c r="AB680" s="447">
        <f>IFERROR(__xludf.DUMMYFUNCTION("""COMPUTED_VALUE"""),0.0)</f>
        <v>0</v>
      </c>
      <c r="AC680" s="447">
        <f>IFERROR(__xludf.DUMMYFUNCTION("""COMPUTED_VALUE"""),0.0)</f>
        <v>0</v>
      </c>
      <c r="AD680" s="447">
        <f>IFERROR(__xludf.DUMMYFUNCTION("""COMPUTED_VALUE"""),0.0)</f>
        <v>0</v>
      </c>
      <c r="AE680" s="447">
        <f>IFERROR(__xludf.DUMMYFUNCTION("""COMPUTED_VALUE"""),0.0)</f>
        <v>0</v>
      </c>
      <c r="AF680" s="447">
        <f>IFERROR(__xludf.DUMMYFUNCTION("""COMPUTED_VALUE"""),0.0)</f>
        <v>0</v>
      </c>
      <c r="AG680" s="443" t="s">
        <v>140</v>
      </c>
      <c r="AH680" s="443" t="s">
        <v>961</v>
      </c>
      <c r="AI680" s="443"/>
      <c r="AJ680" s="443"/>
      <c r="AK680" s="443"/>
      <c r="AL680" s="443"/>
      <c r="AM680" s="443"/>
      <c r="AN680" s="443"/>
      <c r="AO680" s="443"/>
      <c r="AP680" s="443"/>
      <c r="AQ680" s="443"/>
      <c r="AR680" s="443"/>
      <c r="AS680" s="443"/>
      <c r="AT680" s="443"/>
      <c r="AU680" s="443"/>
      <c r="AV680" s="443"/>
      <c r="AW680" s="443"/>
      <c r="AX680" s="443"/>
      <c r="AY680" s="443"/>
      <c r="AZ680" s="443"/>
      <c r="BA680" s="443"/>
      <c r="BB680" s="443"/>
      <c r="BC680" s="443"/>
      <c r="BD680" s="443"/>
      <c r="BE680" s="443"/>
    </row>
    <row r="681" hidden="1">
      <c r="A681" s="445">
        <f t="shared" si="5"/>
        <v>45971</v>
      </c>
      <c r="B681" s="449">
        <v>748.0</v>
      </c>
      <c r="C681" s="462">
        <v>0.6</v>
      </c>
      <c r="D681" s="462">
        <v>1.0541666666666667</v>
      </c>
      <c r="E681" s="436">
        <f t="array" ref="E681">IF(B681=0,"",(J681+K681)/60)</f>
        <v>1</v>
      </c>
      <c r="F681" s="437">
        <f t="shared" si="1"/>
        <v>10.9</v>
      </c>
      <c r="G681" s="438">
        <f t="shared" si="9"/>
        <v>68.62385321</v>
      </c>
      <c r="H681" s="438">
        <f t="shared" si="3"/>
        <v>75.55555556</v>
      </c>
      <c r="I681" s="436">
        <f t="shared" si="10"/>
        <v>1.372477064</v>
      </c>
      <c r="J681" s="460">
        <v>60.0</v>
      </c>
      <c r="K681" s="460">
        <v>0.0</v>
      </c>
      <c r="L681" s="443"/>
      <c r="M681" s="447">
        <f>IFERROR(__xludf.DUMMYFUNCTION("""COMPUTED_VALUE"""),57.0)</f>
        <v>57</v>
      </c>
      <c r="N681" s="447">
        <f>IFERROR(__xludf.DUMMYFUNCTION("""COMPUTED_VALUE"""),57.0)</f>
        <v>57</v>
      </c>
      <c r="O681" s="447">
        <f>IFERROR(__xludf.DUMMYFUNCTION("""COMPUTED_VALUE"""),0.0)</f>
        <v>0</v>
      </c>
      <c r="P681" s="447">
        <f>IFERROR(__xludf.DUMMYFUNCTION("""COMPUTED_VALUE"""),0.0)</f>
        <v>0</v>
      </c>
      <c r="Q681" s="447">
        <f>IFERROR(__xludf.DUMMYFUNCTION("""COMPUTED_VALUE"""),1.0)</f>
        <v>1</v>
      </c>
      <c r="R681" s="447">
        <f>IFERROR(__xludf.DUMMYFUNCTION("""COMPUTED_VALUE"""),0.0)</f>
        <v>0</v>
      </c>
      <c r="S681" s="447">
        <f>IFERROR(__xludf.DUMMYFUNCTION("""COMPUTED_VALUE"""),0.0)</f>
        <v>0</v>
      </c>
      <c r="T681" s="447">
        <f>IFERROR(__xludf.DUMMYFUNCTION("""COMPUTED_VALUE"""),0.0)</f>
        <v>0</v>
      </c>
      <c r="U681" s="447">
        <f>IFERROR(__xludf.DUMMYFUNCTION("""COMPUTED_VALUE"""),0.0)</f>
        <v>0</v>
      </c>
      <c r="V681" s="447">
        <f>IFERROR(__xludf.DUMMYFUNCTION("""COMPUTED_VALUE"""),1.0)</f>
        <v>1</v>
      </c>
      <c r="W681" s="447">
        <f>IFERROR(__xludf.DUMMYFUNCTION("""COMPUTED_VALUE"""),0.0)</f>
        <v>0</v>
      </c>
      <c r="X681" s="447">
        <f>IFERROR(__xludf.DUMMYFUNCTION("""COMPUTED_VALUE"""),1.0)</f>
        <v>1</v>
      </c>
      <c r="Y681" s="447">
        <f>IFERROR(__xludf.DUMMYFUNCTION("""COMPUTED_VALUE"""),0.0)</f>
        <v>0</v>
      </c>
      <c r="Z681" s="447">
        <f>IFERROR(__xludf.DUMMYFUNCTION("""COMPUTED_VALUE"""),0.0)</f>
        <v>0</v>
      </c>
      <c r="AA681" s="447">
        <f>IFERROR(__xludf.DUMMYFUNCTION("""COMPUTED_VALUE"""),0.0)</f>
        <v>0</v>
      </c>
      <c r="AB681" s="447">
        <f>IFERROR(__xludf.DUMMYFUNCTION("""COMPUTED_VALUE"""),0.0)</f>
        <v>0</v>
      </c>
      <c r="AC681" s="447">
        <f>IFERROR(__xludf.DUMMYFUNCTION("""COMPUTED_VALUE"""),1.0)</f>
        <v>1</v>
      </c>
      <c r="AD681" s="447">
        <f>IFERROR(__xludf.DUMMYFUNCTION("""COMPUTED_VALUE"""),50.0)</f>
        <v>50</v>
      </c>
      <c r="AE681" s="447">
        <f>IFERROR(__xludf.DUMMYFUNCTION("""COMPUTED_VALUE"""),4.0)</f>
        <v>4</v>
      </c>
      <c r="AF681" s="447">
        <f>IFERROR(__xludf.DUMMYFUNCTION("""COMPUTED_VALUE"""),0.0)</f>
        <v>0</v>
      </c>
      <c r="AG681" s="443" t="s">
        <v>140</v>
      </c>
      <c r="AH681" s="443" t="s">
        <v>961</v>
      </c>
      <c r="AI681" s="443"/>
      <c r="AJ681" s="443"/>
      <c r="AK681" s="443"/>
      <c r="AL681" s="443"/>
      <c r="AM681" s="443"/>
      <c r="AN681" s="443"/>
      <c r="AO681" s="443"/>
      <c r="AP681" s="443"/>
      <c r="AQ681" s="443"/>
      <c r="AR681" s="443"/>
      <c r="AS681" s="443"/>
      <c r="AT681" s="443"/>
      <c r="AU681" s="443"/>
      <c r="AV681" s="443"/>
      <c r="AW681" s="443"/>
      <c r="AX681" s="443"/>
      <c r="AY681" s="443"/>
      <c r="AZ681" s="443"/>
      <c r="BA681" s="443"/>
      <c r="BB681" s="443"/>
      <c r="BC681" s="443"/>
      <c r="BD681" s="443"/>
      <c r="BE681" s="443"/>
    </row>
    <row r="682" hidden="1">
      <c r="A682" s="445">
        <f t="shared" si="5"/>
        <v>45972</v>
      </c>
      <c r="B682" s="449">
        <v>533.0</v>
      </c>
      <c r="C682" s="462">
        <v>0.6416666666666667</v>
      </c>
      <c r="D682" s="462">
        <v>1.0125</v>
      </c>
      <c r="E682" s="436">
        <f t="array" ref="E682">IF(B682=0,"",(J682+K682)/60)</f>
        <v>0.6333333333</v>
      </c>
      <c r="F682" s="437">
        <f t="shared" si="1"/>
        <v>8.9</v>
      </c>
      <c r="G682" s="438">
        <f t="shared" si="9"/>
        <v>59.88764045</v>
      </c>
      <c r="H682" s="438">
        <f t="shared" si="3"/>
        <v>64.47580645</v>
      </c>
      <c r="I682" s="436">
        <f t="shared" si="10"/>
        <v>1.197752809</v>
      </c>
      <c r="J682" s="460">
        <v>30.0</v>
      </c>
      <c r="K682" s="460">
        <v>8.0</v>
      </c>
      <c r="L682" s="443"/>
      <c r="M682" s="447">
        <f>IFERROR(__xludf.DUMMYFUNCTION("""COMPUTED_VALUE"""),57.0)</f>
        <v>57</v>
      </c>
      <c r="N682" s="447">
        <f>IFERROR(__xludf.DUMMYFUNCTION("""COMPUTED_VALUE"""),57.0)</f>
        <v>57</v>
      </c>
      <c r="O682" s="447">
        <f>IFERROR(__xludf.DUMMYFUNCTION("""COMPUTED_VALUE"""),0.0)</f>
        <v>0</v>
      </c>
      <c r="P682" s="447">
        <f>IFERROR(__xludf.DUMMYFUNCTION("""COMPUTED_VALUE"""),0.0)</f>
        <v>0</v>
      </c>
      <c r="Q682" s="447">
        <f>IFERROR(__xludf.DUMMYFUNCTION("""COMPUTED_VALUE"""),0.0)</f>
        <v>0</v>
      </c>
      <c r="R682" s="447">
        <f>IFERROR(__xludf.DUMMYFUNCTION("""COMPUTED_VALUE"""),0.0)</f>
        <v>0</v>
      </c>
      <c r="S682" s="447">
        <f>IFERROR(__xludf.DUMMYFUNCTION("""COMPUTED_VALUE"""),0.0)</f>
        <v>0</v>
      </c>
      <c r="T682" s="447">
        <f>IFERROR(__xludf.DUMMYFUNCTION("""COMPUTED_VALUE"""),0.0)</f>
        <v>0</v>
      </c>
      <c r="U682" s="447">
        <f>IFERROR(__xludf.DUMMYFUNCTION("""COMPUTED_VALUE"""),0.0)</f>
        <v>0</v>
      </c>
      <c r="V682" s="447">
        <f>IFERROR(__xludf.DUMMYFUNCTION("""COMPUTED_VALUE"""),2.0)</f>
        <v>2</v>
      </c>
      <c r="W682" s="447">
        <f>IFERROR(__xludf.DUMMYFUNCTION("""COMPUTED_VALUE"""),0.0)</f>
        <v>0</v>
      </c>
      <c r="X682" s="447">
        <f>IFERROR(__xludf.DUMMYFUNCTION("""COMPUTED_VALUE"""),1.0)</f>
        <v>1</v>
      </c>
      <c r="Y682" s="447">
        <f>IFERROR(__xludf.DUMMYFUNCTION("""COMPUTED_VALUE"""),0.0)</f>
        <v>0</v>
      </c>
      <c r="Z682" s="447">
        <f>IFERROR(__xludf.DUMMYFUNCTION("""COMPUTED_VALUE"""),0.0)</f>
        <v>0</v>
      </c>
      <c r="AA682" s="447">
        <f>IFERROR(__xludf.DUMMYFUNCTION("""COMPUTED_VALUE"""),0.0)</f>
        <v>0</v>
      </c>
      <c r="AB682" s="447">
        <f>IFERROR(__xludf.DUMMYFUNCTION("""COMPUTED_VALUE"""),0.0)</f>
        <v>0</v>
      </c>
      <c r="AC682" s="447">
        <f>IFERROR(__xludf.DUMMYFUNCTION("""COMPUTED_VALUE"""),1.0)</f>
        <v>1</v>
      </c>
      <c r="AD682" s="447">
        <f>IFERROR(__xludf.DUMMYFUNCTION("""COMPUTED_VALUE"""),50.0)</f>
        <v>50</v>
      </c>
      <c r="AE682" s="447">
        <f>IFERROR(__xludf.DUMMYFUNCTION("""COMPUTED_VALUE"""),4.0)</f>
        <v>4</v>
      </c>
      <c r="AF682" s="447">
        <f>IFERROR(__xludf.DUMMYFUNCTION("""COMPUTED_VALUE"""),0.0)</f>
        <v>0</v>
      </c>
      <c r="AG682" s="443" t="s">
        <v>140</v>
      </c>
      <c r="AH682" s="443" t="s">
        <v>961</v>
      </c>
      <c r="AI682" s="443"/>
      <c r="AJ682" s="443"/>
      <c r="AK682" s="443"/>
      <c r="AL682" s="443"/>
      <c r="AM682" s="443"/>
      <c r="AN682" s="443"/>
      <c r="AO682" s="443"/>
      <c r="AP682" s="443"/>
      <c r="AQ682" s="443"/>
      <c r="AR682" s="443"/>
      <c r="AS682" s="443"/>
      <c r="AT682" s="443"/>
      <c r="AU682" s="443"/>
      <c r="AV682" s="443"/>
      <c r="AW682" s="443"/>
      <c r="AX682" s="443"/>
      <c r="AY682" s="443"/>
      <c r="AZ682" s="443"/>
      <c r="BA682" s="443"/>
      <c r="BB682" s="443"/>
      <c r="BC682" s="443"/>
      <c r="BD682" s="443"/>
      <c r="BE682" s="443"/>
    </row>
    <row r="683" hidden="1">
      <c r="A683" s="445">
        <f t="shared" si="5"/>
        <v>45973</v>
      </c>
      <c r="B683" s="449">
        <v>540.0</v>
      </c>
      <c r="C683" s="462">
        <v>0.6</v>
      </c>
      <c r="D683" s="462">
        <v>0.9263888888888889</v>
      </c>
      <c r="E683" s="436">
        <f t="array" ref="E683">IF(B683=0,"",(J683+K683)/60)</f>
        <v>0.5</v>
      </c>
      <c r="F683" s="437">
        <f t="shared" si="1"/>
        <v>7.833333333</v>
      </c>
      <c r="G683" s="438">
        <f t="shared" si="9"/>
        <v>68.93617021</v>
      </c>
      <c r="H683" s="438">
        <f t="shared" si="3"/>
        <v>73.63636364</v>
      </c>
      <c r="I683" s="436">
        <f t="shared" si="10"/>
        <v>1.406860617</v>
      </c>
      <c r="J683" s="460">
        <v>30.0</v>
      </c>
      <c r="K683" s="464"/>
      <c r="L683" s="443"/>
      <c r="M683" s="447">
        <f>IFERROR(__xludf.DUMMYFUNCTION("""COMPUTED_VALUE"""),57.0)</f>
        <v>57</v>
      </c>
      <c r="N683" s="447">
        <f>IFERROR(__xludf.DUMMYFUNCTION("""COMPUTED_VALUE"""),57.0)</f>
        <v>57</v>
      </c>
      <c r="O683" s="447">
        <f>IFERROR(__xludf.DUMMYFUNCTION("""COMPUTED_VALUE"""),0.0)</f>
        <v>0</v>
      </c>
      <c r="P683" s="447">
        <f>IFERROR(__xludf.DUMMYFUNCTION("""COMPUTED_VALUE"""),0.0)</f>
        <v>0</v>
      </c>
      <c r="Q683" s="447">
        <f>IFERROR(__xludf.DUMMYFUNCTION("""COMPUTED_VALUE"""),0.0)</f>
        <v>0</v>
      </c>
      <c r="R683" s="447">
        <f>IFERROR(__xludf.DUMMYFUNCTION("""COMPUTED_VALUE"""),0.0)</f>
        <v>0</v>
      </c>
      <c r="S683" s="447">
        <f>IFERROR(__xludf.DUMMYFUNCTION("""COMPUTED_VALUE"""),1.0)</f>
        <v>1</v>
      </c>
      <c r="T683" s="447">
        <f>IFERROR(__xludf.DUMMYFUNCTION("""COMPUTED_VALUE"""),0.0)</f>
        <v>0</v>
      </c>
      <c r="U683" s="447">
        <f>IFERROR(__xludf.DUMMYFUNCTION("""COMPUTED_VALUE"""),0.0)</f>
        <v>0</v>
      </c>
      <c r="V683" s="447">
        <f>IFERROR(__xludf.DUMMYFUNCTION("""COMPUTED_VALUE"""),2.0)</f>
        <v>2</v>
      </c>
      <c r="W683" s="447">
        <f>IFERROR(__xludf.DUMMYFUNCTION("""COMPUTED_VALUE"""),1.0)</f>
        <v>1</v>
      </c>
      <c r="X683" s="447">
        <f>IFERROR(__xludf.DUMMYFUNCTION("""COMPUTED_VALUE"""),1.0)</f>
        <v>1</v>
      </c>
      <c r="Y683" s="447">
        <f>IFERROR(__xludf.DUMMYFUNCTION("""COMPUTED_VALUE"""),0.0)</f>
        <v>0</v>
      </c>
      <c r="Z683" s="447">
        <f>IFERROR(__xludf.DUMMYFUNCTION("""COMPUTED_VALUE"""),0.0)</f>
        <v>0</v>
      </c>
      <c r="AA683" s="447">
        <f>IFERROR(__xludf.DUMMYFUNCTION("""COMPUTED_VALUE"""),0.0)</f>
        <v>0</v>
      </c>
      <c r="AB683" s="447">
        <f>IFERROR(__xludf.DUMMYFUNCTION("""COMPUTED_VALUE"""),0.0)</f>
        <v>0</v>
      </c>
      <c r="AC683" s="447">
        <f>IFERROR(__xludf.DUMMYFUNCTION("""COMPUTED_VALUE"""),0.0)</f>
        <v>0</v>
      </c>
      <c r="AD683" s="447">
        <f>IFERROR(__xludf.DUMMYFUNCTION("""COMPUTED_VALUE"""),49.0)</f>
        <v>49</v>
      </c>
      <c r="AE683" s="447">
        <f>IFERROR(__xludf.DUMMYFUNCTION("""COMPUTED_VALUE"""),5.0)</f>
        <v>5</v>
      </c>
      <c r="AF683" s="447">
        <f>IFERROR(__xludf.DUMMYFUNCTION("""COMPUTED_VALUE"""),0.0)</f>
        <v>0</v>
      </c>
      <c r="AG683" s="443" t="s">
        <v>140</v>
      </c>
      <c r="AH683" s="443" t="s">
        <v>961</v>
      </c>
      <c r="AI683" s="443"/>
      <c r="AJ683" s="443"/>
      <c r="AK683" s="443"/>
      <c r="AL683" s="443"/>
      <c r="AM683" s="443"/>
      <c r="AN683" s="443"/>
      <c r="AO683" s="443"/>
      <c r="AP683" s="443"/>
      <c r="AQ683" s="443"/>
      <c r="AR683" s="443"/>
      <c r="AS683" s="443"/>
      <c r="AT683" s="443"/>
      <c r="AU683" s="443"/>
      <c r="AV683" s="443"/>
      <c r="AW683" s="443"/>
      <c r="AX683" s="443"/>
      <c r="AY683" s="443"/>
      <c r="AZ683" s="443"/>
      <c r="BA683" s="443"/>
      <c r="BB683" s="443"/>
      <c r="BC683" s="443"/>
      <c r="BD683" s="443"/>
      <c r="BE683" s="443"/>
    </row>
    <row r="684" hidden="1">
      <c r="A684" s="445">
        <f t="shared" si="5"/>
        <v>45974</v>
      </c>
      <c r="B684" s="449">
        <v>581.0</v>
      </c>
      <c r="C684" s="462">
        <v>0.6</v>
      </c>
      <c r="D684" s="462">
        <v>0.9618055555555556</v>
      </c>
      <c r="E684" s="436">
        <f t="array" ref="E684">IF(B684=0,"",(J684+K684)/60)</f>
        <v>0.35</v>
      </c>
      <c r="F684" s="437">
        <f t="shared" si="1"/>
        <v>8.683333333</v>
      </c>
      <c r="G684" s="438">
        <f t="shared" si="9"/>
        <v>66.90978887</v>
      </c>
      <c r="H684" s="438">
        <f t="shared" si="3"/>
        <v>69.72</v>
      </c>
      <c r="I684" s="436">
        <f t="shared" si="10"/>
        <v>1.365505895</v>
      </c>
      <c r="J684" s="460">
        <v>15.0</v>
      </c>
      <c r="K684" s="464">
        <f>6</f>
        <v>6</v>
      </c>
      <c r="L684" s="449" t="s">
        <v>979</v>
      </c>
      <c r="M684" s="447">
        <f>IFERROR(__xludf.DUMMYFUNCTION("""COMPUTED_VALUE"""),57.0)</f>
        <v>57</v>
      </c>
      <c r="N684" s="447">
        <f>IFERROR(__xludf.DUMMYFUNCTION("""COMPUTED_VALUE"""),57.0)</f>
        <v>57</v>
      </c>
      <c r="O684" s="447">
        <f>IFERROR(__xludf.DUMMYFUNCTION("""COMPUTED_VALUE"""),0.0)</f>
        <v>0</v>
      </c>
      <c r="P684" s="447">
        <f>IFERROR(__xludf.DUMMYFUNCTION("""COMPUTED_VALUE"""),0.0)</f>
        <v>0</v>
      </c>
      <c r="Q684" s="447">
        <f>IFERROR(__xludf.DUMMYFUNCTION("""COMPUTED_VALUE"""),0.0)</f>
        <v>0</v>
      </c>
      <c r="R684" s="447">
        <f>IFERROR(__xludf.DUMMYFUNCTION("""COMPUTED_VALUE"""),0.0)</f>
        <v>0</v>
      </c>
      <c r="S684" s="447">
        <f>IFERROR(__xludf.DUMMYFUNCTION("""COMPUTED_VALUE"""),1.0)</f>
        <v>1</v>
      </c>
      <c r="T684" s="447">
        <f>IFERROR(__xludf.DUMMYFUNCTION("""COMPUTED_VALUE"""),0.0)</f>
        <v>0</v>
      </c>
      <c r="U684" s="447">
        <f>IFERROR(__xludf.DUMMYFUNCTION("""COMPUTED_VALUE"""),0.0)</f>
        <v>0</v>
      </c>
      <c r="V684" s="447">
        <f>IFERROR(__xludf.DUMMYFUNCTION("""COMPUTED_VALUE"""),2.0)</f>
        <v>2</v>
      </c>
      <c r="W684" s="447">
        <f>IFERROR(__xludf.DUMMYFUNCTION("""COMPUTED_VALUE"""),1.0)</f>
        <v>1</v>
      </c>
      <c r="X684" s="447">
        <f>IFERROR(__xludf.DUMMYFUNCTION("""COMPUTED_VALUE"""),1.0)</f>
        <v>1</v>
      </c>
      <c r="Y684" s="447">
        <f>IFERROR(__xludf.DUMMYFUNCTION("""COMPUTED_VALUE"""),0.0)</f>
        <v>0</v>
      </c>
      <c r="Z684" s="447">
        <f>IFERROR(__xludf.DUMMYFUNCTION("""COMPUTED_VALUE"""),0.0)</f>
        <v>0</v>
      </c>
      <c r="AA684" s="447">
        <f>IFERROR(__xludf.DUMMYFUNCTION("""COMPUTED_VALUE"""),0.0)</f>
        <v>0</v>
      </c>
      <c r="AB684" s="447">
        <f>IFERROR(__xludf.DUMMYFUNCTION("""COMPUTED_VALUE"""),0.0)</f>
        <v>0</v>
      </c>
      <c r="AC684" s="447">
        <f>IFERROR(__xludf.DUMMYFUNCTION("""COMPUTED_VALUE"""),0.0)</f>
        <v>0</v>
      </c>
      <c r="AD684" s="447">
        <f>IFERROR(__xludf.DUMMYFUNCTION("""COMPUTED_VALUE"""),49.0)</f>
        <v>49</v>
      </c>
      <c r="AE684" s="447">
        <f>IFERROR(__xludf.DUMMYFUNCTION("""COMPUTED_VALUE"""),5.0)</f>
        <v>5</v>
      </c>
      <c r="AF684" s="447">
        <f>IFERROR(__xludf.DUMMYFUNCTION("""COMPUTED_VALUE"""),0.0)</f>
        <v>0</v>
      </c>
      <c r="AG684" s="443" t="s">
        <v>140</v>
      </c>
      <c r="AH684" s="443" t="s">
        <v>961</v>
      </c>
      <c r="AI684" s="443"/>
      <c r="AJ684" s="443"/>
      <c r="AK684" s="443"/>
      <c r="AL684" s="443"/>
      <c r="AM684" s="443"/>
      <c r="AN684" s="443"/>
      <c r="AO684" s="443"/>
      <c r="AP684" s="443"/>
      <c r="AQ684" s="443"/>
      <c r="AR684" s="443"/>
      <c r="AS684" s="443"/>
      <c r="AT684" s="443"/>
      <c r="AU684" s="443"/>
      <c r="AV684" s="443"/>
      <c r="AW684" s="443"/>
      <c r="AX684" s="443"/>
      <c r="AY684" s="443"/>
      <c r="AZ684" s="443"/>
      <c r="BA684" s="443"/>
      <c r="BB684" s="443"/>
      <c r="BC684" s="443"/>
      <c r="BD684" s="443"/>
      <c r="BE684" s="443"/>
    </row>
    <row r="685" hidden="1">
      <c r="A685" s="445">
        <f t="shared" si="5"/>
        <v>45975</v>
      </c>
      <c r="B685" s="449">
        <v>493.0</v>
      </c>
      <c r="C685" s="462">
        <v>0.6416666666666667</v>
      </c>
      <c r="D685" s="462">
        <v>0.9791666666666666</v>
      </c>
      <c r="E685" s="436">
        <f t="array" ref="E685">IF(B685=0,"",(J685+K685)/60)</f>
        <v>1.016666667</v>
      </c>
      <c r="F685" s="437">
        <f t="shared" si="1"/>
        <v>8.1</v>
      </c>
      <c r="G685" s="438">
        <f t="shared" si="9"/>
        <v>60.86419753</v>
      </c>
      <c r="H685" s="438">
        <f t="shared" si="3"/>
        <v>69.6</v>
      </c>
      <c r="I685" s="436">
        <f t="shared" si="10"/>
        <v>1.193415638</v>
      </c>
      <c r="J685" s="460">
        <v>30.0</v>
      </c>
      <c r="K685" s="460">
        <f>10+5+10+6</f>
        <v>31</v>
      </c>
      <c r="L685" s="443"/>
      <c r="M685" s="447">
        <f>IFERROR(__xludf.DUMMYFUNCTION("""COMPUTED_VALUE"""),57.0)</f>
        <v>57</v>
      </c>
      <c r="N685" s="447">
        <f>IFERROR(__xludf.DUMMYFUNCTION("""COMPUTED_VALUE"""),57.0)</f>
        <v>57</v>
      </c>
      <c r="O685" s="447">
        <f>IFERROR(__xludf.DUMMYFUNCTION("""COMPUTED_VALUE"""),0.0)</f>
        <v>0</v>
      </c>
      <c r="P685" s="447">
        <f>IFERROR(__xludf.DUMMYFUNCTION("""COMPUTED_VALUE"""),0.0)</f>
        <v>0</v>
      </c>
      <c r="Q685" s="447">
        <f>IFERROR(__xludf.DUMMYFUNCTION("""COMPUTED_VALUE"""),0.0)</f>
        <v>0</v>
      </c>
      <c r="R685" s="447">
        <f>IFERROR(__xludf.DUMMYFUNCTION("""COMPUTED_VALUE"""),0.0)</f>
        <v>0</v>
      </c>
      <c r="S685" s="447">
        <f>IFERROR(__xludf.DUMMYFUNCTION("""COMPUTED_VALUE"""),0.0)</f>
        <v>0</v>
      </c>
      <c r="T685" s="447">
        <f>IFERROR(__xludf.DUMMYFUNCTION("""COMPUTED_VALUE"""),0.0)</f>
        <v>0</v>
      </c>
      <c r="U685" s="447">
        <f>IFERROR(__xludf.DUMMYFUNCTION("""COMPUTED_VALUE"""),0.0)</f>
        <v>0</v>
      </c>
      <c r="V685" s="447">
        <f>IFERROR(__xludf.DUMMYFUNCTION("""COMPUTED_VALUE"""),2.0)</f>
        <v>2</v>
      </c>
      <c r="W685" s="447">
        <f>IFERROR(__xludf.DUMMYFUNCTION("""COMPUTED_VALUE"""),1.0)</f>
        <v>1</v>
      </c>
      <c r="X685" s="447">
        <f>IFERROR(__xludf.DUMMYFUNCTION("""COMPUTED_VALUE"""),1.0)</f>
        <v>1</v>
      </c>
      <c r="Y685" s="447">
        <f>IFERROR(__xludf.DUMMYFUNCTION("""COMPUTED_VALUE"""),0.0)</f>
        <v>0</v>
      </c>
      <c r="Z685" s="447">
        <f>IFERROR(__xludf.DUMMYFUNCTION("""COMPUTED_VALUE"""),0.0)</f>
        <v>0</v>
      </c>
      <c r="AA685" s="447">
        <f>IFERROR(__xludf.DUMMYFUNCTION("""COMPUTED_VALUE"""),0.0)</f>
        <v>0</v>
      </c>
      <c r="AB685" s="447">
        <f>IFERROR(__xludf.DUMMYFUNCTION("""COMPUTED_VALUE"""),0.0)</f>
        <v>0</v>
      </c>
      <c r="AC685" s="447">
        <f>IFERROR(__xludf.DUMMYFUNCTION("""COMPUTED_VALUE"""),0.0)</f>
        <v>0</v>
      </c>
      <c r="AD685" s="447">
        <f>IFERROR(__xludf.DUMMYFUNCTION("""COMPUTED_VALUE"""),51.0)</f>
        <v>51</v>
      </c>
      <c r="AE685" s="447">
        <f>IFERROR(__xludf.DUMMYFUNCTION("""COMPUTED_VALUE"""),4.0)</f>
        <v>4</v>
      </c>
      <c r="AF685" s="447">
        <f>IFERROR(__xludf.DUMMYFUNCTION("""COMPUTED_VALUE"""),0.0)</f>
        <v>0</v>
      </c>
      <c r="AG685" s="443" t="s">
        <v>140</v>
      </c>
      <c r="AH685" s="443" t="s">
        <v>961</v>
      </c>
      <c r="AI685" s="443"/>
      <c r="AJ685" s="443"/>
      <c r="AK685" s="443"/>
      <c r="AL685" s="443"/>
      <c r="AM685" s="443"/>
      <c r="AN685" s="443"/>
      <c r="AO685" s="443"/>
      <c r="AP685" s="443"/>
      <c r="AQ685" s="443"/>
      <c r="AR685" s="443"/>
      <c r="AS685" s="443"/>
      <c r="AT685" s="443"/>
      <c r="AU685" s="443"/>
      <c r="AV685" s="443"/>
      <c r="AW685" s="443"/>
      <c r="AX685" s="443"/>
      <c r="AY685" s="443"/>
      <c r="AZ685" s="443"/>
      <c r="BA685" s="443"/>
      <c r="BB685" s="443"/>
      <c r="BC685" s="443"/>
      <c r="BD685" s="443"/>
      <c r="BE685" s="443"/>
    </row>
    <row r="686" hidden="1">
      <c r="A686" s="445">
        <f t="shared" si="5"/>
        <v>45976</v>
      </c>
      <c r="B686" s="449">
        <v>525.0</v>
      </c>
      <c r="C686" s="462">
        <v>0.6416666666666667</v>
      </c>
      <c r="D686" s="462">
        <v>0.9569444444444445</v>
      </c>
      <c r="E686" s="436">
        <f t="array" ref="E686">IF(B686=0,"",(J686+K686)/60)</f>
        <v>0.6666666667</v>
      </c>
      <c r="F686" s="437">
        <f t="shared" si="1"/>
        <v>7.566666667</v>
      </c>
      <c r="G686" s="438">
        <f t="shared" si="9"/>
        <v>69.38325991</v>
      </c>
      <c r="H686" s="438">
        <f t="shared" si="3"/>
        <v>76.08695652</v>
      </c>
      <c r="I686" s="436">
        <f t="shared" si="10"/>
        <v>1.415984896</v>
      </c>
      <c r="J686" s="460">
        <v>30.0</v>
      </c>
      <c r="K686" s="464">
        <f>5+5</f>
        <v>10</v>
      </c>
      <c r="L686" s="443"/>
      <c r="M686" s="447">
        <f>IFERROR(__xludf.DUMMYFUNCTION("""COMPUTED_VALUE"""),57.0)</f>
        <v>57</v>
      </c>
      <c r="N686" s="447">
        <f>IFERROR(__xludf.DUMMYFUNCTION("""COMPUTED_VALUE"""),57.0)</f>
        <v>57</v>
      </c>
      <c r="O686" s="447">
        <f>IFERROR(__xludf.DUMMYFUNCTION("""COMPUTED_VALUE"""),0.0)</f>
        <v>0</v>
      </c>
      <c r="P686" s="447">
        <f>IFERROR(__xludf.DUMMYFUNCTION("""COMPUTED_VALUE"""),1.0)</f>
        <v>1</v>
      </c>
      <c r="Q686" s="447">
        <f>IFERROR(__xludf.DUMMYFUNCTION("""COMPUTED_VALUE"""),0.0)</f>
        <v>0</v>
      </c>
      <c r="R686" s="447">
        <f>IFERROR(__xludf.DUMMYFUNCTION("""COMPUTED_VALUE"""),0.0)</f>
        <v>0</v>
      </c>
      <c r="S686" s="447">
        <f>IFERROR(__xludf.DUMMYFUNCTION("""COMPUTED_VALUE"""),0.0)</f>
        <v>0</v>
      </c>
      <c r="T686" s="447">
        <f>IFERROR(__xludf.DUMMYFUNCTION("""COMPUTED_VALUE"""),0.0)</f>
        <v>0</v>
      </c>
      <c r="U686" s="447">
        <f>IFERROR(__xludf.DUMMYFUNCTION("""COMPUTED_VALUE"""),0.0)</f>
        <v>0</v>
      </c>
      <c r="V686" s="447">
        <f>IFERROR(__xludf.DUMMYFUNCTION("""COMPUTED_VALUE"""),2.0)</f>
        <v>2</v>
      </c>
      <c r="W686" s="447">
        <f>IFERROR(__xludf.DUMMYFUNCTION("""COMPUTED_VALUE"""),1.0)</f>
        <v>1</v>
      </c>
      <c r="X686" s="447">
        <f>IFERROR(__xludf.DUMMYFUNCTION("""COMPUTED_VALUE"""),1.0)</f>
        <v>1</v>
      </c>
      <c r="Y686" s="447">
        <f>IFERROR(__xludf.DUMMYFUNCTION("""COMPUTED_VALUE"""),0.0)</f>
        <v>0</v>
      </c>
      <c r="Z686" s="447">
        <f>IFERROR(__xludf.DUMMYFUNCTION("""COMPUTED_VALUE"""),0.0)</f>
        <v>0</v>
      </c>
      <c r="AA686" s="447">
        <f>IFERROR(__xludf.DUMMYFUNCTION("""COMPUTED_VALUE"""),0.0)</f>
        <v>0</v>
      </c>
      <c r="AB686" s="447">
        <f>IFERROR(__xludf.DUMMYFUNCTION("""COMPUTED_VALUE"""),0.0)</f>
        <v>0</v>
      </c>
      <c r="AC686" s="447">
        <f>IFERROR(__xludf.DUMMYFUNCTION("""COMPUTED_VALUE"""),1.0)</f>
        <v>1</v>
      </c>
      <c r="AD686" s="447">
        <f>IFERROR(__xludf.DUMMYFUNCTION("""COMPUTED_VALUE"""),49.0)</f>
        <v>49</v>
      </c>
      <c r="AE686" s="447">
        <f>IFERROR(__xludf.DUMMYFUNCTION("""COMPUTED_VALUE"""),6.0)</f>
        <v>6</v>
      </c>
      <c r="AF686" s="447">
        <f>IFERROR(__xludf.DUMMYFUNCTION("""COMPUTED_VALUE"""),0.0)</f>
        <v>0</v>
      </c>
      <c r="AG686" s="443" t="s">
        <v>140</v>
      </c>
      <c r="AH686" s="443" t="s">
        <v>961</v>
      </c>
      <c r="AI686" s="443"/>
      <c r="AJ686" s="443"/>
      <c r="AK686" s="443"/>
      <c r="AL686" s="443"/>
      <c r="AM686" s="443"/>
      <c r="AN686" s="443"/>
      <c r="AO686" s="443"/>
      <c r="AP686" s="443"/>
      <c r="AQ686" s="443"/>
      <c r="AR686" s="443"/>
      <c r="AS686" s="443"/>
      <c r="AT686" s="443"/>
      <c r="AU686" s="443"/>
      <c r="AV686" s="443"/>
      <c r="AW686" s="443"/>
      <c r="AX686" s="443"/>
      <c r="AY686" s="443"/>
      <c r="AZ686" s="443"/>
      <c r="BA686" s="443"/>
      <c r="BB686" s="443"/>
      <c r="BC686" s="443"/>
      <c r="BD686" s="443"/>
      <c r="BE686" s="443"/>
    </row>
    <row r="687" hidden="1">
      <c r="A687" s="445">
        <f t="shared" si="5"/>
        <v>45977</v>
      </c>
      <c r="B687" s="449">
        <v>0.0</v>
      </c>
      <c r="C687" s="443"/>
      <c r="D687" s="462"/>
      <c r="E687" s="436" t="str">
        <f t="array" ref="E687">IF(B687=0,"",(J687+K687)/60)</f>
        <v/>
      </c>
      <c r="F687" s="437" t="str">
        <f t="shared" si="1"/>
        <v/>
      </c>
      <c r="G687" s="438" t="str">
        <f t="shared" si="9"/>
        <v>#DIV/0!</v>
      </c>
      <c r="H687" s="438" t="str">
        <f t="shared" si="3"/>
        <v/>
      </c>
      <c r="I687" s="436" t="str">
        <f t="shared" si="10"/>
        <v/>
      </c>
      <c r="J687" s="464"/>
      <c r="K687" s="464"/>
      <c r="L687" s="443"/>
      <c r="M687" s="447">
        <f>IFERROR(__xludf.DUMMYFUNCTION("""COMPUTED_VALUE"""),57.0)</f>
        <v>57</v>
      </c>
      <c r="N687" s="447">
        <f>IFERROR(__xludf.DUMMYFUNCTION("""COMPUTED_VALUE"""),57.0)</f>
        <v>57</v>
      </c>
      <c r="O687" s="447">
        <f>IFERROR(__xludf.DUMMYFUNCTION("""COMPUTED_VALUE"""),0.0)</f>
        <v>0</v>
      </c>
      <c r="P687" s="447">
        <f>IFERROR(__xludf.DUMMYFUNCTION("""COMPUTED_VALUE"""),0.0)</f>
        <v>0</v>
      </c>
      <c r="Q687" s="447">
        <f>IFERROR(__xludf.DUMMYFUNCTION("""COMPUTED_VALUE"""),0.0)</f>
        <v>0</v>
      </c>
      <c r="R687" s="447">
        <f>IFERROR(__xludf.DUMMYFUNCTION("""COMPUTED_VALUE"""),0.0)</f>
        <v>0</v>
      </c>
      <c r="S687" s="447">
        <f>IFERROR(__xludf.DUMMYFUNCTION("""COMPUTED_VALUE"""),0.0)</f>
        <v>0</v>
      </c>
      <c r="T687" s="447">
        <f>IFERROR(__xludf.DUMMYFUNCTION("""COMPUTED_VALUE"""),0.0)</f>
        <v>0</v>
      </c>
      <c r="U687" s="447">
        <f>IFERROR(__xludf.DUMMYFUNCTION("""COMPUTED_VALUE"""),0.0)</f>
        <v>0</v>
      </c>
      <c r="V687" s="447">
        <f>IFERROR(__xludf.DUMMYFUNCTION("""COMPUTED_VALUE"""),0.0)</f>
        <v>0</v>
      </c>
      <c r="W687" s="447">
        <f>IFERROR(__xludf.DUMMYFUNCTION("""COMPUTED_VALUE"""),0.0)</f>
        <v>0</v>
      </c>
      <c r="X687" s="447">
        <f>IFERROR(__xludf.DUMMYFUNCTION("""COMPUTED_VALUE"""),0.0)</f>
        <v>0</v>
      </c>
      <c r="Y687" s="447">
        <f>IFERROR(__xludf.DUMMYFUNCTION("""COMPUTED_VALUE"""),0.0)</f>
        <v>0</v>
      </c>
      <c r="Z687" s="447">
        <f>IFERROR(__xludf.DUMMYFUNCTION("""COMPUTED_VALUE"""),0.0)</f>
        <v>0</v>
      </c>
      <c r="AA687" s="447">
        <f>IFERROR(__xludf.DUMMYFUNCTION("""COMPUTED_VALUE"""),0.0)</f>
        <v>0</v>
      </c>
      <c r="AB687" s="447">
        <f>IFERROR(__xludf.DUMMYFUNCTION("""COMPUTED_VALUE"""),0.0)</f>
        <v>0</v>
      </c>
      <c r="AC687" s="447">
        <f>IFERROR(__xludf.DUMMYFUNCTION("""COMPUTED_VALUE"""),0.0)</f>
        <v>0</v>
      </c>
      <c r="AD687" s="447">
        <f>IFERROR(__xludf.DUMMYFUNCTION("""COMPUTED_VALUE"""),0.0)</f>
        <v>0</v>
      </c>
      <c r="AE687" s="447">
        <f>IFERROR(__xludf.DUMMYFUNCTION("""COMPUTED_VALUE"""),0.0)</f>
        <v>0</v>
      </c>
      <c r="AF687" s="447">
        <f>IFERROR(__xludf.DUMMYFUNCTION("""COMPUTED_VALUE"""),0.0)</f>
        <v>0</v>
      </c>
      <c r="AG687" s="443" t="s">
        <v>140</v>
      </c>
      <c r="AH687" s="443" t="s">
        <v>961</v>
      </c>
      <c r="AI687" s="443"/>
      <c r="AJ687" s="443"/>
      <c r="AK687" s="443"/>
      <c r="AL687" s="443"/>
      <c r="AM687" s="443"/>
      <c r="AN687" s="443"/>
      <c r="AO687" s="443"/>
      <c r="AP687" s="443"/>
      <c r="AQ687" s="443"/>
      <c r="AR687" s="443"/>
      <c r="AS687" s="443"/>
      <c r="AT687" s="443"/>
      <c r="AU687" s="443"/>
      <c r="AV687" s="443"/>
      <c r="AW687" s="443"/>
      <c r="AX687" s="443"/>
      <c r="AY687" s="443"/>
      <c r="AZ687" s="443"/>
      <c r="BA687" s="443"/>
      <c r="BB687" s="443"/>
      <c r="BC687" s="443"/>
      <c r="BD687" s="443"/>
      <c r="BE687" s="443"/>
    </row>
    <row r="688" hidden="1">
      <c r="A688" s="445">
        <f t="shared" si="5"/>
        <v>45978</v>
      </c>
      <c r="B688" s="449">
        <v>581.0</v>
      </c>
      <c r="C688" s="462">
        <v>0.6</v>
      </c>
      <c r="D688" s="462">
        <v>0.9972222222222222</v>
      </c>
      <c r="E688" s="436">
        <f t="array" ref="E688">IF(B688=0,"",(J688+K688)/60)</f>
        <v>1.333333333</v>
      </c>
      <c r="F688" s="437">
        <f t="shared" si="1"/>
        <v>9.533333333</v>
      </c>
      <c r="G688" s="438">
        <f t="shared" si="9"/>
        <v>60.94405594</v>
      </c>
      <c r="H688" s="438">
        <f t="shared" si="3"/>
        <v>70.85365854</v>
      </c>
      <c r="I688" s="436">
        <f t="shared" si="10"/>
        <v>1.218881119</v>
      </c>
      <c r="J688" s="460">
        <v>60.0</v>
      </c>
      <c r="K688" s="464">
        <f>20</f>
        <v>20</v>
      </c>
      <c r="L688" s="449" t="s">
        <v>980</v>
      </c>
      <c r="M688" s="447">
        <f>IFERROR(__xludf.DUMMYFUNCTION("""COMPUTED_VALUE"""),57.0)</f>
        <v>57</v>
      </c>
      <c r="N688" s="447">
        <f>IFERROR(__xludf.DUMMYFUNCTION("""COMPUTED_VALUE"""),57.0)</f>
        <v>57</v>
      </c>
      <c r="O688" s="447">
        <f>IFERROR(__xludf.DUMMYFUNCTION("""COMPUTED_VALUE"""),0.0)</f>
        <v>0</v>
      </c>
      <c r="P688" s="447">
        <f>IFERROR(__xludf.DUMMYFUNCTION("""COMPUTED_VALUE"""),0.0)</f>
        <v>0</v>
      </c>
      <c r="Q688" s="447">
        <f>IFERROR(__xludf.DUMMYFUNCTION("""COMPUTED_VALUE"""),0.0)</f>
        <v>0</v>
      </c>
      <c r="R688" s="447">
        <f>IFERROR(__xludf.DUMMYFUNCTION("""COMPUTED_VALUE"""),0.0)</f>
        <v>0</v>
      </c>
      <c r="S688" s="447">
        <f>IFERROR(__xludf.DUMMYFUNCTION("""COMPUTED_VALUE"""),2.0)</f>
        <v>2</v>
      </c>
      <c r="T688" s="447">
        <f>IFERROR(__xludf.DUMMYFUNCTION("""COMPUTED_VALUE"""),0.0)</f>
        <v>0</v>
      </c>
      <c r="U688" s="447">
        <f>IFERROR(__xludf.DUMMYFUNCTION("""COMPUTED_VALUE"""),0.0)</f>
        <v>0</v>
      </c>
      <c r="V688" s="447">
        <f>IFERROR(__xludf.DUMMYFUNCTION("""COMPUTED_VALUE"""),1.0)</f>
        <v>1</v>
      </c>
      <c r="W688" s="447">
        <f>IFERROR(__xludf.DUMMYFUNCTION("""COMPUTED_VALUE"""),0.0)</f>
        <v>0</v>
      </c>
      <c r="X688" s="447">
        <f>IFERROR(__xludf.DUMMYFUNCTION("""COMPUTED_VALUE"""),1.0)</f>
        <v>1</v>
      </c>
      <c r="Y688" s="447">
        <f>IFERROR(__xludf.DUMMYFUNCTION("""COMPUTED_VALUE"""),0.0)</f>
        <v>0</v>
      </c>
      <c r="Z688" s="447">
        <f>IFERROR(__xludf.DUMMYFUNCTION("""COMPUTED_VALUE"""),0.0)</f>
        <v>0</v>
      </c>
      <c r="AA688" s="447">
        <f>IFERROR(__xludf.DUMMYFUNCTION("""COMPUTED_VALUE"""),0.0)</f>
        <v>0</v>
      </c>
      <c r="AB688" s="447">
        <f>IFERROR(__xludf.DUMMYFUNCTION("""COMPUTED_VALUE"""),0.0)</f>
        <v>0</v>
      </c>
      <c r="AC688" s="447">
        <f>IFERROR(__xludf.DUMMYFUNCTION("""COMPUTED_VALUE"""),1.0)</f>
        <v>1</v>
      </c>
      <c r="AD688" s="447">
        <f>IFERROR(__xludf.DUMMYFUNCTION("""COMPUTED_VALUE"""),50.0)</f>
        <v>50</v>
      </c>
      <c r="AE688" s="447">
        <f>IFERROR(__xludf.DUMMYFUNCTION("""COMPUTED_VALUE"""),5.0)</f>
        <v>5</v>
      </c>
      <c r="AF688" s="447">
        <f>IFERROR(__xludf.DUMMYFUNCTION("""COMPUTED_VALUE"""),0.0)</f>
        <v>0</v>
      </c>
      <c r="AG688" s="443" t="s">
        <v>140</v>
      </c>
      <c r="AH688" s="443" t="s">
        <v>961</v>
      </c>
      <c r="AI688" s="443"/>
      <c r="AJ688" s="443"/>
      <c r="AK688" s="443"/>
      <c r="AL688" s="443"/>
      <c r="AM688" s="443"/>
      <c r="AN688" s="443"/>
      <c r="AO688" s="443"/>
      <c r="AP688" s="443"/>
      <c r="AQ688" s="443"/>
      <c r="AR688" s="443"/>
      <c r="AS688" s="443"/>
      <c r="AT688" s="443"/>
      <c r="AU688" s="443"/>
      <c r="AV688" s="443"/>
      <c r="AW688" s="443"/>
      <c r="AX688" s="443"/>
      <c r="AY688" s="443"/>
      <c r="AZ688" s="443"/>
      <c r="BA688" s="443"/>
      <c r="BB688" s="443"/>
      <c r="BC688" s="443"/>
      <c r="BD688" s="443"/>
      <c r="BE688" s="443"/>
    </row>
    <row r="689" hidden="1">
      <c r="A689" s="445">
        <f t="shared" si="5"/>
        <v>45979</v>
      </c>
      <c r="B689" s="449">
        <v>528.0</v>
      </c>
      <c r="C689" s="462">
        <v>0.6416666666666667</v>
      </c>
      <c r="D689" s="462">
        <v>0.9722222222222222</v>
      </c>
      <c r="E689" s="436">
        <f t="array" ref="E689">IF(B689=0,"",(J689+K689)/60)</f>
        <v>0.5</v>
      </c>
      <c r="F689" s="437">
        <f t="shared" si="1"/>
        <v>7.933333333</v>
      </c>
      <c r="G689" s="438">
        <f t="shared" si="9"/>
        <v>66.55462185</v>
      </c>
      <c r="H689" s="438">
        <f t="shared" si="3"/>
        <v>71.03139013</v>
      </c>
      <c r="I689" s="436">
        <f t="shared" si="10"/>
        <v>1.331092437</v>
      </c>
      <c r="J689" s="460">
        <v>30.0</v>
      </c>
      <c r="K689" s="464"/>
      <c r="L689" s="443"/>
      <c r="M689" s="447">
        <f>IFERROR(__xludf.DUMMYFUNCTION("""COMPUTED_VALUE"""),57.0)</f>
        <v>57</v>
      </c>
      <c r="N689" s="447">
        <f>IFERROR(__xludf.DUMMYFUNCTION("""COMPUTED_VALUE"""),57.0)</f>
        <v>57</v>
      </c>
      <c r="O689" s="447">
        <f>IFERROR(__xludf.DUMMYFUNCTION("""COMPUTED_VALUE"""),0.0)</f>
        <v>0</v>
      </c>
      <c r="P689" s="447">
        <f>IFERROR(__xludf.DUMMYFUNCTION("""COMPUTED_VALUE"""),0.0)</f>
        <v>0</v>
      </c>
      <c r="Q689" s="447">
        <f>IFERROR(__xludf.DUMMYFUNCTION("""COMPUTED_VALUE"""),0.0)</f>
        <v>0</v>
      </c>
      <c r="R689" s="447">
        <f>IFERROR(__xludf.DUMMYFUNCTION("""COMPUTED_VALUE"""),0.0)</f>
        <v>0</v>
      </c>
      <c r="S689" s="447">
        <f>IFERROR(__xludf.DUMMYFUNCTION("""COMPUTED_VALUE"""),3.0)</f>
        <v>3</v>
      </c>
      <c r="T689" s="447">
        <f>IFERROR(__xludf.DUMMYFUNCTION("""COMPUTED_VALUE"""),0.0)</f>
        <v>0</v>
      </c>
      <c r="U689" s="447">
        <f>IFERROR(__xludf.DUMMYFUNCTION("""COMPUTED_VALUE"""),0.0)</f>
        <v>0</v>
      </c>
      <c r="V689" s="447">
        <f>IFERROR(__xludf.DUMMYFUNCTION("""COMPUTED_VALUE"""),1.0)</f>
        <v>1</v>
      </c>
      <c r="W689" s="447">
        <f>IFERROR(__xludf.DUMMYFUNCTION("""COMPUTED_VALUE"""),0.0)</f>
        <v>0</v>
      </c>
      <c r="X689" s="447">
        <f>IFERROR(__xludf.DUMMYFUNCTION("""COMPUTED_VALUE"""),1.0)</f>
        <v>1</v>
      </c>
      <c r="Y689" s="447">
        <f>IFERROR(__xludf.DUMMYFUNCTION("""COMPUTED_VALUE"""),0.0)</f>
        <v>0</v>
      </c>
      <c r="Z689" s="447">
        <f>IFERROR(__xludf.DUMMYFUNCTION("""COMPUTED_VALUE"""),0.0)</f>
        <v>0</v>
      </c>
      <c r="AA689" s="447">
        <f>IFERROR(__xludf.DUMMYFUNCTION("""COMPUTED_VALUE"""),0.0)</f>
        <v>0</v>
      </c>
      <c r="AB689" s="447">
        <f>IFERROR(__xludf.DUMMYFUNCTION("""COMPUTED_VALUE"""),0.0)</f>
        <v>0</v>
      </c>
      <c r="AC689" s="447">
        <f>IFERROR(__xludf.DUMMYFUNCTION("""COMPUTED_VALUE"""),0.0)</f>
        <v>0</v>
      </c>
      <c r="AD689" s="447">
        <f>IFERROR(__xludf.DUMMYFUNCTION("""COMPUTED_VALUE"""),50.0)</f>
        <v>50</v>
      </c>
      <c r="AE689" s="447">
        <f>IFERROR(__xludf.DUMMYFUNCTION("""COMPUTED_VALUE"""),5.0)</f>
        <v>5</v>
      </c>
      <c r="AF689" s="447">
        <f>IFERROR(__xludf.DUMMYFUNCTION("""COMPUTED_VALUE"""),0.0)</f>
        <v>0</v>
      </c>
      <c r="AG689" s="443" t="s">
        <v>140</v>
      </c>
      <c r="AH689" s="443" t="s">
        <v>961</v>
      </c>
      <c r="AI689" s="443"/>
      <c r="AJ689" s="443"/>
      <c r="AK689" s="443"/>
      <c r="AL689" s="443"/>
      <c r="AM689" s="443"/>
      <c r="AN689" s="443"/>
      <c r="AO689" s="443"/>
      <c r="AP689" s="443"/>
      <c r="AQ689" s="443"/>
      <c r="AR689" s="443"/>
      <c r="AS689" s="443"/>
      <c r="AT689" s="443"/>
      <c r="AU689" s="443"/>
      <c r="AV689" s="443"/>
      <c r="AW689" s="443"/>
      <c r="AX689" s="443"/>
      <c r="AY689" s="443"/>
      <c r="AZ689" s="443"/>
      <c r="BA689" s="443"/>
      <c r="BB689" s="443"/>
      <c r="BC689" s="443"/>
      <c r="BD689" s="443"/>
      <c r="BE689" s="443"/>
    </row>
    <row r="690" hidden="1">
      <c r="A690" s="445">
        <f t="shared" si="5"/>
        <v>45980</v>
      </c>
      <c r="B690" s="449">
        <v>586.0</v>
      </c>
      <c r="C690" s="462">
        <v>0.6</v>
      </c>
      <c r="D690" s="462">
        <v>0.9756944444444444</v>
      </c>
      <c r="E690" s="436">
        <f t="array" ref="E690">IF(B690=0,"",(J690+K690)/60)</f>
        <v>1</v>
      </c>
      <c r="F690" s="437">
        <f t="shared" si="1"/>
        <v>9.016666667</v>
      </c>
      <c r="G690" s="438">
        <f t="shared" si="9"/>
        <v>64.99075786</v>
      </c>
      <c r="H690" s="438">
        <f t="shared" si="3"/>
        <v>73.0977131</v>
      </c>
      <c r="I690" s="436">
        <f t="shared" si="10"/>
        <v>1.353974122</v>
      </c>
      <c r="J690" s="460">
        <v>60.0</v>
      </c>
      <c r="K690" s="464"/>
      <c r="L690" s="443"/>
      <c r="M690" s="447">
        <f>IFERROR(__xludf.DUMMYFUNCTION("""COMPUTED_VALUE"""),57.0)</f>
        <v>57</v>
      </c>
      <c r="N690" s="447">
        <f>IFERROR(__xludf.DUMMYFUNCTION("""COMPUTED_VALUE"""),57.0)</f>
        <v>57</v>
      </c>
      <c r="O690" s="447">
        <f>IFERROR(__xludf.DUMMYFUNCTION("""COMPUTED_VALUE"""),0.0)</f>
        <v>0</v>
      </c>
      <c r="P690" s="447">
        <f>IFERROR(__xludf.DUMMYFUNCTION("""COMPUTED_VALUE"""),1.0)</f>
        <v>1</v>
      </c>
      <c r="Q690" s="447">
        <f>IFERROR(__xludf.DUMMYFUNCTION("""COMPUTED_VALUE"""),0.0)</f>
        <v>0</v>
      </c>
      <c r="R690" s="447">
        <f>IFERROR(__xludf.DUMMYFUNCTION("""COMPUTED_VALUE"""),0.0)</f>
        <v>0</v>
      </c>
      <c r="S690" s="447">
        <f>IFERROR(__xludf.DUMMYFUNCTION("""COMPUTED_VALUE"""),3.0)</f>
        <v>3</v>
      </c>
      <c r="T690" s="447">
        <f>IFERROR(__xludf.DUMMYFUNCTION("""COMPUTED_VALUE"""),0.0)</f>
        <v>0</v>
      </c>
      <c r="U690" s="447">
        <f>IFERROR(__xludf.DUMMYFUNCTION("""COMPUTED_VALUE"""),0.0)</f>
        <v>0</v>
      </c>
      <c r="V690" s="447">
        <f>IFERROR(__xludf.DUMMYFUNCTION("""COMPUTED_VALUE"""),1.0)</f>
        <v>1</v>
      </c>
      <c r="W690" s="447">
        <f>IFERROR(__xludf.DUMMYFUNCTION("""COMPUTED_VALUE"""),0.0)</f>
        <v>0</v>
      </c>
      <c r="X690" s="447">
        <f>IFERROR(__xludf.DUMMYFUNCTION("""COMPUTED_VALUE"""),1.0)</f>
        <v>1</v>
      </c>
      <c r="Y690" s="447">
        <f>IFERROR(__xludf.DUMMYFUNCTION("""COMPUTED_VALUE"""),0.0)</f>
        <v>0</v>
      </c>
      <c r="Z690" s="447">
        <f>IFERROR(__xludf.DUMMYFUNCTION("""COMPUTED_VALUE"""),0.0)</f>
        <v>0</v>
      </c>
      <c r="AA690" s="447">
        <f>IFERROR(__xludf.DUMMYFUNCTION("""COMPUTED_VALUE"""),0.0)</f>
        <v>0</v>
      </c>
      <c r="AB690" s="447">
        <f>IFERROR(__xludf.DUMMYFUNCTION("""COMPUTED_VALUE"""),0.0)</f>
        <v>0</v>
      </c>
      <c r="AC690" s="447">
        <f>IFERROR(__xludf.DUMMYFUNCTION("""COMPUTED_VALUE"""),1.0)</f>
        <v>1</v>
      </c>
      <c r="AD690" s="447">
        <f>IFERROR(__xludf.DUMMYFUNCTION("""COMPUTED_VALUE"""),48.0)</f>
        <v>48</v>
      </c>
      <c r="AE690" s="447">
        <f>IFERROR(__xludf.DUMMYFUNCTION("""COMPUTED_VALUE"""),7.0)</f>
        <v>7</v>
      </c>
      <c r="AF690" s="447">
        <f>IFERROR(__xludf.DUMMYFUNCTION("""COMPUTED_VALUE"""),0.0)</f>
        <v>0</v>
      </c>
      <c r="AG690" s="443" t="s">
        <v>140</v>
      </c>
      <c r="AH690" s="443" t="s">
        <v>961</v>
      </c>
      <c r="AI690" s="443"/>
      <c r="AJ690" s="443"/>
      <c r="AK690" s="443"/>
      <c r="AL690" s="443"/>
      <c r="AM690" s="443"/>
      <c r="AN690" s="443"/>
      <c r="AO690" s="443"/>
      <c r="AP690" s="443"/>
      <c r="AQ690" s="443"/>
      <c r="AR690" s="443"/>
      <c r="AS690" s="443"/>
      <c r="AT690" s="443"/>
      <c r="AU690" s="443"/>
      <c r="AV690" s="443"/>
      <c r="AW690" s="443"/>
      <c r="AX690" s="443"/>
      <c r="AY690" s="443"/>
      <c r="AZ690" s="443"/>
      <c r="BA690" s="443"/>
      <c r="BB690" s="443"/>
      <c r="BC690" s="443"/>
      <c r="BD690" s="443"/>
      <c r="BE690" s="443"/>
    </row>
    <row r="691" hidden="1">
      <c r="A691" s="445">
        <f t="shared" si="5"/>
        <v>45981</v>
      </c>
      <c r="B691" s="449">
        <v>592.0</v>
      </c>
      <c r="C691" s="462">
        <v>0.6416666666666667</v>
      </c>
      <c r="D691" s="462">
        <v>1.0541666666666667</v>
      </c>
      <c r="E691" s="436">
        <f t="array" ref="E691">IF(B691=0,"",(J691+K691)/60)</f>
        <v>1.35</v>
      </c>
      <c r="F691" s="437">
        <f t="shared" si="1"/>
        <v>9.9</v>
      </c>
      <c r="G691" s="438">
        <f t="shared" si="9"/>
        <v>59.7979798</v>
      </c>
      <c r="H691" s="438">
        <f t="shared" si="3"/>
        <v>69.23976608</v>
      </c>
      <c r="I691" s="436">
        <f t="shared" si="10"/>
        <v>1.172509408</v>
      </c>
      <c r="J691" s="460">
        <v>60.0</v>
      </c>
      <c r="K691" s="460">
        <f>10+6+5</f>
        <v>21</v>
      </c>
      <c r="L691" s="443"/>
      <c r="M691" s="447">
        <f>IFERROR(__xludf.DUMMYFUNCTION("""COMPUTED_VALUE"""),57.0)</f>
        <v>57</v>
      </c>
      <c r="N691" s="447">
        <f>IFERROR(__xludf.DUMMYFUNCTION("""COMPUTED_VALUE"""),57.0)</f>
        <v>57</v>
      </c>
      <c r="O691" s="447">
        <f>IFERROR(__xludf.DUMMYFUNCTION("""COMPUTED_VALUE"""),0.0)</f>
        <v>0</v>
      </c>
      <c r="P691" s="447">
        <f>IFERROR(__xludf.DUMMYFUNCTION("""COMPUTED_VALUE"""),0.0)</f>
        <v>0</v>
      </c>
      <c r="Q691" s="447">
        <f>IFERROR(__xludf.DUMMYFUNCTION("""COMPUTED_VALUE"""),0.0)</f>
        <v>0</v>
      </c>
      <c r="R691" s="447">
        <f>IFERROR(__xludf.DUMMYFUNCTION("""COMPUTED_VALUE"""),0.0)</f>
        <v>0</v>
      </c>
      <c r="S691" s="447">
        <f>IFERROR(__xludf.DUMMYFUNCTION("""COMPUTED_VALUE"""),2.0)</f>
        <v>2</v>
      </c>
      <c r="T691" s="447">
        <f>IFERROR(__xludf.DUMMYFUNCTION("""COMPUTED_VALUE"""),0.0)</f>
        <v>0</v>
      </c>
      <c r="U691" s="447">
        <f>IFERROR(__xludf.DUMMYFUNCTION("""COMPUTED_VALUE"""),0.0)</f>
        <v>0</v>
      </c>
      <c r="V691" s="447">
        <f>IFERROR(__xludf.DUMMYFUNCTION("""COMPUTED_VALUE"""),1.0)</f>
        <v>1</v>
      </c>
      <c r="W691" s="447">
        <f>IFERROR(__xludf.DUMMYFUNCTION("""COMPUTED_VALUE"""),0.0)</f>
        <v>0</v>
      </c>
      <c r="X691" s="447">
        <f>IFERROR(__xludf.DUMMYFUNCTION("""COMPUTED_VALUE"""),1.0)</f>
        <v>1</v>
      </c>
      <c r="Y691" s="447">
        <f>IFERROR(__xludf.DUMMYFUNCTION("""COMPUTED_VALUE"""),0.0)</f>
        <v>0</v>
      </c>
      <c r="Z691" s="447">
        <f>IFERROR(__xludf.DUMMYFUNCTION("""COMPUTED_VALUE"""),0.0)</f>
        <v>0</v>
      </c>
      <c r="AA691" s="447">
        <f>IFERROR(__xludf.DUMMYFUNCTION("""COMPUTED_VALUE"""),0.0)</f>
        <v>0</v>
      </c>
      <c r="AB691" s="447">
        <f>IFERROR(__xludf.DUMMYFUNCTION("""COMPUTED_VALUE"""),0.0)</f>
        <v>0</v>
      </c>
      <c r="AC691" s="447">
        <f>IFERROR(__xludf.DUMMYFUNCTION("""COMPUTED_VALUE"""),0.0)</f>
        <v>0</v>
      </c>
      <c r="AD691" s="447">
        <f>IFERROR(__xludf.DUMMYFUNCTION("""COMPUTED_VALUE"""),51.0)</f>
        <v>51</v>
      </c>
      <c r="AE691" s="447">
        <f>IFERROR(__xludf.DUMMYFUNCTION("""COMPUTED_VALUE"""),4.0)</f>
        <v>4</v>
      </c>
      <c r="AF691" s="447">
        <f>IFERROR(__xludf.DUMMYFUNCTION("""COMPUTED_VALUE"""),0.0)</f>
        <v>0</v>
      </c>
      <c r="AG691" s="443" t="s">
        <v>140</v>
      </c>
      <c r="AH691" s="443" t="s">
        <v>961</v>
      </c>
      <c r="AI691" s="443"/>
      <c r="AJ691" s="443"/>
      <c r="AK691" s="443"/>
      <c r="AL691" s="443"/>
      <c r="AM691" s="443"/>
      <c r="AN691" s="443"/>
      <c r="AO691" s="443"/>
      <c r="AP691" s="443"/>
      <c r="AQ691" s="443"/>
      <c r="AR691" s="443"/>
      <c r="AS691" s="443"/>
      <c r="AT691" s="443"/>
      <c r="AU691" s="443"/>
      <c r="AV691" s="443"/>
      <c r="AW691" s="443"/>
      <c r="AX691" s="443"/>
      <c r="AY691" s="443"/>
      <c r="AZ691" s="443"/>
      <c r="BA691" s="443"/>
      <c r="BB691" s="443"/>
      <c r="BC691" s="443"/>
      <c r="BD691" s="443"/>
      <c r="BE691" s="443"/>
    </row>
    <row r="692" hidden="1">
      <c r="A692" s="445">
        <f t="shared" si="5"/>
        <v>45982</v>
      </c>
      <c r="B692" s="449">
        <v>492.0</v>
      </c>
      <c r="C692" s="462">
        <v>0.6416666666666667</v>
      </c>
      <c r="D692" s="462">
        <v>0.95</v>
      </c>
      <c r="E692" s="436">
        <f t="array" ref="E692">IF(B692=0,"",(J692+K692)/60)</f>
        <v>0.5</v>
      </c>
      <c r="F692" s="437">
        <f t="shared" si="1"/>
        <v>7.4</v>
      </c>
      <c r="G692" s="438">
        <f t="shared" si="9"/>
        <v>66.48648649</v>
      </c>
      <c r="H692" s="438">
        <f t="shared" si="3"/>
        <v>71.30434783</v>
      </c>
      <c r="I692" s="436">
        <f t="shared" si="10"/>
        <v>1.356867071</v>
      </c>
      <c r="J692" s="460">
        <v>30.0</v>
      </c>
      <c r="K692" s="464"/>
      <c r="L692" s="443"/>
      <c r="M692" s="447">
        <f>IFERROR(__xludf.DUMMYFUNCTION("""COMPUTED_VALUE"""),57.0)</f>
        <v>57</v>
      </c>
      <c r="N692" s="447">
        <f>IFERROR(__xludf.DUMMYFUNCTION("""COMPUTED_VALUE"""),57.0)</f>
        <v>57</v>
      </c>
      <c r="O692" s="447">
        <f>IFERROR(__xludf.DUMMYFUNCTION("""COMPUTED_VALUE"""),0.0)</f>
        <v>0</v>
      </c>
      <c r="P692" s="447">
        <f>IFERROR(__xludf.DUMMYFUNCTION("""COMPUTED_VALUE"""),0.0)</f>
        <v>0</v>
      </c>
      <c r="Q692" s="447">
        <f>IFERROR(__xludf.DUMMYFUNCTION("""COMPUTED_VALUE"""),0.0)</f>
        <v>0</v>
      </c>
      <c r="R692" s="447">
        <f>IFERROR(__xludf.DUMMYFUNCTION("""COMPUTED_VALUE"""),0.0)</f>
        <v>0</v>
      </c>
      <c r="S692" s="447">
        <f>IFERROR(__xludf.DUMMYFUNCTION("""COMPUTED_VALUE"""),2.0)</f>
        <v>2</v>
      </c>
      <c r="T692" s="447">
        <f>IFERROR(__xludf.DUMMYFUNCTION("""COMPUTED_VALUE"""),1.0)</f>
        <v>1</v>
      </c>
      <c r="U692" s="447">
        <f>IFERROR(__xludf.DUMMYFUNCTION("""COMPUTED_VALUE"""),0.0)</f>
        <v>0</v>
      </c>
      <c r="V692" s="447">
        <f>IFERROR(__xludf.DUMMYFUNCTION("""COMPUTED_VALUE"""),1.0)</f>
        <v>1</v>
      </c>
      <c r="W692" s="447">
        <f>IFERROR(__xludf.DUMMYFUNCTION("""COMPUTED_VALUE"""),0.0)</f>
        <v>0</v>
      </c>
      <c r="X692" s="447">
        <f>IFERROR(__xludf.DUMMYFUNCTION("""COMPUTED_VALUE"""),1.0)</f>
        <v>1</v>
      </c>
      <c r="Y692" s="447">
        <f>IFERROR(__xludf.DUMMYFUNCTION("""COMPUTED_VALUE"""),1.0)</f>
        <v>1</v>
      </c>
      <c r="Z692" s="447">
        <f>IFERROR(__xludf.DUMMYFUNCTION("""COMPUTED_VALUE"""),0.0)</f>
        <v>0</v>
      </c>
      <c r="AA692" s="447">
        <f>IFERROR(__xludf.DUMMYFUNCTION("""COMPUTED_VALUE"""),0.0)</f>
        <v>0</v>
      </c>
      <c r="AB692" s="447">
        <f>IFERROR(__xludf.DUMMYFUNCTION("""COMPUTED_VALUE"""),0.0)</f>
        <v>0</v>
      </c>
      <c r="AC692" s="447">
        <f>IFERROR(__xludf.DUMMYFUNCTION("""COMPUTED_VALUE"""),0.0)</f>
        <v>0</v>
      </c>
      <c r="AD692" s="447">
        <f>IFERROR(__xludf.DUMMYFUNCTION("""COMPUTED_VALUE"""),49.0)</f>
        <v>49</v>
      </c>
      <c r="AE692" s="447">
        <f>IFERROR(__xludf.DUMMYFUNCTION("""COMPUTED_VALUE"""),5.0)</f>
        <v>5</v>
      </c>
      <c r="AF692" s="447">
        <f>IFERROR(__xludf.DUMMYFUNCTION("""COMPUTED_VALUE"""),0.0)</f>
        <v>0</v>
      </c>
      <c r="AG692" s="443" t="s">
        <v>140</v>
      </c>
      <c r="AH692" s="443" t="s">
        <v>961</v>
      </c>
      <c r="AI692" s="443"/>
      <c r="AJ692" s="443"/>
      <c r="AK692" s="443"/>
      <c r="AL692" s="443"/>
      <c r="AM692" s="443"/>
      <c r="AN692" s="443"/>
      <c r="AO692" s="443"/>
      <c r="AP692" s="443"/>
      <c r="AQ692" s="443"/>
      <c r="AR692" s="443"/>
      <c r="AS692" s="443"/>
      <c r="AT692" s="443"/>
      <c r="AU692" s="443"/>
      <c r="AV692" s="443"/>
      <c r="AW692" s="443"/>
      <c r="AX692" s="443"/>
      <c r="AY692" s="443"/>
      <c r="AZ692" s="443"/>
      <c r="BA692" s="443"/>
      <c r="BB692" s="443"/>
      <c r="BC692" s="443"/>
      <c r="BD692" s="443"/>
      <c r="BE692" s="443"/>
    </row>
    <row r="693" hidden="1">
      <c r="A693" s="445">
        <f t="shared" si="5"/>
        <v>45983</v>
      </c>
      <c r="B693" s="449">
        <v>395.0</v>
      </c>
      <c r="C693" s="462">
        <v>0.6</v>
      </c>
      <c r="D693" s="462">
        <v>0.8694444444444445</v>
      </c>
      <c r="E693" s="436">
        <f t="array" ref="E693">IF(B693=0,"",(J693+K693)/60)</f>
        <v>0.7333333333</v>
      </c>
      <c r="F693" s="437">
        <f t="shared" si="1"/>
        <v>6.466666667</v>
      </c>
      <c r="G693" s="438">
        <f t="shared" si="9"/>
        <v>61.08247423</v>
      </c>
      <c r="H693" s="438">
        <f t="shared" si="3"/>
        <v>68.89534884</v>
      </c>
      <c r="I693" s="436">
        <f t="shared" si="10"/>
        <v>1.246581107</v>
      </c>
      <c r="J693" s="460">
        <v>30.0</v>
      </c>
      <c r="K693" s="460">
        <v>14.0</v>
      </c>
      <c r="L693" s="443"/>
      <c r="M693" s="447">
        <f>IFERROR(__xludf.DUMMYFUNCTION("""COMPUTED_VALUE"""),57.0)</f>
        <v>57</v>
      </c>
      <c r="N693" s="447">
        <f>IFERROR(__xludf.DUMMYFUNCTION("""COMPUTED_VALUE"""),57.0)</f>
        <v>57</v>
      </c>
      <c r="O693" s="447">
        <f>IFERROR(__xludf.DUMMYFUNCTION("""COMPUTED_VALUE"""),0.0)</f>
        <v>0</v>
      </c>
      <c r="P693" s="447">
        <f>IFERROR(__xludf.DUMMYFUNCTION("""COMPUTED_VALUE"""),1.0)</f>
        <v>1</v>
      </c>
      <c r="Q693" s="447">
        <f>IFERROR(__xludf.DUMMYFUNCTION("""COMPUTED_VALUE"""),0.0)</f>
        <v>0</v>
      </c>
      <c r="R693" s="447">
        <f>IFERROR(__xludf.DUMMYFUNCTION("""COMPUTED_VALUE"""),0.0)</f>
        <v>0</v>
      </c>
      <c r="S693" s="447">
        <f>IFERROR(__xludf.DUMMYFUNCTION("""COMPUTED_VALUE"""),1.0)</f>
        <v>1</v>
      </c>
      <c r="T693" s="447">
        <f>IFERROR(__xludf.DUMMYFUNCTION("""COMPUTED_VALUE"""),0.0)</f>
        <v>0</v>
      </c>
      <c r="U693" s="447">
        <f>IFERROR(__xludf.DUMMYFUNCTION("""COMPUTED_VALUE"""),0.0)</f>
        <v>0</v>
      </c>
      <c r="V693" s="447">
        <f>IFERROR(__xludf.DUMMYFUNCTION("""COMPUTED_VALUE"""),1.0)</f>
        <v>1</v>
      </c>
      <c r="W693" s="447">
        <f>IFERROR(__xludf.DUMMYFUNCTION("""COMPUTED_VALUE"""),0.0)</f>
        <v>0</v>
      </c>
      <c r="X693" s="447">
        <f>IFERROR(__xludf.DUMMYFUNCTION("""COMPUTED_VALUE"""),1.0)</f>
        <v>1</v>
      </c>
      <c r="Y693" s="447">
        <f>IFERROR(__xludf.DUMMYFUNCTION("""COMPUTED_VALUE"""),1.0)</f>
        <v>1</v>
      </c>
      <c r="Z693" s="447">
        <f>IFERROR(__xludf.DUMMYFUNCTION("""COMPUTED_VALUE"""),0.0)</f>
        <v>0</v>
      </c>
      <c r="AA693" s="447">
        <f>IFERROR(__xludf.DUMMYFUNCTION("""COMPUTED_VALUE"""),0.0)</f>
        <v>0</v>
      </c>
      <c r="AB693" s="447">
        <f>IFERROR(__xludf.DUMMYFUNCTION("""COMPUTED_VALUE"""),0.0)</f>
        <v>0</v>
      </c>
      <c r="AC693" s="447">
        <f>IFERROR(__xludf.DUMMYFUNCTION("""COMPUTED_VALUE"""),1.0)</f>
        <v>1</v>
      </c>
      <c r="AD693" s="447">
        <f>IFERROR(__xludf.DUMMYFUNCTION("""COMPUTED_VALUE"""),49.0)</f>
        <v>49</v>
      </c>
      <c r="AE693" s="447">
        <f>IFERROR(__xludf.DUMMYFUNCTION("""COMPUTED_VALUE"""),5.0)</f>
        <v>5</v>
      </c>
      <c r="AF693" s="447">
        <f>IFERROR(__xludf.DUMMYFUNCTION("""COMPUTED_VALUE"""),0.0)</f>
        <v>0</v>
      </c>
      <c r="AG693" s="443" t="s">
        <v>140</v>
      </c>
      <c r="AH693" s="443" t="s">
        <v>961</v>
      </c>
      <c r="AI693" s="443"/>
      <c r="AJ693" s="443"/>
      <c r="AK693" s="443"/>
      <c r="AL693" s="443"/>
      <c r="AM693" s="443"/>
      <c r="AN693" s="443"/>
      <c r="AO693" s="443"/>
      <c r="AP693" s="443"/>
      <c r="AQ693" s="443"/>
      <c r="AR693" s="443"/>
      <c r="AS693" s="443"/>
      <c r="AT693" s="443"/>
      <c r="AU693" s="443"/>
      <c r="AV693" s="443"/>
      <c r="AW693" s="443"/>
      <c r="AX693" s="443"/>
      <c r="AY693" s="443"/>
      <c r="AZ693" s="443"/>
      <c r="BA693" s="443"/>
      <c r="BB693" s="443"/>
      <c r="BC693" s="443"/>
      <c r="BD693" s="443"/>
      <c r="BE693" s="443"/>
    </row>
    <row r="694" hidden="1">
      <c r="A694" s="445">
        <f t="shared" si="5"/>
        <v>45984</v>
      </c>
      <c r="B694" s="449">
        <v>0.0</v>
      </c>
      <c r="C694" s="443"/>
      <c r="D694" s="462"/>
      <c r="E694" s="436" t="str">
        <f t="array" ref="E694">IF(B694=0,"",(J694+K694)/60)</f>
        <v/>
      </c>
      <c r="F694" s="437" t="str">
        <f t="shared" si="1"/>
        <v/>
      </c>
      <c r="G694" s="438" t="str">
        <f t="shared" si="9"/>
        <v>#DIV/0!</v>
      </c>
      <c r="H694" s="438" t="str">
        <f t="shared" si="3"/>
        <v/>
      </c>
      <c r="I694" s="436" t="str">
        <f t="shared" si="10"/>
        <v/>
      </c>
      <c r="J694" s="464"/>
      <c r="K694" s="464"/>
      <c r="L694" s="443"/>
      <c r="M694" s="447">
        <f>IFERROR(__xludf.DUMMYFUNCTION("""COMPUTED_VALUE"""),57.0)</f>
        <v>57</v>
      </c>
      <c r="N694" s="447">
        <f>IFERROR(__xludf.DUMMYFUNCTION("""COMPUTED_VALUE"""),57.0)</f>
        <v>57</v>
      </c>
      <c r="O694" s="447">
        <f>IFERROR(__xludf.DUMMYFUNCTION("""COMPUTED_VALUE"""),0.0)</f>
        <v>0</v>
      </c>
      <c r="P694" s="447">
        <f>IFERROR(__xludf.DUMMYFUNCTION("""COMPUTED_VALUE"""),0.0)</f>
        <v>0</v>
      </c>
      <c r="Q694" s="447">
        <f>IFERROR(__xludf.DUMMYFUNCTION("""COMPUTED_VALUE"""),0.0)</f>
        <v>0</v>
      </c>
      <c r="R694" s="447">
        <f>IFERROR(__xludf.DUMMYFUNCTION("""COMPUTED_VALUE"""),0.0)</f>
        <v>0</v>
      </c>
      <c r="S694" s="447">
        <f>IFERROR(__xludf.DUMMYFUNCTION("""COMPUTED_VALUE"""),0.0)</f>
        <v>0</v>
      </c>
      <c r="T694" s="447">
        <f>IFERROR(__xludf.DUMMYFUNCTION("""COMPUTED_VALUE"""),0.0)</f>
        <v>0</v>
      </c>
      <c r="U694" s="447">
        <f>IFERROR(__xludf.DUMMYFUNCTION("""COMPUTED_VALUE"""),0.0)</f>
        <v>0</v>
      </c>
      <c r="V694" s="447">
        <f>IFERROR(__xludf.DUMMYFUNCTION("""COMPUTED_VALUE"""),0.0)</f>
        <v>0</v>
      </c>
      <c r="W694" s="447">
        <f>IFERROR(__xludf.DUMMYFUNCTION("""COMPUTED_VALUE"""),0.0)</f>
        <v>0</v>
      </c>
      <c r="X694" s="447">
        <f>IFERROR(__xludf.DUMMYFUNCTION("""COMPUTED_VALUE"""),0.0)</f>
        <v>0</v>
      </c>
      <c r="Y694" s="447">
        <f>IFERROR(__xludf.DUMMYFUNCTION("""COMPUTED_VALUE"""),0.0)</f>
        <v>0</v>
      </c>
      <c r="Z694" s="447">
        <f>IFERROR(__xludf.DUMMYFUNCTION("""COMPUTED_VALUE"""),0.0)</f>
        <v>0</v>
      </c>
      <c r="AA694" s="447">
        <f>IFERROR(__xludf.DUMMYFUNCTION("""COMPUTED_VALUE"""),0.0)</f>
        <v>0</v>
      </c>
      <c r="AB694" s="447">
        <f>IFERROR(__xludf.DUMMYFUNCTION("""COMPUTED_VALUE"""),0.0)</f>
        <v>0</v>
      </c>
      <c r="AC694" s="447">
        <f>IFERROR(__xludf.DUMMYFUNCTION("""COMPUTED_VALUE"""),0.0)</f>
        <v>0</v>
      </c>
      <c r="AD694" s="447">
        <f>IFERROR(__xludf.DUMMYFUNCTION("""COMPUTED_VALUE"""),0.0)</f>
        <v>0</v>
      </c>
      <c r="AE694" s="447">
        <f>IFERROR(__xludf.DUMMYFUNCTION("""COMPUTED_VALUE"""),0.0)</f>
        <v>0</v>
      </c>
      <c r="AF694" s="447">
        <f>IFERROR(__xludf.DUMMYFUNCTION("""COMPUTED_VALUE"""),0.0)</f>
        <v>0</v>
      </c>
      <c r="AG694" s="443" t="s">
        <v>140</v>
      </c>
      <c r="AH694" s="443" t="s">
        <v>961</v>
      </c>
      <c r="AI694" s="443"/>
      <c r="AJ694" s="443"/>
      <c r="AK694" s="443"/>
      <c r="AL694" s="443"/>
      <c r="AM694" s="443"/>
      <c r="AN694" s="443"/>
      <c r="AO694" s="443"/>
      <c r="AP694" s="443"/>
      <c r="AQ694" s="443"/>
      <c r="AR694" s="443"/>
      <c r="AS694" s="443"/>
      <c r="AT694" s="443"/>
      <c r="AU694" s="443"/>
      <c r="AV694" s="443"/>
      <c r="AW694" s="443"/>
      <c r="AX694" s="443"/>
      <c r="AY694" s="443"/>
      <c r="AZ694" s="443"/>
      <c r="BA694" s="443"/>
      <c r="BB694" s="443"/>
      <c r="BC694" s="443"/>
      <c r="BD694" s="443"/>
      <c r="BE694" s="443"/>
    </row>
    <row r="695" hidden="1">
      <c r="A695" s="445">
        <f t="shared" si="5"/>
        <v>45985</v>
      </c>
      <c r="B695" s="449">
        <v>631.0</v>
      </c>
      <c r="C695" s="462">
        <v>0.6</v>
      </c>
      <c r="D695" s="462">
        <v>1.0</v>
      </c>
      <c r="E695" s="436">
        <f t="array" ref="E695">IF(B695=0,"",(J695+K695)/60)</f>
        <v>1.466666667</v>
      </c>
      <c r="F695" s="437">
        <f t="shared" si="1"/>
        <v>9.6</v>
      </c>
      <c r="G695" s="438">
        <f t="shared" si="9"/>
        <v>65.72916667</v>
      </c>
      <c r="H695" s="438">
        <f t="shared" si="3"/>
        <v>77.58196721</v>
      </c>
      <c r="I695" s="436">
        <f t="shared" si="10"/>
        <v>1.341411565</v>
      </c>
      <c r="J695" s="460">
        <v>60.0</v>
      </c>
      <c r="K695" s="464">
        <f>6+12+10</f>
        <v>28</v>
      </c>
      <c r="L695" s="443"/>
      <c r="M695" s="447">
        <f>IFERROR(__xludf.DUMMYFUNCTION("""COMPUTED_VALUE"""),57.0)</f>
        <v>57</v>
      </c>
      <c r="N695" s="447">
        <f>IFERROR(__xludf.DUMMYFUNCTION("""COMPUTED_VALUE"""),57.0)</f>
        <v>57</v>
      </c>
      <c r="O695" s="447">
        <f>IFERROR(__xludf.DUMMYFUNCTION("""COMPUTED_VALUE"""),0.0)</f>
        <v>0</v>
      </c>
      <c r="P695" s="447">
        <f>IFERROR(__xludf.DUMMYFUNCTION("""COMPUTED_VALUE"""),2.0)</f>
        <v>2</v>
      </c>
      <c r="Q695" s="447">
        <f>IFERROR(__xludf.DUMMYFUNCTION("""COMPUTED_VALUE"""),0.0)</f>
        <v>0</v>
      </c>
      <c r="R695" s="447">
        <f>IFERROR(__xludf.DUMMYFUNCTION("""COMPUTED_VALUE"""),0.0)</f>
        <v>0</v>
      </c>
      <c r="S695" s="447">
        <f>IFERROR(__xludf.DUMMYFUNCTION("""COMPUTED_VALUE"""),1.0)</f>
        <v>1</v>
      </c>
      <c r="T695" s="447">
        <f>IFERROR(__xludf.DUMMYFUNCTION("""COMPUTED_VALUE"""),0.0)</f>
        <v>0</v>
      </c>
      <c r="U695" s="447">
        <f>IFERROR(__xludf.DUMMYFUNCTION("""COMPUTED_VALUE"""),0.0)</f>
        <v>0</v>
      </c>
      <c r="V695" s="447">
        <f>IFERROR(__xludf.DUMMYFUNCTION("""COMPUTED_VALUE"""),1.0)</f>
        <v>1</v>
      </c>
      <c r="W695" s="447">
        <f>IFERROR(__xludf.DUMMYFUNCTION("""COMPUTED_VALUE"""),0.0)</f>
        <v>0</v>
      </c>
      <c r="X695" s="447">
        <f>IFERROR(__xludf.DUMMYFUNCTION("""COMPUTED_VALUE"""),1.0)</f>
        <v>1</v>
      </c>
      <c r="Y695" s="447">
        <f>IFERROR(__xludf.DUMMYFUNCTION("""COMPUTED_VALUE"""),1.0)</f>
        <v>1</v>
      </c>
      <c r="Z695" s="447">
        <f>IFERROR(__xludf.DUMMYFUNCTION("""COMPUTED_VALUE"""),0.0)</f>
        <v>0</v>
      </c>
      <c r="AA695" s="447">
        <f>IFERROR(__xludf.DUMMYFUNCTION("""COMPUTED_VALUE"""),0.0)</f>
        <v>0</v>
      </c>
      <c r="AB695" s="447">
        <f>IFERROR(__xludf.DUMMYFUNCTION("""COMPUTED_VALUE"""),0.0)</f>
        <v>0</v>
      </c>
      <c r="AC695" s="447">
        <f>IFERROR(__xludf.DUMMYFUNCTION("""COMPUTED_VALUE"""),0.0)</f>
        <v>0</v>
      </c>
      <c r="AD695" s="447">
        <f>IFERROR(__xludf.DUMMYFUNCTION("""COMPUTED_VALUE"""),49.0)</f>
        <v>49</v>
      </c>
      <c r="AE695" s="447">
        <f>IFERROR(__xludf.DUMMYFUNCTION("""COMPUTED_VALUE"""),5.0)</f>
        <v>5</v>
      </c>
      <c r="AF695" s="447">
        <f>IFERROR(__xludf.DUMMYFUNCTION("""COMPUTED_VALUE"""),0.0)</f>
        <v>0</v>
      </c>
      <c r="AG695" s="443" t="s">
        <v>140</v>
      </c>
      <c r="AH695" s="443" t="s">
        <v>961</v>
      </c>
      <c r="AI695" s="443"/>
      <c r="AJ695" s="443"/>
      <c r="AK695" s="443"/>
      <c r="AL695" s="443"/>
      <c r="AM695" s="443"/>
      <c r="AN695" s="443"/>
      <c r="AO695" s="443"/>
      <c r="AP695" s="443"/>
      <c r="AQ695" s="443"/>
      <c r="AR695" s="443"/>
      <c r="AS695" s="443"/>
      <c r="AT695" s="443"/>
      <c r="AU695" s="443"/>
      <c r="AV695" s="443"/>
      <c r="AW695" s="443"/>
      <c r="AX695" s="443"/>
      <c r="AY695" s="443"/>
      <c r="AZ695" s="443"/>
      <c r="BA695" s="443"/>
      <c r="BB695" s="443"/>
      <c r="BC695" s="443"/>
      <c r="BD695" s="443"/>
      <c r="BE695" s="443"/>
    </row>
    <row r="696" hidden="1">
      <c r="A696" s="445">
        <f t="shared" si="5"/>
        <v>45986</v>
      </c>
      <c r="B696" s="449">
        <v>620.0</v>
      </c>
      <c r="C696" s="462">
        <v>0.6</v>
      </c>
      <c r="D696" s="462">
        <v>1.0493055555555555</v>
      </c>
      <c r="E696" s="436">
        <f t="array" ref="E696">IF(B696=0,"",(J696+K696)/60)</f>
        <v>1.183333333</v>
      </c>
      <c r="F696" s="437">
        <f t="shared" si="1"/>
        <v>10.78333333</v>
      </c>
      <c r="G696" s="438">
        <f t="shared" si="9"/>
        <v>57.49613601</v>
      </c>
      <c r="H696" s="438">
        <f t="shared" si="3"/>
        <v>64.58333333</v>
      </c>
      <c r="I696" s="436">
        <f t="shared" si="10"/>
        <v>1.127375216</v>
      </c>
      <c r="J696" s="460">
        <v>60.0</v>
      </c>
      <c r="K696" s="464">
        <f>6+5</f>
        <v>11</v>
      </c>
      <c r="L696" s="443"/>
      <c r="M696" s="447">
        <f>IFERROR(__xludf.DUMMYFUNCTION("""COMPUTED_VALUE"""),57.0)</f>
        <v>57</v>
      </c>
      <c r="N696" s="447">
        <f>IFERROR(__xludf.DUMMYFUNCTION("""COMPUTED_VALUE"""),56.0)</f>
        <v>56</v>
      </c>
      <c r="O696" s="447">
        <f>IFERROR(__xludf.DUMMYFUNCTION("""COMPUTED_VALUE"""),0.0)</f>
        <v>0</v>
      </c>
      <c r="P696" s="447">
        <f>IFERROR(__xludf.DUMMYFUNCTION("""COMPUTED_VALUE"""),0.0)</f>
        <v>0</v>
      </c>
      <c r="Q696" s="447">
        <f>IFERROR(__xludf.DUMMYFUNCTION("""COMPUTED_VALUE"""),0.0)</f>
        <v>0</v>
      </c>
      <c r="R696" s="447">
        <f>IFERROR(__xludf.DUMMYFUNCTION("""COMPUTED_VALUE"""),0.0)</f>
        <v>0</v>
      </c>
      <c r="S696" s="447">
        <f>IFERROR(__xludf.DUMMYFUNCTION("""COMPUTED_VALUE"""),1.0)</f>
        <v>1</v>
      </c>
      <c r="T696" s="447">
        <f>IFERROR(__xludf.DUMMYFUNCTION("""COMPUTED_VALUE"""),0.0)</f>
        <v>0</v>
      </c>
      <c r="U696" s="447">
        <f>IFERROR(__xludf.DUMMYFUNCTION("""COMPUTED_VALUE"""),1.0)</f>
        <v>1</v>
      </c>
      <c r="V696" s="447">
        <f>IFERROR(__xludf.DUMMYFUNCTION("""COMPUTED_VALUE"""),1.0)</f>
        <v>1</v>
      </c>
      <c r="W696" s="447">
        <f>IFERROR(__xludf.DUMMYFUNCTION("""COMPUTED_VALUE"""),0.0)</f>
        <v>0</v>
      </c>
      <c r="X696" s="447">
        <f>IFERROR(__xludf.DUMMYFUNCTION("""COMPUTED_VALUE"""),1.0)</f>
        <v>1</v>
      </c>
      <c r="Y696" s="447">
        <f>IFERROR(__xludf.DUMMYFUNCTION("""COMPUTED_VALUE"""),0.0)</f>
        <v>0</v>
      </c>
      <c r="Z696" s="447">
        <f>IFERROR(__xludf.DUMMYFUNCTION("""COMPUTED_VALUE"""),0.0)</f>
        <v>0</v>
      </c>
      <c r="AA696" s="447">
        <f>IFERROR(__xludf.DUMMYFUNCTION("""COMPUTED_VALUE"""),0.0)</f>
        <v>0</v>
      </c>
      <c r="AB696" s="447">
        <f>IFERROR(__xludf.DUMMYFUNCTION("""COMPUTED_VALUE"""),0.0)</f>
        <v>0</v>
      </c>
      <c r="AC696" s="447">
        <f>IFERROR(__xludf.DUMMYFUNCTION("""COMPUTED_VALUE"""),0.0)</f>
        <v>0</v>
      </c>
      <c r="AD696" s="447">
        <f>IFERROR(__xludf.DUMMYFUNCTION("""COMPUTED_VALUE"""),51.0)</f>
        <v>51</v>
      </c>
      <c r="AE696" s="447">
        <f>IFERROR(__xludf.DUMMYFUNCTION("""COMPUTED_VALUE"""),4.0)</f>
        <v>4</v>
      </c>
      <c r="AF696" s="447">
        <f>IFERROR(__xludf.DUMMYFUNCTION("""COMPUTED_VALUE"""),1.0)</f>
        <v>1</v>
      </c>
      <c r="AG696" s="443" t="s">
        <v>140</v>
      </c>
      <c r="AH696" s="443" t="s">
        <v>961</v>
      </c>
      <c r="AI696" s="443"/>
      <c r="AJ696" s="443"/>
      <c r="AK696" s="443"/>
      <c r="AL696" s="443"/>
      <c r="AM696" s="443"/>
      <c r="AN696" s="443"/>
      <c r="AO696" s="443"/>
      <c r="AP696" s="443"/>
      <c r="AQ696" s="443"/>
      <c r="AR696" s="443"/>
      <c r="AS696" s="443"/>
      <c r="AT696" s="443"/>
      <c r="AU696" s="443"/>
      <c r="AV696" s="443"/>
      <c r="AW696" s="443"/>
      <c r="AX696" s="443"/>
      <c r="AY696" s="443"/>
      <c r="AZ696" s="443"/>
      <c r="BA696" s="443"/>
      <c r="BB696" s="443"/>
      <c r="BC696" s="443"/>
      <c r="BD696" s="443"/>
      <c r="BE696" s="443"/>
    </row>
    <row r="697" hidden="1">
      <c r="A697" s="445">
        <f t="shared" si="5"/>
        <v>45987</v>
      </c>
      <c r="B697" s="449">
        <v>506.0</v>
      </c>
      <c r="C697" s="462">
        <v>0.6416666666666667</v>
      </c>
      <c r="D697" s="462">
        <v>0.98125</v>
      </c>
      <c r="E697" s="436">
        <f t="array" ref="E697">IF(B697=0,"",(J697+K697)/60)</f>
        <v>0.9</v>
      </c>
      <c r="F697" s="437">
        <f t="shared" si="1"/>
        <v>8.15</v>
      </c>
      <c r="G697" s="438">
        <f t="shared" si="9"/>
        <v>62.08588957</v>
      </c>
      <c r="H697" s="438">
        <f t="shared" si="3"/>
        <v>69.79310345</v>
      </c>
      <c r="I697" s="436">
        <f t="shared" si="10"/>
        <v>1.241717791</v>
      </c>
      <c r="J697" s="460">
        <v>30.0</v>
      </c>
      <c r="K697" s="460">
        <f>11+5+8</f>
        <v>24</v>
      </c>
      <c r="L697" s="443"/>
      <c r="M697" s="447">
        <f>IFERROR(__xludf.DUMMYFUNCTION("""COMPUTED_VALUE"""),57.0)</f>
        <v>57</v>
      </c>
      <c r="N697" s="447">
        <f>IFERROR(__xludf.DUMMYFUNCTION("""COMPUTED_VALUE"""),55.0)</f>
        <v>55</v>
      </c>
      <c r="O697" s="447">
        <f>IFERROR(__xludf.DUMMYFUNCTION("""COMPUTED_VALUE"""),0.0)</f>
        <v>0</v>
      </c>
      <c r="P697" s="447">
        <f>IFERROR(__xludf.DUMMYFUNCTION("""COMPUTED_VALUE"""),0.0)</f>
        <v>0</v>
      </c>
      <c r="Q697" s="447">
        <f>IFERROR(__xludf.DUMMYFUNCTION("""COMPUTED_VALUE"""),0.0)</f>
        <v>0</v>
      </c>
      <c r="R697" s="447">
        <f>IFERROR(__xludf.DUMMYFUNCTION("""COMPUTED_VALUE"""),0.0)</f>
        <v>0</v>
      </c>
      <c r="S697" s="447">
        <f>IFERROR(__xludf.DUMMYFUNCTION("""COMPUTED_VALUE"""),1.0)</f>
        <v>1</v>
      </c>
      <c r="T697" s="447">
        <f>IFERROR(__xludf.DUMMYFUNCTION("""COMPUTED_VALUE"""),0.0)</f>
        <v>0</v>
      </c>
      <c r="U697" s="447">
        <f>IFERROR(__xludf.DUMMYFUNCTION("""COMPUTED_VALUE"""),2.0)</f>
        <v>2</v>
      </c>
      <c r="V697" s="447">
        <f>IFERROR(__xludf.DUMMYFUNCTION("""COMPUTED_VALUE"""),1.0)</f>
        <v>1</v>
      </c>
      <c r="W697" s="447">
        <f>IFERROR(__xludf.DUMMYFUNCTION("""COMPUTED_VALUE"""),0.0)</f>
        <v>0</v>
      </c>
      <c r="X697" s="447">
        <f>IFERROR(__xludf.DUMMYFUNCTION("""COMPUTED_VALUE"""),1.0)</f>
        <v>1</v>
      </c>
      <c r="Y697" s="447">
        <f>IFERROR(__xludf.DUMMYFUNCTION("""COMPUTED_VALUE"""),0.0)</f>
        <v>0</v>
      </c>
      <c r="Z697" s="447">
        <f>IFERROR(__xludf.DUMMYFUNCTION("""COMPUTED_VALUE"""),0.0)</f>
        <v>0</v>
      </c>
      <c r="AA697" s="447">
        <f>IFERROR(__xludf.DUMMYFUNCTION("""COMPUTED_VALUE"""),0.0)</f>
        <v>0</v>
      </c>
      <c r="AB697" s="447">
        <f>IFERROR(__xludf.DUMMYFUNCTION("""COMPUTED_VALUE"""),0.0)</f>
        <v>0</v>
      </c>
      <c r="AC697" s="447">
        <f>IFERROR(__xludf.DUMMYFUNCTION("""COMPUTED_VALUE"""),0.0)</f>
        <v>0</v>
      </c>
      <c r="AD697" s="447">
        <f>IFERROR(__xludf.DUMMYFUNCTION("""COMPUTED_VALUE"""),50.0)</f>
        <v>50</v>
      </c>
      <c r="AE697" s="447">
        <f>IFERROR(__xludf.DUMMYFUNCTION("""COMPUTED_VALUE"""),5.0)</f>
        <v>5</v>
      </c>
      <c r="AF697" s="447">
        <f>IFERROR(__xludf.DUMMYFUNCTION("""COMPUTED_VALUE"""),2.0)</f>
        <v>2</v>
      </c>
      <c r="AG697" s="443" t="s">
        <v>140</v>
      </c>
      <c r="AH697" s="443" t="s">
        <v>961</v>
      </c>
      <c r="AI697" s="443"/>
      <c r="AJ697" s="443"/>
      <c r="AK697" s="443"/>
      <c r="AL697" s="443"/>
      <c r="AM697" s="443"/>
      <c r="AN697" s="443"/>
      <c r="AO697" s="443"/>
      <c r="AP697" s="443"/>
      <c r="AQ697" s="443"/>
      <c r="AR697" s="443"/>
      <c r="AS697" s="443"/>
      <c r="AT697" s="443"/>
      <c r="AU697" s="443"/>
      <c r="AV697" s="443"/>
      <c r="AW697" s="443"/>
      <c r="AX697" s="443"/>
      <c r="AY697" s="443"/>
      <c r="AZ697" s="443"/>
      <c r="BA697" s="443"/>
      <c r="BB697" s="443"/>
      <c r="BC697" s="443"/>
      <c r="BD697" s="443"/>
      <c r="BE697" s="443"/>
    </row>
    <row r="698" hidden="1">
      <c r="A698" s="445">
        <f t="shared" si="5"/>
        <v>45988</v>
      </c>
      <c r="B698" s="449">
        <v>462.0</v>
      </c>
      <c r="C698" s="462">
        <v>0.6416666666666667</v>
      </c>
      <c r="D698" s="462">
        <v>0.9256944444444445</v>
      </c>
      <c r="E698" s="436">
        <f t="array" ref="E698">IF(B698=0,"",(J698+K698)/60)</f>
        <v>0.5</v>
      </c>
      <c r="F698" s="437">
        <f t="shared" si="1"/>
        <v>6.816666667</v>
      </c>
      <c r="G698" s="438">
        <f t="shared" si="9"/>
        <v>67.77506112</v>
      </c>
      <c r="H698" s="438">
        <f t="shared" si="3"/>
        <v>73.13984169</v>
      </c>
      <c r="I698" s="436">
        <f t="shared" si="10"/>
        <v>1.355501222</v>
      </c>
      <c r="J698" s="460">
        <v>30.0</v>
      </c>
      <c r="K698" s="460">
        <v>0.0</v>
      </c>
      <c r="L698" s="443"/>
      <c r="M698" s="447">
        <f>IFERROR(__xludf.DUMMYFUNCTION("""COMPUTED_VALUE"""),57.0)</f>
        <v>57</v>
      </c>
      <c r="N698" s="447">
        <f>IFERROR(__xludf.DUMMYFUNCTION("""COMPUTED_VALUE"""),55.0)</f>
        <v>55</v>
      </c>
      <c r="O698" s="447">
        <f>IFERROR(__xludf.DUMMYFUNCTION("""COMPUTED_VALUE"""),0.0)</f>
        <v>0</v>
      </c>
      <c r="P698" s="447">
        <f>IFERROR(__xludf.DUMMYFUNCTION("""COMPUTED_VALUE"""),0.0)</f>
        <v>0</v>
      </c>
      <c r="Q698" s="447">
        <f>IFERROR(__xludf.DUMMYFUNCTION("""COMPUTED_VALUE"""),0.0)</f>
        <v>0</v>
      </c>
      <c r="R698" s="447">
        <f>IFERROR(__xludf.DUMMYFUNCTION("""COMPUTED_VALUE"""),0.0)</f>
        <v>0</v>
      </c>
      <c r="S698" s="447">
        <f>IFERROR(__xludf.DUMMYFUNCTION("""COMPUTED_VALUE"""),1.0)</f>
        <v>1</v>
      </c>
      <c r="T698" s="447">
        <f>IFERROR(__xludf.DUMMYFUNCTION("""COMPUTED_VALUE"""),0.0)</f>
        <v>0</v>
      </c>
      <c r="U698" s="447">
        <f>IFERROR(__xludf.DUMMYFUNCTION("""COMPUTED_VALUE"""),2.0)</f>
        <v>2</v>
      </c>
      <c r="V698" s="447">
        <f>IFERROR(__xludf.DUMMYFUNCTION("""COMPUTED_VALUE"""),1.0)</f>
        <v>1</v>
      </c>
      <c r="W698" s="447">
        <f>IFERROR(__xludf.DUMMYFUNCTION("""COMPUTED_VALUE"""),0.0)</f>
        <v>0</v>
      </c>
      <c r="X698" s="447">
        <f>IFERROR(__xludf.DUMMYFUNCTION("""COMPUTED_VALUE"""),1.0)</f>
        <v>1</v>
      </c>
      <c r="Y698" s="447">
        <f>IFERROR(__xludf.DUMMYFUNCTION("""COMPUTED_VALUE"""),0.0)</f>
        <v>0</v>
      </c>
      <c r="Z698" s="447">
        <f>IFERROR(__xludf.DUMMYFUNCTION("""COMPUTED_VALUE"""),0.0)</f>
        <v>0</v>
      </c>
      <c r="AA698" s="447">
        <f>IFERROR(__xludf.DUMMYFUNCTION("""COMPUTED_VALUE"""),0.0)</f>
        <v>0</v>
      </c>
      <c r="AB698" s="447">
        <f>IFERROR(__xludf.DUMMYFUNCTION("""COMPUTED_VALUE"""),0.0)</f>
        <v>0</v>
      </c>
      <c r="AC698" s="447">
        <f>IFERROR(__xludf.DUMMYFUNCTION("""COMPUTED_VALUE"""),0.0)</f>
        <v>0</v>
      </c>
      <c r="AD698" s="447">
        <f>IFERROR(__xludf.DUMMYFUNCTION("""COMPUTED_VALUE"""),50.0)</f>
        <v>50</v>
      </c>
      <c r="AE698" s="447">
        <f>IFERROR(__xludf.DUMMYFUNCTION("""COMPUTED_VALUE"""),5.0)</f>
        <v>5</v>
      </c>
      <c r="AF698" s="447">
        <f>IFERROR(__xludf.DUMMYFUNCTION("""COMPUTED_VALUE"""),2.0)</f>
        <v>2</v>
      </c>
      <c r="AG698" s="443" t="s">
        <v>140</v>
      </c>
      <c r="AH698" s="443" t="s">
        <v>961</v>
      </c>
      <c r="AI698" s="443"/>
      <c r="AJ698" s="443"/>
      <c r="AK698" s="443"/>
      <c r="AL698" s="443"/>
      <c r="AM698" s="443"/>
      <c r="AN698" s="443"/>
      <c r="AO698" s="443"/>
      <c r="AP698" s="443"/>
      <c r="AQ698" s="443"/>
      <c r="AR698" s="443"/>
      <c r="AS698" s="443"/>
      <c r="AT698" s="443"/>
      <c r="AU698" s="443"/>
      <c r="AV698" s="443"/>
      <c r="AW698" s="443"/>
      <c r="AX698" s="443"/>
      <c r="AY698" s="443"/>
      <c r="AZ698" s="443"/>
      <c r="BA698" s="443"/>
      <c r="BB698" s="443"/>
      <c r="BC698" s="443"/>
      <c r="BD698" s="443"/>
      <c r="BE698" s="443"/>
    </row>
    <row r="699" hidden="1">
      <c r="A699" s="445">
        <f t="shared" si="5"/>
        <v>45989</v>
      </c>
      <c r="B699" s="449">
        <v>465.0</v>
      </c>
      <c r="C699" s="462">
        <v>0.6</v>
      </c>
      <c r="D699" s="462">
        <v>0.9006944444444445</v>
      </c>
      <c r="E699" s="436">
        <f t="array" ref="E699">IF(B699=0,"",(J699+K699)/60)</f>
        <v>0.75</v>
      </c>
      <c r="F699" s="437">
        <f t="shared" si="1"/>
        <v>7.216666667</v>
      </c>
      <c r="G699" s="438">
        <f t="shared" si="9"/>
        <v>64.43418014</v>
      </c>
      <c r="H699" s="438">
        <f t="shared" si="3"/>
        <v>71.90721649</v>
      </c>
      <c r="I699" s="436">
        <f t="shared" si="10"/>
        <v>1.342378753</v>
      </c>
      <c r="J699" s="460">
        <v>30.0</v>
      </c>
      <c r="K699" s="460">
        <v>15.0</v>
      </c>
      <c r="L699" s="443"/>
      <c r="M699" s="447">
        <f>IFERROR(__xludf.DUMMYFUNCTION("""COMPUTED_VALUE"""),57.0)</f>
        <v>57</v>
      </c>
      <c r="N699" s="447">
        <f>IFERROR(__xludf.DUMMYFUNCTION("""COMPUTED_VALUE"""),55.0)</f>
        <v>55</v>
      </c>
      <c r="O699" s="447">
        <f>IFERROR(__xludf.DUMMYFUNCTION("""COMPUTED_VALUE"""),0.0)</f>
        <v>0</v>
      </c>
      <c r="P699" s="447">
        <f>IFERROR(__xludf.DUMMYFUNCTION("""COMPUTED_VALUE"""),0.0)</f>
        <v>0</v>
      </c>
      <c r="Q699" s="447">
        <f>IFERROR(__xludf.DUMMYFUNCTION("""COMPUTED_VALUE"""),0.0)</f>
        <v>0</v>
      </c>
      <c r="R699" s="447">
        <f>IFERROR(__xludf.DUMMYFUNCTION("""COMPUTED_VALUE"""),0.0)</f>
        <v>0</v>
      </c>
      <c r="S699" s="447">
        <f>IFERROR(__xludf.DUMMYFUNCTION("""COMPUTED_VALUE"""),2.0)</f>
        <v>2</v>
      </c>
      <c r="T699" s="447">
        <f>IFERROR(__xludf.DUMMYFUNCTION("""COMPUTED_VALUE"""),1.0)</f>
        <v>1</v>
      </c>
      <c r="U699" s="447">
        <f>IFERROR(__xludf.DUMMYFUNCTION("""COMPUTED_VALUE"""),2.0)</f>
        <v>2</v>
      </c>
      <c r="V699" s="447">
        <f>IFERROR(__xludf.DUMMYFUNCTION("""COMPUTED_VALUE"""),1.0)</f>
        <v>1</v>
      </c>
      <c r="W699" s="447">
        <f>IFERROR(__xludf.DUMMYFUNCTION("""COMPUTED_VALUE"""),0.0)</f>
        <v>0</v>
      </c>
      <c r="X699" s="447">
        <f>IFERROR(__xludf.DUMMYFUNCTION("""COMPUTED_VALUE"""),1.0)</f>
        <v>1</v>
      </c>
      <c r="Y699" s="447">
        <f>IFERROR(__xludf.DUMMYFUNCTION("""COMPUTED_VALUE"""),0.0)</f>
        <v>0</v>
      </c>
      <c r="Z699" s="447">
        <f>IFERROR(__xludf.DUMMYFUNCTION("""COMPUTED_VALUE"""),0.0)</f>
        <v>0</v>
      </c>
      <c r="AA699" s="447">
        <f>IFERROR(__xludf.DUMMYFUNCTION("""COMPUTED_VALUE"""),0.0)</f>
        <v>0</v>
      </c>
      <c r="AB699" s="447">
        <f>IFERROR(__xludf.DUMMYFUNCTION("""COMPUTED_VALUE"""),0.0)</f>
        <v>0</v>
      </c>
      <c r="AC699" s="447">
        <f>IFERROR(__xludf.DUMMYFUNCTION("""COMPUTED_VALUE"""),0.0)</f>
        <v>0</v>
      </c>
      <c r="AD699" s="447">
        <f>IFERROR(__xludf.DUMMYFUNCTION("""COMPUTED_VALUE"""),48.0)</f>
        <v>48</v>
      </c>
      <c r="AE699" s="447">
        <f>IFERROR(__xludf.DUMMYFUNCTION("""COMPUTED_VALUE"""),7.0)</f>
        <v>7</v>
      </c>
      <c r="AF699" s="447">
        <f>IFERROR(__xludf.DUMMYFUNCTION("""COMPUTED_VALUE"""),2.0)</f>
        <v>2</v>
      </c>
      <c r="AG699" s="443" t="s">
        <v>140</v>
      </c>
      <c r="AH699" s="443" t="s">
        <v>961</v>
      </c>
      <c r="AI699" s="443"/>
      <c r="AJ699" s="443"/>
      <c r="AK699" s="443"/>
      <c r="AL699" s="443"/>
      <c r="AM699" s="443"/>
      <c r="AN699" s="443"/>
      <c r="AO699" s="443"/>
      <c r="AP699" s="443"/>
      <c r="AQ699" s="443"/>
      <c r="AR699" s="443"/>
      <c r="AS699" s="443"/>
      <c r="AT699" s="443"/>
      <c r="AU699" s="443"/>
      <c r="AV699" s="443"/>
      <c r="AW699" s="443"/>
      <c r="AX699" s="443"/>
      <c r="AY699" s="443"/>
      <c r="AZ699" s="443"/>
      <c r="BA699" s="443"/>
      <c r="BB699" s="443"/>
      <c r="BC699" s="443"/>
      <c r="BD699" s="443"/>
      <c r="BE699" s="443"/>
    </row>
    <row r="700" hidden="1">
      <c r="A700" s="445">
        <f t="shared" si="5"/>
        <v>45990</v>
      </c>
      <c r="B700" s="449">
        <v>416.0</v>
      </c>
      <c r="C700" s="462">
        <v>0.6416666666666667</v>
      </c>
      <c r="D700" s="462">
        <v>0.9118055555555555</v>
      </c>
      <c r="E700" s="436">
        <f t="array" ref="E700">IF(B700=0,"",(J700+K700)/60)</f>
        <v>0.8833333333</v>
      </c>
      <c r="F700" s="437">
        <f t="shared" si="1"/>
        <v>6.483333333</v>
      </c>
      <c r="G700" s="438">
        <f t="shared" si="9"/>
        <v>64.16452442</v>
      </c>
      <c r="H700" s="438">
        <f t="shared" si="3"/>
        <v>74.28571429</v>
      </c>
      <c r="I700" s="436">
        <f t="shared" si="10"/>
        <v>1.336760925</v>
      </c>
      <c r="J700" s="460">
        <v>30.0</v>
      </c>
      <c r="K700" s="460">
        <v>23.0</v>
      </c>
      <c r="L700" s="443"/>
      <c r="M700" s="447">
        <f>IFERROR(__xludf.DUMMYFUNCTION("""COMPUTED_VALUE"""),57.0)</f>
        <v>57</v>
      </c>
      <c r="N700" s="447">
        <f>IFERROR(__xludf.DUMMYFUNCTION("""COMPUTED_VALUE"""),55.0)</f>
        <v>55</v>
      </c>
      <c r="O700" s="447">
        <f>IFERROR(__xludf.DUMMYFUNCTION("""COMPUTED_VALUE"""),0.0)</f>
        <v>0</v>
      </c>
      <c r="P700" s="447">
        <f>IFERROR(__xludf.DUMMYFUNCTION("""COMPUTED_VALUE"""),0.0)</f>
        <v>0</v>
      </c>
      <c r="Q700" s="447">
        <f>IFERROR(__xludf.DUMMYFUNCTION("""COMPUTED_VALUE"""),0.0)</f>
        <v>0</v>
      </c>
      <c r="R700" s="447">
        <f>IFERROR(__xludf.DUMMYFUNCTION("""COMPUTED_VALUE"""),0.0)</f>
        <v>0</v>
      </c>
      <c r="S700" s="447">
        <f>IFERROR(__xludf.DUMMYFUNCTION("""COMPUTED_VALUE"""),3.0)</f>
        <v>3</v>
      </c>
      <c r="T700" s="447">
        <f>IFERROR(__xludf.DUMMYFUNCTION("""COMPUTED_VALUE"""),1.0)</f>
        <v>1</v>
      </c>
      <c r="U700" s="447">
        <f>IFERROR(__xludf.DUMMYFUNCTION("""COMPUTED_VALUE"""),2.0)</f>
        <v>2</v>
      </c>
      <c r="V700" s="447">
        <f>IFERROR(__xludf.DUMMYFUNCTION("""COMPUTED_VALUE"""),0.0)</f>
        <v>0</v>
      </c>
      <c r="W700" s="447">
        <f>IFERROR(__xludf.DUMMYFUNCTION("""COMPUTED_VALUE"""),0.0)</f>
        <v>0</v>
      </c>
      <c r="X700" s="447">
        <f>IFERROR(__xludf.DUMMYFUNCTION("""COMPUTED_VALUE"""),1.0)</f>
        <v>1</v>
      </c>
      <c r="Y700" s="447">
        <f>IFERROR(__xludf.DUMMYFUNCTION("""COMPUTED_VALUE"""),0.0)</f>
        <v>0</v>
      </c>
      <c r="Z700" s="447">
        <f>IFERROR(__xludf.DUMMYFUNCTION("""COMPUTED_VALUE"""),0.0)</f>
        <v>0</v>
      </c>
      <c r="AA700" s="447">
        <f>IFERROR(__xludf.DUMMYFUNCTION("""COMPUTED_VALUE"""),0.0)</f>
        <v>0</v>
      </c>
      <c r="AB700" s="447">
        <f>IFERROR(__xludf.DUMMYFUNCTION("""COMPUTED_VALUE"""),0.0)</f>
        <v>0</v>
      </c>
      <c r="AC700" s="447">
        <f>IFERROR(__xludf.DUMMYFUNCTION("""COMPUTED_VALUE"""),0.0)</f>
        <v>0</v>
      </c>
      <c r="AD700" s="447">
        <f>IFERROR(__xludf.DUMMYFUNCTION("""COMPUTED_VALUE"""),48.0)</f>
        <v>48</v>
      </c>
      <c r="AE700" s="447">
        <f>IFERROR(__xludf.DUMMYFUNCTION("""COMPUTED_VALUE"""),7.0)</f>
        <v>7</v>
      </c>
      <c r="AF700" s="447">
        <f>IFERROR(__xludf.DUMMYFUNCTION("""COMPUTED_VALUE"""),2.0)</f>
        <v>2</v>
      </c>
      <c r="AG700" s="443" t="s">
        <v>140</v>
      </c>
      <c r="AH700" s="443" t="s">
        <v>961</v>
      </c>
      <c r="AI700" s="443"/>
      <c r="AJ700" s="443"/>
      <c r="AK700" s="443"/>
      <c r="AL700" s="443"/>
      <c r="AM700" s="443"/>
      <c r="AN700" s="443"/>
      <c r="AO700" s="443"/>
      <c r="AP700" s="443"/>
      <c r="AQ700" s="443"/>
      <c r="AR700" s="443"/>
      <c r="AS700" s="443"/>
      <c r="AT700" s="443"/>
      <c r="AU700" s="443"/>
      <c r="AV700" s="443"/>
      <c r="AW700" s="443"/>
      <c r="AX700" s="443"/>
      <c r="AY700" s="443"/>
      <c r="AZ700" s="443"/>
      <c r="BA700" s="443"/>
      <c r="BB700" s="443"/>
      <c r="BC700" s="443"/>
      <c r="BD700" s="443"/>
      <c r="BE700" s="443"/>
    </row>
    <row r="701" hidden="1">
      <c r="A701" s="445">
        <f t="shared" si="5"/>
        <v>45991</v>
      </c>
      <c r="B701" s="449">
        <v>0.0</v>
      </c>
      <c r="C701" s="462"/>
      <c r="D701" s="462"/>
      <c r="E701" s="436" t="str">
        <f t="array" ref="E701">IF(B701=0,"",(J701+K701)/60)</f>
        <v/>
      </c>
      <c r="F701" s="437" t="str">
        <f t="shared" si="1"/>
        <v/>
      </c>
      <c r="G701" s="438" t="str">
        <f t="shared" si="9"/>
        <v>#DIV/0!</v>
      </c>
      <c r="H701" s="438" t="str">
        <f t="shared" si="3"/>
        <v/>
      </c>
      <c r="I701" s="436" t="str">
        <f t="shared" si="10"/>
        <v/>
      </c>
      <c r="J701" s="460"/>
      <c r="K701" s="464"/>
      <c r="L701" s="443"/>
      <c r="M701" s="447">
        <f>IFERROR(__xludf.DUMMYFUNCTION("""COMPUTED_VALUE"""),57.0)</f>
        <v>57</v>
      </c>
      <c r="N701" s="447">
        <f>IFERROR(__xludf.DUMMYFUNCTION("""COMPUTED_VALUE"""),57.0)</f>
        <v>57</v>
      </c>
      <c r="O701" s="447">
        <f>IFERROR(__xludf.DUMMYFUNCTION("""COMPUTED_VALUE"""),0.0)</f>
        <v>0</v>
      </c>
      <c r="P701" s="447">
        <f>IFERROR(__xludf.DUMMYFUNCTION("""COMPUTED_VALUE"""),0.0)</f>
        <v>0</v>
      </c>
      <c r="Q701" s="447">
        <f>IFERROR(__xludf.DUMMYFUNCTION("""COMPUTED_VALUE"""),0.0)</f>
        <v>0</v>
      </c>
      <c r="R701" s="447">
        <f>IFERROR(__xludf.DUMMYFUNCTION("""COMPUTED_VALUE"""),0.0)</f>
        <v>0</v>
      </c>
      <c r="S701" s="447">
        <f>IFERROR(__xludf.DUMMYFUNCTION("""COMPUTED_VALUE"""),0.0)</f>
        <v>0</v>
      </c>
      <c r="T701" s="447">
        <f>IFERROR(__xludf.DUMMYFUNCTION("""COMPUTED_VALUE"""),0.0)</f>
        <v>0</v>
      </c>
      <c r="U701" s="447">
        <f>IFERROR(__xludf.DUMMYFUNCTION("""COMPUTED_VALUE"""),0.0)</f>
        <v>0</v>
      </c>
      <c r="V701" s="447">
        <f>IFERROR(__xludf.DUMMYFUNCTION("""COMPUTED_VALUE"""),0.0)</f>
        <v>0</v>
      </c>
      <c r="W701" s="447">
        <f>IFERROR(__xludf.DUMMYFUNCTION("""COMPUTED_VALUE"""),0.0)</f>
        <v>0</v>
      </c>
      <c r="X701" s="447">
        <f>IFERROR(__xludf.DUMMYFUNCTION("""COMPUTED_VALUE"""),0.0)</f>
        <v>0</v>
      </c>
      <c r="Y701" s="447">
        <f>IFERROR(__xludf.DUMMYFUNCTION("""COMPUTED_VALUE"""),0.0)</f>
        <v>0</v>
      </c>
      <c r="Z701" s="447">
        <f>IFERROR(__xludf.DUMMYFUNCTION("""COMPUTED_VALUE"""),0.0)</f>
        <v>0</v>
      </c>
      <c r="AA701" s="447">
        <f>IFERROR(__xludf.DUMMYFUNCTION("""COMPUTED_VALUE"""),0.0)</f>
        <v>0</v>
      </c>
      <c r="AB701" s="447">
        <f>IFERROR(__xludf.DUMMYFUNCTION("""COMPUTED_VALUE"""),0.0)</f>
        <v>0</v>
      </c>
      <c r="AC701" s="447">
        <f>IFERROR(__xludf.DUMMYFUNCTION("""COMPUTED_VALUE"""),0.0)</f>
        <v>0</v>
      </c>
      <c r="AD701" s="447">
        <f>IFERROR(__xludf.DUMMYFUNCTION("""COMPUTED_VALUE"""),0.0)</f>
        <v>0</v>
      </c>
      <c r="AE701" s="447">
        <f>IFERROR(__xludf.DUMMYFUNCTION("""COMPUTED_VALUE"""),0.0)</f>
        <v>0</v>
      </c>
      <c r="AF701" s="447">
        <f>IFERROR(__xludf.DUMMYFUNCTION("""COMPUTED_VALUE"""),0.0)</f>
        <v>0</v>
      </c>
      <c r="AG701" s="443" t="s">
        <v>140</v>
      </c>
      <c r="AH701" s="443" t="s">
        <v>961</v>
      </c>
      <c r="AI701" s="443"/>
      <c r="AJ701" s="443"/>
      <c r="AK701" s="443"/>
      <c r="AL701" s="443"/>
      <c r="AM701" s="443"/>
      <c r="AN701" s="443"/>
      <c r="AO701" s="443"/>
      <c r="AP701" s="443"/>
      <c r="AQ701" s="443"/>
      <c r="AR701" s="443"/>
      <c r="AS701" s="443"/>
      <c r="AT701" s="443"/>
      <c r="AU701" s="443"/>
      <c r="AV701" s="443"/>
      <c r="AW701" s="443"/>
      <c r="AX701" s="443"/>
      <c r="AY701" s="443"/>
      <c r="AZ701" s="443"/>
      <c r="BA701" s="443"/>
      <c r="BB701" s="443"/>
      <c r="BC701" s="443"/>
      <c r="BD701" s="443"/>
      <c r="BE701" s="443"/>
    </row>
    <row r="702" hidden="1">
      <c r="A702" s="445">
        <f t="shared" si="5"/>
        <v>45992</v>
      </c>
      <c r="B702" s="449">
        <v>629.0</v>
      </c>
      <c r="C702" s="462">
        <v>0.6</v>
      </c>
      <c r="D702" s="462">
        <v>1.0465277777777777</v>
      </c>
      <c r="E702" s="436">
        <f t="array" ref="E702">IF(B702=0,"",(J702+K702)/60)</f>
        <v>1.833333333</v>
      </c>
      <c r="F702" s="437">
        <f t="shared" si="1"/>
        <v>10.71666667</v>
      </c>
      <c r="G702" s="438">
        <f t="shared" si="9"/>
        <v>58.69362364</v>
      </c>
      <c r="H702" s="438">
        <f t="shared" si="3"/>
        <v>70.80675422</v>
      </c>
      <c r="I702" s="436">
        <f t="shared" si="10"/>
        <v>1.197829054</v>
      </c>
      <c r="J702" s="460">
        <v>60.0</v>
      </c>
      <c r="K702" s="460">
        <v>50.0</v>
      </c>
      <c r="L702" s="443"/>
      <c r="M702" s="447">
        <f>IFERROR(__xludf.DUMMYFUNCTION("TRANSPOSE(IMPORTRANGE(""https://docs.google.com/spreadsheets/d/1CNeKSHTeNNJnfn5EymHwGg5Mkuk6EcepW7_9QkJxalc/edit#gid=1218471306"",""DICIEMBRE 2025!F2:AI21""))"),57.0)</f>
        <v>57</v>
      </c>
      <c r="N702" s="447">
        <f>IFERROR(__xludf.DUMMYFUNCTION("""COMPUTED_VALUE"""),55.0)</f>
        <v>55</v>
      </c>
      <c r="O702" s="447">
        <f>IFERROR(__xludf.DUMMYFUNCTION("""COMPUTED_VALUE"""),0.0)</f>
        <v>0</v>
      </c>
      <c r="P702" s="447">
        <f>IFERROR(__xludf.DUMMYFUNCTION("""COMPUTED_VALUE"""),0.0)</f>
        <v>0</v>
      </c>
      <c r="Q702" s="447">
        <f>IFERROR(__xludf.DUMMYFUNCTION("""COMPUTED_VALUE"""),0.0)</f>
        <v>0</v>
      </c>
      <c r="R702" s="447">
        <f>IFERROR(__xludf.DUMMYFUNCTION("""COMPUTED_VALUE"""),0.0)</f>
        <v>0</v>
      </c>
      <c r="S702" s="447">
        <f>IFERROR(__xludf.DUMMYFUNCTION("""COMPUTED_VALUE"""),3.0)</f>
        <v>3</v>
      </c>
      <c r="T702" s="447">
        <f>IFERROR(__xludf.DUMMYFUNCTION("""COMPUTED_VALUE"""),0.0)</f>
        <v>0</v>
      </c>
      <c r="U702" s="447">
        <f>IFERROR(__xludf.DUMMYFUNCTION("""COMPUTED_VALUE"""),2.0)</f>
        <v>2</v>
      </c>
      <c r="V702" s="447">
        <f>IFERROR(__xludf.DUMMYFUNCTION("""COMPUTED_VALUE"""),0.0)</f>
        <v>0</v>
      </c>
      <c r="W702" s="447">
        <f>IFERROR(__xludf.DUMMYFUNCTION("""COMPUTED_VALUE"""),0.0)</f>
        <v>0</v>
      </c>
      <c r="X702" s="447">
        <f>IFERROR(__xludf.DUMMYFUNCTION("""COMPUTED_VALUE"""),1.0)</f>
        <v>1</v>
      </c>
      <c r="Y702" s="447">
        <f>IFERROR(__xludf.DUMMYFUNCTION("""COMPUTED_VALUE"""),0.0)</f>
        <v>0</v>
      </c>
      <c r="Z702" s="447">
        <f>IFERROR(__xludf.DUMMYFUNCTION("""COMPUTED_VALUE"""),0.0)</f>
        <v>0</v>
      </c>
      <c r="AA702" s="447">
        <f>IFERROR(__xludf.DUMMYFUNCTION("""COMPUTED_VALUE"""),0.0)</f>
        <v>0</v>
      </c>
      <c r="AB702" s="447">
        <f>IFERROR(__xludf.DUMMYFUNCTION("""COMPUTED_VALUE"""),0.0)</f>
        <v>0</v>
      </c>
      <c r="AC702" s="447">
        <f>IFERROR(__xludf.DUMMYFUNCTION("""COMPUTED_VALUE"""),0.0)</f>
        <v>0</v>
      </c>
      <c r="AD702" s="447">
        <f>IFERROR(__xludf.DUMMYFUNCTION("""COMPUTED_VALUE"""),49.0)</f>
        <v>49</v>
      </c>
      <c r="AE702" s="447">
        <f>IFERROR(__xludf.DUMMYFUNCTION("""COMPUTED_VALUE"""),6.0)</f>
        <v>6</v>
      </c>
      <c r="AF702" s="447">
        <f>IFERROR(__xludf.DUMMYFUNCTION("""COMPUTED_VALUE"""),2.0)</f>
        <v>2</v>
      </c>
      <c r="AG702" s="443" t="s">
        <v>148</v>
      </c>
      <c r="AH702" s="443" t="s">
        <v>961</v>
      </c>
      <c r="AI702" s="443"/>
      <c r="AJ702" s="443"/>
      <c r="AK702" s="443"/>
      <c r="AL702" s="443"/>
      <c r="AM702" s="443"/>
      <c r="AN702" s="443"/>
      <c r="AO702" s="443"/>
      <c r="AP702" s="443"/>
      <c r="AQ702" s="443"/>
      <c r="AR702" s="443"/>
      <c r="AS702" s="443"/>
      <c r="AT702" s="443"/>
      <c r="AU702" s="443"/>
      <c r="AV702" s="443"/>
      <c r="AW702" s="443"/>
      <c r="AX702" s="443"/>
      <c r="AY702" s="443"/>
      <c r="AZ702" s="443"/>
      <c r="BA702" s="443"/>
      <c r="BB702" s="443"/>
      <c r="BC702" s="443"/>
      <c r="BD702" s="443"/>
      <c r="BE702" s="443"/>
    </row>
    <row r="703" hidden="1">
      <c r="A703" s="445">
        <f t="shared" si="5"/>
        <v>45993</v>
      </c>
      <c r="B703" s="449">
        <v>639.0</v>
      </c>
      <c r="C703" s="462">
        <v>0.6</v>
      </c>
      <c r="D703" s="462">
        <v>0.9833333333333333</v>
      </c>
      <c r="E703" s="436">
        <f t="array" ref="E703">IF(B703=0,"",(J703+K703)/60)</f>
        <v>1</v>
      </c>
      <c r="F703" s="437">
        <f t="shared" si="1"/>
        <v>9.2</v>
      </c>
      <c r="G703" s="438">
        <f t="shared" si="9"/>
        <v>69.45652174</v>
      </c>
      <c r="H703" s="438">
        <f t="shared" si="3"/>
        <v>77.92682927</v>
      </c>
      <c r="I703" s="436">
        <f t="shared" si="10"/>
        <v>1.389130435</v>
      </c>
      <c r="J703" s="460">
        <v>60.0</v>
      </c>
      <c r="K703" s="464"/>
      <c r="L703" s="443"/>
      <c r="M703" s="447">
        <f>IFERROR(__xludf.DUMMYFUNCTION("""COMPUTED_VALUE"""),57.0)</f>
        <v>57</v>
      </c>
      <c r="N703" s="447">
        <f>IFERROR(__xludf.DUMMYFUNCTION("""COMPUTED_VALUE"""),55.0)</f>
        <v>55</v>
      </c>
      <c r="O703" s="447">
        <f>IFERROR(__xludf.DUMMYFUNCTION("""COMPUTED_VALUE"""),0.0)</f>
        <v>0</v>
      </c>
      <c r="P703" s="447">
        <f>IFERROR(__xludf.DUMMYFUNCTION("""COMPUTED_VALUE"""),0.0)</f>
        <v>0</v>
      </c>
      <c r="Q703" s="447">
        <f>IFERROR(__xludf.DUMMYFUNCTION("""COMPUTED_VALUE"""),0.0)</f>
        <v>0</v>
      </c>
      <c r="R703" s="447">
        <f>IFERROR(__xludf.DUMMYFUNCTION("""COMPUTED_VALUE"""),0.0)</f>
        <v>0</v>
      </c>
      <c r="S703" s="447">
        <f>IFERROR(__xludf.DUMMYFUNCTION("""COMPUTED_VALUE"""),2.0)</f>
        <v>2</v>
      </c>
      <c r="T703" s="447">
        <f>IFERROR(__xludf.DUMMYFUNCTION("""COMPUTED_VALUE"""),0.0)</f>
        <v>0</v>
      </c>
      <c r="U703" s="447">
        <f>IFERROR(__xludf.DUMMYFUNCTION("""COMPUTED_VALUE"""),2.0)</f>
        <v>2</v>
      </c>
      <c r="V703" s="447">
        <f>IFERROR(__xludf.DUMMYFUNCTION("""COMPUTED_VALUE"""),0.0)</f>
        <v>0</v>
      </c>
      <c r="W703" s="447">
        <f>IFERROR(__xludf.DUMMYFUNCTION("""COMPUTED_VALUE"""),0.0)</f>
        <v>0</v>
      </c>
      <c r="X703" s="447">
        <f>IFERROR(__xludf.DUMMYFUNCTION("""COMPUTED_VALUE"""),1.0)</f>
        <v>1</v>
      </c>
      <c r="Y703" s="447">
        <f>IFERROR(__xludf.DUMMYFUNCTION("""COMPUTED_VALUE"""),0.0)</f>
        <v>0</v>
      </c>
      <c r="Z703" s="447">
        <f>IFERROR(__xludf.DUMMYFUNCTION("""COMPUTED_VALUE"""),0.0)</f>
        <v>0</v>
      </c>
      <c r="AA703" s="447">
        <f>IFERROR(__xludf.DUMMYFUNCTION("""COMPUTED_VALUE"""),0.0)</f>
        <v>0</v>
      </c>
      <c r="AB703" s="447">
        <f>IFERROR(__xludf.DUMMYFUNCTION("""COMPUTED_VALUE"""),0.0)</f>
        <v>0</v>
      </c>
      <c r="AC703" s="447">
        <f>IFERROR(__xludf.DUMMYFUNCTION("""COMPUTED_VALUE"""),0.0)</f>
        <v>0</v>
      </c>
      <c r="AD703" s="447">
        <f>IFERROR(__xludf.DUMMYFUNCTION("""COMPUTED_VALUE"""),50.0)</f>
        <v>50</v>
      </c>
      <c r="AE703" s="447">
        <f>IFERROR(__xludf.DUMMYFUNCTION("""COMPUTED_VALUE"""),5.0)</f>
        <v>5</v>
      </c>
      <c r="AF703" s="447">
        <f>IFERROR(__xludf.DUMMYFUNCTION("""COMPUTED_VALUE"""),2.0)</f>
        <v>2</v>
      </c>
      <c r="AG703" s="443" t="s">
        <v>148</v>
      </c>
      <c r="AH703" s="443" t="s">
        <v>961</v>
      </c>
      <c r="AI703" s="443"/>
      <c r="AJ703" s="443"/>
      <c r="AK703" s="443"/>
      <c r="AL703" s="443"/>
      <c r="AM703" s="443"/>
      <c r="AN703" s="443"/>
      <c r="AO703" s="443"/>
      <c r="AP703" s="443"/>
      <c r="AQ703" s="443"/>
      <c r="AR703" s="443"/>
      <c r="AS703" s="443"/>
      <c r="AT703" s="443"/>
      <c r="AU703" s="443"/>
      <c r="AV703" s="443"/>
      <c r="AW703" s="443"/>
      <c r="AX703" s="443"/>
      <c r="AY703" s="443"/>
      <c r="AZ703" s="443"/>
      <c r="BA703" s="443"/>
      <c r="BB703" s="443"/>
      <c r="BC703" s="443"/>
      <c r="BD703" s="443"/>
      <c r="BE703" s="443"/>
    </row>
    <row r="704" hidden="1">
      <c r="A704" s="445">
        <f t="shared" si="5"/>
        <v>45994</v>
      </c>
      <c r="B704" s="449">
        <v>473.0</v>
      </c>
      <c r="C704" s="462">
        <v>0.6</v>
      </c>
      <c r="D704" s="462">
        <v>0.9173611111111111</v>
      </c>
      <c r="E704" s="436">
        <f t="array" ref="E704">IF(B704=0,"",(J704+K704)/60)</f>
        <v>1.183333333</v>
      </c>
      <c r="F704" s="437">
        <f t="shared" si="1"/>
        <v>7.616666667</v>
      </c>
      <c r="G704" s="438">
        <f t="shared" si="9"/>
        <v>62.10065646</v>
      </c>
      <c r="H704" s="438">
        <f t="shared" si="3"/>
        <v>73.52331606</v>
      </c>
      <c r="I704" s="436">
        <f t="shared" si="10"/>
        <v>1.242013129</v>
      </c>
      <c r="J704" s="460">
        <v>30.0</v>
      </c>
      <c r="K704" s="464">
        <f>18+4+7+7+5</f>
        <v>41</v>
      </c>
      <c r="L704" s="443"/>
      <c r="M704" s="447">
        <f>IFERROR(__xludf.DUMMYFUNCTION("""COMPUTED_VALUE"""),57.0)</f>
        <v>57</v>
      </c>
      <c r="N704" s="447">
        <f>IFERROR(__xludf.DUMMYFUNCTION("""COMPUTED_VALUE"""),55.0)</f>
        <v>55</v>
      </c>
      <c r="O704" s="447">
        <f>IFERROR(__xludf.DUMMYFUNCTION("""COMPUTED_VALUE"""),0.0)</f>
        <v>0</v>
      </c>
      <c r="P704" s="447">
        <f>IFERROR(__xludf.DUMMYFUNCTION("""COMPUTED_VALUE"""),0.0)</f>
        <v>0</v>
      </c>
      <c r="Q704" s="447">
        <f>IFERROR(__xludf.DUMMYFUNCTION("""COMPUTED_VALUE"""),0.0)</f>
        <v>0</v>
      </c>
      <c r="R704" s="447">
        <f>IFERROR(__xludf.DUMMYFUNCTION("""COMPUTED_VALUE"""),0.0)</f>
        <v>0</v>
      </c>
      <c r="S704" s="447">
        <f>IFERROR(__xludf.DUMMYFUNCTION("""COMPUTED_VALUE"""),2.0)</f>
        <v>2</v>
      </c>
      <c r="T704" s="447">
        <f>IFERROR(__xludf.DUMMYFUNCTION("""COMPUTED_VALUE"""),0.0)</f>
        <v>0</v>
      </c>
      <c r="U704" s="447">
        <f>IFERROR(__xludf.DUMMYFUNCTION("""COMPUTED_VALUE"""),2.0)</f>
        <v>2</v>
      </c>
      <c r="V704" s="447">
        <f>IFERROR(__xludf.DUMMYFUNCTION("""COMPUTED_VALUE"""),0.0)</f>
        <v>0</v>
      </c>
      <c r="W704" s="447">
        <f>IFERROR(__xludf.DUMMYFUNCTION("""COMPUTED_VALUE"""),0.0)</f>
        <v>0</v>
      </c>
      <c r="X704" s="447">
        <f>IFERROR(__xludf.DUMMYFUNCTION("""COMPUTED_VALUE"""),1.0)</f>
        <v>1</v>
      </c>
      <c r="Y704" s="447">
        <f>IFERROR(__xludf.DUMMYFUNCTION("""COMPUTED_VALUE"""),0.0)</f>
        <v>0</v>
      </c>
      <c r="Z704" s="447">
        <f>IFERROR(__xludf.DUMMYFUNCTION("""COMPUTED_VALUE"""),0.0)</f>
        <v>0</v>
      </c>
      <c r="AA704" s="447">
        <f>IFERROR(__xludf.DUMMYFUNCTION("""COMPUTED_VALUE"""),0.0)</f>
        <v>0</v>
      </c>
      <c r="AB704" s="447">
        <f>IFERROR(__xludf.DUMMYFUNCTION("""COMPUTED_VALUE"""),0.0)</f>
        <v>0</v>
      </c>
      <c r="AC704" s="447">
        <f>IFERROR(__xludf.DUMMYFUNCTION("""COMPUTED_VALUE"""),0.0)</f>
        <v>0</v>
      </c>
      <c r="AD704" s="447">
        <f>IFERROR(__xludf.DUMMYFUNCTION("""COMPUTED_VALUE"""),50.0)</f>
        <v>50</v>
      </c>
      <c r="AE704" s="447">
        <f>IFERROR(__xludf.DUMMYFUNCTION("""COMPUTED_VALUE"""),5.0)</f>
        <v>5</v>
      </c>
      <c r="AF704" s="447">
        <f>IFERROR(__xludf.DUMMYFUNCTION("""COMPUTED_VALUE"""),2.0)</f>
        <v>2</v>
      </c>
      <c r="AG704" s="443" t="s">
        <v>148</v>
      </c>
      <c r="AH704" s="443" t="s">
        <v>961</v>
      </c>
      <c r="AI704" s="443"/>
      <c r="AJ704" s="443"/>
      <c r="AK704" s="443"/>
      <c r="AL704" s="443"/>
      <c r="AM704" s="443"/>
      <c r="AN704" s="443"/>
      <c r="AO704" s="443"/>
      <c r="AP704" s="443"/>
      <c r="AQ704" s="443"/>
      <c r="AR704" s="443"/>
      <c r="AS704" s="443"/>
      <c r="AT704" s="443"/>
      <c r="AU704" s="443"/>
      <c r="AV704" s="443"/>
      <c r="AW704" s="443"/>
      <c r="AX704" s="443"/>
      <c r="AY704" s="443"/>
      <c r="AZ704" s="443"/>
      <c r="BA704" s="443"/>
      <c r="BB704" s="443"/>
      <c r="BC704" s="443"/>
      <c r="BD704" s="443"/>
      <c r="BE704" s="443"/>
    </row>
    <row r="705" hidden="1">
      <c r="A705" s="445">
        <f t="shared" si="5"/>
        <v>45995</v>
      </c>
      <c r="B705" s="449">
        <v>530.0</v>
      </c>
      <c r="C705" s="462">
        <v>0.6</v>
      </c>
      <c r="D705" s="462">
        <v>0.9638888888888889</v>
      </c>
      <c r="E705" s="436">
        <f t="array" ref="E705">IF(B705=0,"",(J705+K705)/60)</f>
        <v>1.883333333</v>
      </c>
      <c r="F705" s="437">
        <f t="shared" si="1"/>
        <v>8.733333333</v>
      </c>
      <c r="G705" s="438">
        <f t="shared" si="9"/>
        <v>60.6870229</v>
      </c>
      <c r="H705" s="438">
        <f t="shared" si="3"/>
        <v>77.37226277</v>
      </c>
      <c r="I705" s="436">
        <f t="shared" si="10"/>
        <v>1.238510671</v>
      </c>
      <c r="J705" s="460">
        <v>30.0</v>
      </c>
      <c r="K705" s="464">
        <f>77+6</f>
        <v>83</v>
      </c>
      <c r="L705" s="443"/>
      <c r="M705" s="447">
        <f>IFERROR(__xludf.DUMMYFUNCTION("""COMPUTED_VALUE"""),57.0)</f>
        <v>57</v>
      </c>
      <c r="N705" s="447">
        <f>IFERROR(__xludf.DUMMYFUNCTION("""COMPUTED_VALUE"""),55.0)</f>
        <v>55</v>
      </c>
      <c r="O705" s="447">
        <f>IFERROR(__xludf.DUMMYFUNCTION("""COMPUTED_VALUE"""),0.0)</f>
        <v>0</v>
      </c>
      <c r="P705" s="447">
        <f>IFERROR(__xludf.DUMMYFUNCTION("""COMPUTED_VALUE"""),0.0)</f>
        <v>0</v>
      </c>
      <c r="Q705" s="447">
        <f>IFERROR(__xludf.DUMMYFUNCTION("""COMPUTED_VALUE"""),0.0)</f>
        <v>0</v>
      </c>
      <c r="R705" s="447">
        <f>IFERROR(__xludf.DUMMYFUNCTION("""COMPUTED_VALUE"""),0.0)</f>
        <v>0</v>
      </c>
      <c r="S705" s="447">
        <f>IFERROR(__xludf.DUMMYFUNCTION("""COMPUTED_VALUE"""),2.0)</f>
        <v>2</v>
      </c>
      <c r="T705" s="447">
        <f>IFERROR(__xludf.DUMMYFUNCTION("""COMPUTED_VALUE"""),0.0)</f>
        <v>0</v>
      </c>
      <c r="U705" s="447">
        <f>IFERROR(__xludf.DUMMYFUNCTION("""COMPUTED_VALUE"""),2.0)</f>
        <v>2</v>
      </c>
      <c r="V705" s="447">
        <f>IFERROR(__xludf.DUMMYFUNCTION("""COMPUTED_VALUE"""),0.0)</f>
        <v>0</v>
      </c>
      <c r="W705" s="447">
        <f>IFERROR(__xludf.DUMMYFUNCTION("""COMPUTED_VALUE"""),0.0)</f>
        <v>0</v>
      </c>
      <c r="X705" s="447">
        <f>IFERROR(__xludf.DUMMYFUNCTION("""COMPUTED_VALUE"""),1.0)</f>
        <v>1</v>
      </c>
      <c r="Y705" s="447">
        <f>IFERROR(__xludf.DUMMYFUNCTION("""COMPUTED_VALUE"""),0.0)</f>
        <v>0</v>
      </c>
      <c r="Z705" s="447">
        <f>IFERROR(__xludf.DUMMYFUNCTION("""COMPUTED_VALUE"""),0.0)</f>
        <v>0</v>
      </c>
      <c r="AA705" s="447">
        <f>IFERROR(__xludf.DUMMYFUNCTION("""COMPUTED_VALUE"""),0.0)</f>
        <v>0</v>
      </c>
      <c r="AB705" s="447">
        <f>IFERROR(__xludf.DUMMYFUNCTION("""COMPUTED_VALUE"""),0.0)</f>
        <v>0</v>
      </c>
      <c r="AC705" s="447">
        <f>IFERROR(__xludf.DUMMYFUNCTION("""COMPUTED_VALUE"""),1.0)</f>
        <v>1</v>
      </c>
      <c r="AD705" s="447">
        <f>IFERROR(__xludf.DUMMYFUNCTION("""COMPUTED_VALUE"""),49.0)</f>
        <v>49</v>
      </c>
      <c r="AE705" s="447">
        <f>IFERROR(__xludf.DUMMYFUNCTION("""COMPUTED_VALUE"""),6.0)</f>
        <v>6</v>
      </c>
      <c r="AF705" s="447">
        <f>IFERROR(__xludf.DUMMYFUNCTION("""COMPUTED_VALUE"""),2.0)</f>
        <v>2</v>
      </c>
      <c r="AG705" s="443" t="s">
        <v>148</v>
      </c>
      <c r="AH705" s="443" t="s">
        <v>961</v>
      </c>
      <c r="AI705" s="443"/>
      <c r="AJ705" s="443"/>
      <c r="AK705" s="443"/>
      <c r="AL705" s="443"/>
      <c r="AM705" s="443"/>
      <c r="AN705" s="443"/>
      <c r="AO705" s="443"/>
      <c r="AP705" s="443"/>
      <c r="AQ705" s="443"/>
      <c r="AR705" s="443"/>
      <c r="AS705" s="443"/>
      <c r="AT705" s="443"/>
      <c r="AU705" s="443"/>
      <c r="AV705" s="443"/>
      <c r="AW705" s="443"/>
      <c r="AX705" s="443"/>
      <c r="AY705" s="443"/>
      <c r="AZ705" s="443"/>
      <c r="BA705" s="443"/>
      <c r="BB705" s="443"/>
      <c r="BC705" s="443"/>
      <c r="BD705" s="443"/>
      <c r="BE705" s="443"/>
    </row>
    <row r="706" hidden="1">
      <c r="A706" s="445">
        <f t="shared" si="5"/>
        <v>45996</v>
      </c>
      <c r="B706" s="449">
        <v>702.0</v>
      </c>
      <c r="C706" s="462">
        <v>0.6</v>
      </c>
      <c r="D706" s="462">
        <v>1.0055555555555555</v>
      </c>
      <c r="E706" s="436">
        <f t="array" ref="E706">IF(B706=0,"",(J706+K706)/60)</f>
        <v>1</v>
      </c>
      <c r="F706" s="437">
        <f t="shared" si="1"/>
        <v>9.733333333</v>
      </c>
      <c r="G706" s="438">
        <f t="shared" si="9"/>
        <v>72.12328767</v>
      </c>
      <c r="H706" s="438">
        <f t="shared" si="3"/>
        <v>80.38167939</v>
      </c>
      <c r="I706" s="436">
        <f t="shared" si="10"/>
        <v>1.502568493</v>
      </c>
      <c r="J706" s="460">
        <v>60.0</v>
      </c>
      <c r="K706" s="464"/>
      <c r="L706" s="443"/>
      <c r="M706" s="447">
        <f>IFERROR(__xludf.DUMMYFUNCTION("""COMPUTED_VALUE"""),57.0)</f>
        <v>57</v>
      </c>
      <c r="N706" s="447">
        <f>IFERROR(__xludf.DUMMYFUNCTION("""COMPUTED_VALUE"""),55.0)</f>
        <v>55</v>
      </c>
      <c r="O706" s="447">
        <f>IFERROR(__xludf.DUMMYFUNCTION("""COMPUTED_VALUE"""),0.0)</f>
        <v>0</v>
      </c>
      <c r="P706" s="447">
        <f>IFERROR(__xludf.DUMMYFUNCTION("""COMPUTED_VALUE"""),0.0)</f>
        <v>0</v>
      </c>
      <c r="Q706" s="447">
        <f>IFERROR(__xludf.DUMMYFUNCTION("""COMPUTED_VALUE"""),0.0)</f>
        <v>0</v>
      </c>
      <c r="R706" s="447">
        <f>IFERROR(__xludf.DUMMYFUNCTION("""COMPUTED_VALUE"""),0.0)</f>
        <v>0</v>
      </c>
      <c r="S706" s="447">
        <f>IFERROR(__xludf.DUMMYFUNCTION("""COMPUTED_VALUE"""),3.0)</f>
        <v>3</v>
      </c>
      <c r="T706" s="447">
        <f>IFERROR(__xludf.DUMMYFUNCTION("""COMPUTED_VALUE"""),0.0)</f>
        <v>0</v>
      </c>
      <c r="U706" s="447">
        <f>IFERROR(__xludf.DUMMYFUNCTION("""COMPUTED_VALUE"""),2.0)</f>
        <v>2</v>
      </c>
      <c r="V706" s="447">
        <f>IFERROR(__xludf.DUMMYFUNCTION("""COMPUTED_VALUE"""),0.0)</f>
        <v>0</v>
      </c>
      <c r="W706" s="447">
        <f>IFERROR(__xludf.DUMMYFUNCTION("""COMPUTED_VALUE"""),0.0)</f>
        <v>0</v>
      </c>
      <c r="X706" s="447">
        <f>IFERROR(__xludf.DUMMYFUNCTION("""COMPUTED_VALUE"""),1.0)</f>
        <v>1</v>
      </c>
      <c r="Y706" s="447">
        <f>IFERROR(__xludf.DUMMYFUNCTION("""COMPUTED_VALUE"""),0.0)</f>
        <v>0</v>
      </c>
      <c r="Z706" s="447">
        <f>IFERROR(__xludf.DUMMYFUNCTION("""COMPUTED_VALUE"""),0.0)</f>
        <v>0</v>
      </c>
      <c r="AA706" s="447">
        <f>IFERROR(__xludf.DUMMYFUNCTION("""COMPUTED_VALUE"""),0.0)</f>
        <v>0</v>
      </c>
      <c r="AB706" s="447">
        <f>IFERROR(__xludf.DUMMYFUNCTION("""COMPUTED_VALUE"""),0.0)</f>
        <v>0</v>
      </c>
      <c r="AC706" s="447">
        <f>IFERROR(__xludf.DUMMYFUNCTION("""COMPUTED_VALUE"""),1.0)</f>
        <v>1</v>
      </c>
      <c r="AD706" s="447">
        <f>IFERROR(__xludf.DUMMYFUNCTION("""COMPUTED_VALUE"""),48.0)</f>
        <v>48</v>
      </c>
      <c r="AE706" s="447">
        <f>IFERROR(__xludf.DUMMYFUNCTION("""COMPUTED_VALUE"""),7.0)</f>
        <v>7</v>
      </c>
      <c r="AF706" s="447">
        <f>IFERROR(__xludf.DUMMYFUNCTION("""COMPUTED_VALUE"""),2.0)</f>
        <v>2</v>
      </c>
      <c r="AG706" s="443" t="s">
        <v>148</v>
      </c>
      <c r="AH706" s="443" t="s">
        <v>961</v>
      </c>
      <c r="AI706" s="443"/>
      <c r="AJ706" s="443"/>
      <c r="AK706" s="443"/>
      <c r="AL706" s="443"/>
      <c r="AM706" s="443"/>
      <c r="AN706" s="443"/>
      <c r="AO706" s="443"/>
      <c r="AP706" s="443"/>
      <c r="AQ706" s="443"/>
      <c r="AR706" s="443"/>
      <c r="AS706" s="443"/>
      <c r="AT706" s="443"/>
      <c r="AU706" s="443"/>
      <c r="AV706" s="443"/>
      <c r="AW706" s="443"/>
      <c r="AX706" s="443"/>
      <c r="AY706" s="443"/>
      <c r="AZ706" s="443"/>
      <c r="BA706" s="443"/>
      <c r="BB706" s="443"/>
      <c r="BC706" s="443"/>
      <c r="BD706" s="443"/>
      <c r="BE706" s="443"/>
    </row>
    <row r="707" hidden="1">
      <c r="A707" s="445">
        <f t="shared" si="5"/>
        <v>45997</v>
      </c>
      <c r="B707" s="449">
        <v>380.0</v>
      </c>
      <c r="C707" s="462">
        <v>0.6</v>
      </c>
      <c r="D707" s="462">
        <v>0.8291666666666667</v>
      </c>
      <c r="E707" s="436">
        <f t="array" ref="E707">IF(B707=0,"",(J707+K707)/60)</f>
        <v>0.2833333333</v>
      </c>
      <c r="F707" s="437">
        <f t="shared" si="1"/>
        <v>5.5</v>
      </c>
      <c r="G707" s="438">
        <f t="shared" si="9"/>
        <v>69.09090909</v>
      </c>
      <c r="H707" s="438">
        <f t="shared" si="3"/>
        <v>72.84345048</v>
      </c>
      <c r="I707" s="436">
        <f t="shared" si="10"/>
        <v>1.381818182</v>
      </c>
      <c r="J707" s="460">
        <v>0.0</v>
      </c>
      <c r="K707" s="464">
        <f>6+6+5</f>
        <v>17</v>
      </c>
      <c r="L707" s="443"/>
      <c r="M707" s="447">
        <f>IFERROR(__xludf.DUMMYFUNCTION("""COMPUTED_VALUE"""),57.0)</f>
        <v>57</v>
      </c>
      <c r="N707" s="447">
        <f>IFERROR(__xludf.DUMMYFUNCTION("""COMPUTED_VALUE"""),55.0)</f>
        <v>55</v>
      </c>
      <c r="O707" s="447">
        <f>IFERROR(__xludf.DUMMYFUNCTION("""COMPUTED_VALUE"""),0.0)</f>
        <v>0</v>
      </c>
      <c r="P707" s="447">
        <f>IFERROR(__xludf.DUMMYFUNCTION("""COMPUTED_VALUE"""),0.0)</f>
        <v>0</v>
      </c>
      <c r="Q707" s="447">
        <f>IFERROR(__xludf.DUMMYFUNCTION("""COMPUTED_VALUE"""),0.0)</f>
        <v>0</v>
      </c>
      <c r="R707" s="447">
        <f>IFERROR(__xludf.DUMMYFUNCTION("""COMPUTED_VALUE"""),0.0)</f>
        <v>0</v>
      </c>
      <c r="S707" s="447">
        <f>IFERROR(__xludf.DUMMYFUNCTION("""COMPUTED_VALUE"""),2.0)</f>
        <v>2</v>
      </c>
      <c r="T707" s="447">
        <f>IFERROR(__xludf.DUMMYFUNCTION("""COMPUTED_VALUE"""),0.0)</f>
        <v>0</v>
      </c>
      <c r="U707" s="447">
        <f>IFERROR(__xludf.DUMMYFUNCTION("""COMPUTED_VALUE"""),2.0)</f>
        <v>2</v>
      </c>
      <c r="V707" s="447">
        <f>IFERROR(__xludf.DUMMYFUNCTION("""COMPUTED_VALUE"""),0.0)</f>
        <v>0</v>
      </c>
      <c r="W707" s="447">
        <f>IFERROR(__xludf.DUMMYFUNCTION("""COMPUTED_VALUE"""),0.0)</f>
        <v>0</v>
      </c>
      <c r="X707" s="447">
        <f>IFERROR(__xludf.DUMMYFUNCTION("""COMPUTED_VALUE"""),1.0)</f>
        <v>1</v>
      </c>
      <c r="Y707" s="447">
        <f>IFERROR(__xludf.DUMMYFUNCTION("""COMPUTED_VALUE"""),0.0)</f>
        <v>0</v>
      </c>
      <c r="Z707" s="447">
        <f>IFERROR(__xludf.DUMMYFUNCTION("""COMPUTED_VALUE"""),0.0)</f>
        <v>0</v>
      </c>
      <c r="AA707" s="447">
        <f>IFERROR(__xludf.DUMMYFUNCTION("""COMPUTED_VALUE"""),0.0)</f>
        <v>0</v>
      </c>
      <c r="AB707" s="447">
        <f>IFERROR(__xludf.DUMMYFUNCTION("""COMPUTED_VALUE"""),0.0)</f>
        <v>0</v>
      </c>
      <c r="AC707" s="447">
        <f>IFERROR(__xludf.DUMMYFUNCTION("""COMPUTED_VALUE"""),0.0)</f>
        <v>0</v>
      </c>
      <c r="AD707" s="447">
        <f>IFERROR(__xludf.DUMMYFUNCTION("""COMPUTED_VALUE"""),50.0)</f>
        <v>50</v>
      </c>
      <c r="AE707" s="447">
        <f>IFERROR(__xludf.DUMMYFUNCTION("""COMPUTED_VALUE"""),5.0)</f>
        <v>5</v>
      </c>
      <c r="AF707" s="447">
        <f>IFERROR(__xludf.DUMMYFUNCTION("""COMPUTED_VALUE"""),2.0)</f>
        <v>2</v>
      </c>
      <c r="AG707" s="443" t="s">
        <v>148</v>
      </c>
      <c r="AH707" s="443" t="s">
        <v>961</v>
      </c>
      <c r="AI707" s="443"/>
      <c r="AJ707" s="443"/>
      <c r="AK707" s="443"/>
      <c r="AL707" s="443"/>
      <c r="AM707" s="443"/>
      <c r="AN707" s="443"/>
      <c r="AO707" s="443"/>
      <c r="AP707" s="443"/>
      <c r="AQ707" s="443"/>
      <c r="AR707" s="443"/>
      <c r="AS707" s="443"/>
      <c r="AT707" s="443"/>
      <c r="AU707" s="443"/>
      <c r="AV707" s="443"/>
      <c r="AW707" s="443"/>
      <c r="AX707" s="443"/>
      <c r="AY707" s="443"/>
      <c r="AZ707" s="443"/>
      <c r="BA707" s="443"/>
      <c r="BB707" s="443"/>
      <c r="BC707" s="443"/>
      <c r="BD707" s="443"/>
      <c r="BE707" s="443"/>
    </row>
    <row r="708" hidden="1">
      <c r="A708" s="445">
        <f t="shared" si="5"/>
        <v>45998</v>
      </c>
      <c r="B708" s="449">
        <v>0.0</v>
      </c>
      <c r="C708" s="443"/>
      <c r="D708" s="462"/>
      <c r="E708" s="436" t="str">
        <f t="array" ref="E708">IF(B708=0,"",(J708+K708)/60)</f>
        <v/>
      </c>
      <c r="F708" s="437" t="str">
        <f t="shared" si="1"/>
        <v/>
      </c>
      <c r="G708" s="438" t="str">
        <f t="shared" si="9"/>
        <v>#DIV/0!</v>
      </c>
      <c r="H708" s="438" t="str">
        <f t="shared" si="3"/>
        <v/>
      </c>
      <c r="I708" s="436" t="str">
        <f t="shared" si="10"/>
        <v/>
      </c>
      <c r="J708" s="464"/>
      <c r="K708" s="464"/>
      <c r="L708" s="443"/>
      <c r="M708" s="447">
        <f>IFERROR(__xludf.DUMMYFUNCTION("""COMPUTED_VALUE"""),57.0)</f>
        <v>57</v>
      </c>
      <c r="N708" s="447">
        <f>IFERROR(__xludf.DUMMYFUNCTION("""COMPUTED_VALUE"""),57.0)</f>
        <v>57</v>
      </c>
      <c r="O708" s="447">
        <f>IFERROR(__xludf.DUMMYFUNCTION("""COMPUTED_VALUE"""),0.0)</f>
        <v>0</v>
      </c>
      <c r="P708" s="447">
        <f>IFERROR(__xludf.DUMMYFUNCTION("""COMPUTED_VALUE"""),0.0)</f>
        <v>0</v>
      </c>
      <c r="Q708" s="447">
        <f>IFERROR(__xludf.DUMMYFUNCTION("""COMPUTED_VALUE"""),0.0)</f>
        <v>0</v>
      </c>
      <c r="R708" s="447">
        <f>IFERROR(__xludf.DUMMYFUNCTION("""COMPUTED_VALUE"""),0.0)</f>
        <v>0</v>
      </c>
      <c r="S708" s="447">
        <f>IFERROR(__xludf.DUMMYFUNCTION("""COMPUTED_VALUE"""),0.0)</f>
        <v>0</v>
      </c>
      <c r="T708" s="447">
        <f>IFERROR(__xludf.DUMMYFUNCTION("""COMPUTED_VALUE"""),0.0)</f>
        <v>0</v>
      </c>
      <c r="U708" s="447">
        <f>IFERROR(__xludf.DUMMYFUNCTION("""COMPUTED_VALUE"""),0.0)</f>
        <v>0</v>
      </c>
      <c r="V708" s="447">
        <f>IFERROR(__xludf.DUMMYFUNCTION("""COMPUTED_VALUE"""),0.0)</f>
        <v>0</v>
      </c>
      <c r="W708" s="447">
        <f>IFERROR(__xludf.DUMMYFUNCTION("""COMPUTED_VALUE"""),0.0)</f>
        <v>0</v>
      </c>
      <c r="X708" s="447">
        <f>IFERROR(__xludf.DUMMYFUNCTION("""COMPUTED_VALUE"""),1.0)</f>
        <v>1</v>
      </c>
      <c r="Y708" s="447">
        <f>IFERROR(__xludf.DUMMYFUNCTION("""COMPUTED_VALUE"""),0.0)</f>
        <v>0</v>
      </c>
      <c r="Z708" s="447">
        <f>IFERROR(__xludf.DUMMYFUNCTION("""COMPUTED_VALUE"""),0.0)</f>
        <v>0</v>
      </c>
      <c r="AA708" s="447">
        <f>IFERROR(__xludf.DUMMYFUNCTION("""COMPUTED_VALUE"""),0.0)</f>
        <v>0</v>
      </c>
      <c r="AB708" s="447">
        <f>IFERROR(__xludf.DUMMYFUNCTION("""COMPUTED_VALUE"""),0.0)</f>
        <v>0</v>
      </c>
      <c r="AC708" s="447">
        <f>IFERROR(__xludf.DUMMYFUNCTION("""COMPUTED_VALUE"""),0.0)</f>
        <v>0</v>
      </c>
      <c r="AD708" s="447">
        <f>IFERROR(__xludf.DUMMYFUNCTION("""COMPUTED_VALUE"""),0.0)</f>
        <v>0</v>
      </c>
      <c r="AE708" s="447">
        <f>IFERROR(__xludf.DUMMYFUNCTION("""COMPUTED_VALUE"""),1.0)</f>
        <v>1</v>
      </c>
      <c r="AF708" s="447">
        <f>IFERROR(__xludf.DUMMYFUNCTION("""COMPUTED_VALUE"""),0.0)</f>
        <v>0</v>
      </c>
      <c r="AG708" s="443" t="s">
        <v>148</v>
      </c>
      <c r="AH708" s="443" t="s">
        <v>961</v>
      </c>
      <c r="AI708" s="443"/>
      <c r="AJ708" s="443"/>
      <c r="AK708" s="443"/>
      <c r="AL708" s="443"/>
      <c r="AM708" s="443"/>
      <c r="AN708" s="443"/>
      <c r="AO708" s="443"/>
      <c r="AP708" s="443"/>
      <c r="AQ708" s="443"/>
      <c r="AR708" s="443"/>
      <c r="AS708" s="443"/>
      <c r="AT708" s="443"/>
      <c r="AU708" s="443"/>
      <c r="AV708" s="443"/>
      <c r="AW708" s="443"/>
      <c r="AX708" s="443"/>
      <c r="AY708" s="443"/>
      <c r="AZ708" s="443"/>
      <c r="BA708" s="443"/>
      <c r="BB708" s="443"/>
      <c r="BC708" s="443"/>
      <c r="BD708" s="443"/>
      <c r="BE708" s="443"/>
    </row>
    <row r="709" hidden="1">
      <c r="A709" s="445">
        <f t="shared" si="5"/>
        <v>45999</v>
      </c>
      <c r="B709" s="449">
        <v>606.0</v>
      </c>
      <c r="C709" s="462">
        <v>0.5583333333333333</v>
      </c>
      <c r="D709" s="462">
        <v>0.9652777777777778</v>
      </c>
      <c r="E709" s="436">
        <f t="array" ref="E709">IF(B709=0,"",(J709+K709)/60)</f>
        <v>1.816666667</v>
      </c>
      <c r="F709" s="437">
        <f t="shared" si="1"/>
        <v>9.766666667</v>
      </c>
      <c r="G709" s="438">
        <f t="shared" si="9"/>
        <v>62.04778157</v>
      </c>
      <c r="H709" s="438">
        <f t="shared" si="3"/>
        <v>76.22641509</v>
      </c>
      <c r="I709" s="436">
        <f t="shared" si="10"/>
        <v>1.216623168</v>
      </c>
      <c r="J709" s="460">
        <v>60.0</v>
      </c>
      <c r="K709" s="464">
        <f>+25+24</f>
        <v>49</v>
      </c>
      <c r="L709" s="443"/>
      <c r="M709" s="447">
        <f>IFERROR(__xludf.DUMMYFUNCTION("""COMPUTED_VALUE"""),57.0)</f>
        <v>57</v>
      </c>
      <c r="N709" s="447">
        <f>IFERROR(__xludf.DUMMYFUNCTION("""COMPUTED_VALUE"""),55.0)</f>
        <v>55</v>
      </c>
      <c r="O709" s="447">
        <f>IFERROR(__xludf.DUMMYFUNCTION("""COMPUTED_VALUE"""),0.0)</f>
        <v>0</v>
      </c>
      <c r="P709" s="447">
        <f>IFERROR(__xludf.DUMMYFUNCTION("""COMPUTED_VALUE"""),0.0)</f>
        <v>0</v>
      </c>
      <c r="Q709" s="447">
        <f>IFERROR(__xludf.DUMMYFUNCTION("""COMPUTED_VALUE"""),0.0)</f>
        <v>0</v>
      </c>
      <c r="R709" s="447">
        <f>IFERROR(__xludf.DUMMYFUNCTION("""COMPUTED_VALUE"""),0.0)</f>
        <v>0</v>
      </c>
      <c r="S709" s="447">
        <f>IFERROR(__xludf.DUMMYFUNCTION("""COMPUTED_VALUE"""),1.0)</f>
        <v>1</v>
      </c>
      <c r="T709" s="447">
        <f>IFERROR(__xludf.DUMMYFUNCTION("""COMPUTED_VALUE"""),0.0)</f>
        <v>0</v>
      </c>
      <c r="U709" s="447">
        <f>IFERROR(__xludf.DUMMYFUNCTION("""COMPUTED_VALUE"""),2.0)</f>
        <v>2</v>
      </c>
      <c r="V709" s="447">
        <f>IFERROR(__xludf.DUMMYFUNCTION("""COMPUTED_VALUE"""),0.0)</f>
        <v>0</v>
      </c>
      <c r="W709" s="447">
        <f>IFERROR(__xludf.DUMMYFUNCTION("""COMPUTED_VALUE"""),0.0)</f>
        <v>0</v>
      </c>
      <c r="X709" s="447">
        <f>IFERROR(__xludf.DUMMYFUNCTION("""COMPUTED_VALUE"""),1.0)</f>
        <v>1</v>
      </c>
      <c r="Y709" s="447">
        <f>IFERROR(__xludf.DUMMYFUNCTION("""COMPUTED_VALUE"""),0.0)</f>
        <v>0</v>
      </c>
      <c r="Z709" s="447">
        <f>IFERROR(__xludf.DUMMYFUNCTION("""COMPUTED_VALUE"""),0.0)</f>
        <v>0</v>
      </c>
      <c r="AA709" s="447">
        <f>IFERROR(__xludf.DUMMYFUNCTION("""COMPUTED_VALUE"""),0.0)</f>
        <v>0</v>
      </c>
      <c r="AB709" s="447">
        <f>IFERROR(__xludf.DUMMYFUNCTION("""COMPUTED_VALUE"""),0.0)</f>
        <v>0</v>
      </c>
      <c r="AC709" s="447">
        <f>IFERROR(__xludf.DUMMYFUNCTION("""COMPUTED_VALUE"""),0.0)</f>
        <v>0</v>
      </c>
      <c r="AD709" s="447">
        <f>IFERROR(__xludf.DUMMYFUNCTION("""COMPUTED_VALUE"""),51.0)</f>
        <v>51</v>
      </c>
      <c r="AE709" s="447">
        <f>IFERROR(__xludf.DUMMYFUNCTION("""COMPUTED_VALUE"""),4.0)</f>
        <v>4</v>
      </c>
      <c r="AF709" s="447">
        <f>IFERROR(__xludf.DUMMYFUNCTION("""COMPUTED_VALUE"""),2.0)</f>
        <v>2</v>
      </c>
      <c r="AG709" s="443" t="s">
        <v>148</v>
      </c>
      <c r="AH709" s="443" t="s">
        <v>961</v>
      </c>
      <c r="AI709" s="443"/>
      <c r="AJ709" s="443"/>
      <c r="AK709" s="443"/>
      <c r="AL709" s="443"/>
      <c r="AM709" s="443"/>
      <c r="AN709" s="443"/>
      <c r="AO709" s="443"/>
      <c r="AP709" s="443"/>
      <c r="AQ709" s="443"/>
      <c r="AR709" s="443"/>
      <c r="AS709" s="443"/>
      <c r="AT709" s="443"/>
      <c r="AU709" s="443"/>
      <c r="AV709" s="443"/>
      <c r="AW709" s="443"/>
      <c r="AX709" s="443"/>
      <c r="AY709" s="443"/>
      <c r="AZ709" s="443"/>
      <c r="BA709" s="443"/>
      <c r="BB709" s="443"/>
      <c r="BC709" s="443"/>
      <c r="BD709" s="443"/>
      <c r="BE709" s="443"/>
    </row>
    <row r="710" hidden="1">
      <c r="A710" s="445">
        <f t="shared" si="5"/>
        <v>46000</v>
      </c>
      <c r="B710" s="449">
        <v>517.0</v>
      </c>
      <c r="C710" s="462">
        <v>0.6</v>
      </c>
      <c r="D710" s="462">
        <v>0.9333333333333333</v>
      </c>
      <c r="E710" s="436">
        <f t="array" ref="E710">IF(B710=0,"",(J710+K710)/60)</f>
        <v>1.05</v>
      </c>
      <c r="F710" s="437">
        <f t="shared" si="1"/>
        <v>8</v>
      </c>
      <c r="G710" s="438">
        <f t="shared" si="9"/>
        <v>64.625</v>
      </c>
      <c r="H710" s="438">
        <f t="shared" si="3"/>
        <v>74.38848921</v>
      </c>
      <c r="I710" s="436">
        <f t="shared" si="10"/>
        <v>1.318877551</v>
      </c>
      <c r="J710" s="460">
        <v>30.0</v>
      </c>
      <c r="K710" s="464">
        <f>12+5+6+5+5</f>
        <v>33</v>
      </c>
      <c r="L710" s="443"/>
      <c r="M710" s="447">
        <f>IFERROR(__xludf.DUMMYFUNCTION("""COMPUTED_VALUE"""),57.0)</f>
        <v>57</v>
      </c>
      <c r="N710" s="447">
        <f>IFERROR(__xludf.DUMMYFUNCTION("""COMPUTED_VALUE"""),55.0)</f>
        <v>55</v>
      </c>
      <c r="O710" s="447">
        <f>IFERROR(__xludf.DUMMYFUNCTION("""COMPUTED_VALUE"""),0.0)</f>
        <v>0</v>
      </c>
      <c r="P710" s="447">
        <f>IFERROR(__xludf.DUMMYFUNCTION("""COMPUTED_VALUE"""),0.0)</f>
        <v>0</v>
      </c>
      <c r="Q710" s="447">
        <f>IFERROR(__xludf.DUMMYFUNCTION("""COMPUTED_VALUE"""),0.0)</f>
        <v>0</v>
      </c>
      <c r="R710" s="447">
        <f>IFERROR(__xludf.DUMMYFUNCTION("""COMPUTED_VALUE"""),0.0)</f>
        <v>0</v>
      </c>
      <c r="S710" s="447">
        <f>IFERROR(__xludf.DUMMYFUNCTION("""COMPUTED_VALUE"""),2.0)</f>
        <v>2</v>
      </c>
      <c r="T710" s="447">
        <f>IFERROR(__xludf.DUMMYFUNCTION("""COMPUTED_VALUE"""),0.0)</f>
        <v>0</v>
      </c>
      <c r="U710" s="447">
        <f>IFERROR(__xludf.DUMMYFUNCTION("""COMPUTED_VALUE"""),2.0)</f>
        <v>2</v>
      </c>
      <c r="V710" s="447">
        <f>IFERROR(__xludf.DUMMYFUNCTION("""COMPUTED_VALUE"""),0.0)</f>
        <v>0</v>
      </c>
      <c r="W710" s="447">
        <f>IFERROR(__xludf.DUMMYFUNCTION("""COMPUTED_VALUE"""),0.0)</f>
        <v>0</v>
      </c>
      <c r="X710" s="447">
        <f>IFERROR(__xludf.DUMMYFUNCTION("""COMPUTED_VALUE"""),1.0)</f>
        <v>1</v>
      </c>
      <c r="Y710" s="447">
        <f>IFERROR(__xludf.DUMMYFUNCTION("""COMPUTED_VALUE"""),0.0)</f>
        <v>0</v>
      </c>
      <c r="Z710" s="447">
        <f>IFERROR(__xludf.DUMMYFUNCTION("""COMPUTED_VALUE"""),0.0)</f>
        <v>0</v>
      </c>
      <c r="AA710" s="447">
        <f>IFERROR(__xludf.DUMMYFUNCTION("""COMPUTED_VALUE"""),0.0)</f>
        <v>0</v>
      </c>
      <c r="AB710" s="447">
        <f>IFERROR(__xludf.DUMMYFUNCTION("""COMPUTED_VALUE"""),0.0)</f>
        <v>0</v>
      </c>
      <c r="AC710" s="447">
        <f>IFERROR(__xludf.DUMMYFUNCTION("""COMPUTED_VALUE"""),1.0)</f>
        <v>1</v>
      </c>
      <c r="AD710" s="447">
        <f>IFERROR(__xludf.DUMMYFUNCTION("""COMPUTED_VALUE"""),49.0)</f>
        <v>49</v>
      </c>
      <c r="AE710" s="447">
        <f>IFERROR(__xludf.DUMMYFUNCTION("""COMPUTED_VALUE"""),6.0)</f>
        <v>6</v>
      </c>
      <c r="AF710" s="447">
        <f>IFERROR(__xludf.DUMMYFUNCTION("""COMPUTED_VALUE"""),2.0)</f>
        <v>2</v>
      </c>
      <c r="AG710" s="443" t="s">
        <v>148</v>
      </c>
      <c r="AH710" s="443" t="s">
        <v>961</v>
      </c>
      <c r="AI710" s="443"/>
      <c r="AJ710" s="443"/>
      <c r="AK710" s="443"/>
      <c r="AL710" s="443"/>
      <c r="AM710" s="443"/>
      <c r="AN710" s="443"/>
      <c r="AO710" s="443"/>
      <c r="AP710" s="443"/>
      <c r="AQ710" s="443"/>
      <c r="AR710" s="443"/>
      <c r="AS710" s="443"/>
      <c r="AT710" s="443"/>
      <c r="AU710" s="443"/>
      <c r="AV710" s="443"/>
      <c r="AW710" s="443"/>
      <c r="AX710" s="443"/>
      <c r="AY710" s="443"/>
      <c r="AZ710" s="443"/>
      <c r="BA710" s="443"/>
      <c r="BB710" s="443"/>
      <c r="BC710" s="443"/>
      <c r="BD710" s="443"/>
      <c r="BE710" s="443"/>
    </row>
    <row r="711" hidden="1">
      <c r="A711" s="445">
        <f t="shared" si="5"/>
        <v>46001</v>
      </c>
      <c r="B711" s="449">
        <v>533.0</v>
      </c>
      <c r="C711" s="462">
        <v>0.6</v>
      </c>
      <c r="D711" s="462">
        <v>0.9298611111111111</v>
      </c>
      <c r="E711" s="436">
        <f t="array" ref="E711">IF(B711=0,"",(J711+K711)/60)</f>
        <v>0.9833333333</v>
      </c>
      <c r="F711" s="437">
        <f t="shared" si="1"/>
        <v>7.916666667</v>
      </c>
      <c r="G711" s="438">
        <f t="shared" si="9"/>
        <v>67.32631579</v>
      </c>
      <c r="H711" s="438">
        <f t="shared" si="3"/>
        <v>76.875</v>
      </c>
      <c r="I711" s="436">
        <f t="shared" si="10"/>
        <v>1.346526316</v>
      </c>
      <c r="J711" s="460">
        <v>30.0</v>
      </c>
      <c r="K711" s="464">
        <f>12+8+9</f>
        <v>29</v>
      </c>
      <c r="L711" s="443"/>
      <c r="M711" s="447">
        <f>IFERROR(__xludf.DUMMYFUNCTION("""COMPUTED_VALUE"""),57.0)</f>
        <v>57</v>
      </c>
      <c r="N711" s="447">
        <f>IFERROR(__xludf.DUMMYFUNCTION("""COMPUTED_VALUE"""),57.0)</f>
        <v>57</v>
      </c>
      <c r="O711" s="447">
        <f>IFERROR(__xludf.DUMMYFUNCTION("""COMPUTED_VALUE"""),0.0)</f>
        <v>0</v>
      </c>
      <c r="P711" s="447">
        <f>IFERROR(__xludf.DUMMYFUNCTION("""COMPUTED_VALUE"""),0.0)</f>
        <v>0</v>
      </c>
      <c r="Q711" s="447">
        <f>IFERROR(__xludf.DUMMYFUNCTION("""COMPUTED_VALUE"""),0.0)</f>
        <v>0</v>
      </c>
      <c r="R711" s="447">
        <f>IFERROR(__xludf.DUMMYFUNCTION("""COMPUTED_VALUE"""),0.0)</f>
        <v>0</v>
      </c>
      <c r="S711" s="447">
        <f>IFERROR(__xludf.DUMMYFUNCTION("""COMPUTED_VALUE"""),2.0)</f>
        <v>2</v>
      </c>
      <c r="T711" s="447">
        <f>IFERROR(__xludf.DUMMYFUNCTION("""COMPUTED_VALUE"""),0.0)</f>
        <v>0</v>
      </c>
      <c r="U711" s="447">
        <f>IFERROR(__xludf.DUMMYFUNCTION("""COMPUTED_VALUE"""),0.0)</f>
        <v>0</v>
      </c>
      <c r="V711" s="447">
        <f>IFERROR(__xludf.DUMMYFUNCTION("""COMPUTED_VALUE"""),0.0)</f>
        <v>0</v>
      </c>
      <c r="W711" s="447">
        <f>IFERROR(__xludf.DUMMYFUNCTION("""COMPUTED_VALUE"""),0.0)</f>
        <v>0</v>
      </c>
      <c r="X711" s="447">
        <f>IFERROR(__xludf.DUMMYFUNCTION("""COMPUTED_VALUE"""),1.0)</f>
        <v>1</v>
      </c>
      <c r="Y711" s="447">
        <f>IFERROR(__xludf.DUMMYFUNCTION("""COMPUTED_VALUE"""),0.0)</f>
        <v>0</v>
      </c>
      <c r="Z711" s="447">
        <f>IFERROR(__xludf.DUMMYFUNCTION("""COMPUTED_VALUE"""),0.0)</f>
        <v>0</v>
      </c>
      <c r="AA711" s="447">
        <f>IFERROR(__xludf.DUMMYFUNCTION("""COMPUTED_VALUE"""),0.0)</f>
        <v>0</v>
      </c>
      <c r="AB711" s="447">
        <f>IFERROR(__xludf.DUMMYFUNCTION("""COMPUTED_VALUE"""),2.0)</f>
        <v>2</v>
      </c>
      <c r="AC711" s="447">
        <f>IFERROR(__xludf.DUMMYFUNCTION("""COMPUTED_VALUE"""),0.0)</f>
        <v>0</v>
      </c>
      <c r="AD711" s="447">
        <f>IFERROR(__xludf.DUMMYFUNCTION("""COMPUTED_VALUE"""),50.0)</f>
        <v>50</v>
      </c>
      <c r="AE711" s="447">
        <f>IFERROR(__xludf.DUMMYFUNCTION("""COMPUTED_VALUE"""),3.0)</f>
        <v>3</v>
      </c>
      <c r="AF711" s="447">
        <f>IFERROR(__xludf.DUMMYFUNCTION("""COMPUTED_VALUE"""),0.0)</f>
        <v>0</v>
      </c>
      <c r="AG711" s="443" t="s">
        <v>148</v>
      </c>
      <c r="AH711" s="443" t="s">
        <v>961</v>
      </c>
      <c r="AI711" s="443"/>
      <c r="AJ711" s="443"/>
      <c r="AK711" s="443"/>
      <c r="AL711" s="443"/>
      <c r="AM711" s="443"/>
      <c r="AN711" s="443"/>
      <c r="AO711" s="443"/>
      <c r="AP711" s="443"/>
      <c r="AQ711" s="443"/>
      <c r="AR711" s="443"/>
      <c r="AS711" s="443"/>
      <c r="AT711" s="443"/>
      <c r="AU711" s="443"/>
      <c r="AV711" s="443"/>
      <c r="AW711" s="443"/>
      <c r="AX711" s="443"/>
      <c r="AY711" s="443"/>
      <c r="AZ711" s="443"/>
      <c r="BA711" s="443"/>
      <c r="BB711" s="443"/>
      <c r="BC711" s="443"/>
      <c r="BD711" s="443"/>
      <c r="BE711" s="443"/>
    </row>
    <row r="712" hidden="1">
      <c r="A712" s="445">
        <f t="shared" si="5"/>
        <v>46002</v>
      </c>
      <c r="B712" s="449">
        <v>582.0</v>
      </c>
      <c r="C712" s="462">
        <v>0.6</v>
      </c>
      <c r="D712" s="462">
        <v>0.9458333333333333</v>
      </c>
      <c r="E712" s="436">
        <f t="array" ref="E712">IF(B712=0,"",(J712+K712)/60)</f>
        <v>0.5</v>
      </c>
      <c r="F712" s="437">
        <f t="shared" si="1"/>
        <v>8.3</v>
      </c>
      <c r="G712" s="438">
        <f t="shared" si="9"/>
        <v>70.12048193</v>
      </c>
      <c r="H712" s="438">
        <f t="shared" si="3"/>
        <v>74.61538462</v>
      </c>
      <c r="I712" s="436">
        <f t="shared" si="10"/>
        <v>1.348470806</v>
      </c>
      <c r="J712" s="460">
        <v>30.0</v>
      </c>
      <c r="K712" s="464"/>
      <c r="L712" s="443"/>
      <c r="M712" s="447">
        <f>IFERROR(__xludf.DUMMYFUNCTION("""COMPUTED_VALUE"""),57.0)</f>
        <v>57</v>
      </c>
      <c r="N712" s="447">
        <f>IFERROR(__xludf.DUMMYFUNCTION("""COMPUTED_VALUE"""),57.0)</f>
        <v>57</v>
      </c>
      <c r="O712" s="447">
        <f>IFERROR(__xludf.DUMMYFUNCTION("""COMPUTED_VALUE"""),0.0)</f>
        <v>0</v>
      </c>
      <c r="P712" s="447">
        <f>IFERROR(__xludf.DUMMYFUNCTION("""COMPUTED_VALUE"""),0.0)</f>
        <v>0</v>
      </c>
      <c r="Q712" s="447">
        <f>IFERROR(__xludf.DUMMYFUNCTION("""COMPUTED_VALUE"""),0.0)</f>
        <v>0</v>
      </c>
      <c r="R712" s="447">
        <f>IFERROR(__xludf.DUMMYFUNCTION("""COMPUTED_VALUE"""),0.0)</f>
        <v>0</v>
      </c>
      <c r="S712" s="447">
        <f>IFERROR(__xludf.DUMMYFUNCTION("""COMPUTED_VALUE"""),2.0)</f>
        <v>2</v>
      </c>
      <c r="T712" s="447">
        <f>IFERROR(__xludf.DUMMYFUNCTION("""COMPUTED_VALUE"""),0.0)</f>
        <v>0</v>
      </c>
      <c r="U712" s="447">
        <f>IFERROR(__xludf.DUMMYFUNCTION("""COMPUTED_VALUE"""),0.0)</f>
        <v>0</v>
      </c>
      <c r="V712" s="447">
        <f>IFERROR(__xludf.DUMMYFUNCTION("""COMPUTED_VALUE"""),0.0)</f>
        <v>0</v>
      </c>
      <c r="W712" s="447">
        <f>IFERROR(__xludf.DUMMYFUNCTION("""COMPUTED_VALUE"""),0.0)</f>
        <v>0</v>
      </c>
      <c r="X712" s="447">
        <f>IFERROR(__xludf.DUMMYFUNCTION("""COMPUTED_VALUE"""),1.0)</f>
        <v>1</v>
      </c>
      <c r="Y712" s="447">
        <f>IFERROR(__xludf.DUMMYFUNCTION("""COMPUTED_VALUE"""),0.0)</f>
        <v>0</v>
      </c>
      <c r="Z712" s="447">
        <f>IFERROR(__xludf.DUMMYFUNCTION("""COMPUTED_VALUE"""),0.0)</f>
        <v>0</v>
      </c>
      <c r="AA712" s="447">
        <f>IFERROR(__xludf.DUMMYFUNCTION("""COMPUTED_VALUE"""),0.0)</f>
        <v>0</v>
      </c>
      <c r="AB712" s="447">
        <f>IFERROR(__xludf.DUMMYFUNCTION("""COMPUTED_VALUE"""),0.0)</f>
        <v>0</v>
      </c>
      <c r="AC712" s="447">
        <f>IFERROR(__xludf.DUMMYFUNCTION("""COMPUTED_VALUE"""),0.0)</f>
        <v>0</v>
      </c>
      <c r="AD712" s="447">
        <f>IFERROR(__xludf.DUMMYFUNCTION("""COMPUTED_VALUE"""),52.0)</f>
        <v>52</v>
      </c>
      <c r="AE712" s="447">
        <f>IFERROR(__xludf.DUMMYFUNCTION("""COMPUTED_VALUE"""),3.0)</f>
        <v>3</v>
      </c>
      <c r="AF712" s="447">
        <f>IFERROR(__xludf.DUMMYFUNCTION("""COMPUTED_VALUE"""),0.0)</f>
        <v>0</v>
      </c>
      <c r="AG712" s="443" t="s">
        <v>148</v>
      </c>
      <c r="AH712" s="443" t="s">
        <v>961</v>
      </c>
      <c r="AI712" s="443"/>
      <c r="AJ712" s="443"/>
      <c r="AK712" s="443"/>
      <c r="AL712" s="443"/>
      <c r="AM712" s="443"/>
      <c r="AN712" s="443"/>
      <c r="AO712" s="443"/>
      <c r="AP712" s="443"/>
      <c r="AQ712" s="443"/>
      <c r="AR712" s="443"/>
      <c r="AS712" s="443"/>
      <c r="AT712" s="443"/>
      <c r="AU712" s="443"/>
      <c r="AV712" s="443"/>
      <c r="AW712" s="443"/>
      <c r="AX712" s="443"/>
      <c r="AY712" s="443"/>
      <c r="AZ712" s="443"/>
      <c r="BA712" s="443"/>
      <c r="BB712" s="443"/>
      <c r="BC712" s="443"/>
      <c r="BD712" s="443"/>
      <c r="BE712" s="443"/>
    </row>
    <row r="713" hidden="1">
      <c r="A713" s="445">
        <f t="shared" si="5"/>
        <v>46003</v>
      </c>
      <c r="B713" s="449">
        <v>658.0</v>
      </c>
      <c r="C713" s="462">
        <v>0.6833333333333333</v>
      </c>
      <c r="D713" s="462">
        <v>1.1576388888888889</v>
      </c>
      <c r="E713" s="436">
        <f t="array" ref="E713">IF(B713=0,"",(J713+K713)/60)</f>
        <v>2.733333333</v>
      </c>
      <c r="F713" s="437">
        <f t="shared" si="1"/>
        <v>11.38333333</v>
      </c>
      <c r="G713" s="438">
        <f t="shared" si="9"/>
        <v>57.80380673</v>
      </c>
      <c r="H713" s="438">
        <f t="shared" si="3"/>
        <v>76.06936416</v>
      </c>
      <c r="I713" s="436">
        <f t="shared" si="10"/>
        <v>1.133407975</v>
      </c>
      <c r="J713" s="460">
        <v>60.0</v>
      </c>
      <c r="K713" s="464">
        <f>6+8+90</f>
        <v>104</v>
      </c>
      <c r="L713" s="443"/>
      <c r="M713" s="447">
        <f>IFERROR(__xludf.DUMMYFUNCTION("""COMPUTED_VALUE"""),57.0)</f>
        <v>57</v>
      </c>
      <c r="N713" s="447">
        <f>IFERROR(__xludf.DUMMYFUNCTION("""COMPUTED_VALUE"""),57.0)</f>
        <v>57</v>
      </c>
      <c r="O713" s="447">
        <f>IFERROR(__xludf.DUMMYFUNCTION("""COMPUTED_VALUE"""),0.0)</f>
        <v>0</v>
      </c>
      <c r="P713" s="447">
        <f>IFERROR(__xludf.DUMMYFUNCTION("""COMPUTED_VALUE"""),1.0)</f>
        <v>1</v>
      </c>
      <c r="Q713" s="447">
        <f>IFERROR(__xludf.DUMMYFUNCTION("""COMPUTED_VALUE"""),0.0)</f>
        <v>0</v>
      </c>
      <c r="R713" s="447">
        <f>IFERROR(__xludf.DUMMYFUNCTION("""COMPUTED_VALUE"""),0.0)</f>
        <v>0</v>
      </c>
      <c r="S713" s="447">
        <f>IFERROR(__xludf.DUMMYFUNCTION("""COMPUTED_VALUE"""),2.0)</f>
        <v>2</v>
      </c>
      <c r="T713" s="447">
        <f>IFERROR(__xludf.DUMMYFUNCTION("""COMPUTED_VALUE"""),0.0)</f>
        <v>0</v>
      </c>
      <c r="U713" s="447">
        <f>IFERROR(__xludf.DUMMYFUNCTION("""COMPUTED_VALUE"""),0.0)</f>
        <v>0</v>
      </c>
      <c r="V713" s="447">
        <f>IFERROR(__xludf.DUMMYFUNCTION("""COMPUTED_VALUE"""),0.0)</f>
        <v>0</v>
      </c>
      <c r="W713" s="447">
        <f>IFERROR(__xludf.DUMMYFUNCTION("""COMPUTED_VALUE"""),0.0)</f>
        <v>0</v>
      </c>
      <c r="X713" s="447">
        <f>IFERROR(__xludf.DUMMYFUNCTION("""COMPUTED_VALUE"""),1.0)</f>
        <v>1</v>
      </c>
      <c r="Y713" s="447">
        <f>IFERROR(__xludf.DUMMYFUNCTION("""COMPUTED_VALUE"""),0.0)</f>
        <v>0</v>
      </c>
      <c r="Z713" s="447">
        <f>IFERROR(__xludf.DUMMYFUNCTION("""COMPUTED_VALUE"""),0.0)</f>
        <v>0</v>
      </c>
      <c r="AA713" s="447">
        <f>IFERROR(__xludf.DUMMYFUNCTION("""COMPUTED_VALUE"""),0.0)</f>
        <v>0</v>
      </c>
      <c r="AB713" s="447">
        <f>IFERROR(__xludf.DUMMYFUNCTION("""COMPUTED_VALUE"""),0.0)</f>
        <v>0</v>
      </c>
      <c r="AC713" s="447">
        <f>IFERROR(__xludf.DUMMYFUNCTION("""COMPUTED_VALUE"""),0.0)</f>
        <v>0</v>
      </c>
      <c r="AD713" s="447">
        <f>IFERROR(__xludf.DUMMYFUNCTION("""COMPUTED_VALUE"""),51.0)</f>
        <v>51</v>
      </c>
      <c r="AE713" s="447">
        <f>IFERROR(__xludf.DUMMYFUNCTION("""COMPUTED_VALUE"""),4.0)</f>
        <v>4</v>
      </c>
      <c r="AF713" s="447">
        <f>IFERROR(__xludf.DUMMYFUNCTION("""COMPUTED_VALUE"""),0.0)</f>
        <v>0</v>
      </c>
      <c r="AG713" s="443" t="s">
        <v>148</v>
      </c>
      <c r="AH713" s="443" t="s">
        <v>961</v>
      </c>
      <c r="AI713" s="443"/>
      <c r="AJ713" s="443"/>
      <c r="AK713" s="443"/>
      <c r="AL713" s="443"/>
      <c r="AM713" s="443"/>
      <c r="AN713" s="443"/>
      <c r="AO713" s="443"/>
      <c r="AP713" s="443"/>
      <c r="AQ713" s="443"/>
      <c r="AR713" s="443"/>
      <c r="AS713" s="443"/>
      <c r="AT713" s="443"/>
      <c r="AU713" s="443"/>
      <c r="AV713" s="443"/>
      <c r="AW713" s="443"/>
      <c r="AX713" s="443"/>
      <c r="AY713" s="443"/>
      <c r="AZ713" s="443"/>
      <c r="BA713" s="443"/>
      <c r="BB713" s="443"/>
      <c r="BC713" s="443"/>
      <c r="BD713" s="443"/>
      <c r="BE713" s="443"/>
    </row>
    <row r="714" hidden="1">
      <c r="A714" s="445">
        <f t="shared" si="5"/>
        <v>46004</v>
      </c>
      <c r="B714" s="449">
        <v>418.0</v>
      </c>
      <c r="C714" s="462">
        <v>0.6833333333333333</v>
      </c>
      <c r="D714" s="462">
        <v>0.9493055555555555</v>
      </c>
      <c r="E714" s="436">
        <f t="array" ref="E714">IF(B714=0,"",(J714+K714)/60)</f>
        <v>0.5</v>
      </c>
      <c r="F714" s="437">
        <f t="shared" si="1"/>
        <v>6.383333333</v>
      </c>
      <c r="G714" s="438">
        <f t="shared" si="9"/>
        <v>65.48302872</v>
      </c>
      <c r="H714" s="438">
        <f t="shared" si="3"/>
        <v>71.04815864</v>
      </c>
      <c r="I714" s="436">
        <f t="shared" si="10"/>
        <v>1.283980955</v>
      </c>
      <c r="J714" s="464"/>
      <c r="K714" s="460">
        <v>30.0</v>
      </c>
      <c r="L714" s="443"/>
      <c r="M714" s="447">
        <f>IFERROR(__xludf.DUMMYFUNCTION("""COMPUTED_VALUE"""),57.0)</f>
        <v>57</v>
      </c>
      <c r="N714" s="447">
        <f>IFERROR(__xludf.DUMMYFUNCTION("""COMPUTED_VALUE"""),57.0)</f>
        <v>57</v>
      </c>
      <c r="O714" s="447">
        <f>IFERROR(__xludf.DUMMYFUNCTION("""COMPUTED_VALUE"""),0.0)</f>
        <v>0</v>
      </c>
      <c r="P714" s="447">
        <f>IFERROR(__xludf.DUMMYFUNCTION("""COMPUTED_VALUE"""),1.0)</f>
        <v>1</v>
      </c>
      <c r="Q714" s="447">
        <f>IFERROR(__xludf.DUMMYFUNCTION("""COMPUTED_VALUE"""),2.0)</f>
        <v>2</v>
      </c>
      <c r="R714" s="447">
        <f>IFERROR(__xludf.DUMMYFUNCTION("""COMPUTED_VALUE"""),0.0)</f>
        <v>0</v>
      </c>
      <c r="S714" s="447">
        <f>IFERROR(__xludf.DUMMYFUNCTION("""COMPUTED_VALUE"""),0.0)</f>
        <v>0</v>
      </c>
      <c r="T714" s="447">
        <f>IFERROR(__xludf.DUMMYFUNCTION("""COMPUTED_VALUE"""),0.0)</f>
        <v>0</v>
      </c>
      <c r="U714" s="447">
        <f>IFERROR(__xludf.DUMMYFUNCTION("""COMPUTED_VALUE"""),0.0)</f>
        <v>0</v>
      </c>
      <c r="V714" s="447">
        <f>IFERROR(__xludf.DUMMYFUNCTION("""COMPUTED_VALUE"""),0.0)</f>
        <v>0</v>
      </c>
      <c r="W714" s="447">
        <f>IFERROR(__xludf.DUMMYFUNCTION("""COMPUTED_VALUE"""),0.0)</f>
        <v>0</v>
      </c>
      <c r="X714" s="447">
        <f>IFERROR(__xludf.DUMMYFUNCTION("""COMPUTED_VALUE"""),1.0)</f>
        <v>1</v>
      </c>
      <c r="Y714" s="447">
        <f>IFERROR(__xludf.DUMMYFUNCTION("""COMPUTED_VALUE"""),0.0)</f>
        <v>0</v>
      </c>
      <c r="Z714" s="447">
        <f>IFERROR(__xludf.DUMMYFUNCTION("""COMPUTED_VALUE"""),0.0)</f>
        <v>0</v>
      </c>
      <c r="AA714" s="447">
        <f>IFERROR(__xludf.DUMMYFUNCTION("""COMPUTED_VALUE"""),0.0)</f>
        <v>0</v>
      </c>
      <c r="AB714" s="447">
        <f>IFERROR(__xludf.DUMMYFUNCTION("""COMPUTED_VALUE"""),0.0)</f>
        <v>0</v>
      </c>
      <c r="AC714" s="447">
        <f>IFERROR(__xludf.DUMMYFUNCTION("""COMPUTED_VALUE"""),0.0)</f>
        <v>0</v>
      </c>
      <c r="AD714" s="447">
        <f>IFERROR(__xludf.DUMMYFUNCTION("""COMPUTED_VALUE"""),51.0)</f>
        <v>51</v>
      </c>
      <c r="AE714" s="447">
        <f>IFERROR(__xludf.DUMMYFUNCTION("""COMPUTED_VALUE"""),4.0)</f>
        <v>4</v>
      </c>
      <c r="AF714" s="447">
        <f>IFERROR(__xludf.DUMMYFUNCTION("""COMPUTED_VALUE"""),0.0)</f>
        <v>0</v>
      </c>
      <c r="AG714" s="443" t="s">
        <v>148</v>
      </c>
      <c r="AH714" s="443" t="s">
        <v>961</v>
      </c>
      <c r="AI714" s="443"/>
      <c r="AJ714" s="443"/>
      <c r="AK714" s="443"/>
      <c r="AL714" s="443"/>
      <c r="AM714" s="443"/>
      <c r="AN714" s="443"/>
      <c r="AO714" s="443"/>
      <c r="AP714" s="443"/>
      <c r="AQ714" s="443"/>
      <c r="AR714" s="443"/>
      <c r="AS714" s="443"/>
      <c r="AT714" s="443"/>
      <c r="AU714" s="443"/>
      <c r="AV714" s="443"/>
      <c r="AW714" s="443"/>
      <c r="AX714" s="443"/>
      <c r="AY714" s="443"/>
      <c r="AZ714" s="443"/>
      <c r="BA714" s="443"/>
      <c r="BB714" s="443"/>
      <c r="BC714" s="443"/>
      <c r="BD714" s="443"/>
      <c r="BE714" s="443"/>
    </row>
    <row r="715" hidden="1">
      <c r="A715" s="445">
        <f t="shared" si="5"/>
        <v>46005</v>
      </c>
      <c r="B715" s="449">
        <v>0.0</v>
      </c>
      <c r="C715" s="443"/>
      <c r="D715" s="462"/>
      <c r="E715" s="436" t="str">
        <f t="array" ref="E715">IF(B715=0,"",(J715+K715)/60)</f>
        <v/>
      </c>
      <c r="F715" s="437" t="str">
        <f t="shared" si="1"/>
        <v/>
      </c>
      <c r="G715" s="438" t="str">
        <f t="shared" si="9"/>
        <v>#DIV/0!</v>
      </c>
      <c r="H715" s="438" t="str">
        <f t="shared" si="3"/>
        <v/>
      </c>
      <c r="I715" s="436" t="str">
        <f t="shared" si="10"/>
        <v/>
      </c>
      <c r="J715" s="464"/>
      <c r="K715" s="464"/>
      <c r="L715" s="443"/>
      <c r="M715" s="447">
        <f>IFERROR(__xludf.DUMMYFUNCTION("""COMPUTED_VALUE"""),57.0)</f>
        <v>57</v>
      </c>
      <c r="N715" s="447">
        <f>IFERROR(__xludf.DUMMYFUNCTION("""COMPUTED_VALUE"""),57.0)</f>
        <v>57</v>
      </c>
      <c r="O715" s="447">
        <f>IFERROR(__xludf.DUMMYFUNCTION("""COMPUTED_VALUE"""),0.0)</f>
        <v>0</v>
      </c>
      <c r="P715" s="447">
        <f>IFERROR(__xludf.DUMMYFUNCTION("""COMPUTED_VALUE"""),0.0)</f>
        <v>0</v>
      </c>
      <c r="Q715" s="447">
        <f>IFERROR(__xludf.DUMMYFUNCTION("""COMPUTED_VALUE"""),0.0)</f>
        <v>0</v>
      </c>
      <c r="R715" s="447">
        <f>IFERROR(__xludf.DUMMYFUNCTION("""COMPUTED_VALUE"""),0.0)</f>
        <v>0</v>
      </c>
      <c r="S715" s="447">
        <f>IFERROR(__xludf.DUMMYFUNCTION("""COMPUTED_VALUE"""),0.0)</f>
        <v>0</v>
      </c>
      <c r="T715" s="447">
        <f>IFERROR(__xludf.DUMMYFUNCTION("""COMPUTED_VALUE"""),0.0)</f>
        <v>0</v>
      </c>
      <c r="U715" s="447">
        <f>IFERROR(__xludf.DUMMYFUNCTION("""COMPUTED_VALUE"""),0.0)</f>
        <v>0</v>
      </c>
      <c r="V715" s="447">
        <f>IFERROR(__xludf.DUMMYFUNCTION("""COMPUTED_VALUE"""),0.0)</f>
        <v>0</v>
      </c>
      <c r="W715" s="447">
        <f>IFERROR(__xludf.DUMMYFUNCTION("""COMPUTED_VALUE"""),0.0)</f>
        <v>0</v>
      </c>
      <c r="X715" s="447">
        <f>IFERROR(__xludf.DUMMYFUNCTION("""COMPUTED_VALUE"""),1.0)</f>
        <v>1</v>
      </c>
      <c r="Y715" s="447">
        <f>IFERROR(__xludf.DUMMYFUNCTION("""COMPUTED_VALUE"""),0.0)</f>
        <v>0</v>
      </c>
      <c r="Z715" s="447">
        <f>IFERROR(__xludf.DUMMYFUNCTION("""COMPUTED_VALUE"""),0.0)</f>
        <v>0</v>
      </c>
      <c r="AA715" s="447">
        <f>IFERROR(__xludf.DUMMYFUNCTION("""COMPUTED_VALUE"""),0.0)</f>
        <v>0</v>
      </c>
      <c r="AB715" s="447">
        <f>IFERROR(__xludf.DUMMYFUNCTION("""COMPUTED_VALUE"""),0.0)</f>
        <v>0</v>
      </c>
      <c r="AC715" s="447">
        <f>IFERROR(__xludf.DUMMYFUNCTION("""COMPUTED_VALUE"""),0.0)</f>
        <v>0</v>
      </c>
      <c r="AD715" s="447">
        <f>IFERROR(__xludf.DUMMYFUNCTION("""COMPUTED_VALUE"""),0.0)</f>
        <v>0</v>
      </c>
      <c r="AE715" s="447">
        <f>IFERROR(__xludf.DUMMYFUNCTION("""COMPUTED_VALUE"""),1.0)</f>
        <v>1</v>
      </c>
      <c r="AF715" s="447">
        <f>IFERROR(__xludf.DUMMYFUNCTION("""COMPUTED_VALUE"""),0.0)</f>
        <v>0</v>
      </c>
      <c r="AG715" s="443" t="s">
        <v>148</v>
      </c>
      <c r="AH715" s="443" t="s">
        <v>961</v>
      </c>
      <c r="AI715" s="443"/>
      <c r="AJ715" s="443"/>
      <c r="AK715" s="443"/>
      <c r="AL715" s="443"/>
      <c r="AM715" s="443"/>
      <c r="AN715" s="443"/>
      <c r="AO715" s="443"/>
      <c r="AP715" s="443"/>
      <c r="AQ715" s="443"/>
      <c r="AR715" s="443"/>
      <c r="AS715" s="443"/>
      <c r="AT715" s="443"/>
      <c r="AU715" s="443"/>
      <c r="AV715" s="443"/>
      <c r="AW715" s="443"/>
      <c r="AX715" s="443"/>
      <c r="AY715" s="443"/>
      <c r="AZ715" s="443"/>
      <c r="BA715" s="443"/>
      <c r="BB715" s="443"/>
      <c r="BC715" s="443"/>
      <c r="BD715" s="443"/>
      <c r="BE715" s="443"/>
    </row>
    <row r="716" hidden="1">
      <c r="A716" s="445">
        <f t="shared" si="5"/>
        <v>46006</v>
      </c>
      <c r="B716" s="449">
        <v>570.0</v>
      </c>
      <c r="C716" s="462">
        <v>0.6</v>
      </c>
      <c r="D716" s="462">
        <v>0.9805555555555555</v>
      </c>
      <c r="E716" s="436">
        <f t="array" ref="E716">IF(B716=0,"",(J716+K716)/60)</f>
        <v>1.216666667</v>
      </c>
      <c r="F716" s="437">
        <f t="shared" si="1"/>
        <v>9.133333333</v>
      </c>
      <c r="G716" s="438">
        <f t="shared" si="9"/>
        <v>62.40875912</v>
      </c>
      <c r="H716" s="438">
        <f t="shared" si="3"/>
        <v>72</v>
      </c>
      <c r="I716" s="436">
        <f t="shared" si="10"/>
        <v>1.155717762</v>
      </c>
      <c r="J716" s="460">
        <v>60.0</v>
      </c>
      <c r="K716" s="464">
        <f>8+5</f>
        <v>13</v>
      </c>
      <c r="L716" s="443"/>
      <c r="M716" s="447">
        <f>IFERROR(__xludf.DUMMYFUNCTION("""COMPUTED_VALUE"""),57.0)</f>
        <v>57</v>
      </c>
      <c r="N716" s="447">
        <f>IFERROR(__xludf.DUMMYFUNCTION("""COMPUTED_VALUE"""),57.0)</f>
        <v>57</v>
      </c>
      <c r="O716" s="447">
        <f>IFERROR(__xludf.DUMMYFUNCTION("""COMPUTED_VALUE"""),0.0)</f>
        <v>0</v>
      </c>
      <c r="P716" s="447">
        <f>IFERROR(__xludf.DUMMYFUNCTION("""COMPUTED_VALUE"""),0.0)</f>
        <v>0</v>
      </c>
      <c r="Q716" s="447">
        <f>IFERROR(__xludf.DUMMYFUNCTION("""COMPUTED_VALUE"""),0.0)</f>
        <v>0</v>
      </c>
      <c r="R716" s="447">
        <f>IFERROR(__xludf.DUMMYFUNCTION("""COMPUTED_VALUE"""),0.0)</f>
        <v>0</v>
      </c>
      <c r="S716" s="447">
        <f>IFERROR(__xludf.DUMMYFUNCTION("""COMPUTED_VALUE"""),0.0)</f>
        <v>0</v>
      </c>
      <c r="T716" s="447">
        <f>IFERROR(__xludf.DUMMYFUNCTION("""COMPUTED_VALUE"""),0.0)</f>
        <v>0</v>
      </c>
      <c r="U716" s="447">
        <f>IFERROR(__xludf.DUMMYFUNCTION("""COMPUTED_VALUE"""),0.0)</f>
        <v>0</v>
      </c>
      <c r="V716" s="447">
        <f>IFERROR(__xludf.DUMMYFUNCTION("""COMPUTED_VALUE"""),0.0)</f>
        <v>0</v>
      </c>
      <c r="W716" s="447">
        <f>IFERROR(__xludf.DUMMYFUNCTION("""COMPUTED_VALUE"""),0.0)</f>
        <v>0</v>
      </c>
      <c r="X716" s="447">
        <f>IFERROR(__xludf.DUMMYFUNCTION("""COMPUTED_VALUE"""),1.0)</f>
        <v>1</v>
      </c>
      <c r="Y716" s="447">
        <f>IFERROR(__xludf.DUMMYFUNCTION("""COMPUTED_VALUE"""),0.0)</f>
        <v>0</v>
      </c>
      <c r="Z716" s="447">
        <f>IFERROR(__xludf.DUMMYFUNCTION("""COMPUTED_VALUE"""),0.0)</f>
        <v>0</v>
      </c>
      <c r="AA716" s="447">
        <f>IFERROR(__xludf.DUMMYFUNCTION("""COMPUTED_VALUE"""),0.0)</f>
        <v>0</v>
      </c>
      <c r="AB716" s="447">
        <f>IFERROR(__xludf.DUMMYFUNCTION("""COMPUTED_VALUE"""),0.0)</f>
        <v>0</v>
      </c>
      <c r="AC716" s="447">
        <f>IFERROR(__xludf.DUMMYFUNCTION("""COMPUTED_VALUE"""),0.0)</f>
        <v>0</v>
      </c>
      <c r="AD716" s="447">
        <f>IFERROR(__xludf.DUMMYFUNCTION("""COMPUTED_VALUE"""),54.0)</f>
        <v>54</v>
      </c>
      <c r="AE716" s="447">
        <f>IFERROR(__xludf.DUMMYFUNCTION("""COMPUTED_VALUE"""),1.0)</f>
        <v>1</v>
      </c>
      <c r="AF716" s="447">
        <f>IFERROR(__xludf.DUMMYFUNCTION("""COMPUTED_VALUE"""),0.0)</f>
        <v>0</v>
      </c>
      <c r="AG716" s="443" t="s">
        <v>148</v>
      </c>
      <c r="AH716" s="443" t="s">
        <v>961</v>
      </c>
      <c r="AI716" s="443"/>
      <c r="AJ716" s="443"/>
      <c r="AK716" s="443"/>
      <c r="AL716" s="443"/>
      <c r="AM716" s="443"/>
      <c r="AN716" s="443"/>
      <c r="AO716" s="443"/>
      <c r="AP716" s="443"/>
      <c r="AQ716" s="443"/>
      <c r="AR716" s="443"/>
      <c r="AS716" s="443"/>
      <c r="AT716" s="443"/>
      <c r="AU716" s="443"/>
      <c r="AV716" s="443"/>
      <c r="AW716" s="443"/>
      <c r="AX716" s="443"/>
      <c r="AY716" s="443"/>
      <c r="AZ716" s="443"/>
      <c r="BA716" s="443"/>
      <c r="BB716" s="443"/>
      <c r="BC716" s="443"/>
      <c r="BD716" s="443"/>
      <c r="BE716" s="443"/>
    </row>
    <row r="717" hidden="1">
      <c r="A717" s="445">
        <f t="shared" si="5"/>
        <v>46007</v>
      </c>
      <c r="B717" s="449">
        <v>583.0</v>
      </c>
      <c r="C717" s="462">
        <v>0.6</v>
      </c>
      <c r="D717" s="462">
        <v>0.9638888888888889</v>
      </c>
      <c r="E717" s="436">
        <f t="array" ref="E717">IF(B717=0,"",(J717+K717)/60)</f>
        <v>0.5833333333</v>
      </c>
      <c r="F717" s="437">
        <f t="shared" si="1"/>
        <v>8.733333333</v>
      </c>
      <c r="G717" s="438">
        <f t="shared" si="9"/>
        <v>66.75572519</v>
      </c>
      <c r="H717" s="438">
        <f t="shared" si="3"/>
        <v>71.53374233</v>
      </c>
      <c r="I717" s="436">
        <f t="shared" si="10"/>
        <v>1.259541985</v>
      </c>
      <c r="J717" s="460">
        <v>30.0</v>
      </c>
      <c r="K717" s="464">
        <f>5</f>
        <v>5</v>
      </c>
      <c r="L717" s="443"/>
      <c r="M717" s="447">
        <f>IFERROR(__xludf.DUMMYFUNCTION("""COMPUTED_VALUE"""),57.0)</f>
        <v>57</v>
      </c>
      <c r="N717" s="447">
        <f>IFERROR(__xludf.DUMMYFUNCTION("""COMPUTED_VALUE"""),57.0)</f>
        <v>57</v>
      </c>
      <c r="O717" s="447">
        <f>IFERROR(__xludf.DUMMYFUNCTION("""COMPUTED_VALUE"""),0.0)</f>
        <v>0</v>
      </c>
      <c r="P717" s="447">
        <f>IFERROR(__xludf.DUMMYFUNCTION("""COMPUTED_VALUE"""),0.0)</f>
        <v>0</v>
      </c>
      <c r="Q717" s="447">
        <f>IFERROR(__xludf.DUMMYFUNCTION("""COMPUTED_VALUE"""),0.0)</f>
        <v>0</v>
      </c>
      <c r="R717" s="447">
        <f>IFERROR(__xludf.DUMMYFUNCTION("""COMPUTED_VALUE"""),0.0)</f>
        <v>0</v>
      </c>
      <c r="S717" s="447">
        <f>IFERROR(__xludf.DUMMYFUNCTION("""COMPUTED_VALUE"""),1.0)</f>
        <v>1</v>
      </c>
      <c r="T717" s="447">
        <f>IFERROR(__xludf.DUMMYFUNCTION("""COMPUTED_VALUE"""),0.0)</f>
        <v>0</v>
      </c>
      <c r="U717" s="447">
        <f>IFERROR(__xludf.DUMMYFUNCTION("""COMPUTED_VALUE"""),0.0)</f>
        <v>0</v>
      </c>
      <c r="V717" s="447">
        <f>IFERROR(__xludf.DUMMYFUNCTION("""COMPUTED_VALUE"""),0.0)</f>
        <v>0</v>
      </c>
      <c r="W717" s="447">
        <f>IFERROR(__xludf.DUMMYFUNCTION("""COMPUTED_VALUE"""),0.0)</f>
        <v>0</v>
      </c>
      <c r="X717" s="447">
        <f>IFERROR(__xludf.DUMMYFUNCTION("""COMPUTED_VALUE"""),1.0)</f>
        <v>1</v>
      </c>
      <c r="Y717" s="447">
        <f>IFERROR(__xludf.DUMMYFUNCTION("""COMPUTED_VALUE"""),0.0)</f>
        <v>0</v>
      </c>
      <c r="Z717" s="447">
        <f>IFERROR(__xludf.DUMMYFUNCTION("""COMPUTED_VALUE"""),0.0)</f>
        <v>0</v>
      </c>
      <c r="AA717" s="447">
        <f>IFERROR(__xludf.DUMMYFUNCTION("""COMPUTED_VALUE"""),0.0)</f>
        <v>0</v>
      </c>
      <c r="AB717" s="447">
        <f>IFERROR(__xludf.DUMMYFUNCTION("""COMPUTED_VALUE"""),0.0)</f>
        <v>0</v>
      </c>
      <c r="AC717" s="447">
        <f>IFERROR(__xludf.DUMMYFUNCTION("""COMPUTED_VALUE"""),0.0)</f>
        <v>0</v>
      </c>
      <c r="AD717" s="447">
        <f>IFERROR(__xludf.DUMMYFUNCTION("""COMPUTED_VALUE"""),53.0)</f>
        <v>53</v>
      </c>
      <c r="AE717" s="447">
        <f>IFERROR(__xludf.DUMMYFUNCTION("""COMPUTED_VALUE"""),2.0)</f>
        <v>2</v>
      </c>
      <c r="AF717" s="447">
        <f>IFERROR(__xludf.DUMMYFUNCTION("""COMPUTED_VALUE"""),0.0)</f>
        <v>0</v>
      </c>
      <c r="AG717" s="443" t="s">
        <v>148</v>
      </c>
      <c r="AH717" s="443" t="s">
        <v>961</v>
      </c>
      <c r="AI717" s="443"/>
      <c r="AJ717" s="443"/>
      <c r="AK717" s="443"/>
      <c r="AL717" s="443"/>
      <c r="AM717" s="443"/>
      <c r="AN717" s="443"/>
      <c r="AO717" s="443"/>
      <c r="AP717" s="443"/>
      <c r="AQ717" s="443"/>
      <c r="AR717" s="443"/>
      <c r="AS717" s="443"/>
      <c r="AT717" s="443"/>
      <c r="AU717" s="443"/>
      <c r="AV717" s="443"/>
      <c r="AW717" s="443"/>
      <c r="AX717" s="443"/>
      <c r="AY717" s="443"/>
      <c r="AZ717" s="443"/>
      <c r="BA717" s="443"/>
      <c r="BB717" s="443"/>
      <c r="BC717" s="443"/>
      <c r="BD717" s="443"/>
      <c r="BE717" s="443"/>
    </row>
    <row r="718" hidden="1">
      <c r="A718" s="445">
        <f t="shared" si="5"/>
        <v>46008</v>
      </c>
      <c r="B718" s="449">
        <v>462.0</v>
      </c>
      <c r="C718" s="462">
        <v>0.6416666666666667</v>
      </c>
      <c r="D718" s="462">
        <v>0.9548611111111112</v>
      </c>
      <c r="E718" s="436">
        <f t="array" ref="E718">IF(B718=0,"",(J718+K718)/60)</f>
        <v>1.033333333</v>
      </c>
      <c r="F718" s="437">
        <f t="shared" si="1"/>
        <v>7.516666667</v>
      </c>
      <c r="G718" s="438">
        <f t="shared" si="9"/>
        <v>61.46341463</v>
      </c>
      <c r="H718" s="438">
        <f t="shared" si="3"/>
        <v>71.2596401</v>
      </c>
      <c r="I718" s="436">
        <f t="shared" si="10"/>
        <v>1.138211382</v>
      </c>
      <c r="J718" s="460">
        <v>30.0</v>
      </c>
      <c r="K718" s="464">
        <f>8+17+7</f>
        <v>32</v>
      </c>
      <c r="L718" s="443"/>
      <c r="M718" s="447">
        <f>IFERROR(__xludf.DUMMYFUNCTION("""COMPUTED_VALUE"""),57.0)</f>
        <v>57</v>
      </c>
      <c r="N718" s="447">
        <f>IFERROR(__xludf.DUMMYFUNCTION("""COMPUTED_VALUE"""),57.0)</f>
        <v>57</v>
      </c>
      <c r="O718" s="447">
        <f>IFERROR(__xludf.DUMMYFUNCTION("""COMPUTED_VALUE"""),0.0)</f>
        <v>0</v>
      </c>
      <c r="P718" s="447">
        <f>IFERROR(__xludf.DUMMYFUNCTION("""COMPUTED_VALUE"""),0.0)</f>
        <v>0</v>
      </c>
      <c r="Q718" s="447">
        <f>IFERROR(__xludf.DUMMYFUNCTION("""COMPUTED_VALUE"""),0.0)</f>
        <v>0</v>
      </c>
      <c r="R718" s="447">
        <f>IFERROR(__xludf.DUMMYFUNCTION("""COMPUTED_VALUE"""),0.0)</f>
        <v>0</v>
      </c>
      <c r="S718" s="447">
        <f>IFERROR(__xludf.DUMMYFUNCTION("""COMPUTED_VALUE"""),0.0)</f>
        <v>0</v>
      </c>
      <c r="T718" s="447">
        <f>IFERROR(__xludf.DUMMYFUNCTION("""COMPUTED_VALUE"""),0.0)</f>
        <v>0</v>
      </c>
      <c r="U718" s="447">
        <f>IFERROR(__xludf.DUMMYFUNCTION("""COMPUTED_VALUE"""),0.0)</f>
        <v>0</v>
      </c>
      <c r="V718" s="447">
        <f>IFERROR(__xludf.DUMMYFUNCTION("""COMPUTED_VALUE"""),0.0)</f>
        <v>0</v>
      </c>
      <c r="W718" s="447">
        <f>IFERROR(__xludf.DUMMYFUNCTION("""COMPUTED_VALUE"""),0.0)</f>
        <v>0</v>
      </c>
      <c r="X718" s="447">
        <f>IFERROR(__xludf.DUMMYFUNCTION("""COMPUTED_VALUE"""),1.0)</f>
        <v>1</v>
      </c>
      <c r="Y718" s="447">
        <f>IFERROR(__xludf.DUMMYFUNCTION("""COMPUTED_VALUE"""),0.0)</f>
        <v>0</v>
      </c>
      <c r="Z718" s="447">
        <f>IFERROR(__xludf.DUMMYFUNCTION("""COMPUTED_VALUE"""),0.0)</f>
        <v>0</v>
      </c>
      <c r="AA718" s="447">
        <f>IFERROR(__xludf.DUMMYFUNCTION("""COMPUTED_VALUE"""),0.0)</f>
        <v>0</v>
      </c>
      <c r="AB718" s="447">
        <f>IFERROR(__xludf.DUMMYFUNCTION("""COMPUTED_VALUE"""),0.0)</f>
        <v>0</v>
      </c>
      <c r="AC718" s="447">
        <f>IFERROR(__xludf.DUMMYFUNCTION("""COMPUTED_VALUE"""),0.0)</f>
        <v>0</v>
      </c>
      <c r="AD718" s="447">
        <f>IFERROR(__xludf.DUMMYFUNCTION("""COMPUTED_VALUE"""),54.0)</f>
        <v>54</v>
      </c>
      <c r="AE718" s="447">
        <f>IFERROR(__xludf.DUMMYFUNCTION("""COMPUTED_VALUE"""),1.0)</f>
        <v>1</v>
      </c>
      <c r="AF718" s="447">
        <f>IFERROR(__xludf.DUMMYFUNCTION("""COMPUTED_VALUE"""),0.0)</f>
        <v>0</v>
      </c>
      <c r="AG718" s="443" t="s">
        <v>148</v>
      </c>
      <c r="AH718" s="443" t="s">
        <v>961</v>
      </c>
      <c r="AI718" s="443"/>
      <c r="AJ718" s="443"/>
      <c r="AK718" s="443"/>
      <c r="AL718" s="443"/>
      <c r="AM718" s="443"/>
      <c r="AN718" s="443"/>
      <c r="AO718" s="443"/>
      <c r="AP718" s="443"/>
      <c r="AQ718" s="443"/>
      <c r="AR718" s="443"/>
      <c r="AS718" s="443"/>
      <c r="AT718" s="443"/>
      <c r="AU718" s="443"/>
      <c r="AV718" s="443"/>
      <c r="AW718" s="443"/>
      <c r="AX718" s="443"/>
      <c r="AY718" s="443"/>
      <c r="AZ718" s="443"/>
      <c r="BA718" s="443"/>
      <c r="BB718" s="443"/>
      <c r="BC718" s="443"/>
      <c r="BD718" s="443"/>
      <c r="BE718" s="443"/>
    </row>
    <row r="719" hidden="1">
      <c r="A719" s="445">
        <f t="shared" si="5"/>
        <v>46009</v>
      </c>
      <c r="B719" s="449">
        <v>589.0</v>
      </c>
      <c r="C719" s="462">
        <v>0.6</v>
      </c>
      <c r="D719" s="462">
        <v>1.0034722222222223</v>
      </c>
      <c r="E719" s="436">
        <f t="array" ref="E719">IF(B719=0,"",(J719+K719)/60)</f>
        <v>1.6</v>
      </c>
      <c r="F719" s="437">
        <f t="shared" si="1"/>
        <v>9.683333333</v>
      </c>
      <c r="G719" s="438">
        <f t="shared" si="9"/>
        <v>60.82616179</v>
      </c>
      <c r="H719" s="438">
        <f t="shared" si="3"/>
        <v>72.86597938</v>
      </c>
      <c r="I719" s="436">
        <f t="shared" si="10"/>
        <v>1.169733881</v>
      </c>
      <c r="J719" s="460">
        <v>60.0</v>
      </c>
      <c r="K719" s="464">
        <f>15+5+5+11</f>
        <v>36</v>
      </c>
      <c r="L719" s="443"/>
      <c r="M719" s="447">
        <f>IFERROR(__xludf.DUMMYFUNCTION("""COMPUTED_VALUE"""),57.0)</f>
        <v>57</v>
      </c>
      <c r="N719" s="447">
        <f>IFERROR(__xludf.DUMMYFUNCTION("""COMPUTED_VALUE"""),57.0)</f>
        <v>57</v>
      </c>
      <c r="O719" s="447">
        <f>IFERROR(__xludf.DUMMYFUNCTION("""COMPUTED_VALUE"""),0.0)</f>
        <v>0</v>
      </c>
      <c r="P719" s="447">
        <f>IFERROR(__xludf.DUMMYFUNCTION("""COMPUTED_VALUE"""),0.0)</f>
        <v>0</v>
      </c>
      <c r="Q719" s="447">
        <f>IFERROR(__xludf.DUMMYFUNCTION("""COMPUTED_VALUE"""),0.0)</f>
        <v>0</v>
      </c>
      <c r="R719" s="447">
        <f>IFERROR(__xludf.DUMMYFUNCTION("""COMPUTED_VALUE"""),0.0)</f>
        <v>0</v>
      </c>
      <c r="S719" s="447">
        <f>IFERROR(__xludf.DUMMYFUNCTION("""COMPUTED_VALUE"""),1.0)</f>
        <v>1</v>
      </c>
      <c r="T719" s="447">
        <f>IFERROR(__xludf.DUMMYFUNCTION("""COMPUTED_VALUE"""),0.0)</f>
        <v>0</v>
      </c>
      <c r="U719" s="447">
        <f>IFERROR(__xludf.DUMMYFUNCTION("""COMPUTED_VALUE"""),0.0)</f>
        <v>0</v>
      </c>
      <c r="V719" s="447">
        <f>IFERROR(__xludf.DUMMYFUNCTION("""COMPUTED_VALUE"""),0.0)</f>
        <v>0</v>
      </c>
      <c r="W719" s="447">
        <f>IFERROR(__xludf.DUMMYFUNCTION("""COMPUTED_VALUE"""),1.0)</f>
        <v>1</v>
      </c>
      <c r="X719" s="447">
        <f>IFERROR(__xludf.DUMMYFUNCTION("""COMPUTED_VALUE"""),1.0)</f>
        <v>1</v>
      </c>
      <c r="Y719" s="447">
        <f>IFERROR(__xludf.DUMMYFUNCTION("""COMPUTED_VALUE"""),0.0)</f>
        <v>0</v>
      </c>
      <c r="Z719" s="447">
        <f>IFERROR(__xludf.DUMMYFUNCTION("""COMPUTED_VALUE"""),0.0)</f>
        <v>0</v>
      </c>
      <c r="AA719" s="447">
        <f>IFERROR(__xludf.DUMMYFUNCTION("""COMPUTED_VALUE"""),0.0)</f>
        <v>0</v>
      </c>
      <c r="AB719" s="447">
        <f>IFERROR(__xludf.DUMMYFUNCTION("""COMPUTED_VALUE"""),0.0)</f>
        <v>0</v>
      </c>
      <c r="AC719" s="447">
        <f>IFERROR(__xludf.DUMMYFUNCTION("""COMPUTED_VALUE"""),0.0)</f>
        <v>0</v>
      </c>
      <c r="AD719" s="447">
        <f>IFERROR(__xludf.DUMMYFUNCTION("""COMPUTED_VALUE"""),52.0)</f>
        <v>52</v>
      </c>
      <c r="AE719" s="447">
        <f>IFERROR(__xludf.DUMMYFUNCTION("""COMPUTED_VALUE"""),3.0)</f>
        <v>3</v>
      </c>
      <c r="AF719" s="447">
        <f>IFERROR(__xludf.DUMMYFUNCTION("""COMPUTED_VALUE"""),0.0)</f>
        <v>0</v>
      </c>
      <c r="AG719" s="443" t="s">
        <v>148</v>
      </c>
      <c r="AH719" s="443" t="s">
        <v>961</v>
      </c>
      <c r="AI719" s="443"/>
      <c r="AJ719" s="443"/>
      <c r="AK719" s="443"/>
      <c r="AL719" s="443"/>
      <c r="AM719" s="443"/>
      <c r="AN719" s="443"/>
      <c r="AO719" s="443"/>
      <c r="AP719" s="443"/>
      <c r="AQ719" s="443"/>
      <c r="AR719" s="443"/>
      <c r="AS719" s="443"/>
      <c r="AT719" s="443"/>
      <c r="AU719" s="443"/>
      <c r="AV719" s="443"/>
      <c r="AW719" s="443"/>
      <c r="AX719" s="443"/>
      <c r="AY719" s="443"/>
      <c r="AZ719" s="443"/>
      <c r="BA719" s="443"/>
      <c r="BB719" s="443"/>
      <c r="BC719" s="443"/>
      <c r="BD719" s="443"/>
      <c r="BE719" s="443"/>
    </row>
    <row r="720" hidden="1">
      <c r="A720" s="445">
        <f t="shared" si="5"/>
        <v>46010</v>
      </c>
      <c r="B720" s="449">
        <v>655.0</v>
      </c>
      <c r="C720" s="462">
        <v>0.6416666666666667</v>
      </c>
      <c r="D720" s="462">
        <v>1.0541666666666667</v>
      </c>
      <c r="E720" s="436">
        <f t="array" ref="E720">IF(B720=0,"",(J720+K720)/60)</f>
        <v>1.266666667</v>
      </c>
      <c r="F720" s="437">
        <f t="shared" si="1"/>
        <v>9.9</v>
      </c>
      <c r="G720" s="438">
        <f t="shared" si="9"/>
        <v>66.16161616</v>
      </c>
      <c r="H720" s="438">
        <f t="shared" si="3"/>
        <v>75.86872587</v>
      </c>
      <c r="I720" s="436">
        <f t="shared" si="10"/>
        <v>1.272338772</v>
      </c>
      <c r="J720" s="460">
        <v>60.0</v>
      </c>
      <c r="K720" s="460">
        <v>16.0</v>
      </c>
      <c r="L720" s="443"/>
      <c r="M720" s="447">
        <f>IFERROR(__xludf.DUMMYFUNCTION("""COMPUTED_VALUE"""),57.0)</f>
        <v>57</v>
      </c>
      <c r="N720" s="447">
        <f>IFERROR(__xludf.DUMMYFUNCTION("""COMPUTED_VALUE"""),57.0)</f>
        <v>57</v>
      </c>
      <c r="O720" s="447">
        <f>IFERROR(__xludf.DUMMYFUNCTION("""COMPUTED_VALUE"""),0.0)</f>
        <v>0</v>
      </c>
      <c r="P720" s="447">
        <f>IFERROR(__xludf.DUMMYFUNCTION("""COMPUTED_VALUE"""),0.0)</f>
        <v>0</v>
      </c>
      <c r="Q720" s="447">
        <f>IFERROR(__xludf.DUMMYFUNCTION("""COMPUTED_VALUE"""),0.0)</f>
        <v>0</v>
      </c>
      <c r="R720" s="447">
        <f>IFERROR(__xludf.DUMMYFUNCTION("""COMPUTED_VALUE"""),0.0)</f>
        <v>0</v>
      </c>
      <c r="S720" s="447">
        <f>IFERROR(__xludf.DUMMYFUNCTION("""COMPUTED_VALUE"""),1.0)</f>
        <v>1</v>
      </c>
      <c r="T720" s="447">
        <f>IFERROR(__xludf.DUMMYFUNCTION("""COMPUTED_VALUE"""),0.0)</f>
        <v>0</v>
      </c>
      <c r="U720" s="447">
        <f>IFERROR(__xludf.DUMMYFUNCTION("""COMPUTED_VALUE"""),0.0)</f>
        <v>0</v>
      </c>
      <c r="V720" s="447">
        <f>IFERROR(__xludf.DUMMYFUNCTION("""COMPUTED_VALUE"""),0.0)</f>
        <v>0</v>
      </c>
      <c r="W720" s="447">
        <f>IFERROR(__xludf.DUMMYFUNCTION("""COMPUTED_VALUE"""),1.0)</f>
        <v>1</v>
      </c>
      <c r="X720" s="447">
        <f>IFERROR(__xludf.DUMMYFUNCTION("""COMPUTED_VALUE"""),1.0)</f>
        <v>1</v>
      </c>
      <c r="Y720" s="447">
        <f>IFERROR(__xludf.DUMMYFUNCTION("""COMPUTED_VALUE"""),0.0)</f>
        <v>0</v>
      </c>
      <c r="Z720" s="447">
        <f>IFERROR(__xludf.DUMMYFUNCTION("""COMPUTED_VALUE"""),0.0)</f>
        <v>0</v>
      </c>
      <c r="AA720" s="447">
        <f>IFERROR(__xludf.DUMMYFUNCTION("""COMPUTED_VALUE"""),0.0)</f>
        <v>0</v>
      </c>
      <c r="AB720" s="447">
        <f>IFERROR(__xludf.DUMMYFUNCTION("""COMPUTED_VALUE"""),0.0)</f>
        <v>0</v>
      </c>
      <c r="AC720" s="447">
        <f>IFERROR(__xludf.DUMMYFUNCTION("""COMPUTED_VALUE"""),0.0)</f>
        <v>0</v>
      </c>
      <c r="AD720" s="447">
        <f>IFERROR(__xludf.DUMMYFUNCTION("""COMPUTED_VALUE"""),52.0)</f>
        <v>52</v>
      </c>
      <c r="AE720" s="447">
        <f>IFERROR(__xludf.DUMMYFUNCTION("""COMPUTED_VALUE"""),3.0)</f>
        <v>3</v>
      </c>
      <c r="AF720" s="447">
        <f>IFERROR(__xludf.DUMMYFUNCTION("""COMPUTED_VALUE"""),0.0)</f>
        <v>0</v>
      </c>
      <c r="AG720" s="443" t="s">
        <v>148</v>
      </c>
      <c r="AH720" s="443" t="s">
        <v>961</v>
      </c>
      <c r="AI720" s="443"/>
      <c r="AJ720" s="443"/>
      <c r="AK720" s="443"/>
      <c r="AL720" s="443"/>
      <c r="AM720" s="443"/>
      <c r="AN720" s="443"/>
      <c r="AO720" s="443"/>
      <c r="AP720" s="443"/>
      <c r="AQ720" s="443"/>
      <c r="AR720" s="443"/>
      <c r="AS720" s="443"/>
      <c r="AT720" s="443"/>
      <c r="AU720" s="443"/>
      <c r="AV720" s="443"/>
      <c r="AW720" s="443"/>
      <c r="AX720" s="443"/>
      <c r="AY720" s="443"/>
      <c r="AZ720" s="443"/>
      <c r="BA720" s="443"/>
      <c r="BB720" s="443"/>
      <c r="BC720" s="443"/>
      <c r="BD720" s="443"/>
      <c r="BE720" s="443"/>
    </row>
    <row r="721" hidden="1">
      <c r="A721" s="445">
        <f t="shared" si="5"/>
        <v>46011</v>
      </c>
      <c r="B721" s="449">
        <v>437.0</v>
      </c>
      <c r="C721" s="462">
        <v>0.6833333333333333</v>
      </c>
      <c r="D721" s="462">
        <v>0.9486111111111111</v>
      </c>
      <c r="E721" s="436">
        <f t="array" ref="E721">IF(B721=0,"",(J721+K721)/60)</f>
        <v>0.5</v>
      </c>
      <c r="F721" s="437">
        <f t="shared" si="1"/>
        <v>6.366666667</v>
      </c>
      <c r="G721" s="438">
        <f t="shared" si="9"/>
        <v>68.63874346</v>
      </c>
      <c r="H721" s="438">
        <f t="shared" si="3"/>
        <v>74.48863636</v>
      </c>
      <c r="I721" s="436">
        <f t="shared" si="10"/>
        <v>1.319975836</v>
      </c>
      <c r="J721" s="460">
        <v>30.0</v>
      </c>
      <c r="K721" s="460">
        <v>0.0</v>
      </c>
      <c r="L721" s="443"/>
      <c r="M721" s="447">
        <f>IFERROR(__xludf.DUMMYFUNCTION("""COMPUTED_VALUE"""),57.0)</f>
        <v>57</v>
      </c>
      <c r="N721" s="447">
        <f>IFERROR(__xludf.DUMMYFUNCTION("""COMPUTED_VALUE"""),57.0)</f>
        <v>57</v>
      </c>
      <c r="O721" s="447">
        <f>IFERROR(__xludf.DUMMYFUNCTION("""COMPUTED_VALUE"""),0.0)</f>
        <v>0</v>
      </c>
      <c r="P721" s="447">
        <f>IFERROR(__xludf.DUMMYFUNCTION("""COMPUTED_VALUE"""),0.0)</f>
        <v>0</v>
      </c>
      <c r="Q721" s="447">
        <f>IFERROR(__xludf.DUMMYFUNCTION("""COMPUTED_VALUE"""),0.0)</f>
        <v>0</v>
      </c>
      <c r="R721" s="447">
        <f>IFERROR(__xludf.DUMMYFUNCTION("""COMPUTED_VALUE"""),0.0)</f>
        <v>0</v>
      </c>
      <c r="S721" s="447">
        <f>IFERROR(__xludf.DUMMYFUNCTION("""COMPUTED_VALUE"""),2.0)</f>
        <v>2</v>
      </c>
      <c r="T721" s="447">
        <f>IFERROR(__xludf.DUMMYFUNCTION("""COMPUTED_VALUE"""),0.0)</f>
        <v>0</v>
      </c>
      <c r="U721" s="447">
        <f>IFERROR(__xludf.DUMMYFUNCTION("""COMPUTED_VALUE"""),0.0)</f>
        <v>0</v>
      </c>
      <c r="V721" s="447">
        <f>IFERROR(__xludf.DUMMYFUNCTION("""COMPUTED_VALUE"""),0.0)</f>
        <v>0</v>
      </c>
      <c r="W721" s="447">
        <f>IFERROR(__xludf.DUMMYFUNCTION("""COMPUTED_VALUE"""),0.0)</f>
        <v>0</v>
      </c>
      <c r="X721" s="447">
        <f>IFERROR(__xludf.DUMMYFUNCTION("""COMPUTED_VALUE"""),1.0)</f>
        <v>1</v>
      </c>
      <c r="Y721" s="447">
        <f>IFERROR(__xludf.DUMMYFUNCTION("""COMPUTED_VALUE"""),0.0)</f>
        <v>0</v>
      </c>
      <c r="Z721" s="447">
        <f>IFERROR(__xludf.DUMMYFUNCTION("""COMPUTED_VALUE"""),0.0)</f>
        <v>0</v>
      </c>
      <c r="AA721" s="447">
        <f>IFERROR(__xludf.DUMMYFUNCTION("""COMPUTED_VALUE"""),0.0)</f>
        <v>0</v>
      </c>
      <c r="AB721" s="447">
        <f>IFERROR(__xludf.DUMMYFUNCTION("""COMPUTED_VALUE"""),0.0)</f>
        <v>0</v>
      </c>
      <c r="AC721" s="447">
        <f>IFERROR(__xludf.DUMMYFUNCTION("""COMPUTED_VALUE"""),0.0)</f>
        <v>0</v>
      </c>
      <c r="AD721" s="447">
        <f>IFERROR(__xludf.DUMMYFUNCTION("""COMPUTED_VALUE"""),52.0)</f>
        <v>52</v>
      </c>
      <c r="AE721" s="447">
        <f>IFERROR(__xludf.DUMMYFUNCTION("""COMPUTED_VALUE"""),3.0)</f>
        <v>3</v>
      </c>
      <c r="AF721" s="447">
        <f>IFERROR(__xludf.DUMMYFUNCTION("""COMPUTED_VALUE"""),0.0)</f>
        <v>0</v>
      </c>
      <c r="AG721" s="443" t="s">
        <v>148</v>
      </c>
      <c r="AH721" s="443" t="s">
        <v>961</v>
      </c>
      <c r="AI721" s="443"/>
      <c r="AJ721" s="443"/>
      <c r="AK721" s="443"/>
      <c r="AL721" s="443"/>
      <c r="AM721" s="443"/>
      <c r="AN721" s="443"/>
      <c r="AO721" s="443"/>
      <c r="AP721" s="443"/>
      <c r="AQ721" s="443"/>
      <c r="AR721" s="443"/>
      <c r="AS721" s="443"/>
      <c r="AT721" s="443"/>
      <c r="AU721" s="443"/>
      <c r="AV721" s="443"/>
      <c r="AW721" s="443"/>
      <c r="AX721" s="443"/>
      <c r="AY721" s="443"/>
      <c r="AZ721" s="443"/>
      <c r="BA721" s="443"/>
      <c r="BB721" s="443"/>
      <c r="BC721" s="443"/>
      <c r="BD721" s="443"/>
      <c r="BE721" s="443"/>
    </row>
    <row r="722" hidden="1">
      <c r="A722" s="445">
        <f t="shared" si="5"/>
        <v>46012</v>
      </c>
      <c r="B722" s="449">
        <v>0.0</v>
      </c>
      <c r="C722" s="443"/>
      <c r="D722" s="462"/>
      <c r="E722" s="436" t="str">
        <f t="array" ref="E722">IF(B722=0,"",(J722+K722)/60)</f>
        <v/>
      </c>
      <c r="F722" s="437" t="str">
        <f t="shared" si="1"/>
        <v/>
      </c>
      <c r="G722" s="438" t="str">
        <f t="shared" si="9"/>
        <v>#DIV/0!</v>
      </c>
      <c r="H722" s="438" t="str">
        <f t="shared" si="3"/>
        <v/>
      </c>
      <c r="I722" s="436" t="str">
        <f t="shared" si="10"/>
        <v/>
      </c>
      <c r="J722" s="464"/>
      <c r="K722" s="464"/>
      <c r="L722" s="443"/>
      <c r="M722" s="447">
        <f>IFERROR(__xludf.DUMMYFUNCTION("""COMPUTED_VALUE"""),57.0)</f>
        <v>57</v>
      </c>
      <c r="N722" s="447">
        <f>IFERROR(__xludf.DUMMYFUNCTION("""COMPUTED_VALUE"""),57.0)</f>
        <v>57</v>
      </c>
      <c r="O722" s="447">
        <f>IFERROR(__xludf.DUMMYFUNCTION("""COMPUTED_VALUE"""),0.0)</f>
        <v>0</v>
      </c>
      <c r="P722" s="447">
        <f>IFERROR(__xludf.DUMMYFUNCTION("""COMPUTED_VALUE"""),0.0)</f>
        <v>0</v>
      </c>
      <c r="Q722" s="447">
        <f>IFERROR(__xludf.DUMMYFUNCTION("""COMPUTED_VALUE"""),0.0)</f>
        <v>0</v>
      </c>
      <c r="R722" s="447">
        <f>IFERROR(__xludf.DUMMYFUNCTION("""COMPUTED_VALUE"""),0.0)</f>
        <v>0</v>
      </c>
      <c r="S722" s="447">
        <f>IFERROR(__xludf.DUMMYFUNCTION("""COMPUTED_VALUE"""),0.0)</f>
        <v>0</v>
      </c>
      <c r="T722" s="447">
        <f>IFERROR(__xludf.DUMMYFUNCTION("""COMPUTED_VALUE"""),0.0)</f>
        <v>0</v>
      </c>
      <c r="U722" s="447">
        <f>IFERROR(__xludf.DUMMYFUNCTION("""COMPUTED_VALUE"""),0.0)</f>
        <v>0</v>
      </c>
      <c r="V722" s="447">
        <f>IFERROR(__xludf.DUMMYFUNCTION("""COMPUTED_VALUE"""),0.0)</f>
        <v>0</v>
      </c>
      <c r="W722" s="447">
        <f>IFERROR(__xludf.DUMMYFUNCTION("""COMPUTED_VALUE"""),0.0)</f>
        <v>0</v>
      </c>
      <c r="X722" s="447">
        <f>IFERROR(__xludf.DUMMYFUNCTION("""COMPUTED_VALUE"""),0.0)</f>
        <v>0</v>
      </c>
      <c r="Y722" s="447">
        <f>IFERROR(__xludf.DUMMYFUNCTION("""COMPUTED_VALUE"""),0.0)</f>
        <v>0</v>
      </c>
      <c r="Z722" s="447">
        <f>IFERROR(__xludf.DUMMYFUNCTION("""COMPUTED_VALUE"""),0.0)</f>
        <v>0</v>
      </c>
      <c r="AA722" s="447">
        <f>IFERROR(__xludf.DUMMYFUNCTION("""COMPUTED_VALUE"""),0.0)</f>
        <v>0</v>
      </c>
      <c r="AB722" s="447">
        <f>IFERROR(__xludf.DUMMYFUNCTION("""COMPUTED_VALUE"""),0.0)</f>
        <v>0</v>
      </c>
      <c r="AC722" s="447">
        <f>IFERROR(__xludf.DUMMYFUNCTION("""COMPUTED_VALUE"""),0.0)</f>
        <v>0</v>
      </c>
      <c r="AD722" s="447">
        <f>IFERROR(__xludf.DUMMYFUNCTION("""COMPUTED_VALUE"""),0.0)</f>
        <v>0</v>
      </c>
      <c r="AE722" s="447">
        <f>IFERROR(__xludf.DUMMYFUNCTION("""COMPUTED_VALUE"""),0.0)</f>
        <v>0</v>
      </c>
      <c r="AF722" s="447">
        <f>IFERROR(__xludf.DUMMYFUNCTION("""COMPUTED_VALUE"""),0.0)</f>
        <v>0</v>
      </c>
      <c r="AG722" s="443" t="s">
        <v>148</v>
      </c>
      <c r="AH722" s="443" t="s">
        <v>961</v>
      </c>
      <c r="AI722" s="443"/>
      <c r="AJ722" s="443"/>
      <c r="AK722" s="443"/>
      <c r="AL722" s="443"/>
      <c r="AM722" s="443"/>
      <c r="AN722" s="443"/>
      <c r="AO722" s="443"/>
      <c r="AP722" s="443"/>
      <c r="AQ722" s="443"/>
      <c r="AR722" s="443"/>
      <c r="AS722" s="443"/>
      <c r="AT722" s="443"/>
      <c r="AU722" s="443"/>
      <c r="AV722" s="443"/>
      <c r="AW722" s="443"/>
      <c r="AX722" s="443"/>
      <c r="AY722" s="443"/>
      <c r="AZ722" s="443"/>
      <c r="BA722" s="443"/>
      <c r="BB722" s="443"/>
      <c r="BC722" s="443"/>
      <c r="BD722" s="443"/>
      <c r="BE722" s="443"/>
    </row>
    <row r="723" hidden="1">
      <c r="A723" s="445">
        <f t="shared" si="5"/>
        <v>46013</v>
      </c>
      <c r="B723" s="449">
        <v>938.0</v>
      </c>
      <c r="C723" s="462">
        <v>0.5583333333333333</v>
      </c>
      <c r="D723" s="462">
        <v>1.086111111111111</v>
      </c>
      <c r="E723" s="436">
        <f t="array" ref="E723">IF(B723=0,"",(J723+K723)/60)</f>
        <v>1.116666667</v>
      </c>
      <c r="F723" s="437">
        <f t="shared" si="1"/>
        <v>12.66666667</v>
      </c>
      <c r="G723" s="438">
        <f t="shared" si="9"/>
        <v>74.05263158</v>
      </c>
      <c r="H723" s="438">
        <f t="shared" si="3"/>
        <v>81.21212121</v>
      </c>
      <c r="I723" s="436">
        <f t="shared" si="10"/>
        <v>1.424089069</v>
      </c>
      <c r="J723" s="460">
        <v>60.0</v>
      </c>
      <c r="K723" s="460">
        <v>7.0</v>
      </c>
      <c r="L723" s="443"/>
      <c r="M723" s="447">
        <f>IFERROR(__xludf.DUMMYFUNCTION("""COMPUTED_VALUE"""),57.0)</f>
        <v>57</v>
      </c>
      <c r="N723" s="447">
        <f>IFERROR(__xludf.DUMMYFUNCTION("""COMPUTED_VALUE"""),57.0)</f>
        <v>57</v>
      </c>
      <c r="O723" s="447">
        <f>IFERROR(__xludf.DUMMYFUNCTION("""COMPUTED_VALUE"""),0.0)</f>
        <v>0</v>
      </c>
      <c r="P723" s="447">
        <f>IFERROR(__xludf.DUMMYFUNCTION("""COMPUTED_VALUE"""),0.0)</f>
        <v>0</v>
      </c>
      <c r="Q723" s="447">
        <f>IFERROR(__xludf.DUMMYFUNCTION("""COMPUTED_VALUE"""),1.0)</f>
        <v>1</v>
      </c>
      <c r="R723" s="447">
        <f>IFERROR(__xludf.DUMMYFUNCTION("""COMPUTED_VALUE"""),0.0)</f>
        <v>0</v>
      </c>
      <c r="S723" s="447">
        <f>IFERROR(__xludf.DUMMYFUNCTION("""COMPUTED_VALUE"""),1.0)</f>
        <v>1</v>
      </c>
      <c r="T723" s="447">
        <f>IFERROR(__xludf.DUMMYFUNCTION("""COMPUTED_VALUE"""),0.0)</f>
        <v>0</v>
      </c>
      <c r="U723" s="447">
        <f>IFERROR(__xludf.DUMMYFUNCTION("""COMPUTED_VALUE"""),0.0)</f>
        <v>0</v>
      </c>
      <c r="V723" s="447">
        <f>IFERROR(__xludf.DUMMYFUNCTION("""COMPUTED_VALUE"""),0.0)</f>
        <v>0</v>
      </c>
      <c r="W723" s="447">
        <f>IFERROR(__xludf.DUMMYFUNCTION("""COMPUTED_VALUE"""),0.0)</f>
        <v>0</v>
      </c>
      <c r="X723" s="447">
        <f>IFERROR(__xludf.DUMMYFUNCTION("""COMPUTED_VALUE"""),1.0)</f>
        <v>1</v>
      </c>
      <c r="Y723" s="447">
        <f>IFERROR(__xludf.DUMMYFUNCTION("""COMPUTED_VALUE"""),0.0)</f>
        <v>0</v>
      </c>
      <c r="Z723" s="447">
        <f>IFERROR(__xludf.DUMMYFUNCTION("""COMPUTED_VALUE"""),0.0)</f>
        <v>0</v>
      </c>
      <c r="AA723" s="447">
        <f>IFERROR(__xludf.DUMMYFUNCTION("""COMPUTED_VALUE"""),0.0)</f>
        <v>0</v>
      </c>
      <c r="AB723" s="447">
        <f>IFERROR(__xludf.DUMMYFUNCTION("""COMPUTED_VALUE"""),0.0)</f>
        <v>0</v>
      </c>
      <c r="AC723" s="447">
        <f>IFERROR(__xludf.DUMMYFUNCTION("""COMPUTED_VALUE"""),0.0)</f>
        <v>0</v>
      </c>
      <c r="AD723" s="447">
        <f>IFERROR(__xludf.DUMMYFUNCTION("""COMPUTED_VALUE"""),52.0)</f>
        <v>52</v>
      </c>
      <c r="AE723" s="447">
        <f>IFERROR(__xludf.DUMMYFUNCTION("""COMPUTED_VALUE"""),3.0)</f>
        <v>3</v>
      </c>
      <c r="AF723" s="447">
        <f>IFERROR(__xludf.DUMMYFUNCTION("""COMPUTED_VALUE"""),0.0)</f>
        <v>0</v>
      </c>
      <c r="AG723" s="443" t="s">
        <v>148</v>
      </c>
      <c r="AH723" s="443" t="s">
        <v>961</v>
      </c>
      <c r="AI723" s="443"/>
      <c r="AJ723" s="443"/>
      <c r="AK723" s="443"/>
      <c r="AL723" s="443"/>
      <c r="AM723" s="443"/>
      <c r="AN723" s="443"/>
      <c r="AO723" s="443"/>
      <c r="AP723" s="443"/>
      <c r="AQ723" s="443"/>
      <c r="AR723" s="443"/>
      <c r="AS723" s="443"/>
      <c r="AT723" s="443"/>
      <c r="AU723" s="443"/>
      <c r="AV723" s="443"/>
      <c r="AW723" s="443"/>
      <c r="AX723" s="443"/>
      <c r="AY723" s="443"/>
      <c r="AZ723" s="443"/>
      <c r="BA723" s="443"/>
      <c r="BB723" s="443"/>
      <c r="BC723" s="443"/>
      <c r="BD723" s="443"/>
      <c r="BE723" s="443"/>
    </row>
    <row r="724" hidden="1">
      <c r="A724" s="445">
        <f t="shared" si="5"/>
        <v>46014</v>
      </c>
      <c r="B724" s="449">
        <v>874.0</v>
      </c>
      <c r="C724" s="462">
        <v>0.6</v>
      </c>
      <c r="D724" s="462">
        <v>1.1201388888888888</v>
      </c>
      <c r="E724" s="436">
        <f t="array" ref="E724">IF(B724=0,"",(J724+K724)/60)</f>
        <v>1.283333333</v>
      </c>
      <c r="F724" s="437">
        <f t="shared" si="1"/>
        <v>12.48333333</v>
      </c>
      <c r="G724" s="438">
        <f t="shared" si="9"/>
        <v>70.01335113</v>
      </c>
      <c r="H724" s="438">
        <f t="shared" si="3"/>
        <v>78.03571429</v>
      </c>
      <c r="I724" s="436">
        <f t="shared" si="10"/>
        <v>1.346410599</v>
      </c>
      <c r="J724" s="460">
        <v>60.0</v>
      </c>
      <c r="K724" s="464">
        <f>11+6</f>
        <v>17</v>
      </c>
      <c r="L724" s="443"/>
      <c r="M724" s="447">
        <f>IFERROR(__xludf.DUMMYFUNCTION("""COMPUTED_VALUE"""),57.0)</f>
        <v>57</v>
      </c>
      <c r="N724" s="447">
        <f>IFERROR(__xludf.DUMMYFUNCTION("""COMPUTED_VALUE"""),57.0)</f>
        <v>57</v>
      </c>
      <c r="O724" s="447">
        <f>IFERROR(__xludf.DUMMYFUNCTION("""COMPUTED_VALUE"""),0.0)</f>
        <v>0</v>
      </c>
      <c r="P724" s="447">
        <f>IFERROR(__xludf.DUMMYFUNCTION("""COMPUTED_VALUE"""),0.0)</f>
        <v>0</v>
      </c>
      <c r="Q724" s="447">
        <f>IFERROR(__xludf.DUMMYFUNCTION("""COMPUTED_VALUE"""),1.0)</f>
        <v>1</v>
      </c>
      <c r="R724" s="447">
        <f>IFERROR(__xludf.DUMMYFUNCTION("""COMPUTED_VALUE"""),0.0)</f>
        <v>0</v>
      </c>
      <c r="S724" s="447">
        <f>IFERROR(__xludf.DUMMYFUNCTION("""COMPUTED_VALUE"""),1.0)</f>
        <v>1</v>
      </c>
      <c r="T724" s="447">
        <f>IFERROR(__xludf.DUMMYFUNCTION("""COMPUTED_VALUE"""),0.0)</f>
        <v>0</v>
      </c>
      <c r="U724" s="447">
        <f>IFERROR(__xludf.DUMMYFUNCTION("""COMPUTED_VALUE"""),0.0)</f>
        <v>0</v>
      </c>
      <c r="V724" s="447">
        <f>IFERROR(__xludf.DUMMYFUNCTION("""COMPUTED_VALUE"""),0.0)</f>
        <v>0</v>
      </c>
      <c r="W724" s="447">
        <f>IFERROR(__xludf.DUMMYFUNCTION("""COMPUTED_VALUE"""),0.0)</f>
        <v>0</v>
      </c>
      <c r="X724" s="447">
        <f>IFERROR(__xludf.DUMMYFUNCTION("""COMPUTED_VALUE"""),1.0)</f>
        <v>1</v>
      </c>
      <c r="Y724" s="447">
        <f>IFERROR(__xludf.DUMMYFUNCTION("""COMPUTED_VALUE"""),0.0)</f>
        <v>0</v>
      </c>
      <c r="Z724" s="447">
        <f>IFERROR(__xludf.DUMMYFUNCTION("""COMPUTED_VALUE"""),0.0)</f>
        <v>0</v>
      </c>
      <c r="AA724" s="447">
        <f>IFERROR(__xludf.DUMMYFUNCTION("""COMPUTED_VALUE"""),0.0)</f>
        <v>0</v>
      </c>
      <c r="AB724" s="447">
        <f>IFERROR(__xludf.DUMMYFUNCTION("""COMPUTED_VALUE"""),0.0)</f>
        <v>0</v>
      </c>
      <c r="AC724" s="447">
        <f>IFERROR(__xludf.DUMMYFUNCTION("""COMPUTED_VALUE"""),0.0)</f>
        <v>0</v>
      </c>
      <c r="AD724" s="447">
        <f>IFERROR(__xludf.DUMMYFUNCTION("""COMPUTED_VALUE"""),52.0)</f>
        <v>52</v>
      </c>
      <c r="AE724" s="447">
        <f>IFERROR(__xludf.DUMMYFUNCTION("""COMPUTED_VALUE"""),3.0)</f>
        <v>3</v>
      </c>
      <c r="AF724" s="447">
        <f>IFERROR(__xludf.DUMMYFUNCTION("""COMPUTED_VALUE"""),0.0)</f>
        <v>0</v>
      </c>
      <c r="AG724" s="443" t="s">
        <v>148</v>
      </c>
      <c r="AH724" s="443" t="s">
        <v>961</v>
      </c>
      <c r="AI724" s="443"/>
      <c r="AJ724" s="443"/>
      <c r="AK724" s="443"/>
      <c r="AL724" s="443"/>
      <c r="AM724" s="443"/>
      <c r="AN724" s="443"/>
      <c r="AO724" s="443"/>
      <c r="AP724" s="443"/>
      <c r="AQ724" s="443"/>
      <c r="AR724" s="443"/>
      <c r="AS724" s="443"/>
      <c r="AT724" s="443"/>
      <c r="AU724" s="443"/>
      <c r="AV724" s="443"/>
      <c r="AW724" s="443"/>
      <c r="AX724" s="443"/>
      <c r="AY724" s="443"/>
      <c r="AZ724" s="443"/>
      <c r="BA724" s="443"/>
      <c r="BB724" s="443"/>
      <c r="BC724" s="443"/>
      <c r="BD724" s="443"/>
      <c r="BE724" s="443"/>
    </row>
    <row r="725" hidden="1">
      <c r="A725" s="445">
        <f t="shared" si="5"/>
        <v>46015</v>
      </c>
      <c r="B725" s="449">
        <v>0.0</v>
      </c>
      <c r="C725" s="443"/>
      <c r="D725" s="462"/>
      <c r="E725" s="436" t="str">
        <f t="array" ref="E725">IF(B725=0,"",(J725+K725)/60)</f>
        <v/>
      </c>
      <c r="F725" s="437" t="str">
        <f t="shared" si="1"/>
        <v/>
      </c>
      <c r="G725" s="438" t="str">
        <f t="shared" si="9"/>
        <v>#DIV/0!</v>
      </c>
      <c r="H725" s="438" t="str">
        <f t="shared" si="3"/>
        <v/>
      </c>
      <c r="I725" s="436" t="str">
        <f t="shared" si="10"/>
        <v/>
      </c>
      <c r="J725" s="464"/>
      <c r="K725" s="464"/>
      <c r="L725" s="443"/>
      <c r="M725" s="447">
        <f>IFERROR(__xludf.DUMMYFUNCTION("""COMPUTED_VALUE"""),57.0)</f>
        <v>57</v>
      </c>
      <c r="N725" s="447">
        <f>IFERROR(__xludf.DUMMYFUNCTION("""COMPUTED_VALUE"""),57.0)</f>
        <v>57</v>
      </c>
      <c r="O725" s="447">
        <f>IFERROR(__xludf.DUMMYFUNCTION("""COMPUTED_VALUE"""),0.0)</f>
        <v>0</v>
      </c>
      <c r="P725" s="447">
        <f>IFERROR(__xludf.DUMMYFUNCTION("""COMPUTED_VALUE"""),0.0)</f>
        <v>0</v>
      </c>
      <c r="Q725" s="447">
        <f>IFERROR(__xludf.DUMMYFUNCTION("""COMPUTED_VALUE"""),0.0)</f>
        <v>0</v>
      </c>
      <c r="R725" s="447">
        <f>IFERROR(__xludf.DUMMYFUNCTION("""COMPUTED_VALUE"""),0.0)</f>
        <v>0</v>
      </c>
      <c r="S725" s="447">
        <f>IFERROR(__xludf.DUMMYFUNCTION("""COMPUTED_VALUE"""),1.0)</f>
        <v>1</v>
      </c>
      <c r="T725" s="447">
        <f>IFERROR(__xludf.DUMMYFUNCTION("""COMPUTED_VALUE"""),0.0)</f>
        <v>0</v>
      </c>
      <c r="U725" s="447">
        <f>IFERROR(__xludf.DUMMYFUNCTION("""COMPUTED_VALUE"""),0.0)</f>
        <v>0</v>
      </c>
      <c r="V725" s="447">
        <f>IFERROR(__xludf.DUMMYFUNCTION("""COMPUTED_VALUE"""),0.0)</f>
        <v>0</v>
      </c>
      <c r="W725" s="447">
        <f>IFERROR(__xludf.DUMMYFUNCTION("""COMPUTED_VALUE"""),0.0)</f>
        <v>0</v>
      </c>
      <c r="X725" s="447">
        <f>IFERROR(__xludf.DUMMYFUNCTION("""COMPUTED_VALUE"""),1.0)</f>
        <v>1</v>
      </c>
      <c r="Y725" s="447">
        <f>IFERROR(__xludf.DUMMYFUNCTION("""COMPUTED_VALUE"""),0.0)</f>
        <v>0</v>
      </c>
      <c r="Z725" s="447">
        <f>IFERROR(__xludf.DUMMYFUNCTION("""COMPUTED_VALUE"""),0.0)</f>
        <v>0</v>
      </c>
      <c r="AA725" s="447">
        <f>IFERROR(__xludf.DUMMYFUNCTION("""COMPUTED_VALUE"""),0.0)</f>
        <v>0</v>
      </c>
      <c r="AB725" s="447">
        <f>IFERROR(__xludf.DUMMYFUNCTION("""COMPUTED_VALUE"""),0.0)</f>
        <v>0</v>
      </c>
      <c r="AC725" s="447">
        <f>IFERROR(__xludf.DUMMYFUNCTION("""COMPUTED_VALUE"""),0.0)</f>
        <v>0</v>
      </c>
      <c r="AD725" s="447">
        <f>IFERROR(__xludf.DUMMYFUNCTION("""COMPUTED_VALUE"""),0.0)</f>
        <v>0</v>
      </c>
      <c r="AE725" s="447">
        <f>IFERROR(__xludf.DUMMYFUNCTION("""COMPUTED_VALUE"""),2.0)</f>
        <v>2</v>
      </c>
      <c r="AF725" s="447">
        <f>IFERROR(__xludf.DUMMYFUNCTION("""COMPUTED_VALUE"""),0.0)</f>
        <v>0</v>
      </c>
      <c r="AG725" s="443" t="s">
        <v>148</v>
      </c>
      <c r="AH725" s="443" t="s">
        <v>961</v>
      </c>
      <c r="AI725" s="443"/>
      <c r="AJ725" s="443"/>
      <c r="AK725" s="443"/>
      <c r="AL725" s="443"/>
      <c r="AM725" s="443"/>
      <c r="AN725" s="443"/>
      <c r="AO725" s="443"/>
      <c r="AP725" s="443"/>
      <c r="AQ725" s="443"/>
      <c r="AR725" s="443"/>
      <c r="AS725" s="443"/>
      <c r="AT725" s="443"/>
      <c r="AU725" s="443"/>
      <c r="AV725" s="443"/>
      <c r="AW725" s="443"/>
      <c r="AX725" s="443"/>
      <c r="AY725" s="443"/>
      <c r="AZ725" s="443"/>
      <c r="BA725" s="443"/>
      <c r="BB725" s="443"/>
      <c r="BC725" s="443"/>
      <c r="BD725" s="443"/>
      <c r="BE725" s="443"/>
    </row>
    <row r="726" hidden="1">
      <c r="A726" s="445">
        <f t="shared" si="5"/>
        <v>46016</v>
      </c>
      <c r="B726" s="449">
        <v>0.0</v>
      </c>
      <c r="C726" s="443"/>
      <c r="D726" s="462"/>
      <c r="E726" s="436" t="str">
        <f t="array" ref="E726">IF(B726=0,"",(J726+K726)/60)</f>
        <v/>
      </c>
      <c r="F726" s="437" t="str">
        <f t="shared" si="1"/>
        <v/>
      </c>
      <c r="G726" s="438" t="str">
        <f t="shared" si="9"/>
        <v>#DIV/0!</v>
      </c>
      <c r="H726" s="438" t="str">
        <f t="shared" si="3"/>
        <v/>
      </c>
      <c r="I726" s="436" t="str">
        <f t="shared" si="10"/>
        <v/>
      </c>
      <c r="J726" s="464"/>
      <c r="K726" s="464"/>
      <c r="L726" s="443"/>
      <c r="M726" s="447">
        <f>IFERROR(__xludf.DUMMYFUNCTION("""COMPUTED_VALUE"""),57.0)</f>
        <v>57</v>
      </c>
      <c r="N726" s="447">
        <f>IFERROR(__xludf.DUMMYFUNCTION("""COMPUTED_VALUE"""),57.0)</f>
        <v>57</v>
      </c>
      <c r="O726" s="447">
        <f>IFERROR(__xludf.DUMMYFUNCTION("""COMPUTED_VALUE"""),0.0)</f>
        <v>0</v>
      </c>
      <c r="P726" s="447">
        <f>IFERROR(__xludf.DUMMYFUNCTION("""COMPUTED_VALUE"""),0.0)</f>
        <v>0</v>
      </c>
      <c r="Q726" s="447">
        <f>IFERROR(__xludf.DUMMYFUNCTION("""COMPUTED_VALUE"""),0.0)</f>
        <v>0</v>
      </c>
      <c r="R726" s="447">
        <f>IFERROR(__xludf.DUMMYFUNCTION("""COMPUTED_VALUE"""),0.0)</f>
        <v>0</v>
      </c>
      <c r="S726" s="447">
        <f>IFERROR(__xludf.DUMMYFUNCTION("""COMPUTED_VALUE"""),1.0)</f>
        <v>1</v>
      </c>
      <c r="T726" s="447">
        <f>IFERROR(__xludf.DUMMYFUNCTION("""COMPUTED_VALUE"""),0.0)</f>
        <v>0</v>
      </c>
      <c r="U726" s="447">
        <f>IFERROR(__xludf.DUMMYFUNCTION("""COMPUTED_VALUE"""),0.0)</f>
        <v>0</v>
      </c>
      <c r="V726" s="447">
        <f>IFERROR(__xludf.DUMMYFUNCTION("""COMPUTED_VALUE"""),0.0)</f>
        <v>0</v>
      </c>
      <c r="W726" s="447">
        <f>IFERROR(__xludf.DUMMYFUNCTION("""COMPUTED_VALUE"""),0.0)</f>
        <v>0</v>
      </c>
      <c r="X726" s="447">
        <f>IFERROR(__xludf.DUMMYFUNCTION("""COMPUTED_VALUE"""),1.0)</f>
        <v>1</v>
      </c>
      <c r="Y726" s="447">
        <f>IFERROR(__xludf.DUMMYFUNCTION("""COMPUTED_VALUE"""),0.0)</f>
        <v>0</v>
      </c>
      <c r="Z726" s="447">
        <f>IFERROR(__xludf.DUMMYFUNCTION("""COMPUTED_VALUE"""),0.0)</f>
        <v>0</v>
      </c>
      <c r="AA726" s="447">
        <f>IFERROR(__xludf.DUMMYFUNCTION("""COMPUTED_VALUE"""),0.0)</f>
        <v>0</v>
      </c>
      <c r="AB726" s="447">
        <f>IFERROR(__xludf.DUMMYFUNCTION("""COMPUTED_VALUE"""),0.0)</f>
        <v>0</v>
      </c>
      <c r="AC726" s="447">
        <f>IFERROR(__xludf.DUMMYFUNCTION("""COMPUTED_VALUE"""),0.0)</f>
        <v>0</v>
      </c>
      <c r="AD726" s="447">
        <f>IFERROR(__xludf.DUMMYFUNCTION("""COMPUTED_VALUE"""),0.0)</f>
        <v>0</v>
      </c>
      <c r="AE726" s="447">
        <f>IFERROR(__xludf.DUMMYFUNCTION("""COMPUTED_VALUE"""),2.0)</f>
        <v>2</v>
      </c>
      <c r="AF726" s="447">
        <f>IFERROR(__xludf.DUMMYFUNCTION("""COMPUTED_VALUE"""),0.0)</f>
        <v>0</v>
      </c>
      <c r="AG726" s="443" t="s">
        <v>148</v>
      </c>
      <c r="AH726" s="443" t="s">
        <v>961</v>
      </c>
      <c r="AI726" s="443"/>
      <c r="AJ726" s="443"/>
      <c r="AK726" s="443"/>
      <c r="AL726" s="443"/>
      <c r="AM726" s="443"/>
      <c r="AN726" s="443"/>
      <c r="AO726" s="443"/>
      <c r="AP726" s="443"/>
      <c r="AQ726" s="443"/>
      <c r="AR726" s="443"/>
      <c r="AS726" s="443"/>
      <c r="AT726" s="443"/>
      <c r="AU726" s="443"/>
      <c r="AV726" s="443"/>
      <c r="AW726" s="443"/>
      <c r="AX726" s="443"/>
      <c r="AY726" s="443"/>
      <c r="AZ726" s="443"/>
      <c r="BA726" s="443"/>
      <c r="BB726" s="443"/>
      <c r="BC726" s="443"/>
      <c r="BD726" s="443"/>
      <c r="BE726" s="443"/>
    </row>
    <row r="727" hidden="1">
      <c r="A727" s="445">
        <f t="shared" si="5"/>
        <v>46017</v>
      </c>
      <c r="B727" s="449">
        <v>589.0</v>
      </c>
      <c r="C727" s="462">
        <v>0.6833333333333333</v>
      </c>
      <c r="D727" s="462">
        <v>1.0638888888888889</v>
      </c>
      <c r="E727" s="436">
        <f t="array" ref="E727">IF(B727=0,"",(J727+K727)/60)</f>
        <v>1</v>
      </c>
      <c r="F727" s="437">
        <f t="shared" si="1"/>
        <v>9.133333333</v>
      </c>
      <c r="G727" s="438">
        <f t="shared" si="9"/>
        <v>64.48905109</v>
      </c>
      <c r="H727" s="438">
        <f t="shared" si="3"/>
        <v>72.41803279</v>
      </c>
      <c r="I727" s="436">
        <f t="shared" si="10"/>
        <v>1.289781022</v>
      </c>
      <c r="J727" s="460">
        <v>60.0</v>
      </c>
      <c r="K727" s="460">
        <v>0.0</v>
      </c>
      <c r="L727" s="443"/>
      <c r="M727" s="447">
        <f>IFERROR(__xludf.DUMMYFUNCTION("""COMPUTED_VALUE"""),57.0)</f>
        <v>57</v>
      </c>
      <c r="N727" s="447">
        <f>IFERROR(__xludf.DUMMYFUNCTION("""COMPUTED_VALUE"""),56.0)</f>
        <v>56</v>
      </c>
      <c r="O727" s="447">
        <f>IFERROR(__xludf.DUMMYFUNCTION("""COMPUTED_VALUE"""),0.0)</f>
        <v>0</v>
      </c>
      <c r="P727" s="447">
        <f>IFERROR(__xludf.DUMMYFUNCTION("""COMPUTED_VALUE"""),0.0)</f>
        <v>0</v>
      </c>
      <c r="Q727" s="447">
        <f>IFERROR(__xludf.DUMMYFUNCTION("""COMPUTED_VALUE"""),1.0)</f>
        <v>1</v>
      </c>
      <c r="R727" s="447">
        <f>IFERROR(__xludf.DUMMYFUNCTION("""COMPUTED_VALUE"""),0.0)</f>
        <v>0</v>
      </c>
      <c r="S727" s="447">
        <f>IFERROR(__xludf.DUMMYFUNCTION("""COMPUTED_VALUE"""),1.0)</f>
        <v>1</v>
      </c>
      <c r="T727" s="447">
        <f>IFERROR(__xludf.DUMMYFUNCTION("""COMPUTED_VALUE"""),0.0)</f>
        <v>0</v>
      </c>
      <c r="U727" s="447">
        <f>IFERROR(__xludf.DUMMYFUNCTION("""COMPUTED_VALUE"""),1.0)</f>
        <v>1</v>
      </c>
      <c r="V727" s="447">
        <f>IFERROR(__xludf.DUMMYFUNCTION("""COMPUTED_VALUE"""),0.0)</f>
        <v>0</v>
      </c>
      <c r="W727" s="447">
        <f>IFERROR(__xludf.DUMMYFUNCTION("""COMPUTED_VALUE"""),0.0)</f>
        <v>0</v>
      </c>
      <c r="X727" s="447">
        <f>IFERROR(__xludf.DUMMYFUNCTION("""COMPUTED_VALUE"""),1.0)</f>
        <v>1</v>
      </c>
      <c r="Y727" s="447">
        <f>IFERROR(__xludf.DUMMYFUNCTION("""COMPUTED_VALUE"""),0.0)</f>
        <v>0</v>
      </c>
      <c r="Z727" s="447">
        <f>IFERROR(__xludf.DUMMYFUNCTION("""COMPUTED_VALUE"""),0.0)</f>
        <v>0</v>
      </c>
      <c r="AA727" s="447">
        <f>IFERROR(__xludf.DUMMYFUNCTION("""COMPUTED_VALUE"""),0.0)</f>
        <v>0</v>
      </c>
      <c r="AB727" s="447">
        <f>IFERROR(__xludf.DUMMYFUNCTION("""COMPUTED_VALUE"""),0.0)</f>
        <v>0</v>
      </c>
      <c r="AC727" s="447">
        <f>IFERROR(__xludf.DUMMYFUNCTION("""COMPUTED_VALUE"""),1.0)</f>
        <v>1</v>
      </c>
      <c r="AD727" s="447">
        <f>IFERROR(__xludf.DUMMYFUNCTION("""COMPUTED_VALUE"""),50.0)</f>
        <v>50</v>
      </c>
      <c r="AE727" s="447">
        <f>IFERROR(__xludf.DUMMYFUNCTION("""COMPUTED_VALUE"""),5.0)</f>
        <v>5</v>
      </c>
      <c r="AF727" s="447">
        <f>IFERROR(__xludf.DUMMYFUNCTION("""COMPUTED_VALUE"""),1.0)</f>
        <v>1</v>
      </c>
      <c r="AG727" s="443" t="s">
        <v>148</v>
      </c>
      <c r="AH727" s="443" t="s">
        <v>961</v>
      </c>
      <c r="AI727" s="443"/>
      <c r="AJ727" s="443"/>
      <c r="AK727" s="443"/>
      <c r="AL727" s="443"/>
      <c r="AM727" s="443"/>
      <c r="AN727" s="443"/>
      <c r="AO727" s="443"/>
      <c r="AP727" s="443"/>
      <c r="AQ727" s="443"/>
      <c r="AR727" s="443"/>
      <c r="AS727" s="443"/>
      <c r="AT727" s="443"/>
      <c r="AU727" s="443"/>
      <c r="AV727" s="443"/>
      <c r="AW727" s="443"/>
      <c r="AX727" s="443"/>
      <c r="AY727" s="443"/>
      <c r="AZ727" s="443"/>
      <c r="BA727" s="443"/>
      <c r="BB727" s="443"/>
      <c r="BC727" s="443"/>
      <c r="BD727" s="443"/>
      <c r="BE727" s="443"/>
    </row>
    <row r="728" hidden="1">
      <c r="A728" s="445">
        <f t="shared" si="5"/>
        <v>46018</v>
      </c>
      <c r="B728" s="449">
        <v>507.0</v>
      </c>
      <c r="C728" s="462">
        <v>0.6</v>
      </c>
      <c r="D728" s="462">
        <v>0.9173611111111111</v>
      </c>
      <c r="E728" s="436">
        <f t="array" ref="E728">IF(B728=0,"",(J728+K728)/60)</f>
        <v>0.7</v>
      </c>
      <c r="F728" s="437">
        <f t="shared" si="1"/>
        <v>7.616666667</v>
      </c>
      <c r="G728" s="438">
        <f t="shared" si="9"/>
        <v>66.56455142</v>
      </c>
      <c r="H728" s="438">
        <f t="shared" si="3"/>
        <v>73.30120482</v>
      </c>
      <c r="I728" s="436">
        <f t="shared" si="10"/>
        <v>1.331291028</v>
      </c>
      <c r="J728" s="460">
        <v>30.0</v>
      </c>
      <c r="K728" s="460">
        <v>12.0</v>
      </c>
      <c r="L728" s="443"/>
      <c r="M728" s="447">
        <f>IFERROR(__xludf.DUMMYFUNCTION("""COMPUTED_VALUE"""),57.0)</f>
        <v>57</v>
      </c>
      <c r="N728" s="447">
        <f>IFERROR(__xludf.DUMMYFUNCTION("""COMPUTED_VALUE"""),56.0)</f>
        <v>56</v>
      </c>
      <c r="O728" s="447">
        <f>IFERROR(__xludf.DUMMYFUNCTION("""COMPUTED_VALUE"""),0.0)</f>
        <v>0</v>
      </c>
      <c r="P728" s="447">
        <f>IFERROR(__xludf.DUMMYFUNCTION("""COMPUTED_VALUE"""),0.0)</f>
        <v>0</v>
      </c>
      <c r="Q728" s="447">
        <f>IFERROR(__xludf.DUMMYFUNCTION("""COMPUTED_VALUE"""),1.0)</f>
        <v>1</v>
      </c>
      <c r="R728" s="447">
        <f>IFERROR(__xludf.DUMMYFUNCTION("""COMPUTED_VALUE"""),0.0)</f>
        <v>0</v>
      </c>
      <c r="S728" s="447">
        <f>IFERROR(__xludf.DUMMYFUNCTION("""COMPUTED_VALUE"""),2.0)</f>
        <v>2</v>
      </c>
      <c r="T728" s="447">
        <f>IFERROR(__xludf.DUMMYFUNCTION("""COMPUTED_VALUE"""),0.0)</f>
        <v>0</v>
      </c>
      <c r="U728" s="447">
        <f>IFERROR(__xludf.DUMMYFUNCTION("""COMPUTED_VALUE"""),1.0)</f>
        <v>1</v>
      </c>
      <c r="V728" s="447">
        <f>IFERROR(__xludf.DUMMYFUNCTION("""COMPUTED_VALUE"""),0.0)</f>
        <v>0</v>
      </c>
      <c r="W728" s="447">
        <f>IFERROR(__xludf.DUMMYFUNCTION("""COMPUTED_VALUE"""),0.0)</f>
        <v>0</v>
      </c>
      <c r="X728" s="447">
        <f>IFERROR(__xludf.DUMMYFUNCTION("""COMPUTED_VALUE"""),1.0)</f>
        <v>1</v>
      </c>
      <c r="Y728" s="447">
        <f>IFERROR(__xludf.DUMMYFUNCTION("""COMPUTED_VALUE"""),0.0)</f>
        <v>0</v>
      </c>
      <c r="Z728" s="447">
        <f>IFERROR(__xludf.DUMMYFUNCTION("""COMPUTED_VALUE"""),0.0)</f>
        <v>0</v>
      </c>
      <c r="AA728" s="447">
        <f>IFERROR(__xludf.DUMMYFUNCTION("""COMPUTED_VALUE"""),0.0)</f>
        <v>0</v>
      </c>
      <c r="AB728" s="447">
        <f>IFERROR(__xludf.DUMMYFUNCTION("""COMPUTED_VALUE"""),0.0)</f>
        <v>0</v>
      </c>
      <c r="AC728" s="447">
        <f>IFERROR(__xludf.DUMMYFUNCTION("""COMPUTED_VALUE"""),0.0)</f>
        <v>0</v>
      </c>
      <c r="AD728" s="447">
        <f>IFERROR(__xludf.DUMMYFUNCTION("""COMPUTED_VALUE"""),50.0)</f>
        <v>50</v>
      </c>
      <c r="AE728" s="447">
        <f>IFERROR(__xludf.DUMMYFUNCTION("""COMPUTED_VALUE"""),5.0)</f>
        <v>5</v>
      </c>
      <c r="AF728" s="447">
        <f>IFERROR(__xludf.DUMMYFUNCTION("""COMPUTED_VALUE"""),1.0)</f>
        <v>1</v>
      </c>
      <c r="AG728" s="443" t="s">
        <v>148</v>
      </c>
      <c r="AH728" s="443" t="s">
        <v>961</v>
      </c>
      <c r="AI728" s="443"/>
      <c r="AJ728" s="443"/>
      <c r="AK728" s="443"/>
      <c r="AL728" s="443"/>
      <c r="AM728" s="443"/>
      <c r="AN728" s="443"/>
      <c r="AO728" s="443"/>
      <c r="AP728" s="443"/>
      <c r="AQ728" s="443"/>
      <c r="AR728" s="443"/>
      <c r="AS728" s="443"/>
      <c r="AT728" s="443"/>
      <c r="AU728" s="443"/>
      <c r="AV728" s="443"/>
      <c r="AW728" s="443"/>
      <c r="AX728" s="443"/>
      <c r="AY728" s="443"/>
      <c r="AZ728" s="443"/>
      <c r="BA728" s="443"/>
      <c r="BB728" s="443"/>
      <c r="BC728" s="443"/>
      <c r="BD728" s="443"/>
      <c r="BE728" s="443"/>
    </row>
    <row r="729" hidden="1">
      <c r="A729" s="445">
        <f t="shared" si="5"/>
        <v>46019</v>
      </c>
      <c r="B729" s="449">
        <v>0.0</v>
      </c>
      <c r="C729" s="443"/>
      <c r="D729" s="462"/>
      <c r="E729" s="436" t="str">
        <f t="array" ref="E729">IF(B729=0,"",(J729+K729)/60)</f>
        <v/>
      </c>
      <c r="F729" s="437" t="str">
        <f t="shared" si="1"/>
        <v/>
      </c>
      <c r="G729" s="438" t="str">
        <f t="shared" si="9"/>
        <v>#DIV/0!</v>
      </c>
      <c r="H729" s="438" t="str">
        <f t="shared" si="3"/>
        <v/>
      </c>
      <c r="I729" s="436" t="str">
        <f t="shared" si="10"/>
        <v/>
      </c>
      <c r="J729" s="464"/>
      <c r="K729" s="464"/>
      <c r="L729" s="443"/>
      <c r="M729" s="447">
        <f>IFERROR(__xludf.DUMMYFUNCTION("""COMPUTED_VALUE"""),57.0)</f>
        <v>57</v>
      </c>
      <c r="N729" s="447">
        <f>IFERROR(__xludf.DUMMYFUNCTION("""COMPUTED_VALUE"""),57.0)</f>
        <v>57</v>
      </c>
      <c r="O729" s="447">
        <f>IFERROR(__xludf.DUMMYFUNCTION("""COMPUTED_VALUE"""),0.0)</f>
        <v>0</v>
      </c>
      <c r="P729" s="447">
        <f>IFERROR(__xludf.DUMMYFUNCTION("""COMPUTED_VALUE"""),0.0)</f>
        <v>0</v>
      </c>
      <c r="Q729" s="447">
        <f>IFERROR(__xludf.DUMMYFUNCTION("""COMPUTED_VALUE"""),0.0)</f>
        <v>0</v>
      </c>
      <c r="R729" s="447">
        <f>IFERROR(__xludf.DUMMYFUNCTION("""COMPUTED_VALUE"""),0.0)</f>
        <v>0</v>
      </c>
      <c r="S729" s="447">
        <f>IFERROR(__xludf.DUMMYFUNCTION("""COMPUTED_VALUE"""),0.0)</f>
        <v>0</v>
      </c>
      <c r="T729" s="447">
        <f>IFERROR(__xludf.DUMMYFUNCTION("""COMPUTED_VALUE"""),0.0)</f>
        <v>0</v>
      </c>
      <c r="U729" s="447">
        <f>IFERROR(__xludf.DUMMYFUNCTION("""COMPUTED_VALUE"""),0.0)</f>
        <v>0</v>
      </c>
      <c r="V729" s="447">
        <f>IFERROR(__xludf.DUMMYFUNCTION("""COMPUTED_VALUE"""),0.0)</f>
        <v>0</v>
      </c>
      <c r="W729" s="447">
        <f>IFERROR(__xludf.DUMMYFUNCTION("""COMPUTED_VALUE"""),0.0)</f>
        <v>0</v>
      </c>
      <c r="X729" s="447">
        <f>IFERROR(__xludf.DUMMYFUNCTION("""COMPUTED_VALUE"""),0.0)</f>
        <v>0</v>
      </c>
      <c r="Y729" s="447">
        <f>IFERROR(__xludf.DUMMYFUNCTION("""COMPUTED_VALUE"""),0.0)</f>
        <v>0</v>
      </c>
      <c r="Z729" s="447">
        <f>IFERROR(__xludf.DUMMYFUNCTION("""COMPUTED_VALUE"""),0.0)</f>
        <v>0</v>
      </c>
      <c r="AA729" s="447">
        <f>IFERROR(__xludf.DUMMYFUNCTION("""COMPUTED_VALUE"""),0.0)</f>
        <v>0</v>
      </c>
      <c r="AB729" s="447">
        <f>IFERROR(__xludf.DUMMYFUNCTION("""COMPUTED_VALUE"""),0.0)</f>
        <v>0</v>
      </c>
      <c r="AC729" s="447">
        <f>IFERROR(__xludf.DUMMYFUNCTION("""COMPUTED_VALUE"""),0.0)</f>
        <v>0</v>
      </c>
      <c r="AD729" s="447">
        <f>IFERROR(__xludf.DUMMYFUNCTION("""COMPUTED_VALUE"""),0.0)</f>
        <v>0</v>
      </c>
      <c r="AE729" s="447">
        <f>IFERROR(__xludf.DUMMYFUNCTION("""COMPUTED_VALUE"""),0.0)</f>
        <v>0</v>
      </c>
      <c r="AF729" s="447">
        <f>IFERROR(__xludf.DUMMYFUNCTION("""COMPUTED_VALUE"""),0.0)</f>
        <v>0</v>
      </c>
      <c r="AG729" s="443" t="s">
        <v>148</v>
      </c>
      <c r="AH729" s="443" t="s">
        <v>961</v>
      </c>
      <c r="AI729" s="443"/>
      <c r="AJ729" s="443"/>
      <c r="AK729" s="443"/>
      <c r="AL729" s="443"/>
      <c r="AM729" s="443"/>
      <c r="AN729" s="443"/>
      <c r="AO729" s="443"/>
      <c r="AP729" s="443"/>
      <c r="AQ729" s="443"/>
      <c r="AR729" s="443"/>
      <c r="AS729" s="443"/>
      <c r="AT729" s="443"/>
      <c r="AU729" s="443"/>
      <c r="AV729" s="443"/>
      <c r="AW729" s="443"/>
      <c r="AX729" s="443"/>
      <c r="AY729" s="443"/>
      <c r="AZ729" s="443"/>
      <c r="BA729" s="443"/>
      <c r="BB729" s="443"/>
      <c r="BC729" s="443"/>
      <c r="BD729" s="443"/>
      <c r="BE729" s="443"/>
    </row>
    <row r="730" hidden="1">
      <c r="A730" s="445">
        <f t="shared" si="5"/>
        <v>46020</v>
      </c>
      <c r="B730" s="449">
        <v>1069.0</v>
      </c>
      <c r="C730" s="462">
        <v>0.5166666666666667</v>
      </c>
      <c r="D730" s="462">
        <v>1.1576388888888889</v>
      </c>
      <c r="E730" s="436">
        <f t="array" ref="E730">IF(B730=0,"",(J730+K730)/60)</f>
        <v>2.466666667</v>
      </c>
      <c r="F730" s="437">
        <f t="shared" si="1"/>
        <v>15.38333333</v>
      </c>
      <c r="G730" s="438">
        <f t="shared" si="9"/>
        <v>69.4907909</v>
      </c>
      <c r="H730" s="438">
        <f t="shared" si="3"/>
        <v>82.76129032</v>
      </c>
      <c r="I730" s="436">
        <f t="shared" si="10"/>
        <v>1.478527466</v>
      </c>
      <c r="J730" s="460">
        <v>60.0</v>
      </c>
      <c r="K730" s="464">
        <f>5+5+13+5+22+38</f>
        <v>88</v>
      </c>
      <c r="L730" s="443"/>
      <c r="M730" s="447">
        <f>IFERROR(__xludf.DUMMYFUNCTION("""COMPUTED_VALUE"""),57.0)</f>
        <v>57</v>
      </c>
      <c r="N730" s="447">
        <f>IFERROR(__xludf.DUMMYFUNCTION("""COMPUTED_VALUE"""),56.0)</f>
        <v>56</v>
      </c>
      <c r="O730" s="447">
        <f>IFERROR(__xludf.DUMMYFUNCTION("""COMPUTED_VALUE"""),0.0)</f>
        <v>0</v>
      </c>
      <c r="P730" s="447">
        <f>IFERROR(__xludf.DUMMYFUNCTION("""COMPUTED_VALUE"""),0.0)</f>
        <v>0</v>
      </c>
      <c r="Q730" s="447">
        <f>IFERROR(__xludf.DUMMYFUNCTION("""COMPUTED_VALUE"""),1.0)</f>
        <v>1</v>
      </c>
      <c r="R730" s="447">
        <f>IFERROR(__xludf.DUMMYFUNCTION("""COMPUTED_VALUE"""),0.0)</f>
        <v>0</v>
      </c>
      <c r="S730" s="447">
        <f>IFERROR(__xludf.DUMMYFUNCTION("""COMPUTED_VALUE"""),3.0)</f>
        <v>3</v>
      </c>
      <c r="T730" s="447">
        <f>IFERROR(__xludf.DUMMYFUNCTION("""COMPUTED_VALUE"""),1.0)</f>
        <v>1</v>
      </c>
      <c r="U730" s="447">
        <f>IFERROR(__xludf.DUMMYFUNCTION("""COMPUTED_VALUE"""),1.0)</f>
        <v>1</v>
      </c>
      <c r="V730" s="447">
        <f>IFERROR(__xludf.DUMMYFUNCTION("""COMPUTED_VALUE"""),1.0)</f>
        <v>1</v>
      </c>
      <c r="W730" s="447">
        <f>IFERROR(__xludf.DUMMYFUNCTION("""COMPUTED_VALUE"""),0.0)</f>
        <v>0</v>
      </c>
      <c r="X730" s="447">
        <f>IFERROR(__xludf.DUMMYFUNCTION("""COMPUTED_VALUE"""),1.0)</f>
        <v>1</v>
      </c>
      <c r="Y730" s="447">
        <f>IFERROR(__xludf.DUMMYFUNCTION("""COMPUTED_VALUE"""),0.0)</f>
        <v>0</v>
      </c>
      <c r="Z730" s="447">
        <f>IFERROR(__xludf.DUMMYFUNCTION("""COMPUTED_VALUE"""),0.0)</f>
        <v>0</v>
      </c>
      <c r="AA730" s="447">
        <f>IFERROR(__xludf.DUMMYFUNCTION("""COMPUTED_VALUE"""),0.0)</f>
        <v>0</v>
      </c>
      <c r="AB730" s="447">
        <f>IFERROR(__xludf.DUMMYFUNCTION("""COMPUTED_VALUE"""),0.0)</f>
        <v>0</v>
      </c>
      <c r="AC730" s="447">
        <f>IFERROR(__xludf.DUMMYFUNCTION("""COMPUTED_VALUE"""),0.0)</f>
        <v>0</v>
      </c>
      <c r="AD730" s="447">
        <f>IFERROR(__xludf.DUMMYFUNCTION("""COMPUTED_VALUE"""),47.0)</f>
        <v>47</v>
      </c>
      <c r="AE730" s="447">
        <f>IFERROR(__xludf.DUMMYFUNCTION("""COMPUTED_VALUE"""),8.0)</f>
        <v>8</v>
      </c>
      <c r="AF730" s="447">
        <f>IFERROR(__xludf.DUMMYFUNCTION("""COMPUTED_VALUE"""),1.0)</f>
        <v>1</v>
      </c>
      <c r="AG730" s="443" t="s">
        <v>148</v>
      </c>
      <c r="AH730" s="443" t="s">
        <v>961</v>
      </c>
      <c r="AI730" s="443"/>
      <c r="AJ730" s="443"/>
      <c r="AK730" s="443"/>
      <c r="AL730" s="443"/>
      <c r="AM730" s="443"/>
      <c r="AN730" s="443"/>
      <c r="AO730" s="443"/>
      <c r="AP730" s="443"/>
      <c r="AQ730" s="443"/>
      <c r="AR730" s="443"/>
      <c r="AS730" s="443"/>
      <c r="AT730" s="443"/>
      <c r="AU730" s="443"/>
      <c r="AV730" s="443"/>
      <c r="AW730" s="443"/>
      <c r="AX730" s="443"/>
      <c r="AY730" s="443"/>
      <c r="AZ730" s="443"/>
      <c r="BA730" s="443"/>
      <c r="BB730" s="443"/>
      <c r="BC730" s="443"/>
      <c r="BD730" s="443"/>
      <c r="BE730" s="443"/>
    </row>
    <row r="731" hidden="1">
      <c r="A731" s="445">
        <f t="shared" si="5"/>
        <v>46021</v>
      </c>
      <c r="B731" s="449">
        <v>0.0</v>
      </c>
      <c r="C731" s="443"/>
      <c r="D731" s="462"/>
      <c r="E731" s="436" t="str">
        <f t="array" ref="E731">IF(B731=0,"",(J731+K731)/60)</f>
        <v/>
      </c>
      <c r="F731" s="437" t="str">
        <f t="shared" si="1"/>
        <v/>
      </c>
      <c r="G731" s="438" t="str">
        <f t="shared" si="9"/>
        <v>#DIV/0!</v>
      </c>
      <c r="H731" s="438" t="str">
        <f t="shared" si="3"/>
        <v/>
      </c>
      <c r="I731" s="436" t="str">
        <f t="shared" si="10"/>
        <v/>
      </c>
      <c r="J731" s="464"/>
      <c r="K731" s="464"/>
      <c r="L731" s="443"/>
      <c r="M731" s="447">
        <f>IFERROR(__xludf.DUMMYFUNCTION("""COMPUTED_VALUE"""),57.0)</f>
        <v>57</v>
      </c>
      <c r="N731" s="447">
        <f>IFERROR(__xludf.DUMMYFUNCTION("""COMPUTED_VALUE"""),56.0)</f>
        <v>56</v>
      </c>
      <c r="O731" s="447">
        <f>IFERROR(__xludf.DUMMYFUNCTION("""COMPUTED_VALUE"""),0.0)</f>
        <v>0</v>
      </c>
      <c r="P731" s="447">
        <f>IFERROR(__xludf.DUMMYFUNCTION("""COMPUTED_VALUE"""),0.0)</f>
        <v>0</v>
      </c>
      <c r="Q731" s="447">
        <f>IFERROR(__xludf.DUMMYFUNCTION("""COMPUTED_VALUE"""),1.0)</f>
        <v>1</v>
      </c>
      <c r="R731" s="447">
        <f>IFERROR(__xludf.DUMMYFUNCTION("""COMPUTED_VALUE"""),0.0)</f>
        <v>0</v>
      </c>
      <c r="S731" s="447">
        <f>IFERROR(__xludf.DUMMYFUNCTION("""COMPUTED_VALUE"""),3.0)</f>
        <v>3</v>
      </c>
      <c r="T731" s="447">
        <f>IFERROR(__xludf.DUMMYFUNCTION("""COMPUTED_VALUE"""),0.0)</f>
        <v>0</v>
      </c>
      <c r="U731" s="447">
        <f>IFERROR(__xludf.DUMMYFUNCTION("""COMPUTED_VALUE"""),1.0)</f>
        <v>1</v>
      </c>
      <c r="V731" s="447">
        <f>IFERROR(__xludf.DUMMYFUNCTION("""COMPUTED_VALUE"""),1.0)</f>
        <v>1</v>
      </c>
      <c r="W731" s="447">
        <f>IFERROR(__xludf.DUMMYFUNCTION("""COMPUTED_VALUE"""),0.0)</f>
        <v>0</v>
      </c>
      <c r="X731" s="447">
        <f>IFERROR(__xludf.DUMMYFUNCTION("""COMPUTED_VALUE"""),1.0)</f>
        <v>1</v>
      </c>
      <c r="Y731" s="447">
        <f>IFERROR(__xludf.DUMMYFUNCTION("""COMPUTED_VALUE"""),0.0)</f>
        <v>0</v>
      </c>
      <c r="Z731" s="447">
        <f>IFERROR(__xludf.DUMMYFUNCTION("""COMPUTED_VALUE"""),0.0)</f>
        <v>0</v>
      </c>
      <c r="AA731" s="447">
        <f>IFERROR(__xludf.DUMMYFUNCTION("""COMPUTED_VALUE"""),0.0)</f>
        <v>0</v>
      </c>
      <c r="AB731" s="447">
        <f>IFERROR(__xludf.DUMMYFUNCTION("""COMPUTED_VALUE"""),0.0)</f>
        <v>0</v>
      </c>
      <c r="AC731" s="447">
        <f>IFERROR(__xludf.DUMMYFUNCTION("""COMPUTED_VALUE"""),1.0)</f>
        <v>1</v>
      </c>
      <c r="AD731" s="447">
        <f>IFERROR(__xludf.DUMMYFUNCTION("""COMPUTED_VALUE"""),47.0)</f>
        <v>47</v>
      </c>
      <c r="AE731" s="447">
        <f>IFERROR(__xludf.DUMMYFUNCTION("""COMPUTED_VALUE"""),8.0)</f>
        <v>8</v>
      </c>
      <c r="AF731" s="447">
        <f>IFERROR(__xludf.DUMMYFUNCTION("""COMPUTED_VALUE"""),1.0)</f>
        <v>1</v>
      </c>
      <c r="AG731" s="443" t="s">
        <v>148</v>
      </c>
      <c r="AH731" s="443" t="s">
        <v>961</v>
      </c>
      <c r="AI731" s="443"/>
      <c r="AJ731" s="443"/>
      <c r="AK731" s="443"/>
      <c r="AL731" s="443"/>
      <c r="AM731" s="443"/>
      <c r="AN731" s="443"/>
      <c r="AO731" s="443"/>
      <c r="AP731" s="443"/>
      <c r="AQ731" s="443"/>
      <c r="AR731" s="443"/>
      <c r="AS731" s="443"/>
      <c r="AT731" s="443"/>
      <c r="AU731" s="443"/>
      <c r="AV731" s="443"/>
      <c r="AW731" s="443"/>
      <c r="AX731" s="443"/>
      <c r="AY731" s="443"/>
      <c r="AZ731" s="443"/>
      <c r="BA731" s="443"/>
      <c r="BB731" s="443"/>
      <c r="BC731" s="443"/>
      <c r="BD731" s="443"/>
      <c r="BE731" s="443"/>
    </row>
    <row r="732" hidden="1">
      <c r="A732" s="445">
        <f t="shared" si="5"/>
        <v>46022</v>
      </c>
      <c r="B732" s="449">
        <v>0.0</v>
      </c>
      <c r="C732" s="443"/>
      <c r="D732" s="462"/>
      <c r="E732" s="436" t="str">
        <f t="array" ref="E732">IF(B732=0,"",(J732+K732)/60)</f>
        <v/>
      </c>
      <c r="F732" s="437" t="str">
        <f t="shared" si="1"/>
        <v/>
      </c>
      <c r="G732" s="438" t="str">
        <f t="shared" si="9"/>
        <v>#DIV/0!</v>
      </c>
      <c r="H732" s="438" t="str">
        <f t="shared" si="3"/>
        <v/>
      </c>
      <c r="I732" s="436" t="str">
        <f t="shared" si="10"/>
        <v/>
      </c>
      <c r="J732" s="464"/>
      <c r="K732" s="464"/>
      <c r="L732" s="443"/>
      <c r="M732" s="443"/>
      <c r="N732" s="443"/>
      <c r="O732" s="443"/>
      <c r="P732" s="443"/>
      <c r="Q732" s="443"/>
      <c r="R732" s="443"/>
      <c r="S732" s="443"/>
      <c r="T732" s="443"/>
      <c r="U732" s="443"/>
      <c r="V732" s="443"/>
      <c r="W732" s="443"/>
      <c r="X732" s="443"/>
      <c r="Y732" s="443"/>
      <c r="Z732" s="443"/>
      <c r="AA732" s="443"/>
      <c r="AB732" s="443"/>
      <c r="AC732" s="443"/>
      <c r="AD732" s="443"/>
      <c r="AE732" s="443"/>
      <c r="AF732" s="443"/>
      <c r="AG732" s="443" t="s">
        <v>148</v>
      </c>
      <c r="AH732" s="443" t="s">
        <v>961</v>
      </c>
      <c r="AI732" s="443"/>
      <c r="AJ732" s="443"/>
      <c r="AK732" s="443"/>
      <c r="AL732" s="443"/>
      <c r="AM732" s="443"/>
      <c r="AN732" s="443"/>
      <c r="AO732" s="443"/>
      <c r="AP732" s="443"/>
      <c r="AQ732" s="443"/>
      <c r="AR732" s="443"/>
      <c r="AS732" s="443"/>
      <c r="AT732" s="443"/>
      <c r="AU732" s="443"/>
      <c r="AV732" s="443"/>
      <c r="AW732" s="443"/>
      <c r="AX732" s="443"/>
      <c r="AY732" s="443"/>
      <c r="AZ732" s="443"/>
      <c r="BA732" s="443"/>
      <c r="BB732" s="443"/>
      <c r="BC732" s="443"/>
      <c r="BD732" s="443"/>
      <c r="BE732" s="443"/>
    </row>
    <row r="733" hidden="1">
      <c r="A733" s="445">
        <f t="shared" si="5"/>
        <v>46023</v>
      </c>
      <c r="B733" s="449">
        <v>0.0</v>
      </c>
      <c r="C733" s="443"/>
      <c r="D733" s="462"/>
      <c r="E733" s="436" t="str">
        <f t="array" ref="E733">IF(B733=0,"",(J733+K733)/60)</f>
        <v/>
      </c>
      <c r="F733" s="437" t="str">
        <f t="shared" si="1"/>
        <v/>
      </c>
      <c r="G733" s="438" t="str">
        <f t="shared" si="9"/>
        <v>#DIV/0!</v>
      </c>
      <c r="H733" s="438" t="str">
        <f t="shared" si="3"/>
        <v/>
      </c>
      <c r="I733" s="436" t="str">
        <f t="shared" si="10"/>
        <v/>
      </c>
      <c r="J733" s="464"/>
      <c r="K733" s="464"/>
      <c r="L733" s="443"/>
      <c r="M733" s="447">
        <f>IFERROR(__xludf.DUMMYFUNCTION("TRANSPOSE(IMPORTRANGE(""https://docs.google.com/spreadsheets/d/1CNeKSHTeNNJnfn5EymHwGg5Mkuk6EcepW7_9QkJxalc/edit#gid=1218471306"",""ENERO 2026!F2:Aj21""))"),57.0)</f>
        <v>57</v>
      </c>
      <c r="N733" s="447">
        <f>IFERROR(__xludf.DUMMYFUNCTION("""COMPUTED_VALUE"""),56.0)</f>
        <v>56</v>
      </c>
      <c r="O733" s="447">
        <f>IFERROR(__xludf.DUMMYFUNCTION("""COMPUTED_VALUE"""),0.0)</f>
        <v>0</v>
      </c>
      <c r="P733" s="447">
        <f>IFERROR(__xludf.DUMMYFUNCTION("""COMPUTED_VALUE"""),0.0)</f>
        <v>0</v>
      </c>
      <c r="Q733" s="447">
        <f>IFERROR(__xludf.DUMMYFUNCTION("""COMPUTED_VALUE"""),0.0)</f>
        <v>0</v>
      </c>
      <c r="R733" s="447">
        <f>IFERROR(__xludf.DUMMYFUNCTION("""COMPUTED_VALUE"""),0.0)</f>
        <v>0</v>
      </c>
      <c r="S733" s="447">
        <f>IFERROR(__xludf.DUMMYFUNCTION("""COMPUTED_VALUE"""),0.0)</f>
        <v>0</v>
      </c>
      <c r="T733" s="447">
        <f>IFERROR(__xludf.DUMMYFUNCTION("""COMPUTED_VALUE"""),0.0)</f>
        <v>0</v>
      </c>
      <c r="U733" s="447">
        <f>IFERROR(__xludf.DUMMYFUNCTION("""COMPUTED_VALUE"""),1.0)</f>
        <v>1</v>
      </c>
      <c r="V733" s="447">
        <f>IFERROR(__xludf.DUMMYFUNCTION("""COMPUTED_VALUE"""),0.0)</f>
        <v>0</v>
      </c>
      <c r="W733" s="447">
        <f>IFERROR(__xludf.DUMMYFUNCTION("""COMPUTED_VALUE"""),0.0)</f>
        <v>0</v>
      </c>
      <c r="X733" s="447">
        <f>IFERROR(__xludf.DUMMYFUNCTION("""COMPUTED_VALUE"""),0.0)</f>
        <v>0</v>
      </c>
      <c r="Y733" s="447">
        <f>IFERROR(__xludf.DUMMYFUNCTION("""COMPUTED_VALUE"""),0.0)</f>
        <v>0</v>
      </c>
      <c r="Z733" s="447">
        <f>IFERROR(__xludf.DUMMYFUNCTION("""COMPUTED_VALUE"""),0.0)</f>
        <v>0</v>
      </c>
      <c r="AA733" s="447">
        <f>IFERROR(__xludf.DUMMYFUNCTION("""COMPUTED_VALUE"""),0.0)</f>
        <v>0</v>
      </c>
      <c r="AB733" s="447">
        <f>IFERROR(__xludf.DUMMYFUNCTION("""COMPUTED_VALUE"""),0.0)</f>
        <v>0</v>
      </c>
      <c r="AC733" s="447">
        <f>IFERROR(__xludf.DUMMYFUNCTION("""COMPUTED_VALUE"""),0.0)</f>
        <v>0</v>
      </c>
      <c r="AD733" s="447">
        <f>IFERROR(__xludf.DUMMYFUNCTION("""COMPUTED_VALUE"""),0.0)</f>
        <v>0</v>
      </c>
      <c r="AE733" s="447">
        <f>IFERROR(__xludf.DUMMYFUNCTION("""COMPUTED_VALUE"""),1.0)</f>
        <v>1</v>
      </c>
      <c r="AF733" s="447">
        <f>IFERROR(__xludf.DUMMYFUNCTION("""COMPUTED_VALUE"""),1.0)</f>
        <v>1</v>
      </c>
      <c r="AG733" s="443" t="s">
        <v>83</v>
      </c>
      <c r="AH733" s="443" t="s">
        <v>291</v>
      </c>
      <c r="AI733" s="443"/>
      <c r="AJ733" s="443"/>
      <c r="AK733" s="443"/>
      <c r="AL733" s="443"/>
      <c r="AM733" s="443"/>
      <c r="AN733" s="443"/>
      <c r="AO733" s="443"/>
      <c r="AP733" s="443"/>
      <c r="AQ733" s="443"/>
      <c r="AR733" s="443"/>
      <c r="AS733" s="443"/>
      <c r="AT733" s="443"/>
      <c r="AU733" s="443"/>
      <c r="AV733" s="443"/>
      <c r="AW733" s="443"/>
      <c r="AX733" s="443"/>
      <c r="AY733" s="443"/>
      <c r="AZ733" s="443"/>
      <c r="BA733" s="443"/>
      <c r="BB733" s="443"/>
      <c r="BC733" s="443"/>
      <c r="BD733" s="443"/>
      <c r="BE733" s="443"/>
    </row>
    <row r="734" hidden="1">
      <c r="A734" s="445">
        <f t="shared" si="5"/>
        <v>46024</v>
      </c>
      <c r="B734" s="449">
        <v>472.0</v>
      </c>
      <c r="C734" s="462">
        <v>0.6416666666666667</v>
      </c>
      <c r="D734" s="462">
        <v>0.9583333333333334</v>
      </c>
      <c r="E734" s="436">
        <f t="array" ref="E734">IF(B734=0,"",(J734+K734)/60)</f>
        <v>1.266666667</v>
      </c>
      <c r="F734" s="437">
        <f t="shared" si="1"/>
        <v>7.6</v>
      </c>
      <c r="G734" s="438">
        <f t="shared" si="9"/>
        <v>62.10526316</v>
      </c>
      <c r="H734" s="438">
        <f t="shared" si="3"/>
        <v>74.52631579</v>
      </c>
      <c r="I734" s="436">
        <f t="shared" si="10"/>
        <v>1.380116959</v>
      </c>
      <c r="J734" s="460">
        <v>30.0</v>
      </c>
      <c r="K734" s="464">
        <f>4+4+7+7+5+5+4+10</f>
        <v>46</v>
      </c>
      <c r="L734" s="443"/>
      <c r="M734" s="447">
        <f>IFERROR(__xludf.DUMMYFUNCTION("""COMPUTED_VALUE"""),57.0)</f>
        <v>57</v>
      </c>
      <c r="N734" s="447">
        <f>IFERROR(__xludf.DUMMYFUNCTION("""COMPUTED_VALUE"""),55.0)</f>
        <v>55</v>
      </c>
      <c r="O734" s="447">
        <f>IFERROR(__xludf.DUMMYFUNCTION("""COMPUTED_VALUE"""),0.0)</f>
        <v>0</v>
      </c>
      <c r="P734" s="447">
        <f>IFERROR(__xludf.DUMMYFUNCTION("""COMPUTED_VALUE"""),0.0)</f>
        <v>0</v>
      </c>
      <c r="Q734" s="447">
        <f>IFERROR(__xludf.DUMMYFUNCTION("""COMPUTED_VALUE"""),2.0)</f>
        <v>2</v>
      </c>
      <c r="R734" s="447">
        <f>IFERROR(__xludf.DUMMYFUNCTION("""COMPUTED_VALUE"""),0.0)</f>
        <v>0</v>
      </c>
      <c r="S734" s="447">
        <f>IFERROR(__xludf.DUMMYFUNCTION("""COMPUTED_VALUE"""),2.0)</f>
        <v>2</v>
      </c>
      <c r="T734" s="447">
        <f>IFERROR(__xludf.DUMMYFUNCTION("""COMPUTED_VALUE"""),0.0)</f>
        <v>0</v>
      </c>
      <c r="U734" s="447">
        <f>IFERROR(__xludf.DUMMYFUNCTION("""COMPUTED_VALUE"""),2.0)</f>
        <v>2</v>
      </c>
      <c r="V734" s="447">
        <f>IFERROR(__xludf.DUMMYFUNCTION("""COMPUTED_VALUE"""),2.0)</f>
        <v>2</v>
      </c>
      <c r="W734" s="447">
        <f>IFERROR(__xludf.DUMMYFUNCTION("""COMPUTED_VALUE"""),0.0)</f>
        <v>0</v>
      </c>
      <c r="X734" s="447">
        <f>IFERROR(__xludf.DUMMYFUNCTION("""COMPUTED_VALUE"""),1.0)</f>
        <v>1</v>
      </c>
      <c r="Y734" s="447">
        <f>IFERROR(__xludf.DUMMYFUNCTION("""COMPUTED_VALUE"""),0.0)</f>
        <v>0</v>
      </c>
      <c r="Z734" s="447">
        <f>IFERROR(__xludf.DUMMYFUNCTION("""COMPUTED_VALUE"""),0.0)</f>
        <v>0</v>
      </c>
      <c r="AA734" s="447">
        <f>IFERROR(__xludf.DUMMYFUNCTION("""COMPUTED_VALUE"""),0.0)</f>
        <v>0</v>
      </c>
      <c r="AB734" s="447">
        <f>IFERROR(__xludf.DUMMYFUNCTION("""COMPUTED_VALUE"""),0.0)</f>
        <v>0</v>
      </c>
      <c r="AC734" s="447">
        <f>IFERROR(__xludf.DUMMYFUNCTION("""COMPUTED_VALUE"""),0.0)</f>
        <v>0</v>
      </c>
      <c r="AD734" s="447">
        <f>IFERROR(__xludf.DUMMYFUNCTION("""COMPUTED_VALUE"""),45.0)</f>
        <v>45</v>
      </c>
      <c r="AE734" s="447">
        <f>IFERROR(__xludf.DUMMYFUNCTION("""COMPUTED_VALUE"""),9.0)</f>
        <v>9</v>
      </c>
      <c r="AF734" s="447">
        <f>IFERROR(__xludf.DUMMYFUNCTION("""COMPUTED_VALUE"""),2.0)</f>
        <v>2</v>
      </c>
      <c r="AG734" s="443" t="s">
        <v>83</v>
      </c>
      <c r="AH734" s="443" t="s">
        <v>291</v>
      </c>
      <c r="AI734" s="449">
        <v>5705.0</v>
      </c>
      <c r="AJ734" s="443"/>
      <c r="AK734" s="443"/>
      <c r="AL734" s="443"/>
      <c r="AM734" s="443"/>
      <c r="AN734" s="443"/>
      <c r="AO734" s="443"/>
      <c r="AP734" s="443"/>
      <c r="AQ734" s="443"/>
      <c r="AR734" s="443"/>
      <c r="AS734" s="443"/>
      <c r="AT734" s="443"/>
      <c r="AU734" s="443"/>
      <c r="AV734" s="443"/>
      <c r="AW734" s="443"/>
      <c r="AX734" s="443"/>
      <c r="AY734" s="443"/>
      <c r="AZ734" s="443"/>
      <c r="BA734" s="443"/>
      <c r="BB734" s="443"/>
      <c r="BC734" s="443"/>
      <c r="BD734" s="443"/>
      <c r="BE734" s="443"/>
    </row>
    <row r="735" hidden="1">
      <c r="A735" s="445">
        <f t="shared" si="5"/>
        <v>46025</v>
      </c>
      <c r="B735" s="449">
        <v>406.0</v>
      </c>
      <c r="C735" s="462">
        <v>0.6</v>
      </c>
      <c r="D735" s="462">
        <v>0.8673611111111111</v>
      </c>
      <c r="E735" s="436">
        <f t="array" ref="E735">IF(B735=0,"",(J735+K735)/60)</f>
        <v>0.6666666667</v>
      </c>
      <c r="F735" s="437">
        <f t="shared" si="1"/>
        <v>6.416666667</v>
      </c>
      <c r="G735" s="438">
        <f t="shared" si="9"/>
        <v>63.27272727</v>
      </c>
      <c r="H735" s="438">
        <f t="shared" si="3"/>
        <v>70.60869565</v>
      </c>
      <c r="I735" s="436">
        <f t="shared" si="10"/>
        <v>1.375494071</v>
      </c>
      <c r="J735" s="460">
        <v>30.0</v>
      </c>
      <c r="K735" s="464">
        <f>10</f>
        <v>10</v>
      </c>
      <c r="L735" s="443"/>
      <c r="M735" s="447">
        <f>IFERROR(__xludf.DUMMYFUNCTION("""COMPUTED_VALUE"""),57.0)</f>
        <v>57</v>
      </c>
      <c r="N735" s="447">
        <f>IFERROR(__xludf.DUMMYFUNCTION("""COMPUTED_VALUE"""),55.0)</f>
        <v>55</v>
      </c>
      <c r="O735" s="447">
        <f>IFERROR(__xludf.DUMMYFUNCTION("""COMPUTED_VALUE"""),0.0)</f>
        <v>0</v>
      </c>
      <c r="P735" s="447">
        <f>IFERROR(__xludf.DUMMYFUNCTION("""COMPUTED_VALUE"""),0.0)</f>
        <v>0</v>
      </c>
      <c r="Q735" s="447">
        <f>IFERROR(__xludf.DUMMYFUNCTION("""COMPUTED_VALUE"""),0.0)</f>
        <v>0</v>
      </c>
      <c r="R735" s="447">
        <f>IFERROR(__xludf.DUMMYFUNCTION("""COMPUTED_VALUE"""),0.0)</f>
        <v>0</v>
      </c>
      <c r="S735" s="447">
        <f>IFERROR(__xludf.DUMMYFUNCTION("""COMPUTED_VALUE"""),3.0)</f>
        <v>3</v>
      </c>
      <c r="T735" s="447">
        <f>IFERROR(__xludf.DUMMYFUNCTION("""COMPUTED_VALUE"""),0.0)</f>
        <v>0</v>
      </c>
      <c r="U735" s="447">
        <f>IFERROR(__xludf.DUMMYFUNCTION("""COMPUTED_VALUE"""),2.0)</f>
        <v>2</v>
      </c>
      <c r="V735" s="447">
        <f>IFERROR(__xludf.DUMMYFUNCTION("""COMPUTED_VALUE"""),2.0)</f>
        <v>2</v>
      </c>
      <c r="W735" s="447">
        <f>IFERROR(__xludf.DUMMYFUNCTION("""COMPUTED_VALUE"""),0.0)</f>
        <v>0</v>
      </c>
      <c r="X735" s="447">
        <f>IFERROR(__xludf.DUMMYFUNCTION("""COMPUTED_VALUE"""),1.0)</f>
        <v>1</v>
      </c>
      <c r="Y735" s="447">
        <f>IFERROR(__xludf.DUMMYFUNCTION("""COMPUTED_VALUE"""),0.0)</f>
        <v>0</v>
      </c>
      <c r="Z735" s="447">
        <f>IFERROR(__xludf.DUMMYFUNCTION("""COMPUTED_VALUE"""),0.0)</f>
        <v>0</v>
      </c>
      <c r="AA735" s="447">
        <f>IFERROR(__xludf.DUMMYFUNCTION("""COMPUTED_VALUE"""),0.0)</f>
        <v>0</v>
      </c>
      <c r="AB735" s="447">
        <f>IFERROR(__xludf.DUMMYFUNCTION("""COMPUTED_VALUE"""),0.0)</f>
        <v>0</v>
      </c>
      <c r="AC735" s="447">
        <f>IFERROR(__xludf.DUMMYFUNCTION("""COMPUTED_VALUE"""),0.0)</f>
        <v>0</v>
      </c>
      <c r="AD735" s="447">
        <f>IFERROR(__xludf.DUMMYFUNCTION("""COMPUTED_VALUE"""),46.0)</f>
        <v>46</v>
      </c>
      <c r="AE735" s="447">
        <f>IFERROR(__xludf.DUMMYFUNCTION("""COMPUTED_VALUE"""),8.0)</f>
        <v>8</v>
      </c>
      <c r="AF735" s="447">
        <f>IFERROR(__xludf.DUMMYFUNCTION("""COMPUTED_VALUE"""),2.0)</f>
        <v>2</v>
      </c>
      <c r="AG735" s="443" t="s">
        <v>83</v>
      </c>
      <c r="AH735" s="443" t="s">
        <v>291</v>
      </c>
      <c r="AI735" s="449">
        <v>4625.0</v>
      </c>
      <c r="AJ735" s="449">
        <v>726.0</v>
      </c>
      <c r="AK735" s="443"/>
      <c r="AL735" s="443"/>
      <c r="AM735" s="443"/>
      <c r="AN735" s="443"/>
      <c r="AO735" s="443"/>
      <c r="AP735" s="443"/>
      <c r="AQ735" s="443"/>
      <c r="AR735" s="443"/>
      <c r="AS735" s="443"/>
      <c r="AT735" s="443"/>
      <c r="AU735" s="443"/>
      <c r="AV735" s="443"/>
      <c r="AW735" s="443"/>
      <c r="AX735" s="443"/>
      <c r="AY735" s="443"/>
      <c r="AZ735" s="443"/>
      <c r="BA735" s="443"/>
      <c r="BB735" s="443"/>
      <c r="BC735" s="443"/>
      <c r="BD735" s="443"/>
      <c r="BE735" s="443"/>
    </row>
    <row r="736" hidden="1">
      <c r="A736" s="445">
        <f t="shared" si="5"/>
        <v>46026</v>
      </c>
      <c r="B736" s="449">
        <v>0.0</v>
      </c>
      <c r="C736" s="443"/>
      <c r="D736" s="462"/>
      <c r="E736" s="436" t="str">
        <f t="array" ref="E736">IF(B736=0,"",(J736+K736)/60)</f>
        <v/>
      </c>
      <c r="F736" s="437" t="str">
        <f t="shared" si="1"/>
        <v/>
      </c>
      <c r="G736" s="438" t="str">
        <f t="shared" si="9"/>
        <v>#DIV/0!</v>
      </c>
      <c r="H736" s="438" t="str">
        <f t="shared" si="3"/>
        <v/>
      </c>
      <c r="I736" s="436" t="str">
        <f t="shared" si="10"/>
        <v/>
      </c>
      <c r="J736" s="464"/>
      <c r="K736" s="464"/>
      <c r="L736" s="443"/>
      <c r="M736" s="447">
        <f>IFERROR(__xludf.DUMMYFUNCTION("""COMPUTED_VALUE"""),57.0)</f>
        <v>57</v>
      </c>
      <c r="N736" s="447">
        <f>IFERROR(__xludf.DUMMYFUNCTION("""COMPUTED_VALUE"""),55.0)</f>
        <v>55</v>
      </c>
      <c r="O736" s="447">
        <f>IFERROR(__xludf.DUMMYFUNCTION("""COMPUTED_VALUE"""),0.0)</f>
        <v>0</v>
      </c>
      <c r="P736" s="447">
        <f>IFERROR(__xludf.DUMMYFUNCTION("""COMPUTED_VALUE"""),0.0)</f>
        <v>0</v>
      </c>
      <c r="Q736" s="447">
        <f>IFERROR(__xludf.DUMMYFUNCTION("""COMPUTED_VALUE"""),0.0)</f>
        <v>0</v>
      </c>
      <c r="R736" s="447">
        <f>IFERROR(__xludf.DUMMYFUNCTION("""COMPUTED_VALUE"""),0.0)</f>
        <v>0</v>
      </c>
      <c r="S736" s="447">
        <f>IFERROR(__xludf.DUMMYFUNCTION("""COMPUTED_VALUE"""),0.0)</f>
        <v>0</v>
      </c>
      <c r="T736" s="447">
        <f>IFERROR(__xludf.DUMMYFUNCTION("""COMPUTED_VALUE"""),0.0)</f>
        <v>0</v>
      </c>
      <c r="U736" s="447">
        <f>IFERROR(__xludf.DUMMYFUNCTION("""COMPUTED_VALUE"""),2.0)</f>
        <v>2</v>
      </c>
      <c r="V736" s="447">
        <f>IFERROR(__xludf.DUMMYFUNCTION("""COMPUTED_VALUE"""),2.0)</f>
        <v>2</v>
      </c>
      <c r="W736" s="447">
        <f>IFERROR(__xludf.DUMMYFUNCTION("""COMPUTED_VALUE"""),0.0)</f>
        <v>0</v>
      </c>
      <c r="X736" s="447">
        <f>IFERROR(__xludf.DUMMYFUNCTION("""COMPUTED_VALUE"""),1.0)</f>
        <v>1</v>
      </c>
      <c r="Y736" s="447">
        <f>IFERROR(__xludf.DUMMYFUNCTION("""COMPUTED_VALUE"""),0.0)</f>
        <v>0</v>
      </c>
      <c r="Z736" s="447">
        <f>IFERROR(__xludf.DUMMYFUNCTION("""COMPUTED_VALUE"""),0.0)</f>
        <v>0</v>
      </c>
      <c r="AA736" s="447">
        <f>IFERROR(__xludf.DUMMYFUNCTION("""COMPUTED_VALUE"""),0.0)</f>
        <v>0</v>
      </c>
      <c r="AB736" s="447">
        <f>IFERROR(__xludf.DUMMYFUNCTION("""COMPUTED_VALUE"""),0.0)</f>
        <v>0</v>
      </c>
      <c r="AC736" s="447">
        <f>IFERROR(__xludf.DUMMYFUNCTION("""COMPUTED_VALUE"""),0.0)</f>
        <v>0</v>
      </c>
      <c r="AD736" s="447">
        <f>IFERROR(__xludf.DUMMYFUNCTION("""COMPUTED_VALUE"""),0.0)</f>
        <v>0</v>
      </c>
      <c r="AE736" s="447">
        <f>IFERROR(__xludf.DUMMYFUNCTION("""COMPUTED_VALUE"""),5.0)</f>
        <v>5</v>
      </c>
      <c r="AF736" s="447">
        <f>IFERROR(__xludf.DUMMYFUNCTION("""COMPUTED_VALUE"""),2.0)</f>
        <v>2</v>
      </c>
      <c r="AG736" s="443" t="s">
        <v>83</v>
      </c>
      <c r="AH736" s="443" t="s">
        <v>291</v>
      </c>
      <c r="AI736" s="449"/>
      <c r="AJ736" s="443"/>
      <c r="AK736" s="443"/>
      <c r="AL736" s="443"/>
      <c r="AM736" s="443"/>
      <c r="AN736" s="443"/>
      <c r="AO736" s="443"/>
      <c r="AP736" s="443"/>
      <c r="AQ736" s="443"/>
      <c r="AR736" s="443"/>
      <c r="AS736" s="443"/>
      <c r="AT736" s="443"/>
      <c r="AU736" s="443"/>
      <c r="AV736" s="443"/>
      <c r="AW736" s="443"/>
      <c r="AX736" s="443"/>
      <c r="AY736" s="443"/>
      <c r="AZ736" s="443"/>
      <c r="BA736" s="443"/>
      <c r="BB736" s="443"/>
      <c r="BC736" s="443"/>
      <c r="BD736" s="443"/>
      <c r="BE736" s="443"/>
    </row>
    <row r="737" hidden="1">
      <c r="A737" s="445">
        <f t="shared" si="5"/>
        <v>46027</v>
      </c>
      <c r="B737" s="449">
        <v>619.0</v>
      </c>
      <c r="C737" s="462">
        <v>0.6</v>
      </c>
      <c r="D737" s="462">
        <v>1.0</v>
      </c>
      <c r="E737" s="436">
        <f t="array" ref="E737">IF(B737=0,"",(J737+K737)/60)</f>
        <v>1.566666667</v>
      </c>
      <c r="F737" s="437">
        <f t="shared" si="1"/>
        <v>9.6</v>
      </c>
      <c r="G737" s="438">
        <f t="shared" si="9"/>
        <v>64.47916667</v>
      </c>
      <c r="H737" s="438">
        <f t="shared" si="3"/>
        <v>77.05394191</v>
      </c>
      <c r="I737" s="436">
        <f t="shared" si="10"/>
        <v>1.371897163</v>
      </c>
      <c r="J737" s="460">
        <v>60.0</v>
      </c>
      <c r="K737" s="460">
        <v>34.0</v>
      </c>
      <c r="L737" s="443"/>
      <c r="M737" s="447">
        <f>IFERROR(__xludf.DUMMYFUNCTION("""COMPUTED_VALUE"""),57.0)</f>
        <v>57</v>
      </c>
      <c r="N737" s="447">
        <f>IFERROR(__xludf.DUMMYFUNCTION("""COMPUTED_VALUE"""),55.0)</f>
        <v>55</v>
      </c>
      <c r="O737" s="447">
        <f>IFERROR(__xludf.DUMMYFUNCTION("""COMPUTED_VALUE"""),0.0)</f>
        <v>0</v>
      </c>
      <c r="P737" s="447">
        <f>IFERROR(__xludf.DUMMYFUNCTION("""COMPUTED_VALUE"""),0.0)</f>
        <v>0</v>
      </c>
      <c r="Q737" s="447">
        <f>IFERROR(__xludf.DUMMYFUNCTION("""COMPUTED_VALUE"""),0.0)</f>
        <v>0</v>
      </c>
      <c r="R737" s="447">
        <f>IFERROR(__xludf.DUMMYFUNCTION("""COMPUTED_VALUE"""),0.0)</f>
        <v>0</v>
      </c>
      <c r="S737" s="447">
        <f>IFERROR(__xludf.DUMMYFUNCTION("""COMPUTED_VALUE"""),0.0)</f>
        <v>0</v>
      </c>
      <c r="T737" s="447">
        <f>IFERROR(__xludf.DUMMYFUNCTION("""COMPUTED_VALUE"""),1.0)</f>
        <v>1</v>
      </c>
      <c r="U737" s="447">
        <f>IFERROR(__xludf.DUMMYFUNCTION("""COMPUTED_VALUE"""),2.0)</f>
        <v>2</v>
      </c>
      <c r="V737" s="447">
        <f>IFERROR(__xludf.DUMMYFUNCTION("""COMPUTED_VALUE"""),2.0)</f>
        <v>2</v>
      </c>
      <c r="W737" s="447">
        <f>IFERROR(__xludf.DUMMYFUNCTION("""COMPUTED_VALUE"""),1.0)</f>
        <v>1</v>
      </c>
      <c r="X737" s="447">
        <f>IFERROR(__xludf.DUMMYFUNCTION("""COMPUTED_VALUE"""),1.0)</f>
        <v>1</v>
      </c>
      <c r="Y737" s="447">
        <f>IFERROR(__xludf.DUMMYFUNCTION("""COMPUTED_VALUE"""),0.0)</f>
        <v>0</v>
      </c>
      <c r="Z737" s="447">
        <f>IFERROR(__xludf.DUMMYFUNCTION("""COMPUTED_VALUE"""),0.0)</f>
        <v>0</v>
      </c>
      <c r="AA737" s="447">
        <f>IFERROR(__xludf.DUMMYFUNCTION("""COMPUTED_VALUE"""),0.0)</f>
        <v>0</v>
      </c>
      <c r="AB737" s="447">
        <f>IFERROR(__xludf.DUMMYFUNCTION("""COMPUTED_VALUE"""),0.0)</f>
        <v>0</v>
      </c>
      <c r="AC737" s="447">
        <f>IFERROR(__xludf.DUMMYFUNCTION("""COMPUTED_VALUE"""),0.0)</f>
        <v>0</v>
      </c>
      <c r="AD737" s="447">
        <f>IFERROR(__xludf.DUMMYFUNCTION("""COMPUTED_VALUE"""),47.0)</f>
        <v>47</v>
      </c>
      <c r="AE737" s="447">
        <f>IFERROR(__xludf.DUMMYFUNCTION("""COMPUTED_VALUE"""),7.0)</f>
        <v>7</v>
      </c>
      <c r="AF737" s="447">
        <f>IFERROR(__xludf.DUMMYFUNCTION("""COMPUTED_VALUE"""),2.0)</f>
        <v>2</v>
      </c>
      <c r="AG737" s="443" t="s">
        <v>83</v>
      </c>
      <c r="AH737" s="443" t="s">
        <v>291</v>
      </c>
      <c r="AI737" s="449">
        <v>7038.0</v>
      </c>
      <c r="AJ737" s="443"/>
      <c r="AK737" s="443"/>
      <c r="AL737" s="443"/>
      <c r="AM737" s="443"/>
      <c r="AN737" s="443"/>
      <c r="AO737" s="443"/>
      <c r="AP737" s="443"/>
      <c r="AQ737" s="443"/>
      <c r="AR737" s="443"/>
      <c r="AS737" s="443"/>
      <c r="AT737" s="443"/>
      <c r="AU737" s="443"/>
      <c r="AV737" s="443"/>
      <c r="AW737" s="443"/>
      <c r="AX737" s="443"/>
      <c r="AY737" s="443"/>
      <c r="AZ737" s="443"/>
      <c r="BA737" s="443"/>
      <c r="BB737" s="443"/>
      <c r="BC737" s="443"/>
      <c r="BD737" s="443"/>
      <c r="BE737" s="443"/>
    </row>
    <row r="738" hidden="1">
      <c r="A738" s="445">
        <f t="shared" si="5"/>
        <v>46028</v>
      </c>
      <c r="B738" s="449">
        <v>602.0</v>
      </c>
      <c r="C738" s="462">
        <v>0.6</v>
      </c>
      <c r="D738" s="462">
        <v>1.0013888888888889</v>
      </c>
      <c r="E738" s="436">
        <f t="array" ref="E738">IF(B738=0,"",(J738+K738)/60)</f>
        <v>0.8833333333</v>
      </c>
      <c r="F738" s="437">
        <f t="shared" si="1"/>
        <v>9.633333333</v>
      </c>
      <c r="G738" s="438">
        <f t="shared" si="9"/>
        <v>62.49134948</v>
      </c>
      <c r="H738" s="438">
        <f t="shared" si="3"/>
        <v>68.8</v>
      </c>
      <c r="I738" s="436">
        <f t="shared" si="10"/>
        <v>1.301903114</v>
      </c>
      <c r="J738" s="460">
        <v>30.0</v>
      </c>
      <c r="K738" s="464">
        <f>6+5+7+5</f>
        <v>23</v>
      </c>
      <c r="L738" s="443"/>
      <c r="M738" s="447">
        <f>IFERROR(__xludf.DUMMYFUNCTION("""COMPUTED_VALUE"""),57.0)</f>
        <v>57</v>
      </c>
      <c r="N738" s="447">
        <f>IFERROR(__xludf.DUMMYFUNCTION("""COMPUTED_VALUE"""),55.0)</f>
        <v>55</v>
      </c>
      <c r="O738" s="447">
        <f>IFERROR(__xludf.DUMMYFUNCTION("""COMPUTED_VALUE"""),0.0)</f>
        <v>0</v>
      </c>
      <c r="P738" s="447">
        <f>IFERROR(__xludf.DUMMYFUNCTION("""COMPUTED_VALUE"""),0.0)</f>
        <v>0</v>
      </c>
      <c r="Q738" s="447">
        <f>IFERROR(__xludf.DUMMYFUNCTION("""COMPUTED_VALUE"""),0.0)</f>
        <v>0</v>
      </c>
      <c r="R738" s="447">
        <f>IFERROR(__xludf.DUMMYFUNCTION("""COMPUTED_VALUE"""),0.0)</f>
        <v>0</v>
      </c>
      <c r="S738" s="447">
        <f>IFERROR(__xludf.DUMMYFUNCTION("""COMPUTED_VALUE"""),0.0)</f>
        <v>0</v>
      </c>
      <c r="T738" s="447">
        <f>IFERROR(__xludf.DUMMYFUNCTION("""COMPUTED_VALUE"""),1.0)</f>
        <v>1</v>
      </c>
      <c r="U738" s="447">
        <f>IFERROR(__xludf.DUMMYFUNCTION("""COMPUTED_VALUE"""),2.0)</f>
        <v>2</v>
      </c>
      <c r="V738" s="447">
        <f>IFERROR(__xludf.DUMMYFUNCTION("""COMPUTED_VALUE"""),2.0)</f>
        <v>2</v>
      </c>
      <c r="W738" s="447">
        <f>IFERROR(__xludf.DUMMYFUNCTION("""COMPUTED_VALUE"""),0.0)</f>
        <v>0</v>
      </c>
      <c r="X738" s="447">
        <f>IFERROR(__xludf.DUMMYFUNCTION("""COMPUTED_VALUE"""),1.0)</f>
        <v>1</v>
      </c>
      <c r="Y738" s="447">
        <f>IFERROR(__xludf.DUMMYFUNCTION("""COMPUTED_VALUE"""),0.0)</f>
        <v>0</v>
      </c>
      <c r="Z738" s="447">
        <f>IFERROR(__xludf.DUMMYFUNCTION("""COMPUTED_VALUE"""),0.0)</f>
        <v>0</v>
      </c>
      <c r="AA738" s="447">
        <f>IFERROR(__xludf.DUMMYFUNCTION("""COMPUTED_VALUE"""),0.0)</f>
        <v>0</v>
      </c>
      <c r="AB738" s="447">
        <f>IFERROR(__xludf.DUMMYFUNCTION("""COMPUTED_VALUE"""),0.0)</f>
        <v>0</v>
      </c>
      <c r="AC738" s="447">
        <f>IFERROR(__xludf.DUMMYFUNCTION("""COMPUTED_VALUE"""),0.0)</f>
        <v>0</v>
      </c>
      <c r="AD738" s="447">
        <f>IFERROR(__xludf.DUMMYFUNCTION("""COMPUTED_VALUE"""),48.0)</f>
        <v>48</v>
      </c>
      <c r="AE738" s="447">
        <f>IFERROR(__xludf.DUMMYFUNCTION("""COMPUTED_VALUE"""),6.0)</f>
        <v>6</v>
      </c>
      <c r="AF738" s="447">
        <f>IFERROR(__xludf.DUMMYFUNCTION("""COMPUTED_VALUE"""),2.0)</f>
        <v>2</v>
      </c>
      <c r="AG738" s="443" t="s">
        <v>83</v>
      </c>
      <c r="AH738" s="443" t="s">
        <v>291</v>
      </c>
      <c r="AI738" s="449">
        <v>6767.0</v>
      </c>
      <c r="AJ738" s="449">
        <v>222.0</v>
      </c>
      <c r="AK738" s="443"/>
      <c r="AL738" s="443"/>
      <c r="AM738" s="443"/>
      <c r="AN738" s="443"/>
      <c r="AO738" s="443"/>
      <c r="AP738" s="443"/>
      <c r="AQ738" s="443"/>
      <c r="AR738" s="443"/>
      <c r="AS738" s="443"/>
      <c r="AT738" s="443"/>
      <c r="AU738" s="443"/>
      <c r="AV738" s="443"/>
      <c r="AW738" s="443"/>
      <c r="AX738" s="443"/>
      <c r="AY738" s="443"/>
      <c r="AZ738" s="443"/>
      <c r="BA738" s="443"/>
      <c r="BB738" s="443"/>
      <c r="BC738" s="443"/>
      <c r="BD738" s="443"/>
      <c r="BE738" s="443"/>
    </row>
    <row r="739" hidden="1">
      <c r="A739" s="445">
        <f t="shared" si="5"/>
        <v>46029</v>
      </c>
      <c r="B739" s="449">
        <v>385.0</v>
      </c>
      <c r="C739" s="462">
        <v>0.6</v>
      </c>
      <c r="D739" s="462">
        <v>0.8333333333333334</v>
      </c>
      <c r="E739" s="436">
        <f t="array" ref="E739">IF(B739=0,"",(J739+K739)/60)</f>
        <v>0.6166666667</v>
      </c>
      <c r="F739" s="437">
        <f t="shared" si="1"/>
        <v>5.6</v>
      </c>
      <c r="G739" s="438">
        <f t="shared" si="9"/>
        <v>68.75</v>
      </c>
      <c r="H739" s="438">
        <f t="shared" si="3"/>
        <v>77.25752508</v>
      </c>
      <c r="I739" s="436">
        <f t="shared" si="10"/>
        <v>1.432291667</v>
      </c>
      <c r="J739" s="460">
        <v>30.0</v>
      </c>
      <c r="K739" s="460">
        <v>7.0</v>
      </c>
      <c r="L739" s="443"/>
      <c r="M739" s="447">
        <f>IFERROR(__xludf.DUMMYFUNCTION("""COMPUTED_VALUE"""),57.0)</f>
        <v>57</v>
      </c>
      <c r="N739" s="447">
        <f>IFERROR(__xludf.DUMMYFUNCTION("""COMPUTED_VALUE"""),55.0)</f>
        <v>55</v>
      </c>
      <c r="O739" s="447">
        <f>IFERROR(__xludf.DUMMYFUNCTION("""COMPUTED_VALUE"""),0.0)</f>
        <v>0</v>
      </c>
      <c r="P739" s="447">
        <f>IFERROR(__xludf.DUMMYFUNCTION("""COMPUTED_VALUE"""),0.0)</f>
        <v>0</v>
      </c>
      <c r="Q739" s="447">
        <f>IFERROR(__xludf.DUMMYFUNCTION("""COMPUTED_VALUE"""),0.0)</f>
        <v>0</v>
      </c>
      <c r="R739" s="447">
        <f>IFERROR(__xludf.DUMMYFUNCTION("""COMPUTED_VALUE"""),0.0)</f>
        <v>0</v>
      </c>
      <c r="S739" s="447">
        <f>IFERROR(__xludf.DUMMYFUNCTION("""COMPUTED_VALUE"""),0.0)</f>
        <v>0</v>
      </c>
      <c r="T739" s="447">
        <f>IFERROR(__xludf.DUMMYFUNCTION("""COMPUTED_VALUE"""),1.0)</f>
        <v>1</v>
      </c>
      <c r="U739" s="447">
        <f>IFERROR(__xludf.DUMMYFUNCTION("""COMPUTED_VALUE"""),2.0)</f>
        <v>2</v>
      </c>
      <c r="V739" s="447">
        <f>IFERROR(__xludf.DUMMYFUNCTION("""COMPUTED_VALUE"""),2.0)</f>
        <v>2</v>
      </c>
      <c r="W739" s="447">
        <f>IFERROR(__xludf.DUMMYFUNCTION("""COMPUTED_VALUE"""),0.0)</f>
        <v>0</v>
      </c>
      <c r="X739" s="447">
        <f>IFERROR(__xludf.DUMMYFUNCTION("""COMPUTED_VALUE"""),1.0)</f>
        <v>1</v>
      </c>
      <c r="Y739" s="447">
        <f>IFERROR(__xludf.DUMMYFUNCTION("""COMPUTED_VALUE"""),0.0)</f>
        <v>0</v>
      </c>
      <c r="Z739" s="447">
        <f>IFERROR(__xludf.DUMMYFUNCTION("""COMPUTED_VALUE"""),0.0)</f>
        <v>0</v>
      </c>
      <c r="AA739" s="447">
        <f>IFERROR(__xludf.DUMMYFUNCTION("""COMPUTED_VALUE"""),0.0)</f>
        <v>0</v>
      </c>
      <c r="AB739" s="447">
        <f>IFERROR(__xludf.DUMMYFUNCTION("""COMPUTED_VALUE"""),0.0)</f>
        <v>0</v>
      </c>
      <c r="AC739" s="447">
        <f>IFERROR(__xludf.DUMMYFUNCTION("""COMPUTED_VALUE"""),0.0)</f>
        <v>0</v>
      </c>
      <c r="AD739" s="447">
        <f>IFERROR(__xludf.DUMMYFUNCTION("""COMPUTED_VALUE"""),48.0)</f>
        <v>48</v>
      </c>
      <c r="AE739" s="447">
        <f>IFERROR(__xludf.DUMMYFUNCTION("""COMPUTED_VALUE"""),6.0)</f>
        <v>6</v>
      </c>
      <c r="AF739" s="447">
        <f>IFERROR(__xludf.DUMMYFUNCTION("""COMPUTED_VALUE"""),2.0)</f>
        <v>2</v>
      </c>
      <c r="AG739" s="443" t="s">
        <v>83</v>
      </c>
      <c r="AH739" s="443" t="s">
        <v>291</v>
      </c>
      <c r="AI739" s="449">
        <v>4248.0</v>
      </c>
      <c r="AJ739" s="443"/>
      <c r="AK739" s="443"/>
      <c r="AL739" s="443"/>
      <c r="AM739" s="443"/>
      <c r="AN739" s="443"/>
      <c r="AO739" s="443"/>
      <c r="AP739" s="443"/>
      <c r="AQ739" s="443"/>
      <c r="AR739" s="443"/>
      <c r="AS739" s="443"/>
      <c r="AT739" s="443"/>
      <c r="AU739" s="443"/>
      <c r="AV739" s="443"/>
      <c r="AW739" s="443"/>
      <c r="AX739" s="443"/>
      <c r="AY739" s="443"/>
      <c r="AZ739" s="443"/>
      <c r="BA739" s="443"/>
      <c r="BB739" s="443"/>
      <c r="BC739" s="443"/>
      <c r="BD739" s="443"/>
      <c r="BE739" s="443"/>
    </row>
    <row r="740" hidden="1">
      <c r="A740" s="445">
        <f t="shared" si="5"/>
        <v>46030</v>
      </c>
      <c r="B740" s="449">
        <v>349.0</v>
      </c>
      <c r="C740" s="462">
        <v>0.6416666666666667</v>
      </c>
      <c r="D740" s="462">
        <v>0.8777777777777778</v>
      </c>
      <c r="E740" s="436">
        <f t="array" ref="E740">IF(B740=0,"",(J740+K740)/60)</f>
        <v>0.5666666667</v>
      </c>
      <c r="F740" s="437">
        <f t="shared" si="1"/>
        <v>5.666666667</v>
      </c>
      <c r="G740" s="438">
        <f t="shared" si="9"/>
        <v>61.58823529</v>
      </c>
      <c r="H740" s="438">
        <f t="shared" si="3"/>
        <v>68.43137255</v>
      </c>
      <c r="I740" s="436">
        <f t="shared" si="10"/>
        <v>1.256902761</v>
      </c>
      <c r="J740" s="460">
        <v>30.0</v>
      </c>
      <c r="K740" s="460">
        <v>4.0</v>
      </c>
      <c r="L740" s="443"/>
      <c r="M740" s="447">
        <f>IFERROR(__xludf.DUMMYFUNCTION("""COMPUTED_VALUE"""),57.0)</f>
        <v>57</v>
      </c>
      <c r="N740" s="447">
        <f>IFERROR(__xludf.DUMMYFUNCTION("""COMPUTED_VALUE"""),55.0)</f>
        <v>55</v>
      </c>
      <c r="O740" s="447">
        <f>IFERROR(__xludf.DUMMYFUNCTION("""COMPUTED_VALUE"""),0.0)</f>
        <v>0</v>
      </c>
      <c r="P740" s="447">
        <f>IFERROR(__xludf.DUMMYFUNCTION("""COMPUTED_VALUE"""),0.0)</f>
        <v>0</v>
      </c>
      <c r="Q740" s="447">
        <f>IFERROR(__xludf.DUMMYFUNCTION("""COMPUTED_VALUE"""),0.0)</f>
        <v>0</v>
      </c>
      <c r="R740" s="447">
        <f>IFERROR(__xludf.DUMMYFUNCTION("""COMPUTED_VALUE"""),0.0)</f>
        <v>0</v>
      </c>
      <c r="S740" s="447">
        <f>IFERROR(__xludf.DUMMYFUNCTION("""COMPUTED_VALUE"""),0.0)</f>
        <v>0</v>
      </c>
      <c r="T740" s="447">
        <f>IFERROR(__xludf.DUMMYFUNCTION("""COMPUTED_VALUE"""),0.0)</f>
        <v>0</v>
      </c>
      <c r="U740" s="447">
        <f>IFERROR(__xludf.DUMMYFUNCTION("""COMPUTED_VALUE"""),2.0)</f>
        <v>2</v>
      </c>
      <c r="V740" s="447">
        <f>IFERROR(__xludf.DUMMYFUNCTION("""COMPUTED_VALUE"""),2.0)</f>
        <v>2</v>
      </c>
      <c r="W740" s="447">
        <f>IFERROR(__xludf.DUMMYFUNCTION("""COMPUTED_VALUE"""),0.0)</f>
        <v>0</v>
      </c>
      <c r="X740" s="447">
        <f>IFERROR(__xludf.DUMMYFUNCTION("""COMPUTED_VALUE"""),1.0)</f>
        <v>1</v>
      </c>
      <c r="Y740" s="447">
        <f>IFERROR(__xludf.DUMMYFUNCTION("""COMPUTED_VALUE"""),0.0)</f>
        <v>0</v>
      </c>
      <c r="Z740" s="447">
        <f>IFERROR(__xludf.DUMMYFUNCTION("""COMPUTED_VALUE"""),0.0)</f>
        <v>0</v>
      </c>
      <c r="AA740" s="447">
        <f>IFERROR(__xludf.DUMMYFUNCTION("""COMPUTED_VALUE"""),0.0)</f>
        <v>0</v>
      </c>
      <c r="AB740" s="447">
        <f>IFERROR(__xludf.DUMMYFUNCTION("""COMPUTED_VALUE"""),0.0)</f>
        <v>0</v>
      </c>
      <c r="AC740" s="447">
        <f>IFERROR(__xludf.DUMMYFUNCTION("""COMPUTED_VALUE"""),0.0)</f>
        <v>0</v>
      </c>
      <c r="AD740" s="447">
        <f>IFERROR(__xludf.DUMMYFUNCTION("""COMPUTED_VALUE"""),49.0)</f>
        <v>49</v>
      </c>
      <c r="AE740" s="447">
        <f>IFERROR(__xludf.DUMMYFUNCTION("""COMPUTED_VALUE"""),5.0)</f>
        <v>5</v>
      </c>
      <c r="AF740" s="447">
        <f>IFERROR(__xludf.DUMMYFUNCTION("""COMPUTED_VALUE"""),2.0)</f>
        <v>2</v>
      </c>
      <c r="AG740" s="443" t="s">
        <v>83</v>
      </c>
      <c r="AH740" s="443" t="s">
        <v>291</v>
      </c>
      <c r="AI740" s="449">
        <v>3812.0</v>
      </c>
      <c r="AJ740" s="443"/>
      <c r="AK740" s="443"/>
      <c r="AL740" s="443"/>
      <c r="AM740" s="443"/>
      <c r="AN740" s="443"/>
      <c r="AO740" s="443"/>
      <c r="AP740" s="443"/>
      <c r="AQ740" s="443"/>
      <c r="AR740" s="443"/>
      <c r="AS740" s="443"/>
      <c r="AT740" s="443"/>
      <c r="AU740" s="443"/>
      <c r="AV740" s="443"/>
      <c r="AW740" s="443"/>
      <c r="AX740" s="443"/>
      <c r="AY740" s="443"/>
      <c r="AZ740" s="443"/>
      <c r="BA740" s="443"/>
      <c r="BB740" s="443"/>
      <c r="BC740" s="443"/>
      <c r="BD740" s="443"/>
      <c r="BE740" s="443"/>
    </row>
    <row r="741" hidden="1">
      <c r="A741" s="445">
        <f t="shared" si="5"/>
        <v>46031</v>
      </c>
      <c r="B741" s="449">
        <v>548.0</v>
      </c>
      <c r="C741" s="462">
        <v>0.6</v>
      </c>
      <c r="D741" s="462">
        <v>0.9152777777777777</v>
      </c>
      <c r="E741" s="436">
        <f t="array" ref="E741">IF(B741=0,"",(J741+K741)/60)</f>
        <v>0.6666666667</v>
      </c>
      <c r="F741" s="437">
        <f t="shared" si="1"/>
        <v>7.566666667</v>
      </c>
      <c r="G741" s="438">
        <f t="shared" si="9"/>
        <v>72.42290749</v>
      </c>
      <c r="H741" s="438">
        <f t="shared" si="3"/>
        <v>79.42028986</v>
      </c>
      <c r="I741" s="436">
        <f t="shared" si="10"/>
        <v>1.508810573</v>
      </c>
      <c r="J741" s="460">
        <v>30.0</v>
      </c>
      <c r="K741" s="460">
        <v>10.0</v>
      </c>
      <c r="L741" s="449" t="s">
        <v>981</v>
      </c>
      <c r="M741" s="447">
        <f>IFERROR(__xludf.DUMMYFUNCTION("""COMPUTED_VALUE"""),57.0)</f>
        <v>57</v>
      </c>
      <c r="N741" s="447">
        <f>IFERROR(__xludf.DUMMYFUNCTION("""COMPUTED_VALUE"""),55.0)</f>
        <v>55</v>
      </c>
      <c r="O741" s="447">
        <f>IFERROR(__xludf.DUMMYFUNCTION("""COMPUTED_VALUE"""),0.0)</f>
        <v>0</v>
      </c>
      <c r="P741" s="447">
        <f>IFERROR(__xludf.DUMMYFUNCTION("""COMPUTED_VALUE"""),0.0)</f>
        <v>0</v>
      </c>
      <c r="Q741" s="447">
        <f>IFERROR(__xludf.DUMMYFUNCTION("""COMPUTED_VALUE"""),0.0)</f>
        <v>0</v>
      </c>
      <c r="R741" s="447">
        <f>IFERROR(__xludf.DUMMYFUNCTION("""COMPUTED_VALUE"""),0.0)</f>
        <v>0</v>
      </c>
      <c r="S741" s="447">
        <f>IFERROR(__xludf.DUMMYFUNCTION("""COMPUTED_VALUE"""),0.0)</f>
        <v>0</v>
      </c>
      <c r="T741" s="447">
        <f>IFERROR(__xludf.DUMMYFUNCTION("""COMPUTED_VALUE"""),0.0)</f>
        <v>0</v>
      </c>
      <c r="U741" s="447">
        <f>IFERROR(__xludf.DUMMYFUNCTION("""COMPUTED_VALUE"""),2.0)</f>
        <v>2</v>
      </c>
      <c r="V741" s="447">
        <f>IFERROR(__xludf.DUMMYFUNCTION("""COMPUTED_VALUE"""),2.0)</f>
        <v>2</v>
      </c>
      <c r="W741" s="447">
        <f>IFERROR(__xludf.DUMMYFUNCTION("""COMPUTED_VALUE"""),0.0)</f>
        <v>0</v>
      </c>
      <c r="X741" s="447">
        <f>IFERROR(__xludf.DUMMYFUNCTION("""COMPUTED_VALUE"""),1.0)</f>
        <v>1</v>
      </c>
      <c r="Y741" s="447">
        <f>IFERROR(__xludf.DUMMYFUNCTION("""COMPUTED_VALUE"""),0.0)</f>
        <v>0</v>
      </c>
      <c r="Z741" s="447">
        <f>IFERROR(__xludf.DUMMYFUNCTION("""COMPUTED_VALUE"""),0.0)</f>
        <v>0</v>
      </c>
      <c r="AA741" s="447">
        <f>IFERROR(__xludf.DUMMYFUNCTION("""COMPUTED_VALUE"""),0.0)</f>
        <v>0</v>
      </c>
      <c r="AB741" s="447">
        <f>IFERROR(__xludf.DUMMYFUNCTION("""COMPUTED_VALUE"""),0.0)</f>
        <v>0</v>
      </c>
      <c r="AC741" s="447">
        <f>IFERROR(__xludf.DUMMYFUNCTION("""COMPUTED_VALUE"""),1.0)</f>
        <v>1</v>
      </c>
      <c r="AD741" s="447">
        <f>IFERROR(__xludf.DUMMYFUNCTION("""COMPUTED_VALUE"""),48.0)</f>
        <v>48</v>
      </c>
      <c r="AE741" s="447">
        <f>IFERROR(__xludf.DUMMYFUNCTION("""COMPUTED_VALUE"""),6.0)</f>
        <v>6</v>
      </c>
      <c r="AF741" s="447">
        <f>IFERROR(__xludf.DUMMYFUNCTION("""COMPUTED_VALUE"""),2.0)</f>
        <v>2</v>
      </c>
      <c r="AG741" s="443" t="s">
        <v>83</v>
      </c>
      <c r="AH741" s="443" t="s">
        <v>291</v>
      </c>
      <c r="AI741" s="449">
        <v>6233.0</v>
      </c>
      <c r="AJ741" s="443"/>
      <c r="AK741" s="443"/>
      <c r="AL741" s="443"/>
      <c r="AM741" s="443"/>
      <c r="AN741" s="443"/>
      <c r="AO741" s="443"/>
      <c r="AP741" s="443"/>
      <c r="AQ741" s="443"/>
      <c r="AR741" s="443"/>
      <c r="AS741" s="443"/>
      <c r="AT741" s="443"/>
      <c r="AU741" s="443"/>
      <c r="AV741" s="443"/>
      <c r="AW741" s="443"/>
      <c r="AX741" s="443"/>
      <c r="AY741" s="443"/>
      <c r="AZ741" s="443"/>
      <c r="BA741" s="443"/>
      <c r="BB741" s="443"/>
      <c r="BC741" s="443"/>
      <c r="BD741" s="443"/>
      <c r="BE741" s="443"/>
    </row>
    <row r="742" hidden="1">
      <c r="A742" s="445">
        <f t="shared" si="5"/>
        <v>46032</v>
      </c>
      <c r="B742" s="449">
        <v>351.0</v>
      </c>
      <c r="C742" s="462">
        <v>0.6</v>
      </c>
      <c r="D742" s="462">
        <v>0.8326388888888889</v>
      </c>
      <c r="E742" s="436">
        <f t="array" ref="E742">IF(B742=0,"",(J742+K742)/60)</f>
        <v>0.6</v>
      </c>
      <c r="F742" s="437">
        <f t="shared" si="1"/>
        <v>5.583333333</v>
      </c>
      <c r="G742" s="438">
        <f t="shared" si="9"/>
        <v>62.86567164</v>
      </c>
      <c r="H742" s="438">
        <f t="shared" si="3"/>
        <v>70.43478261</v>
      </c>
      <c r="I742" s="436">
        <f t="shared" si="10"/>
        <v>1.309701493</v>
      </c>
      <c r="J742" s="460">
        <v>0.0</v>
      </c>
      <c r="K742" s="460">
        <v>36.0</v>
      </c>
      <c r="L742" s="443"/>
      <c r="M742" s="447">
        <f>IFERROR(__xludf.DUMMYFUNCTION("""COMPUTED_VALUE"""),57.0)</f>
        <v>57</v>
      </c>
      <c r="N742" s="447">
        <f>IFERROR(__xludf.DUMMYFUNCTION("""COMPUTED_VALUE"""),55.0)</f>
        <v>55</v>
      </c>
      <c r="O742" s="447">
        <f>IFERROR(__xludf.DUMMYFUNCTION("""COMPUTED_VALUE"""),0.0)</f>
        <v>0</v>
      </c>
      <c r="P742" s="447">
        <f>IFERROR(__xludf.DUMMYFUNCTION("""COMPUTED_VALUE"""),0.0)</f>
        <v>0</v>
      </c>
      <c r="Q742" s="447">
        <f>IFERROR(__xludf.DUMMYFUNCTION("""COMPUTED_VALUE"""),0.0)</f>
        <v>0</v>
      </c>
      <c r="R742" s="447">
        <f>IFERROR(__xludf.DUMMYFUNCTION("""COMPUTED_VALUE"""),0.0)</f>
        <v>0</v>
      </c>
      <c r="S742" s="447">
        <f>IFERROR(__xludf.DUMMYFUNCTION("""COMPUTED_VALUE"""),0.0)</f>
        <v>0</v>
      </c>
      <c r="T742" s="447">
        <f>IFERROR(__xludf.DUMMYFUNCTION("""COMPUTED_VALUE"""),0.0)</f>
        <v>0</v>
      </c>
      <c r="U742" s="447">
        <f>IFERROR(__xludf.DUMMYFUNCTION("""COMPUTED_VALUE"""),2.0)</f>
        <v>2</v>
      </c>
      <c r="V742" s="447">
        <f>IFERROR(__xludf.DUMMYFUNCTION("""COMPUTED_VALUE"""),2.0)</f>
        <v>2</v>
      </c>
      <c r="W742" s="447">
        <f>IFERROR(__xludf.DUMMYFUNCTION("""COMPUTED_VALUE"""),0.0)</f>
        <v>0</v>
      </c>
      <c r="X742" s="447">
        <f>IFERROR(__xludf.DUMMYFUNCTION("""COMPUTED_VALUE"""),1.0)</f>
        <v>1</v>
      </c>
      <c r="Y742" s="447">
        <f>IFERROR(__xludf.DUMMYFUNCTION("""COMPUTED_VALUE"""),0.0)</f>
        <v>0</v>
      </c>
      <c r="Z742" s="447">
        <f>IFERROR(__xludf.DUMMYFUNCTION("""COMPUTED_VALUE"""),0.0)</f>
        <v>0</v>
      </c>
      <c r="AA742" s="447">
        <f>IFERROR(__xludf.DUMMYFUNCTION("""COMPUTED_VALUE"""),0.0)</f>
        <v>0</v>
      </c>
      <c r="AB742" s="447">
        <f>IFERROR(__xludf.DUMMYFUNCTION("""COMPUTED_VALUE"""),0.0)</f>
        <v>0</v>
      </c>
      <c r="AC742" s="447">
        <f>IFERROR(__xludf.DUMMYFUNCTION("""COMPUTED_VALUE"""),1.0)</f>
        <v>1</v>
      </c>
      <c r="AD742" s="447">
        <f>IFERROR(__xludf.DUMMYFUNCTION("""COMPUTED_VALUE"""),48.0)</f>
        <v>48</v>
      </c>
      <c r="AE742" s="447">
        <f>IFERROR(__xludf.DUMMYFUNCTION("""COMPUTED_VALUE"""),6.0)</f>
        <v>6</v>
      </c>
      <c r="AF742" s="447">
        <f>IFERROR(__xludf.DUMMYFUNCTION("""COMPUTED_VALUE"""),2.0)</f>
        <v>2</v>
      </c>
      <c r="AG742" s="443" t="s">
        <v>83</v>
      </c>
      <c r="AH742" s="443" t="s">
        <v>291</v>
      </c>
      <c r="AI742" s="449">
        <v>3645.0</v>
      </c>
      <c r="AJ742" s="449">
        <v>852.0</v>
      </c>
      <c r="AK742" s="443"/>
      <c r="AL742" s="443"/>
      <c r="AM742" s="443"/>
      <c r="AN742" s="443"/>
      <c r="AO742" s="443"/>
      <c r="AP742" s="443"/>
      <c r="AQ742" s="443"/>
      <c r="AR742" s="443"/>
      <c r="AS742" s="443"/>
      <c r="AT742" s="443"/>
      <c r="AU742" s="443"/>
      <c r="AV742" s="443"/>
      <c r="AW742" s="443"/>
      <c r="AX742" s="443"/>
      <c r="AY742" s="443"/>
      <c r="AZ742" s="443"/>
      <c r="BA742" s="443"/>
      <c r="BB742" s="443"/>
      <c r="BC742" s="443"/>
      <c r="BD742" s="443"/>
      <c r="BE742" s="443"/>
    </row>
    <row r="743" hidden="1">
      <c r="A743" s="445">
        <f t="shared" si="5"/>
        <v>46033</v>
      </c>
      <c r="B743" s="449">
        <v>0.0</v>
      </c>
      <c r="C743" s="443"/>
      <c r="D743" s="462"/>
      <c r="E743" s="436" t="str">
        <f t="array" ref="E743">IF(B743=0,"",(J743+K743)/60)</f>
        <v/>
      </c>
      <c r="F743" s="437" t="str">
        <f t="shared" si="1"/>
        <v/>
      </c>
      <c r="G743" s="438" t="str">
        <f t="shared" si="9"/>
        <v>#DIV/0!</v>
      </c>
      <c r="H743" s="438" t="str">
        <f t="shared" si="3"/>
        <v/>
      </c>
      <c r="I743" s="436" t="str">
        <f t="shared" si="10"/>
        <v/>
      </c>
      <c r="J743" s="464"/>
      <c r="K743" s="464"/>
      <c r="L743" s="443"/>
      <c r="M743" s="447">
        <f>IFERROR(__xludf.DUMMYFUNCTION("""COMPUTED_VALUE"""),57.0)</f>
        <v>57</v>
      </c>
      <c r="N743" s="447">
        <f>IFERROR(__xludf.DUMMYFUNCTION("""COMPUTED_VALUE"""),57.0)</f>
        <v>57</v>
      </c>
      <c r="O743" s="447">
        <f>IFERROR(__xludf.DUMMYFUNCTION("""COMPUTED_VALUE"""),0.0)</f>
        <v>0</v>
      </c>
      <c r="P743" s="447">
        <f>IFERROR(__xludf.DUMMYFUNCTION("""COMPUTED_VALUE"""),0.0)</f>
        <v>0</v>
      </c>
      <c r="Q743" s="447">
        <f>IFERROR(__xludf.DUMMYFUNCTION("""COMPUTED_VALUE"""),0.0)</f>
        <v>0</v>
      </c>
      <c r="R743" s="447">
        <f>IFERROR(__xludf.DUMMYFUNCTION("""COMPUTED_VALUE"""),0.0)</f>
        <v>0</v>
      </c>
      <c r="S743" s="447">
        <f>IFERROR(__xludf.DUMMYFUNCTION("""COMPUTED_VALUE"""),0.0)</f>
        <v>0</v>
      </c>
      <c r="T743" s="447">
        <f>IFERROR(__xludf.DUMMYFUNCTION("""COMPUTED_VALUE"""),0.0)</f>
        <v>0</v>
      </c>
      <c r="U743" s="447">
        <f>IFERROR(__xludf.DUMMYFUNCTION("""COMPUTED_VALUE"""),0.0)</f>
        <v>0</v>
      </c>
      <c r="V743" s="447">
        <f>IFERROR(__xludf.DUMMYFUNCTION("""COMPUTED_VALUE"""),0.0)</f>
        <v>0</v>
      </c>
      <c r="W743" s="447">
        <f>IFERROR(__xludf.DUMMYFUNCTION("""COMPUTED_VALUE"""),0.0)</f>
        <v>0</v>
      </c>
      <c r="X743" s="447">
        <f>IFERROR(__xludf.DUMMYFUNCTION("""COMPUTED_VALUE"""),0.0)</f>
        <v>0</v>
      </c>
      <c r="Y743" s="447">
        <f>IFERROR(__xludf.DUMMYFUNCTION("""COMPUTED_VALUE"""),0.0)</f>
        <v>0</v>
      </c>
      <c r="Z743" s="447">
        <f>IFERROR(__xludf.DUMMYFUNCTION("""COMPUTED_VALUE"""),0.0)</f>
        <v>0</v>
      </c>
      <c r="AA743" s="447">
        <f>IFERROR(__xludf.DUMMYFUNCTION("""COMPUTED_VALUE"""),0.0)</f>
        <v>0</v>
      </c>
      <c r="AB743" s="447">
        <f>IFERROR(__xludf.DUMMYFUNCTION("""COMPUTED_VALUE"""),0.0)</f>
        <v>0</v>
      </c>
      <c r="AC743" s="447">
        <f>IFERROR(__xludf.DUMMYFUNCTION("""COMPUTED_VALUE"""),0.0)</f>
        <v>0</v>
      </c>
      <c r="AD743" s="447">
        <f>IFERROR(__xludf.DUMMYFUNCTION("""COMPUTED_VALUE"""),0.0)</f>
        <v>0</v>
      </c>
      <c r="AE743" s="447">
        <f>IFERROR(__xludf.DUMMYFUNCTION("""COMPUTED_VALUE"""),0.0)</f>
        <v>0</v>
      </c>
      <c r="AF743" s="447">
        <f>IFERROR(__xludf.DUMMYFUNCTION("""COMPUTED_VALUE"""),0.0)</f>
        <v>0</v>
      </c>
      <c r="AG743" s="443" t="s">
        <v>83</v>
      </c>
      <c r="AH743" s="443" t="s">
        <v>291</v>
      </c>
      <c r="AI743" s="449"/>
      <c r="AJ743" s="443"/>
      <c r="AK743" s="443"/>
      <c r="AL743" s="443"/>
      <c r="AM743" s="443"/>
      <c r="AN743" s="443"/>
      <c r="AO743" s="443"/>
      <c r="AP743" s="443"/>
      <c r="AQ743" s="443"/>
      <c r="AR743" s="443"/>
      <c r="AS743" s="443"/>
      <c r="AT743" s="443"/>
      <c r="AU743" s="443"/>
      <c r="AV743" s="443"/>
      <c r="AW743" s="443"/>
      <c r="AX743" s="443"/>
      <c r="AY743" s="443"/>
      <c r="AZ743" s="443"/>
      <c r="BA743" s="443"/>
      <c r="BB743" s="443"/>
      <c r="BC743" s="443"/>
      <c r="BD743" s="443"/>
      <c r="BE743" s="443"/>
    </row>
    <row r="744" hidden="1">
      <c r="A744" s="445">
        <f t="shared" si="5"/>
        <v>46034</v>
      </c>
      <c r="B744" s="449">
        <v>526.0</v>
      </c>
      <c r="C744" s="462">
        <v>0.6</v>
      </c>
      <c r="D744" s="462">
        <v>0.9173611111111111</v>
      </c>
      <c r="E744" s="436">
        <f t="array" ref="E744">IF(B744=0,"",(J744+K744)/60)</f>
        <v>0.7</v>
      </c>
      <c r="F744" s="437">
        <f t="shared" si="1"/>
        <v>7.616666667</v>
      </c>
      <c r="G744" s="438">
        <f t="shared" si="9"/>
        <v>69.05908096</v>
      </c>
      <c r="H744" s="438">
        <f t="shared" si="3"/>
        <v>76.04819277</v>
      </c>
      <c r="I744" s="436">
        <f t="shared" si="10"/>
        <v>1.438730853</v>
      </c>
      <c r="J744" s="460">
        <v>30.0</v>
      </c>
      <c r="K744" s="464">
        <f>4+8</f>
        <v>12</v>
      </c>
      <c r="L744" s="443"/>
      <c r="M744" s="447">
        <f>IFERROR(__xludf.DUMMYFUNCTION("""COMPUTED_VALUE"""),57.0)</f>
        <v>57</v>
      </c>
      <c r="N744" s="447">
        <f>IFERROR(__xludf.DUMMYFUNCTION("""COMPUTED_VALUE"""),55.0)</f>
        <v>55</v>
      </c>
      <c r="O744" s="447">
        <f>IFERROR(__xludf.DUMMYFUNCTION("""COMPUTED_VALUE"""),0.0)</f>
        <v>0</v>
      </c>
      <c r="P744" s="447">
        <f>IFERROR(__xludf.DUMMYFUNCTION("""COMPUTED_VALUE"""),0.0)</f>
        <v>0</v>
      </c>
      <c r="Q744" s="447">
        <f>IFERROR(__xludf.DUMMYFUNCTION("""COMPUTED_VALUE"""),0.0)</f>
        <v>0</v>
      </c>
      <c r="R744" s="447">
        <f>IFERROR(__xludf.DUMMYFUNCTION("""COMPUTED_VALUE"""),0.0)</f>
        <v>0</v>
      </c>
      <c r="S744" s="447">
        <f>IFERROR(__xludf.DUMMYFUNCTION("""COMPUTED_VALUE"""),0.0)</f>
        <v>0</v>
      </c>
      <c r="T744" s="447">
        <f>IFERROR(__xludf.DUMMYFUNCTION("""COMPUTED_VALUE"""),0.0)</f>
        <v>0</v>
      </c>
      <c r="U744" s="447">
        <f>IFERROR(__xludf.DUMMYFUNCTION("""COMPUTED_VALUE"""),2.0)</f>
        <v>2</v>
      </c>
      <c r="V744" s="447">
        <f>IFERROR(__xludf.DUMMYFUNCTION("""COMPUTED_VALUE"""),2.0)</f>
        <v>2</v>
      </c>
      <c r="W744" s="447">
        <f>IFERROR(__xludf.DUMMYFUNCTION("""COMPUTED_VALUE"""),0.0)</f>
        <v>0</v>
      </c>
      <c r="X744" s="447">
        <f>IFERROR(__xludf.DUMMYFUNCTION("""COMPUTED_VALUE"""),1.0)</f>
        <v>1</v>
      </c>
      <c r="Y744" s="447">
        <f>IFERROR(__xludf.DUMMYFUNCTION("""COMPUTED_VALUE"""),0.0)</f>
        <v>0</v>
      </c>
      <c r="Z744" s="447">
        <f>IFERROR(__xludf.DUMMYFUNCTION("""COMPUTED_VALUE"""),0.0)</f>
        <v>0</v>
      </c>
      <c r="AA744" s="447">
        <f>IFERROR(__xludf.DUMMYFUNCTION("""COMPUTED_VALUE"""),0.0)</f>
        <v>0</v>
      </c>
      <c r="AB744" s="447">
        <f>IFERROR(__xludf.DUMMYFUNCTION("""COMPUTED_VALUE"""),0.0)</f>
        <v>0</v>
      </c>
      <c r="AC744" s="447">
        <f>IFERROR(__xludf.DUMMYFUNCTION("""COMPUTED_VALUE"""),1.0)</f>
        <v>1</v>
      </c>
      <c r="AD744" s="447">
        <f>IFERROR(__xludf.DUMMYFUNCTION("""COMPUTED_VALUE"""),48.0)</f>
        <v>48</v>
      </c>
      <c r="AE744" s="447">
        <f>IFERROR(__xludf.DUMMYFUNCTION("""COMPUTED_VALUE"""),6.0)</f>
        <v>6</v>
      </c>
      <c r="AF744" s="447">
        <f>IFERROR(__xludf.DUMMYFUNCTION("""COMPUTED_VALUE"""),2.0)</f>
        <v>2</v>
      </c>
      <c r="AG744" s="443" t="s">
        <v>83</v>
      </c>
      <c r="AH744" s="443" t="s">
        <v>291</v>
      </c>
      <c r="AI744" s="675">
        <v>5805.0</v>
      </c>
      <c r="AJ744" s="676"/>
      <c r="AK744" s="443"/>
      <c r="AL744" s="443"/>
      <c r="AM744" s="443"/>
      <c r="AN744" s="443"/>
      <c r="AO744" s="443"/>
      <c r="AP744" s="443"/>
      <c r="AQ744" s="443"/>
      <c r="AR744" s="443"/>
      <c r="AS744" s="443"/>
      <c r="AT744" s="443"/>
      <c r="AU744" s="443"/>
      <c r="AV744" s="443"/>
      <c r="AW744" s="443"/>
      <c r="AX744" s="443"/>
      <c r="AY744" s="443"/>
      <c r="AZ744" s="443"/>
      <c r="BA744" s="443"/>
      <c r="BB744" s="443"/>
      <c r="BC744" s="443"/>
      <c r="BD744" s="443"/>
      <c r="BE744" s="443"/>
    </row>
    <row r="745" hidden="1">
      <c r="A745" s="445">
        <f t="shared" si="5"/>
        <v>46035</v>
      </c>
      <c r="B745" s="449">
        <v>521.0</v>
      </c>
      <c r="C745" s="462">
        <v>0.6</v>
      </c>
      <c r="D745" s="462">
        <v>0.925</v>
      </c>
      <c r="E745" s="436">
        <f t="array" ref="E745">IF(B745=0,"",(J745+K745)/60)</f>
        <v>0.75</v>
      </c>
      <c r="F745" s="437">
        <f t="shared" si="1"/>
        <v>7.8</v>
      </c>
      <c r="G745" s="438">
        <f t="shared" si="9"/>
        <v>66.79487179</v>
      </c>
      <c r="H745" s="438">
        <f t="shared" si="3"/>
        <v>73.90070922</v>
      </c>
      <c r="I745" s="436">
        <f t="shared" si="10"/>
        <v>1.363160649</v>
      </c>
      <c r="J745" s="460">
        <v>30.0</v>
      </c>
      <c r="K745" s="460">
        <v>15.0</v>
      </c>
      <c r="L745" s="443"/>
      <c r="M745" s="447">
        <f>IFERROR(__xludf.DUMMYFUNCTION("""COMPUTED_VALUE"""),57.0)</f>
        <v>57</v>
      </c>
      <c r="N745" s="447">
        <f>IFERROR(__xludf.DUMMYFUNCTION("""COMPUTED_VALUE"""),55.0)</f>
        <v>55</v>
      </c>
      <c r="O745" s="447">
        <f>IFERROR(__xludf.DUMMYFUNCTION("""COMPUTED_VALUE"""),0.0)</f>
        <v>0</v>
      </c>
      <c r="P745" s="447">
        <f>IFERROR(__xludf.DUMMYFUNCTION("""COMPUTED_VALUE"""),0.0)</f>
        <v>0</v>
      </c>
      <c r="Q745" s="447">
        <f>IFERROR(__xludf.DUMMYFUNCTION("""COMPUTED_VALUE"""),0.0)</f>
        <v>0</v>
      </c>
      <c r="R745" s="447">
        <f>IFERROR(__xludf.DUMMYFUNCTION("""COMPUTED_VALUE"""),0.0)</f>
        <v>0</v>
      </c>
      <c r="S745" s="447">
        <f>IFERROR(__xludf.DUMMYFUNCTION("""COMPUTED_VALUE"""),0.0)</f>
        <v>0</v>
      </c>
      <c r="T745" s="447">
        <f>IFERROR(__xludf.DUMMYFUNCTION("""COMPUTED_VALUE"""),0.0)</f>
        <v>0</v>
      </c>
      <c r="U745" s="447">
        <f>IFERROR(__xludf.DUMMYFUNCTION("""COMPUTED_VALUE"""),2.0)</f>
        <v>2</v>
      </c>
      <c r="V745" s="447">
        <f>IFERROR(__xludf.DUMMYFUNCTION("""COMPUTED_VALUE"""),2.0)</f>
        <v>2</v>
      </c>
      <c r="W745" s="447">
        <f>IFERROR(__xludf.DUMMYFUNCTION("""COMPUTED_VALUE"""),0.0)</f>
        <v>0</v>
      </c>
      <c r="X745" s="447">
        <f>IFERROR(__xludf.DUMMYFUNCTION("""COMPUTED_VALUE"""),1.0)</f>
        <v>1</v>
      </c>
      <c r="Y745" s="447">
        <f>IFERROR(__xludf.DUMMYFUNCTION("""COMPUTED_VALUE"""),0.0)</f>
        <v>0</v>
      </c>
      <c r="Z745" s="447">
        <f>IFERROR(__xludf.DUMMYFUNCTION("""COMPUTED_VALUE"""),0.0)</f>
        <v>0</v>
      </c>
      <c r="AA745" s="447">
        <f>IFERROR(__xludf.DUMMYFUNCTION("""COMPUTED_VALUE"""),0.0)</f>
        <v>0</v>
      </c>
      <c r="AB745" s="447">
        <f>IFERROR(__xludf.DUMMYFUNCTION("""COMPUTED_VALUE"""),0.0)</f>
        <v>0</v>
      </c>
      <c r="AC745" s="447">
        <f>IFERROR(__xludf.DUMMYFUNCTION("""COMPUTED_VALUE"""),0.0)</f>
        <v>0</v>
      </c>
      <c r="AD745" s="447">
        <f>IFERROR(__xludf.DUMMYFUNCTION("""COMPUTED_VALUE"""),49.0)</f>
        <v>49</v>
      </c>
      <c r="AE745" s="447">
        <f>IFERROR(__xludf.DUMMYFUNCTION("""COMPUTED_VALUE"""),5.0)</f>
        <v>5</v>
      </c>
      <c r="AF745" s="447">
        <f>IFERROR(__xludf.DUMMYFUNCTION("""COMPUTED_VALUE"""),2.0)</f>
        <v>2</v>
      </c>
      <c r="AG745" s="443" t="s">
        <v>83</v>
      </c>
      <c r="AH745" s="443" t="s">
        <v>291</v>
      </c>
      <c r="AI745" s="675">
        <v>5708.0</v>
      </c>
      <c r="AJ745" s="677">
        <v>163.0</v>
      </c>
      <c r="AK745" s="443"/>
      <c r="AL745" s="443"/>
      <c r="AM745" s="443"/>
      <c r="AN745" s="443"/>
      <c r="AO745" s="443"/>
      <c r="AP745" s="443"/>
      <c r="AQ745" s="443"/>
      <c r="AR745" s="443"/>
      <c r="AS745" s="443"/>
      <c r="AT745" s="443"/>
      <c r="AU745" s="443"/>
      <c r="AV745" s="443"/>
      <c r="AW745" s="443"/>
      <c r="AX745" s="443"/>
      <c r="AY745" s="443"/>
      <c r="AZ745" s="443"/>
      <c r="BA745" s="443"/>
      <c r="BB745" s="443"/>
      <c r="BC745" s="443"/>
      <c r="BD745" s="443"/>
      <c r="BE745" s="443"/>
    </row>
    <row r="746" hidden="1">
      <c r="A746" s="445">
        <f t="shared" si="5"/>
        <v>46036</v>
      </c>
      <c r="B746" s="449">
        <v>372.0</v>
      </c>
      <c r="C746" s="462">
        <v>0.6</v>
      </c>
      <c r="D746" s="462">
        <v>0.8854166666666666</v>
      </c>
      <c r="E746" s="436">
        <f t="array" ref="E746">IF(B746=0,"",(J746+K746)/60)</f>
        <v>1.066666667</v>
      </c>
      <c r="F746" s="437">
        <f t="shared" si="1"/>
        <v>6.85</v>
      </c>
      <c r="G746" s="438">
        <f t="shared" si="9"/>
        <v>54.30656934</v>
      </c>
      <c r="H746" s="438">
        <f t="shared" si="3"/>
        <v>64.32276657</v>
      </c>
      <c r="I746" s="436">
        <f t="shared" si="10"/>
        <v>1.131386861</v>
      </c>
      <c r="J746" s="460">
        <v>30.0</v>
      </c>
      <c r="K746" s="464">
        <f>5+11+18</f>
        <v>34</v>
      </c>
      <c r="L746" s="443"/>
      <c r="M746" s="447">
        <f>IFERROR(__xludf.DUMMYFUNCTION("""COMPUTED_VALUE"""),57.0)</f>
        <v>57</v>
      </c>
      <c r="N746" s="447">
        <f>IFERROR(__xludf.DUMMYFUNCTION("""COMPUTED_VALUE"""),55.0)</f>
        <v>55</v>
      </c>
      <c r="O746" s="447">
        <f>IFERROR(__xludf.DUMMYFUNCTION("""COMPUTED_VALUE"""),0.0)</f>
        <v>0</v>
      </c>
      <c r="P746" s="447">
        <f>IFERROR(__xludf.DUMMYFUNCTION("""COMPUTED_VALUE"""),0.0)</f>
        <v>0</v>
      </c>
      <c r="Q746" s="447">
        <f>IFERROR(__xludf.DUMMYFUNCTION("""COMPUTED_VALUE"""),0.0)</f>
        <v>0</v>
      </c>
      <c r="R746" s="447">
        <f>IFERROR(__xludf.DUMMYFUNCTION("""COMPUTED_VALUE"""),0.0)</f>
        <v>0</v>
      </c>
      <c r="S746" s="447">
        <f>IFERROR(__xludf.DUMMYFUNCTION("""COMPUTED_VALUE"""),1.0)</f>
        <v>1</v>
      </c>
      <c r="T746" s="447">
        <f>IFERROR(__xludf.DUMMYFUNCTION("""COMPUTED_VALUE"""),0.0)</f>
        <v>0</v>
      </c>
      <c r="U746" s="447">
        <f>IFERROR(__xludf.DUMMYFUNCTION("""COMPUTED_VALUE"""),2.0)</f>
        <v>2</v>
      </c>
      <c r="V746" s="447">
        <f>IFERROR(__xludf.DUMMYFUNCTION("""COMPUTED_VALUE"""),2.0)</f>
        <v>2</v>
      </c>
      <c r="W746" s="447">
        <f>IFERROR(__xludf.DUMMYFUNCTION("""COMPUTED_VALUE"""),0.0)</f>
        <v>0</v>
      </c>
      <c r="X746" s="447">
        <f>IFERROR(__xludf.DUMMYFUNCTION("""COMPUTED_VALUE"""),1.0)</f>
        <v>1</v>
      </c>
      <c r="Y746" s="447">
        <f>IFERROR(__xludf.DUMMYFUNCTION("""COMPUTED_VALUE"""),0.0)</f>
        <v>0</v>
      </c>
      <c r="Z746" s="447">
        <f>IFERROR(__xludf.DUMMYFUNCTION("""COMPUTED_VALUE"""),0.0)</f>
        <v>0</v>
      </c>
      <c r="AA746" s="447">
        <f>IFERROR(__xludf.DUMMYFUNCTION("""COMPUTED_VALUE"""),0.0)</f>
        <v>0</v>
      </c>
      <c r="AB746" s="447">
        <f>IFERROR(__xludf.DUMMYFUNCTION("""COMPUTED_VALUE"""),0.0)</f>
        <v>0</v>
      </c>
      <c r="AC746" s="447">
        <f>IFERROR(__xludf.DUMMYFUNCTION("""COMPUTED_VALUE"""),0.0)</f>
        <v>0</v>
      </c>
      <c r="AD746" s="447">
        <f>IFERROR(__xludf.DUMMYFUNCTION("""COMPUTED_VALUE"""),48.0)</f>
        <v>48</v>
      </c>
      <c r="AE746" s="447">
        <f>IFERROR(__xludf.DUMMYFUNCTION("""COMPUTED_VALUE"""),6.0)</f>
        <v>6</v>
      </c>
      <c r="AF746" s="447">
        <f>IFERROR(__xludf.DUMMYFUNCTION("""COMPUTED_VALUE"""),2.0)</f>
        <v>2</v>
      </c>
      <c r="AG746" s="443" t="s">
        <v>83</v>
      </c>
      <c r="AH746" s="443" t="s">
        <v>291</v>
      </c>
      <c r="AI746" s="675">
        <v>4214.0</v>
      </c>
      <c r="AJ746" s="678"/>
      <c r="AK746" s="443"/>
      <c r="AL746" s="443"/>
      <c r="AM746" s="443"/>
      <c r="AN746" s="443"/>
      <c r="AO746" s="443"/>
      <c r="AP746" s="443"/>
      <c r="AQ746" s="443"/>
      <c r="AR746" s="443"/>
      <c r="AS746" s="443"/>
      <c r="AT746" s="443"/>
      <c r="AU746" s="443"/>
      <c r="AV746" s="443"/>
      <c r="AW746" s="443"/>
      <c r="AX746" s="443"/>
      <c r="AY746" s="443"/>
      <c r="AZ746" s="443"/>
      <c r="BA746" s="443"/>
      <c r="BB746" s="443"/>
      <c r="BC746" s="443"/>
      <c r="BD746" s="443"/>
      <c r="BE746" s="443"/>
    </row>
    <row r="747" hidden="1">
      <c r="A747" s="445">
        <f t="shared" si="5"/>
        <v>46037</v>
      </c>
      <c r="B747" s="449">
        <v>363.0</v>
      </c>
      <c r="C747" s="462">
        <v>0.6</v>
      </c>
      <c r="D747" s="462">
        <v>0.8277777777777777</v>
      </c>
      <c r="E747" s="436">
        <f t="array" ref="E747">IF(B747=0,"",(J747+K747)/60)</f>
        <v>0.5</v>
      </c>
      <c r="F747" s="437">
        <f t="shared" si="1"/>
        <v>5.466666667</v>
      </c>
      <c r="G747" s="438">
        <f t="shared" si="9"/>
        <v>66.40243902</v>
      </c>
      <c r="H747" s="438">
        <f t="shared" si="3"/>
        <v>73.08724832</v>
      </c>
      <c r="I747" s="436">
        <f t="shared" si="10"/>
        <v>1.443531283</v>
      </c>
      <c r="J747" s="460">
        <v>30.0</v>
      </c>
      <c r="K747" s="464"/>
      <c r="L747" s="443"/>
      <c r="M747" s="447">
        <f>IFERROR(__xludf.DUMMYFUNCTION("""COMPUTED_VALUE"""),57.0)</f>
        <v>57</v>
      </c>
      <c r="N747" s="447">
        <f>IFERROR(__xludf.DUMMYFUNCTION("""COMPUTED_VALUE"""),56.0)</f>
        <v>56</v>
      </c>
      <c r="O747" s="447">
        <f>IFERROR(__xludf.DUMMYFUNCTION("""COMPUTED_VALUE"""),0.0)</f>
        <v>0</v>
      </c>
      <c r="P747" s="447">
        <f>IFERROR(__xludf.DUMMYFUNCTION("""COMPUTED_VALUE"""),0.0)</f>
        <v>0</v>
      </c>
      <c r="Q747" s="447">
        <f>IFERROR(__xludf.DUMMYFUNCTION("""COMPUTED_VALUE"""),0.0)</f>
        <v>0</v>
      </c>
      <c r="R747" s="447">
        <f>IFERROR(__xludf.DUMMYFUNCTION("""COMPUTED_VALUE"""),0.0)</f>
        <v>0</v>
      </c>
      <c r="S747" s="447">
        <f>IFERROR(__xludf.DUMMYFUNCTION("""COMPUTED_VALUE"""),3.0)</f>
        <v>3</v>
      </c>
      <c r="T747" s="447">
        <f>IFERROR(__xludf.DUMMYFUNCTION("""COMPUTED_VALUE"""),0.0)</f>
        <v>0</v>
      </c>
      <c r="U747" s="447">
        <f>IFERROR(__xludf.DUMMYFUNCTION("""COMPUTED_VALUE"""),1.0)</f>
        <v>1</v>
      </c>
      <c r="V747" s="447">
        <f>IFERROR(__xludf.DUMMYFUNCTION("""COMPUTED_VALUE"""),2.0)</f>
        <v>2</v>
      </c>
      <c r="W747" s="447">
        <f>IFERROR(__xludf.DUMMYFUNCTION("""COMPUTED_VALUE"""),0.0)</f>
        <v>0</v>
      </c>
      <c r="X747" s="447">
        <f>IFERROR(__xludf.DUMMYFUNCTION("""COMPUTED_VALUE"""),1.0)</f>
        <v>1</v>
      </c>
      <c r="Y747" s="447">
        <f>IFERROR(__xludf.DUMMYFUNCTION("""COMPUTED_VALUE"""),0.0)</f>
        <v>0</v>
      </c>
      <c r="Z747" s="447">
        <f>IFERROR(__xludf.DUMMYFUNCTION("""COMPUTED_VALUE"""),0.0)</f>
        <v>0</v>
      </c>
      <c r="AA747" s="447">
        <f>IFERROR(__xludf.DUMMYFUNCTION("""COMPUTED_VALUE"""),0.0)</f>
        <v>0</v>
      </c>
      <c r="AB747" s="447">
        <f>IFERROR(__xludf.DUMMYFUNCTION("""COMPUTED_VALUE"""),1.0)</f>
        <v>1</v>
      </c>
      <c r="AC747" s="447">
        <f>IFERROR(__xludf.DUMMYFUNCTION("""COMPUTED_VALUE"""),0.0)</f>
        <v>0</v>
      </c>
      <c r="AD747" s="447">
        <f>IFERROR(__xludf.DUMMYFUNCTION("""COMPUTED_VALUE"""),46.0)</f>
        <v>46</v>
      </c>
      <c r="AE747" s="447">
        <f>IFERROR(__xludf.DUMMYFUNCTION("""COMPUTED_VALUE"""),7.0)</f>
        <v>7</v>
      </c>
      <c r="AF747" s="447">
        <f>IFERROR(__xludf.DUMMYFUNCTION("""COMPUTED_VALUE"""),1.0)</f>
        <v>1</v>
      </c>
      <c r="AG747" s="443" t="s">
        <v>83</v>
      </c>
      <c r="AH747" s="443" t="s">
        <v>291</v>
      </c>
      <c r="AI747" s="677">
        <v>4128.0</v>
      </c>
      <c r="AJ747" s="678"/>
      <c r="AK747" s="443"/>
      <c r="AL747" s="443"/>
      <c r="AM747" s="443"/>
      <c r="AN747" s="443"/>
      <c r="AO747" s="443"/>
      <c r="AP747" s="443"/>
      <c r="AQ747" s="443"/>
      <c r="AR747" s="443"/>
      <c r="AS747" s="443"/>
      <c r="AT747" s="443"/>
      <c r="AU747" s="443"/>
      <c r="AV747" s="443"/>
      <c r="AW747" s="443"/>
      <c r="AX747" s="443"/>
      <c r="AY747" s="443"/>
      <c r="AZ747" s="443"/>
      <c r="BA747" s="443"/>
      <c r="BB747" s="443"/>
      <c r="BC747" s="443"/>
      <c r="BD747" s="443"/>
      <c r="BE747" s="443"/>
    </row>
    <row r="748" hidden="1">
      <c r="A748" s="445">
        <f t="shared" si="5"/>
        <v>46038</v>
      </c>
      <c r="B748" s="449">
        <v>428.0</v>
      </c>
      <c r="C748" s="462">
        <v>0.6</v>
      </c>
      <c r="D748" s="462">
        <v>0.8666666666666667</v>
      </c>
      <c r="E748" s="436">
        <f t="array" ref="E748">IF(B748=0,"",(J748+K748)/60)</f>
        <v>0.5</v>
      </c>
      <c r="F748" s="437">
        <f t="shared" si="1"/>
        <v>6.4</v>
      </c>
      <c r="G748" s="438">
        <f t="shared" si="9"/>
        <v>66.875</v>
      </c>
      <c r="H748" s="438">
        <f t="shared" si="3"/>
        <v>72.54237288</v>
      </c>
      <c r="I748" s="436">
        <f t="shared" si="10"/>
        <v>1.486111111</v>
      </c>
      <c r="J748" s="460">
        <v>30.0</v>
      </c>
      <c r="K748" s="464"/>
      <c r="L748" s="443"/>
      <c r="M748" s="447">
        <f>IFERROR(__xludf.DUMMYFUNCTION("""COMPUTED_VALUE"""),57.0)</f>
        <v>57</v>
      </c>
      <c r="N748" s="447">
        <f>IFERROR(__xludf.DUMMYFUNCTION("""COMPUTED_VALUE"""),56.0)</f>
        <v>56</v>
      </c>
      <c r="O748" s="447">
        <f>IFERROR(__xludf.DUMMYFUNCTION("""COMPUTED_VALUE"""),0.0)</f>
        <v>0</v>
      </c>
      <c r="P748" s="447">
        <f>IFERROR(__xludf.DUMMYFUNCTION("""COMPUTED_VALUE"""),0.0)</f>
        <v>0</v>
      </c>
      <c r="Q748" s="447">
        <f>IFERROR(__xludf.DUMMYFUNCTION("""COMPUTED_VALUE"""),1.0)</f>
        <v>1</v>
      </c>
      <c r="R748" s="447">
        <f>IFERROR(__xludf.DUMMYFUNCTION("""COMPUTED_VALUE"""),0.0)</f>
        <v>0</v>
      </c>
      <c r="S748" s="447">
        <f>IFERROR(__xludf.DUMMYFUNCTION("""COMPUTED_VALUE"""),2.0)</f>
        <v>2</v>
      </c>
      <c r="T748" s="447">
        <f>IFERROR(__xludf.DUMMYFUNCTION("""COMPUTED_VALUE"""),1.0)</f>
        <v>1</v>
      </c>
      <c r="U748" s="447">
        <f>IFERROR(__xludf.DUMMYFUNCTION("""COMPUTED_VALUE"""),1.0)</f>
        <v>1</v>
      </c>
      <c r="V748" s="447">
        <f>IFERROR(__xludf.DUMMYFUNCTION("""COMPUTED_VALUE"""),2.0)</f>
        <v>2</v>
      </c>
      <c r="W748" s="447">
        <f>IFERROR(__xludf.DUMMYFUNCTION("""COMPUTED_VALUE"""),0.0)</f>
        <v>0</v>
      </c>
      <c r="X748" s="447">
        <f>IFERROR(__xludf.DUMMYFUNCTION("""COMPUTED_VALUE"""),1.0)</f>
        <v>1</v>
      </c>
      <c r="Y748" s="447">
        <f>IFERROR(__xludf.DUMMYFUNCTION("""COMPUTED_VALUE"""),0.0)</f>
        <v>0</v>
      </c>
      <c r="Z748" s="447">
        <f>IFERROR(__xludf.DUMMYFUNCTION("""COMPUTED_VALUE"""),0.0)</f>
        <v>0</v>
      </c>
      <c r="AA748" s="447">
        <f>IFERROR(__xludf.DUMMYFUNCTION("""COMPUTED_VALUE"""),0.0)</f>
        <v>0</v>
      </c>
      <c r="AB748" s="447">
        <f>IFERROR(__xludf.DUMMYFUNCTION("""COMPUTED_VALUE"""),0.0)</f>
        <v>0</v>
      </c>
      <c r="AC748" s="447">
        <f>IFERROR(__xludf.DUMMYFUNCTION("""COMPUTED_VALUE"""),1.0)</f>
        <v>1</v>
      </c>
      <c r="AD748" s="447">
        <f>IFERROR(__xludf.DUMMYFUNCTION("""COMPUTED_VALUE"""),45.0)</f>
        <v>45</v>
      </c>
      <c r="AE748" s="447">
        <f>IFERROR(__xludf.DUMMYFUNCTION("""COMPUTED_VALUE"""),9.0)</f>
        <v>9</v>
      </c>
      <c r="AF748" s="447">
        <f>IFERROR(__xludf.DUMMYFUNCTION("""COMPUTED_VALUE"""),1.0)</f>
        <v>1</v>
      </c>
      <c r="AG748" s="443" t="s">
        <v>83</v>
      </c>
      <c r="AH748" s="443" t="s">
        <v>291</v>
      </c>
      <c r="AI748" s="449">
        <v>4979.0</v>
      </c>
      <c r="AJ748" s="443"/>
      <c r="AK748" s="443"/>
      <c r="AL748" s="443"/>
      <c r="AM748" s="443"/>
      <c r="AN748" s="443"/>
      <c r="AO748" s="443"/>
      <c r="AP748" s="443"/>
      <c r="AQ748" s="443"/>
      <c r="AR748" s="443"/>
      <c r="AS748" s="443"/>
      <c r="AT748" s="443"/>
      <c r="AU748" s="443"/>
      <c r="AV748" s="443"/>
      <c r="AW748" s="443"/>
      <c r="AX748" s="443"/>
      <c r="AY748" s="443"/>
      <c r="AZ748" s="443"/>
      <c r="BA748" s="443"/>
      <c r="BB748" s="443"/>
      <c r="BC748" s="443"/>
      <c r="BD748" s="443"/>
      <c r="BE748" s="443"/>
    </row>
    <row r="749" hidden="1">
      <c r="A749" s="445">
        <f t="shared" si="5"/>
        <v>46039</v>
      </c>
      <c r="B749" s="449">
        <v>381.0</v>
      </c>
      <c r="C749" s="462">
        <v>0.6</v>
      </c>
      <c r="D749" s="462">
        <v>0.8256944444444444</v>
      </c>
      <c r="E749" s="436">
        <f t="array" ref="E749">IF(B749=0,"",(J749+K749)/60)</f>
        <v>0</v>
      </c>
      <c r="F749" s="437">
        <f t="shared" si="1"/>
        <v>5.416666667</v>
      </c>
      <c r="G749" s="438">
        <f t="shared" si="9"/>
        <v>70.33846154</v>
      </c>
      <c r="H749" s="438">
        <f t="shared" si="3"/>
        <v>70.33846154</v>
      </c>
      <c r="I749" s="436">
        <f t="shared" si="10"/>
        <v>1.598601399</v>
      </c>
      <c r="J749" s="460">
        <v>0.0</v>
      </c>
      <c r="K749" s="460">
        <v>0.0</v>
      </c>
      <c r="L749" s="443"/>
      <c r="M749" s="447">
        <f>IFERROR(__xludf.DUMMYFUNCTION("""COMPUTED_VALUE"""),57.0)</f>
        <v>57</v>
      </c>
      <c r="N749" s="447">
        <f>IFERROR(__xludf.DUMMYFUNCTION("""COMPUTED_VALUE"""),55.0)</f>
        <v>55</v>
      </c>
      <c r="O749" s="447">
        <f>IFERROR(__xludf.DUMMYFUNCTION("""COMPUTED_VALUE"""),0.0)</f>
        <v>0</v>
      </c>
      <c r="P749" s="447">
        <f>IFERROR(__xludf.DUMMYFUNCTION("""COMPUTED_VALUE"""),0.0)</f>
        <v>0</v>
      </c>
      <c r="Q749" s="447">
        <f>IFERROR(__xludf.DUMMYFUNCTION("""COMPUTED_VALUE"""),0.0)</f>
        <v>0</v>
      </c>
      <c r="R749" s="447">
        <f>IFERROR(__xludf.DUMMYFUNCTION("""COMPUTED_VALUE"""),0.0)</f>
        <v>0</v>
      </c>
      <c r="S749" s="447">
        <f>IFERROR(__xludf.DUMMYFUNCTION("""COMPUTED_VALUE"""),3.0)</f>
        <v>3</v>
      </c>
      <c r="T749" s="447">
        <f>IFERROR(__xludf.DUMMYFUNCTION("""COMPUTED_VALUE"""),1.0)</f>
        <v>1</v>
      </c>
      <c r="U749" s="447">
        <f>IFERROR(__xludf.DUMMYFUNCTION("""COMPUTED_VALUE"""),2.0)</f>
        <v>2</v>
      </c>
      <c r="V749" s="447">
        <f>IFERROR(__xludf.DUMMYFUNCTION("""COMPUTED_VALUE"""),2.0)</f>
        <v>2</v>
      </c>
      <c r="W749" s="447">
        <f>IFERROR(__xludf.DUMMYFUNCTION("""COMPUTED_VALUE"""),0.0)</f>
        <v>0</v>
      </c>
      <c r="X749" s="447">
        <f>IFERROR(__xludf.DUMMYFUNCTION("""COMPUTED_VALUE"""),1.0)</f>
        <v>1</v>
      </c>
      <c r="Y749" s="447">
        <f>IFERROR(__xludf.DUMMYFUNCTION("""COMPUTED_VALUE"""),0.0)</f>
        <v>0</v>
      </c>
      <c r="Z749" s="447">
        <f>IFERROR(__xludf.DUMMYFUNCTION("""COMPUTED_VALUE"""),0.0)</f>
        <v>0</v>
      </c>
      <c r="AA749" s="447">
        <f>IFERROR(__xludf.DUMMYFUNCTION("""COMPUTED_VALUE"""),0.0)</f>
        <v>0</v>
      </c>
      <c r="AB749" s="447">
        <f>IFERROR(__xludf.DUMMYFUNCTION("""COMPUTED_VALUE"""),0.0)</f>
        <v>0</v>
      </c>
      <c r="AC749" s="447">
        <f>IFERROR(__xludf.DUMMYFUNCTION("""COMPUTED_VALUE"""),1.0)</f>
        <v>1</v>
      </c>
      <c r="AD749" s="447">
        <f>IFERROR(__xludf.DUMMYFUNCTION("""COMPUTED_VALUE"""),44.0)</f>
        <v>44</v>
      </c>
      <c r="AE749" s="447">
        <f>IFERROR(__xludf.DUMMYFUNCTION("""COMPUTED_VALUE"""),10.0)</f>
        <v>10</v>
      </c>
      <c r="AF749" s="447">
        <f>IFERROR(__xludf.DUMMYFUNCTION("""COMPUTED_VALUE"""),2.0)</f>
        <v>2</v>
      </c>
      <c r="AG749" s="443" t="s">
        <v>83</v>
      </c>
      <c r="AH749" s="443" t="s">
        <v>291</v>
      </c>
      <c r="AI749" s="449">
        <v>3805.0</v>
      </c>
      <c r="AJ749" s="449">
        <v>754.0</v>
      </c>
      <c r="AK749" s="443"/>
      <c r="AL749" s="443"/>
      <c r="AM749" s="443"/>
      <c r="AN749" s="443"/>
      <c r="AO749" s="443"/>
      <c r="AP749" s="443"/>
      <c r="AQ749" s="443"/>
      <c r="AR749" s="443"/>
      <c r="AS749" s="443"/>
      <c r="AT749" s="443"/>
      <c r="AU749" s="443"/>
      <c r="AV749" s="443"/>
      <c r="AW749" s="443"/>
      <c r="AX749" s="443"/>
      <c r="AY749" s="443"/>
      <c r="AZ749" s="443"/>
      <c r="BA749" s="443"/>
      <c r="BB749" s="443"/>
      <c r="BC749" s="443"/>
      <c r="BD749" s="443"/>
      <c r="BE749" s="443"/>
    </row>
    <row r="750" hidden="1">
      <c r="A750" s="445">
        <f t="shared" si="5"/>
        <v>46040</v>
      </c>
      <c r="B750" s="449">
        <v>0.0</v>
      </c>
      <c r="C750" s="443"/>
      <c r="D750" s="462"/>
      <c r="E750" s="436" t="str">
        <f t="array" ref="E750">IF(B750=0,"",(J750+K750)/60)</f>
        <v/>
      </c>
      <c r="F750" s="437" t="str">
        <f t="shared" si="1"/>
        <v/>
      </c>
      <c r="G750" s="438" t="str">
        <f t="shared" si="9"/>
        <v>#DIV/0!</v>
      </c>
      <c r="H750" s="438" t="str">
        <f t="shared" si="3"/>
        <v/>
      </c>
      <c r="I750" s="436" t="str">
        <f t="shared" si="10"/>
        <v/>
      </c>
      <c r="J750" s="464"/>
      <c r="K750" s="464"/>
      <c r="L750" s="443"/>
      <c r="M750" s="447">
        <f>IFERROR(__xludf.DUMMYFUNCTION("""COMPUTED_VALUE"""),57.0)</f>
        <v>57</v>
      </c>
      <c r="N750" s="447">
        <f>IFERROR(__xludf.DUMMYFUNCTION("""COMPUTED_VALUE"""),57.0)</f>
        <v>57</v>
      </c>
      <c r="O750" s="447">
        <f>IFERROR(__xludf.DUMMYFUNCTION("""COMPUTED_VALUE"""),0.0)</f>
        <v>0</v>
      </c>
      <c r="P750" s="447">
        <f>IFERROR(__xludf.DUMMYFUNCTION("""COMPUTED_VALUE"""),0.0)</f>
        <v>0</v>
      </c>
      <c r="Q750" s="447">
        <f>IFERROR(__xludf.DUMMYFUNCTION("""COMPUTED_VALUE"""),0.0)</f>
        <v>0</v>
      </c>
      <c r="R750" s="447">
        <f>IFERROR(__xludf.DUMMYFUNCTION("""COMPUTED_VALUE"""),0.0)</f>
        <v>0</v>
      </c>
      <c r="S750" s="447">
        <f>IFERROR(__xludf.DUMMYFUNCTION("""COMPUTED_VALUE"""),0.0)</f>
        <v>0</v>
      </c>
      <c r="T750" s="447">
        <f>IFERROR(__xludf.DUMMYFUNCTION("""COMPUTED_VALUE"""),0.0)</f>
        <v>0</v>
      </c>
      <c r="U750" s="447">
        <f>IFERROR(__xludf.DUMMYFUNCTION("""COMPUTED_VALUE"""),0.0)</f>
        <v>0</v>
      </c>
      <c r="V750" s="447">
        <f>IFERROR(__xludf.DUMMYFUNCTION("""COMPUTED_VALUE"""),2.0)</f>
        <v>2</v>
      </c>
      <c r="W750" s="447">
        <f>IFERROR(__xludf.DUMMYFUNCTION("""COMPUTED_VALUE"""),0.0)</f>
        <v>0</v>
      </c>
      <c r="X750" s="447">
        <f>IFERROR(__xludf.DUMMYFUNCTION("""COMPUTED_VALUE"""),1.0)</f>
        <v>1</v>
      </c>
      <c r="Y750" s="447">
        <f>IFERROR(__xludf.DUMMYFUNCTION("""COMPUTED_VALUE"""),0.0)</f>
        <v>0</v>
      </c>
      <c r="Z750" s="447">
        <f>IFERROR(__xludf.DUMMYFUNCTION("""COMPUTED_VALUE"""),0.0)</f>
        <v>0</v>
      </c>
      <c r="AA750" s="447">
        <f>IFERROR(__xludf.DUMMYFUNCTION("""COMPUTED_VALUE"""),0.0)</f>
        <v>0</v>
      </c>
      <c r="AB750" s="447">
        <f>IFERROR(__xludf.DUMMYFUNCTION("""COMPUTED_VALUE"""),0.0)</f>
        <v>0</v>
      </c>
      <c r="AC750" s="447">
        <f>IFERROR(__xludf.DUMMYFUNCTION("""COMPUTED_VALUE"""),0.0)</f>
        <v>0</v>
      </c>
      <c r="AD750" s="447">
        <f>IFERROR(__xludf.DUMMYFUNCTION("""COMPUTED_VALUE"""),0.0)</f>
        <v>0</v>
      </c>
      <c r="AE750" s="447">
        <f>IFERROR(__xludf.DUMMYFUNCTION("""COMPUTED_VALUE"""),3.0)</f>
        <v>3</v>
      </c>
      <c r="AF750" s="447">
        <f>IFERROR(__xludf.DUMMYFUNCTION("""COMPUTED_VALUE"""),0.0)</f>
        <v>0</v>
      </c>
      <c r="AG750" s="443" t="s">
        <v>83</v>
      </c>
      <c r="AH750" s="443" t="s">
        <v>291</v>
      </c>
      <c r="AI750" s="443"/>
      <c r="AJ750" s="443"/>
      <c r="AK750" s="443"/>
      <c r="AL750" s="443"/>
      <c r="AM750" s="443"/>
      <c r="AN750" s="443"/>
      <c r="AO750" s="443"/>
      <c r="AP750" s="443"/>
      <c r="AQ750" s="443"/>
      <c r="AR750" s="443"/>
      <c r="AS750" s="443"/>
      <c r="AT750" s="443"/>
      <c r="AU750" s="443"/>
      <c r="AV750" s="443"/>
      <c r="AW750" s="443"/>
      <c r="AX750" s="443"/>
      <c r="AY750" s="443"/>
      <c r="AZ750" s="443"/>
      <c r="BA750" s="443"/>
      <c r="BB750" s="443"/>
      <c r="BC750" s="443"/>
      <c r="BD750" s="443"/>
      <c r="BE750" s="443"/>
    </row>
    <row r="751" hidden="1">
      <c r="A751" s="445">
        <f t="shared" si="5"/>
        <v>46041</v>
      </c>
      <c r="B751" s="449">
        <v>480.0</v>
      </c>
      <c r="C751" s="462">
        <v>0.6</v>
      </c>
      <c r="D751" s="462">
        <v>0.90625</v>
      </c>
      <c r="E751" s="436">
        <f t="array" ref="E751">IF(B751=0,"",(J751+K751)/60)</f>
        <v>0.6</v>
      </c>
      <c r="F751" s="437">
        <f t="shared" si="1"/>
        <v>7.35</v>
      </c>
      <c r="G751" s="438">
        <f t="shared" si="9"/>
        <v>65.30612245</v>
      </c>
      <c r="H751" s="438">
        <f t="shared" si="3"/>
        <v>71.11111111</v>
      </c>
      <c r="I751" s="436">
        <f t="shared" si="10"/>
        <v>1.389491967</v>
      </c>
      <c r="J751" s="460">
        <v>30.0</v>
      </c>
      <c r="K751" s="460">
        <v>6.0</v>
      </c>
      <c r="L751" s="443"/>
      <c r="M751" s="447">
        <f>IFERROR(__xludf.DUMMYFUNCTION("""COMPUTED_VALUE"""),57.0)</f>
        <v>57</v>
      </c>
      <c r="N751" s="447">
        <f>IFERROR(__xludf.DUMMYFUNCTION("""COMPUTED_VALUE"""),55.0)</f>
        <v>55</v>
      </c>
      <c r="O751" s="447">
        <f>IFERROR(__xludf.DUMMYFUNCTION("""COMPUTED_VALUE"""),0.0)</f>
        <v>0</v>
      </c>
      <c r="P751" s="447">
        <f>IFERROR(__xludf.DUMMYFUNCTION("""COMPUTED_VALUE"""),0.0)</f>
        <v>0</v>
      </c>
      <c r="Q751" s="447">
        <f>IFERROR(__xludf.DUMMYFUNCTION("""COMPUTED_VALUE"""),0.0)</f>
        <v>0</v>
      </c>
      <c r="R751" s="447">
        <f>IFERROR(__xludf.DUMMYFUNCTION("""COMPUTED_VALUE"""),0.0)</f>
        <v>0</v>
      </c>
      <c r="S751" s="447">
        <f>IFERROR(__xludf.DUMMYFUNCTION("""COMPUTED_VALUE"""),1.0)</f>
        <v>1</v>
      </c>
      <c r="T751" s="447">
        <f>IFERROR(__xludf.DUMMYFUNCTION("""COMPUTED_VALUE"""),1.0)</f>
        <v>1</v>
      </c>
      <c r="U751" s="447">
        <f>IFERROR(__xludf.DUMMYFUNCTION("""COMPUTED_VALUE"""),2.0)</f>
        <v>2</v>
      </c>
      <c r="V751" s="447">
        <f>IFERROR(__xludf.DUMMYFUNCTION("""COMPUTED_VALUE"""),1.0)</f>
        <v>1</v>
      </c>
      <c r="W751" s="447">
        <f>IFERROR(__xludf.DUMMYFUNCTION("""COMPUTED_VALUE"""),0.0)</f>
        <v>0</v>
      </c>
      <c r="X751" s="447">
        <f>IFERROR(__xludf.DUMMYFUNCTION("""COMPUTED_VALUE"""),1.0)</f>
        <v>1</v>
      </c>
      <c r="Y751" s="447">
        <f>IFERROR(__xludf.DUMMYFUNCTION("""COMPUTED_VALUE"""),0.0)</f>
        <v>0</v>
      </c>
      <c r="Z751" s="447">
        <f>IFERROR(__xludf.DUMMYFUNCTION("""COMPUTED_VALUE"""),0.0)</f>
        <v>0</v>
      </c>
      <c r="AA751" s="447">
        <f>IFERROR(__xludf.DUMMYFUNCTION("""COMPUTED_VALUE"""),0.0)</f>
        <v>0</v>
      </c>
      <c r="AB751" s="447">
        <f>IFERROR(__xludf.DUMMYFUNCTION("""COMPUTED_VALUE"""),0.0)</f>
        <v>0</v>
      </c>
      <c r="AC751" s="447">
        <f>IFERROR(__xludf.DUMMYFUNCTION("""COMPUTED_VALUE"""),1.0)</f>
        <v>1</v>
      </c>
      <c r="AD751" s="447">
        <f>IFERROR(__xludf.DUMMYFUNCTION("""COMPUTED_VALUE"""),47.0)</f>
        <v>47</v>
      </c>
      <c r="AE751" s="447">
        <f>IFERROR(__xludf.DUMMYFUNCTION("""COMPUTED_VALUE"""),7.0)</f>
        <v>7</v>
      </c>
      <c r="AF751" s="447">
        <f>IFERROR(__xludf.DUMMYFUNCTION("""COMPUTED_VALUE"""),2.0)</f>
        <v>2</v>
      </c>
      <c r="AG751" s="443" t="s">
        <v>83</v>
      </c>
      <c r="AH751" s="443" t="s">
        <v>291</v>
      </c>
      <c r="AI751" s="443"/>
      <c r="AJ751" s="443"/>
      <c r="AK751" s="443"/>
      <c r="AL751" s="443"/>
      <c r="AM751" s="443"/>
      <c r="AN751" s="443"/>
      <c r="AO751" s="443"/>
      <c r="AP751" s="443"/>
      <c r="AQ751" s="443"/>
      <c r="AR751" s="443"/>
      <c r="AS751" s="443"/>
      <c r="AT751" s="443"/>
      <c r="AU751" s="443"/>
      <c r="AV751" s="443"/>
      <c r="AW751" s="443"/>
      <c r="AX751" s="443"/>
      <c r="AY751" s="443"/>
      <c r="AZ751" s="443"/>
      <c r="BA751" s="443"/>
      <c r="BB751" s="443"/>
      <c r="BC751" s="443"/>
      <c r="BD751" s="443"/>
      <c r="BE751" s="443"/>
    </row>
    <row r="752" hidden="1">
      <c r="A752" s="445">
        <f t="shared" si="5"/>
        <v>46042</v>
      </c>
      <c r="B752" s="449">
        <v>633.0</v>
      </c>
      <c r="C752" s="462">
        <v>0.6</v>
      </c>
      <c r="D752" s="462">
        <v>1.0277777777777777</v>
      </c>
      <c r="E752" s="436">
        <f t="array" ref="E752">IF(B752=0,"",(J752+K752)/60)</f>
        <v>1.416666667</v>
      </c>
      <c r="F752" s="437">
        <f t="shared" si="1"/>
        <v>10.26666667</v>
      </c>
      <c r="G752" s="438">
        <f t="shared" si="9"/>
        <v>61.65584416</v>
      </c>
      <c r="H752" s="438">
        <f t="shared" si="3"/>
        <v>71.52542373</v>
      </c>
      <c r="I752" s="436">
        <f t="shared" si="10"/>
        <v>1.258282534</v>
      </c>
      <c r="J752" s="460">
        <v>60.0</v>
      </c>
      <c r="K752" s="460">
        <v>25.0</v>
      </c>
      <c r="L752" s="443"/>
      <c r="M752" s="447">
        <f>IFERROR(__xludf.DUMMYFUNCTION("""COMPUTED_VALUE"""),57.0)</f>
        <v>57</v>
      </c>
      <c r="N752" s="447">
        <f>IFERROR(__xludf.DUMMYFUNCTION("""COMPUTED_VALUE"""),55.0)</f>
        <v>55</v>
      </c>
      <c r="O752" s="447">
        <f>IFERROR(__xludf.DUMMYFUNCTION("""COMPUTED_VALUE"""),0.0)</f>
        <v>0</v>
      </c>
      <c r="P752" s="447">
        <f>IFERROR(__xludf.DUMMYFUNCTION("""COMPUTED_VALUE"""),0.0)</f>
        <v>0</v>
      </c>
      <c r="Q752" s="447">
        <f>IFERROR(__xludf.DUMMYFUNCTION("""COMPUTED_VALUE"""),0.0)</f>
        <v>0</v>
      </c>
      <c r="R752" s="447">
        <f>IFERROR(__xludf.DUMMYFUNCTION("""COMPUTED_VALUE"""),0.0)</f>
        <v>0</v>
      </c>
      <c r="S752" s="447">
        <f>IFERROR(__xludf.DUMMYFUNCTION("""COMPUTED_VALUE"""),1.0)</f>
        <v>1</v>
      </c>
      <c r="T752" s="447">
        <f>IFERROR(__xludf.DUMMYFUNCTION("""COMPUTED_VALUE"""),0.0)</f>
        <v>0</v>
      </c>
      <c r="U752" s="447">
        <f>IFERROR(__xludf.DUMMYFUNCTION("""COMPUTED_VALUE"""),2.0)</f>
        <v>2</v>
      </c>
      <c r="V752" s="447">
        <f>IFERROR(__xludf.DUMMYFUNCTION("""COMPUTED_VALUE"""),1.0)</f>
        <v>1</v>
      </c>
      <c r="W752" s="447">
        <f>IFERROR(__xludf.DUMMYFUNCTION("""COMPUTED_VALUE"""),0.0)</f>
        <v>0</v>
      </c>
      <c r="X752" s="447">
        <f>IFERROR(__xludf.DUMMYFUNCTION("""COMPUTED_VALUE"""),1.0)</f>
        <v>1</v>
      </c>
      <c r="Y752" s="447">
        <f>IFERROR(__xludf.DUMMYFUNCTION("""COMPUTED_VALUE"""),0.0)</f>
        <v>0</v>
      </c>
      <c r="Z752" s="447">
        <f>IFERROR(__xludf.DUMMYFUNCTION("""COMPUTED_VALUE"""),0.0)</f>
        <v>0</v>
      </c>
      <c r="AA752" s="447">
        <f>IFERROR(__xludf.DUMMYFUNCTION("""COMPUTED_VALUE"""),0.0)</f>
        <v>0</v>
      </c>
      <c r="AB752" s="447">
        <f>IFERROR(__xludf.DUMMYFUNCTION("""COMPUTED_VALUE"""),0.0)</f>
        <v>0</v>
      </c>
      <c r="AC752" s="447">
        <f>IFERROR(__xludf.DUMMYFUNCTION("""COMPUTED_VALUE"""),0.0)</f>
        <v>0</v>
      </c>
      <c r="AD752" s="447">
        <f>IFERROR(__xludf.DUMMYFUNCTION("""COMPUTED_VALUE"""),49.0)</f>
        <v>49</v>
      </c>
      <c r="AE752" s="447">
        <f>IFERROR(__xludf.DUMMYFUNCTION("""COMPUTED_VALUE"""),5.0)</f>
        <v>5</v>
      </c>
      <c r="AF752" s="447">
        <f>IFERROR(__xludf.DUMMYFUNCTION("""COMPUTED_VALUE"""),2.0)</f>
        <v>2</v>
      </c>
      <c r="AG752" s="443" t="s">
        <v>83</v>
      </c>
      <c r="AH752" s="443" t="s">
        <v>291</v>
      </c>
      <c r="AI752" s="443"/>
      <c r="AJ752" s="443"/>
      <c r="AK752" s="443"/>
      <c r="AL752" s="443"/>
      <c r="AM752" s="443"/>
      <c r="AN752" s="443"/>
      <c r="AO752" s="443"/>
      <c r="AP752" s="443"/>
      <c r="AQ752" s="443"/>
      <c r="AR752" s="443"/>
      <c r="AS752" s="443"/>
      <c r="AT752" s="443"/>
      <c r="AU752" s="443"/>
      <c r="AV752" s="443"/>
      <c r="AW752" s="443"/>
      <c r="AX752" s="443"/>
      <c r="AY752" s="443"/>
      <c r="AZ752" s="443"/>
      <c r="BA752" s="443"/>
      <c r="BB752" s="443"/>
      <c r="BC752" s="443"/>
      <c r="BD752" s="443"/>
      <c r="BE752" s="443"/>
    </row>
    <row r="753" hidden="1">
      <c r="A753" s="445">
        <f t="shared" si="5"/>
        <v>46043</v>
      </c>
      <c r="B753" s="449">
        <v>325.0</v>
      </c>
      <c r="C753" s="462">
        <v>0.6</v>
      </c>
      <c r="D753" s="462">
        <v>0.8506944444444444</v>
      </c>
      <c r="E753" s="436">
        <f t="array" ref="E753">IF(B753=0,"",(J753+K753)/60)</f>
        <v>1.883333333</v>
      </c>
      <c r="F753" s="437">
        <f t="shared" si="1"/>
        <v>6.016666667</v>
      </c>
      <c r="G753" s="438">
        <f t="shared" si="9"/>
        <v>54.0166205</v>
      </c>
      <c r="H753" s="438">
        <f t="shared" si="3"/>
        <v>78.62903226</v>
      </c>
      <c r="I753" s="436">
        <f t="shared" si="10"/>
        <v>1.12534626</v>
      </c>
      <c r="J753" s="460">
        <v>30.0</v>
      </c>
      <c r="K753" s="464">
        <v>83</v>
      </c>
      <c r="L753" s="443"/>
      <c r="M753" s="447">
        <f>IFERROR(__xludf.DUMMYFUNCTION("""COMPUTED_VALUE"""),57.0)</f>
        <v>57</v>
      </c>
      <c r="N753" s="447">
        <f>IFERROR(__xludf.DUMMYFUNCTION("""COMPUTED_VALUE"""),55.0)</f>
        <v>55</v>
      </c>
      <c r="O753" s="447">
        <f>IFERROR(__xludf.DUMMYFUNCTION("""COMPUTED_VALUE"""),0.0)</f>
        <v>0</v>
      </c>
      <c r="P753" s="447">
        <f>IFERROR(__xludf.DUMMYFUNCTION("""COMPUTED_VALUE"""),0.0)</f>
        <v>0</v>
      </c>
      <c r="Q753" s="447">
        <f>IFERROR(__xludf.DUMMYFUNCTION("""COMPUTED_VALUE"""),0.0)</f>
        <v>0</v>
      </c>
      <c r="R753" s="447">
        <f>IFERROR(__xludf.DUMMYFUNCTION("""COMPUTED_VALUE"""),0.0)</f>
        <v>0</v>
      </c>
      <c r="S753" s="447">
        <f>IFERROR(__xludf.DUMMYFUNCTION("""COMPUTED_VALUE"""),2.0)</f>
        <v>2</v>
      </c>
      <c r="T753" s="447">
        <f>IFERROR(__xludf.DUMMYFUNCTION("""COMPUTED_VALUE"""),0.0)</f>
        <v>0</v>
      </c>
      <c r="U753" s="447">
        <f>IFERROR(__xludf.DUMMYFUNCTION("""COMPUTED_VALUE"""),2.0)</f>
        <v>2</v>
      </c>
      <c r="V753" s="447">
        <f>IFERROR(__xludf.DUMMYFUNCTION("""COMPUTED_VALUE"""),0.0)</f>
        <v>0</v>
      </c>
      <c r="W753" s="447">
        <f>IFERROR(__xludf.DUMMYFUNCTION("""COMPUTED_VALUE"""),0.0)</f>
        <v>0</v>
      </c>
      <c r="X753" s="447">
        <f>IFERROR(__xludf.DUMMYFUNCTION("""COMPUTED_VALUE"""),1.0)</f>
        <v>1</v>
      </c>
      <c r="Y753" s="447">
        <f>IFERROR(__xludf.DUMMYFUNCTION("""COMPUTED_VALUE"""),0.0)</f>
        <v>0</v>
      </c>
      <c r="Z753" s="447">
        <f>IFERROR(__xludf.DUMMYFUNCTION("""COMPUTED_VALUE"""),0.0)</f>
        <v>0</v>
      </c>
      <c r="AA753" s="447">
        <f>IFERROR(__xludf.DUMMYFUNCTION("""COMPUTED_VALUE"""),1.0)</f>
        <v>1</v>
      </c>
      <c r="AB753" s="447">
        <f>IFERROR(__xludf.DUMMYFUNCTION("""COMPUTED_VALUE"""),0.0)</f>
        <v>0</v>
      </c>
      <c r="AC753" s="447">
        <f>IFERROR(__xludf.DUMMYFUNCTION("""COMPUTED_VALUE"""),0.0)</f>
        <v>0</v>
      </c>
      <c r="AD753" s="447">
        <f>IFERROR(__xludf.DUMMYFUNCTION("""COMPUTED_VALUE"""),48.0)</f>
        <v>48</v>
      </c>
      <c r="AE753" s="447">
        <f>IFERROR(__xludf.DUMMYFUNCTION("""COMPUTED_VALUE"""),6.0)</f>
        <v>6</v>
      </c>
      <c r="AF753" s="447">
        <f>IFERROR(__xludf.DUMMYFUNCTION("""COMPUTED_VALUE"""),2.0)</f>
        <v>2</v>
      </c>
      <c r="AG753" s="443" t="s">
        <v>83</v>
      </c>
      <c r="AH753" s="443" t="s">
        <v>291</v>
      </c>
      <c r="AI753" s="443"/>
      <c r="AJ753" s="443"/>
      <c r="AK753" s="443"/>
      <c r="AL753" s="443"/>
      <c r="AM753" s="443"/>
      <c r="AN753" s="443"/>
      <c r="AO753" s="443"/>
      <c r="AP753" s="443"/>
      <c r="AQ753" s="443"/>
      <c r="AR753" s="443"/>
      <c r="AS753" s="443"/>
      <c r="AT753" s="443"/>
      <c r="AU753" s="443"/>
      <c r="AV753" s="443"/>
      <c r="AW753" s="443"/>
      <c r="AX753" s="443"/>
      <c r="AY753" s="443"/>
      <c r="AZ753" s="443"/>
      <c r="BA753" s="443"/>
      <c r="BB753" s="443"/>
      <c r="BC753" s="443"/>
      <c r="BD753" s="443"/>
      <c r="BE753" s="443"/>
    </row>
    <row r="754" hidden="1">
      <c r="A754" s="445">
        <f t="shared" si="5"/>
        <v>46044</v>
      </c>
      <c r="B754" s="449">
        <v>443.0</v>
      </c>
      <c r="C754" s="462">
        <v>0.6</v>
      </c>
      <c r="D754" s="462">
        <v>0.8993055555555556</v>
      </c>
      <c r="E754" s="436">
        <f t="array" ref="E754">IF(B754=0,"",(J754+K754)/60)</f>
        <v>0.8166666667</v>
      </c>
      <c r="F754" s="437">
        <f t="shared" si="1"/>
        <v>7.183333333</v>
      </c>
      <c r="G754" s="438">
        <f t="shared" si="9"/>
        <v>61.67053364</v>
      </c>
      <c r="H754" s="438">
        <f t="shared" si="3"/>
        <v>69.58115183</v>
      </c>
      <c r="I754" s="436">
        <f t="shared" si="10"/>
        <v>1.340663775</v>
      </c>
      <c r="J754" s="460">
        <v>30.0</v>
      </c>
      <c r="K754" s="464">
        <f>10+9</f>
        <v>19</v>
      </c>
      <c r="L754" s="443"/>
      <c r="M754" s="447">
        <f>IFERROR(__xludf.DUMMYFUNCTION("""COMPUTED_VALUE"""),57.0)</f>
        <v>57</v>
      </c>
      <c r="N754" s="447">
        <f>IFERROR(__xludf.DUMMYFUNCTION("""COMPUTED_VALUE"""),57.0)</f>
        <v>57</v>
      </c>
      <c r="O754" s="447">
        <f>IFERROR(__xludf.DUMMYFUNCTION("""COMPUTED_VALUE"""),0.0)</f>
        <v>0</v>
      </c>
      <c r="P754" s="447">
        <f>IFERROR(__xludf.DUMMYFUNCTION("""COMPUTED_VALUE"""),0.0)</f>
        <v>0</v>
      </c>
      <c r="Q754" s="447">
        <f>IFERROR(__xludf.DUMMYFUNCTION("""COMPUTED_VALUE"""),0.0)</f>
        <v>0</v>
      </c>
      <c r="R754" s="447">
        <f>IFERROR(__xludf.DUMMYFUNCTION("""COMPUTED_VALUE"""),0.0)</f>
        <v>0</v>
      </c>
      <c r="S754" s="447">
        <f>IFERROR(__xludf.DUMMYFUNCTION("""COMPUTED_VALUE"""),2.0)</f>
        <v>2</v>
      </c>
      <c r="T754" s="447">
        <f>IFERROR(__xludf.DUMMYFUNCTION("""COMPUTED_VALUE"""),0.0)</f>
        <v>0</v>
      </c>
      <c r="U754" s="447">
        <f>IFERROR(__xludf.DUMMYFUNCTION("""COMPUTED_VALUE"""),0.0)</f>
        <v>0</v>
      </c>
      <c r="V754" s="447">
        <f>IFERROR(__xludf.DUMMYFUNCTION("""COMPUTED_VALUE"""),3.0)</f>
        <v>3</v>
      </c>
      <c r="W754" s="447">
        <f>IFERROR(__xludf.DUMMYFUNCTION("""COMPUTED_VALUE"""),0.0)</f>
        <v>0</v>
      </c>
      <c r="X754" s="447">
        <f>IFERROR(__xludf.DUMMYFUNCTION("""COMPUTED_VALUE"""),1.0)</f>
        <v>1</v>
      </c>
      <c r="Y754" s="447">
        <f>IFERROR(__xludf.DUMMYFUNCTION("""COMPUTED_VALUE"""),0.0)</f>
        <v>0</v>
      </c>
      <c r="Z754" s="447">
        <f>IFERROR(__xludf.DUMMYFUNCTION("""COMPUTED_VALUE"""),0.0)</f>
        <v>0</v>
      </c>
      <c r="AA754" s="447">
        <f>IFERROR(__xludf.DUMMYFUNCTION("""COMPUTED_VALUE"""),0.0)</f>
        <v>0</v>
      </c>
      <c r="AB754" s="447">
        <f>IFERROR(__xludf.DUMMYFUNCTION("""COMPUTED_VALUE"""),2.0)</f>
        <v>2</v>
      </c>
      <c r="AC754" s="447">
        <f>IFERROR(__xludf.DUMMYFUNCTION("""COMPUTED_VALUE"""),0.0)</f>
        <v>0</v>
      </c>
      <c r="AD754" s="447">
        <f>IFERROR(__xludf.DUMMYFUNCTION("""COMPUTED_VALUE"""),46.0)</f>
        <v>46</v>
      </c>
      <c r="AE754" s="447">
        <f>IFERROR(__xludf.DUMMYFUNCTION("""COMPUTED_VALUE"""),6.0)</f>
        <v>6</v>
      </c>
      <c r="AF754" s="447">
        <f>IFERROR(__xludf.DUMMYFUNCTION("""COMPUTED_VALUE"""),0.0)</f>
        <v>0</v>
      </c>
      <c r="AG754" s="443" t="s">
        <v>83</v>
      </c>
      <c r="AH754" s="443" t="s">
        <v>291</v>
      </c>
      <c r="AI754" s="443"/>
      <c r="AJ754" s="443"/>
      <c r="AK754" s="443"/>
      <c r="AL754" s="443"/>
      <c r="AM754" s="443"/>
      <c r="AN754" s="443"/>
      <c r="AO754" s="443"/>
      <c r="AP754" s="443"/>
      <c r="AQ754" s="443"/>
      <c r="AR754" s="443"/>
      <c r="AS754" s="443"/>
      <c r="AT754" s="443"/>
      <c r="AU754" s="443"/>
      <c r="AV754" s="443"/>
      <c r="AW754" s="443"/>
      <c r="AX754" s="443"/>
      <c r="AY754" s="443"/>
      <c r="AZ754" s="443"/>
      <c r="BA754" s="443"/>
      <c r="BB754" s="443"/>
      <c r="BC754" s="443"/>
      <c r="BD754" s="443"/>
      <c r="BE754" s="443"/>
    </row>
    <row r="755" hidden="1">
      <c r="A755" s="445">
        <f t="shared" si="5"/>
        <v>46045</v>
      </c>
      <c r="B755" s="449">
        <v>308.0</v>
      </c>
      <c r="C755" s="462">
        <v>0.6</v>
      </c>
      <c r="D755" s="462">
        <v>0.8006944444444445</v>
      </c>
      <c r="E755" s="436">
        <f t="array" ref="E755">IF(B755=0,"",(J755+K755)/60)</f>
        <v>0</v>
      </c>
      <c r="F755" s="437">
        <f t="shared" si="1"/>
        <v>4.816666667</v>
      </c>
      <c r="G755" s="438">
        <f t="shared" si="9"/>
        <v>63.94463668</v>
      </c>
      <c r="H755" s="438">
        <f t="shared" si="3"/>
        <v>63.94463668</v>
      </c>
      <c r="I755" s="436">
        <f t="shared" si="10"/>
        <v>1.360524185</v>
      </c>
      <c r="J755" s="460">
        <v>0.0</v>
      </c>
      <c r="K755" s="464"/>
      <c r="L755" s="443"/>
      <c r="M755" s="447">
        <f>IFERROR(__xludf.DUMMYFUNCTION("""COMPUTED_VALUE"""),57.0)</f>
        <v>57</v>
      </c>
      <c r="N755" s="447">
        <f>IFERROR(__xludf.DUMMYFUNCTION("""COMPUTED_VALUE"""),57.0)</f>
        <v>57</v>
      </c>
      <c r="O755" s="447">
        <f>IFERROR(__xludf.DUMMYFUNCTION("""COMPUTED_VALUE"""),0.0)</f>
        <v>0</v>
      </c>
      <c r="P755" s="447">
        <f>IFERROR(__xludf.DUMMYFUNCTION("""COMPUTED_VALUE"""),0.0)</f>
        <v>0</v>
      </c>
      <c r="Q755" s="447">
        <f>IFERROR(__xludf.DUMMYFUNCTION("""COMPUTED_VALUE"""),0.0)</f>
        <v>0</v>
      </c>
      <c r="R755" s="447">
        <f>IFERROR(__xludf.DUMMYFUNCTION("""COMPUTED_VALUE"""),0.0)</f>
        <v>0</v>
      </c>
      <c r="S755" s="447">
        <f>IFERROR(__xludf.DUMMYFUNCTION("""COMPUTED_VALUE"""),2.0)</f>
        <v>2</v>
      </c>
      <c r="T755" s="447">
        <f>IFERROR(__xludf.DUMMYFUNCTION("""COMPUTED_VALUE"""),0.0)</f>
        <v>0</v>
      </c>
      <c r="U755" s="447">
        <f>IFERROR(__xludf.DUMMYFUNCTION("""COMPUTED_VALUE"""),0.0)</f>
        <v>0</v>
      </c>
      <c r="V755" s="447">
        <f>IFERROR(__xludf.DUMMYFUNCTION("""COMPUTED_VALUE"""),3.0)</f>
        <v>3</v>
      </c>
      <c r="W755" s="447">
        <f>IFERROR(__xludf.DUMMYFUNCTION("""COMPUTED_VALUE"""),0.0)</f>
        <v>0</v>
      </c>
      <c r="X755" s="447">
        <f>IFERROR(__xludf.DUMMYFUNCTION("""COMPUTED_VALUE"""),1.0)</f>
        <v>1</v>
      </c>
      <c r="Y755" s="447">
        <f>IFERROR(__xludf.DUMMYFUNCTION("""COMPUTED_VALUE"""),0.0)</f>
        <v>0</v>
      </c>
      <c r="Z755" s="447">
        <f>IFERROR(__xludf.DUMMYFUNCTION("""COMPUTED_VALUE"""),0.0)</f>
        <v>0</v>
      </c>
      <c r="AA755" s="447">
        <f>IFERROR(__xludf.DUMMYFUNCTION("""COMPUTED_VALUE"""),0.0)</f>
        <v>0</v>
      </c>
      <c r="AB755" s="447">
        <f>IFERROR(__xludf.DUMMYFUNCTION("""COMPUTED_VALUE"""),0.0)</f>
        <v>0</v>
      </c>
      <c r="AC755" s="447">
        <f>IFERROR(__xludf.DUMMYFUNCTION("""COMPUTED_VALUE"""),1.0)</f>
        <v>1</v>
      </c>
      <c r="AD755" s="447">
        <f>IFERROR(__xludf.DUMMYFUNCTION("""COMPUTED_VALUE"""),47.0)</f>
        <v>47</v>
      </c>
      <c r="AE755" s="447">
        <f>IFERROR(__xludf.DUMMYFUNCTION("""COMPUTED_VALUE"""),7.0)</f>
        <v>7</v>
      </c>
      <c r="AF755" s="447">
        <f>IFERROR(__xludf.DUMMYFUNCTION("""COMPUTED_VALUE"""),0.0)</f>
        <v>0</v>
      </c>
      <c r="AG755" s="443" t="s">
        <v>83</v>
      </c>
      <c r="AH755" s="443" t="s">
        <v>291</v>
      </c>
      <c r="AI755" s="443"/>
      <c r="AJ755" s="443"/>
      <c r="AK755" s="443"/>
      <c r="AL755" s="443"/>
      <c r="AM755" s="443"/>
      <c r="AN755" s="443"/>
      <c r="AO755" s="443"/>
      <c r="AP755" s="443"/>
      <c r="AQ755" s="443"/>
      <c r="AR755" s="443"/>
      <c r="AS755" s="443"/>
      <c r="AT755" s="443"/>
      <c r="AU755" s="443"/>
      <c r="AV755" s="443"/>
      <c r="AW755" s="443"/>
      <c r="AX755" s="443"/>
      <c r="AY755" s="443"/>
      <c r="AZ755" s="443"/>
      <c r="BA755" s="443"/>
      <c r="BB755" s="443"/>
      <c r="BC755" s="443"/>
      <c r="BD755" s="443"/>
      <c r="BE755" s="443"/>
    </row>
    <row r="756" hidden="1">
      <c r="A756" s="445">
        <f t="shared" si="5"/>
        <v>46046</v>
      </c>
      <c r="B756" s="449">
        <v>341.0</v>
      </c>
      <c r="C756" s="462">
        <v>0.6</v>
      </c>
      <c r="D756" s="462">
        <v>0.8215277777777777</v>
      </c>
      <c r="E756" s="436">
        <f t="array" ref="E756">IF(B756=0,"",(J756+K756)/60)</f>
        <v>1.133333333</v>
      </c>
      <c r="F756" s="437">
        <f t="shared" si="1"/>
        <v>5.316666667</v>
      </c>
      <c r="G756" s="438">
        <f t="shared" si="9"/>
        <v>64.13793103</v>
      </c>
      <c r="H756" s="438">
        <f t="shared" si="3"/>
        <v>81.51394422</v>
      </c>
      <c r="I756" s="436">
        <f t="shared" si="10"/>
        <v>1.336206897</v>
      </c>
      <c r="J756" s="460">
        <v>0.0</v>
      </c>
      <c r="K756" s="460">
        <v>68.0</v>
      </c>
      <c r="L756" s="443"/>
      <c r="M756" s="447">
        <f>IFERROR(__xludf.DUMMYFUNCTION("""COMPUTED_VALUE"""),57.0)</f>
        <v>57</v>
      </c>
      <c r="N756" s="447">
        <f>IFERROR(__xludf.DUMMYFUNCTION("""COMPUTED_VALUE"""),57.0)</f>
        <v>57</v>
      </c>
      <c r="O756" s="447">
        <f>IFERROR(__xludf.DUMMYFUNCTION("""COMPUTED_VALUE"""),0.0)</f>
        <v>0</v>
      </c>
      <c r="P756" s="447">
        <f>IFERROR(__xludf.DUMMYFUNCTION("""COMPUTED_VALUE"""),1.0)</f>
        <v>1</v>
      </c>
      <c r="Q756" s="447">
        <f>IFERROR(__xludf.DUMMYFUNCTION("""COMPUTED_VALUE"""),0.0)</f>
        <v>0</v>
      </c>
      <c r="R756" s="447">
        <f>IFERROR(__xludf.DUMMYFUNCTION("""COMPUTED_VALUE"""),0.0)</f>
        <v>0</v>
      </c>
      <c r="S756" s="447">
        <f>IFERROR(__xludf.DUMMYFUNCTION("""COMPUTED_VALUE"""),0.0)</f>
        <v>0</v>
      </c>
      <c r="T756" s="447">
        <f>IFERROR(__xludf.DUMMYFUNCTION("""COMPUTED_VALUE"""),0.0)</f>
        <v>0</v>
      </c>
      <c r="U756" s="447">
        <f>IFERROR(__xludf.DUMMYFUNCTION("""COMPUTED_VALUE"""),0.0)</f>
        <v>0</v>
      </c>
      <c r="V756" s="447">
        <f>IFERROR(__xludf.DUMMYFUNCTION("""COMPUTED_VALUE"""),3.0)</f>
        <v>3</v>
      </c>
      <c r="W756" s="447">
        <f>IFERROR(__xludf.DUMMYFUNCTION("""COMPUTED_VALUE"""),0.0)</f>
        <v>0</v>
      </c>
      <c r="X756" s="447">
        <f>IFERROR(__xludf.DUMMYFUNCTION("""COMPUTED_VALUE"""),1.0)</f>
        <v>1</v>
      </c>
      <c r="Y756" s="447">
        <f>IFERROR(__xludf.DUMMYFUNCTION("""COMPUTED_VALUE"""),0.0)</f>
        <v>0</v>
      </c>
      <c r="Z756" s="447">
        <f>IFERROR(__xludf.DUMMYFUNCTION("""COMPUTED_VALUE"""),0.0)</f>
        <v>0</v>
      </c>
      <c r="AA756" s="447">
        <f>IFERROR(__xludf.DUMMYFUNCTION("""COMPUTED_VALUE"""),0.0)</f>
        <v>0</v>
      </c>
      <c r="AB756" s="447">
        <f>IFERROR(__xludf.DUMMYFUNCTION("""COMPUTED_VALUE"""),0.0)</f>
        <v>0</v>
      </c>
      <c r="AC756" s="447">
        <f>IFERROR(__xludf.DUMMYFUNCTION("""COMPUTED_VALUE"""),1.0)</f>
        <v>1</v>
      </c>
      <c r="AD756" s="447">
        <f>IFERROR(__xludf.DUMMYFUNCTION("""COMPUTED_VALUE"""),48.0)</f>
        <v>48</v>
      </c>
      <c r="AE756" s="447">
        <f>IFERROR(__xludf.DUMMYFUNCTION("""COMPUTED_VALUE"""),6.0)</f>
        <v>6</v>
      </c>
      <c r="AF756" s="447">
        <f>IFERROR(__xludf.DUMMYFUNCTION("""COMPUTED_VALUE"""),0.0)</f>
        <v>0</v>
      </c>
      <c r="AG756" s="443" t="s">
        <v>83</v>
      </c>
      <c r="AH756" s="443" t="s">
        <v>291</v>
      </c>
      <c r="AI756" s="443"/>
      <c r="AJ756" s="443"/>
      <c r="AK756" s="443"/>
      <c r="AL756" s="443"/>
      <c r="AM756" s="443"/>
      <c r="AN756" s="443"/>
      <c r="AO756" s="443"/>
      <c r="AP756" s="443"/>
      <c r="AQ756" s="443"/>
      <c r="AR756" s="443"/>
      <c r="AS756" s="443"/>
      <c r="AT756" s="443"/>
      <c r="AU756" s="443"/>
      <c r="AV756" s="443"/>
      <c r="AW756" s="443"/>
      <c r="AX756" s="443"/>
      <c r="AY756" s="443"/>
      <c r="AZ756" s="443"/>
      <c r="BA756" s="443"/>
      <c r="BB756" s="443"/>
      <c r="BC756" s="443"/>
      <c r="BD756" s="443"/>
      <c r="BE756" s="443"/>
    </row>
    <row r="757" hidden="1">
      <c r="A757" s="445">
        <f t="shared" si="5"/>
        <v>46047</v>
      </c>
      <c r="B757" s="449">
        <v>0.0</v>
      </c>
      <c r="C757" s="443"/>
      <c r="D757" s="462"/>
      <c r="E757" s="436" t="str">
        <f t="array" ref="E757">IF(B757=0,"",(J757+K757)/60)</f>
        <v/>
      </c>
      <c r="F757" s="437" t="str">
        <f t="shared" si="1"/>
        <v/>
      </c>
      <c r="G757" s="438" t="str">
        <f t="shared" si="9"/>
        <v>#DIV/0!</v>
      </c>
      <c r="H757" s="438" t="str">
        <f t="shared" si="3"/>
        <v/>
      </c>
      <c r="I757" s="436" t="str">
        <f t="shared" si="10"/>
        <v/>
      </c>
      <c r="J757" s="464"/>
      <c r="K757" s="464"/>
      <c r="L757" s="443"/>
      <c r="M757" s="447">
        <f>IFERROR(__xludf.DUMMYFUNCTION("""COMPUTED_VALUE"""),57.0)</f>
        <v>57</v>
      </c>
      <c r="N757" s="447">
        <f>IFERROR(__xludf.DUMMYFUNCTION("""COMPUTED_VALUE"""),57.0)</f>
        <v>57</v>
      </c>
      <c r="O757" s="447">
        <f>IFERROR(__xludf.DUMMYFUNCTION("""COMPUTED_VALUE"""),0.0)</f>
        <v>0</v>
      </c>
      <c r="P757" s="447">
        <f>IFERROR(__xludf.DUMMYFUNCTION("""COMPUTED_VALUE"""),0.0)</f>
        <v>0</v>
      </c>
      <c r="Q757" s="447">
        <f>IFERROR(__xludf.DUMMYFUNCTION("""COMPUTED_VALUE"""),0.0)</f>
        <v>0</v>
      </c>
      <c r="R757" s="447">
        <f>IFERROR(__xludf.DUMMYFUNCTION("""COMPUTED_VALUE"""),0.0)</f>
        <v>0</v>
      </c>
      <c r="S757" s="447">
        <f>IFERROR(__xludf.DUMMYFUNCTION("""COMPUTED_VALUE"""),0.0)</f>
        <v>0</v>
      </c>
      <c r="T757" s="447">
        <f>IFERROR(__xludf.DUMMYFUNCTION("""COMPUTED_VALUE"""),0.0)</f>
        <v>0</v>
      </c>
      <c r="U757" s="447">
        <f>IFERROR(__xludf.DUMMYFUNCTION("""COMPUTED_VALUE"""),0.0)</f>
        <v>0</v>
      </c>
      <c r="V757" s="447">
        <f>IFERROR(__xludf.DUMMYFUNCTION("""COMPUTED_VALUE"""),0.0)</f>
        <v>0</v>
      </c>
      <c r="W757" s="447">
        <f>IFERROR(__xludf.DUMMYFUNCTION("""COMPUTED_VALUE"""),0.0)</f>
        <v>0</v>
      </c>
      <c r="X757" s="447">
        <f>IFERROR(__xludf.DUMMYFUNCTION("""COMPUTED_VALUE"""),0.0)</f>
        <v>0</v>
      </c>
      <c r="Y757" s="447">
        <f>IFERROR(__xludf.DUMMYFUNCTION("""COMPUTED_VALUE"""),0.0)</f>
        <v>0</v>
      </c>
      <c r="Z757" s="447">
        <f>IFERROR(__xludf.DUMMYFUNCTION("""COMPUTED_VALUE"""),0.0)</f>
        <v>0</v>
      </c>
      <c r="AA757" s="447">
        <f>IFERROR(__xludf.DUMMYFUNCTION("""COMPUTED_VALUE"""),0.0)</f>
        <v>0</v>
      </c>
      <c r="AB757" s="447">
        <f>IFERROR(__xludf.DUMMYFUNCTION("""COMPUTED_VALUE"""),0.0)</f>
        <v>0</v>
      </c>
      <c r="AC757" s="447">
        <f>IFERROR(__xludf.DUMMYFUNCTION("""COMPUTED_VALUE"""),0.0)</f>
        <v>0</v>
      </c>
      <c r="AD757" s="447">
        <f>IFERROR(__xludf.DUMMYFUNCTION("""COMPUTED_VALUE"""),0.0)</f>
        <v>0</v>
      </c>
      <c r="AE757" s="447">
        <f>IFERROR(__xludf.DUMMYFUNCTION("""COMPUTED_VALUE"""),0.0)</f>
        <v>0</v>
      </c>
      <c r="AF757" s="447">
        <f>IFERROR(__xludf.DUMMYFUNCTION("""COMPUTED_VALUE"""),0.0)</f>
        <v>0</v>
      </c>
      <c r="AG757" s="443" t="s">
        <v>83</v>
      </c>
      <c r="AH757" s="443" t="s">
        <v>291</v>
      </c>
      <c r="AI757" s="443"/>
      <c r="AJ757" s="443"/>
      <c r="AK757" s="443"/>
      <c r="AL757" s="443"/>
      <c r="AM757" s="443"/>
      <c r="AN757" s="443"/>
      <c r="AO757" s="443"/>
      <c r="AP757" s="443"/>
      <c r="AQ757" s="443"/>
      <c r="AR757" s="443"/>
      <c r="AS757" s="443"/>
      <c r="AT757" s="443"/>
      <c r="AU757" s="443"/>
      <c r="AV757" s="443"/>
      <c r="AW757" s="443"/>
      <c r="AX757" s="443"/>
      <c r="AY757" s="443"/>
      <c r="AZ757" s="443"/>
      <c r="BA757" s="443"/>
      <c r="BB757" s="443"/>
      <c r="BC757" s="443"/>
      <c r="BD757" s="443"/>
      <c r="BE757" s="443"/>
    </row>
    <row r="758" hidden="1">
      <c r="A758" s="445">
        <f t="shared" si="5"/>
        <v>46048</v>
      </c>
      <c r="B758" s="449">
        <v>555.0</v>
      </c>
      <c r="C758" s="462">
        <v>0.6</v>
      </c>
      <c r="D758" s="462">
        <v>0.9583333333333334</v>
      </c>
      <c r="E758" s="436">
        <f t="array" ref="E758">IF(B758=0,"",(J758+K758)/60)</f>
        <v>1</v>
      </c>
      <c r="F758" s="437">
        <f t="shared" si="1"/>
        <v>8.6</v>
      </c>
      <c r="G758" s="438">
        <f t="shared" si="9"/>
        <v>64.53488372</v>
      </c>
      <c r="H758" s="438">
        <f t="shared" si="3"/>
        <v>73.02631579</v>
      </c>
      <c r="I758" s="436">
        <f t="shared" si="10"/>
        <v>1.317038443</v>
      </c>
      <c r="J758" s="460">
        <v>30.0</v>
      </c>
      <c r="K758" s="460">
        <v>30.0</v>
      </c>
      <c r="L758" s="443"/>
      <c r="M758" s="447">
        <f>IFERROR(__xludf.DUMMYFUNCTION("""COMPUTED_VALUE"""),57.0)</f>
        <v>57</v>
      </c>
      <c r="N758" s="447">
        <f>IFERROR(__xludf.DUMMYFUNCTION("""COMPUTED_VALUE"""),57.0)</f>
        <v>57</v>
      </c>
      <c r="O758" s="447">
        <f>IFERROR(__xludf.DUMMYFUNCTION("""COMPUTED_VALUE"""),0.0)</f>
        <v>0</v>
      </c>
      <c r="P758" s="447">
        <f>IFERROR(__xludf.DUMMYFUNCTION("""COMPUTED_VALUE"""),0.0)</f>
        <v>0</v>
      </c>
      <c r="Q758" s="447">
        <f>IFERROR(__xludf.DUMMYFUNCTION("""COMPUTED_VALUE"""),0.0)</f>
        <v>0</v>
      </c>
      <c r="R758" s="447">
        <f>IFERROR(__xludf.DUMMYFUNCTION("""COMPUTED_VALUE"""),0.0)</f>
        <v>0</v>
      </c>
      <c r="S758" s="447">
        <f>IFERROR(__xludf.DUMMYFUNCTION("""COMPUTED_VALUE"""),1.0)</f>
        <v>1</v>
      </c>
      <c r="T758" s="447">
        <f>IFERROR(__xludf.DUMMYFUNCTION("""COMPUTED_VALUE"""),0.0)</f>
        <v>0</v>
      </c>
      <c r="U758" s="447">
        <f>IFERROR(__xludf.DUMMYFUNCTION("""COMPUTED_VALUE"""),0.0)</f>
        <v>0</v>
      </c>
      <c r="V758" s="447">
        <f>IFERROR(__xludf.DUMMYFUNCTION("""COMPUTED_VALUE"""),3.0)</f>
        <v>3</v>
      </c>
      <c r="W758" s="447">
        <f>IFERROR(__xludf.DUMMYFUNCTION("""COMPUTED_VALUE"""),0.0)</f>
        <v>0</v>
      </c>
      <c r="X758" s="447">
        <f>IFERROR(__xludf.DUMMYFUNCTION("""COMPUTED_VALUE"""),1.0)</f>
        <v>1</v>
      </c>
      <c r="Y758" s="447">
        <f>IFERROR(__xludf.DUMMYFUNCTION("""COMPUTED_VALUE"""),0.0)</f>
        <v>0</v>
      </c>
      <c r="Z758" s="447">
        <f>IFERROR(__xludf.DUMMYFUNCTION("""COMPUTED_VALUE"""),0.0)</f>
        <v>0</v>
      </c>
      <c r="AA758" s="447">
        <f>IFERROR(__xludf.DUMMYFUNCTION("""COMPUTED_VALUE"""),0.0)</f>
        <v>0</v>
      </c>
      <c r="AB758" s="447">
        <f>IFERROR(__xludf.DUMMYFUNCTION("""COMPUTED_VALUE"""),0.0)</f>
        <v>0</v>
      </c>
      <c r="AC758" s="447">
        <f>IFERROR(__xludf.DUMMYFUNCTION("""COMPUTED_VALUE"""),0.0)</f>
        <v>0</v>
      </c>
      <c r="AD758" s="447">
        <f>IFERROR(__xludf.DUMMYFUNCTION("""COMPUTED_VALUE"""),49.0)</f>
        <v>49</v>
      </c>
      <c r="AE758" s="447">
        <f>IFERROR(__xludf.DUMMYFUNCTION("""COMPUTED_VALUE"""),5.0)</f>
        <v>5</v>
      </c>
      <c r="AF758" s="447">
        <f>IFERROR(__xludf.DUMMYFUNCTION("""COMPUTED_VALUE"""),0.0)</f>
        <v>0</v>
      </c>
      <c r="AG758" s="443" t="s">
        <v>83</v>
      </c>
      <c r="AH758" s="443" t="s">
        <v>291</v>
      </c>
      <c r="AI758" s="443"/>
      <c r="AJ758" s="443"/>
      <c r="AK758" s="443"/>
      <c r="AL758" s="443"/>
      <c r="AM758" s="443"/>
      <c r="AN758" s="443"/>
      <c r="AO758" s="443"/>
      <c r="AP758" s="443"/>
      <c r="AQ758" s="443"/>
      <c r="AR758" s="443"/>
      <c r="AS758" s="443"/>
      <c r="AT758" s="443"/>
      <c r="AU758" s="443"/>
      <c r="AV758" s="443"/>
      <c r="AW758" s="443"/>
      <c r="AX758" s="443"/>
      <c r="AY758" s="443"/>
      <c r="AZ758" s="443"/>
      <c r="BA758" s="443"/>
      <c r="BB758" s="443"/>
      <c r="BC758" s="443"/>
      <c r="BD758" s="443"/>
      <c r="BE758" s="443"/>
    </row>
    <row r="759" hidden="1">
      <c r="A759" s="445">
        <f t="shared" si="5"/>
        <v>46049</v>
      </c>
      <c r="B759" s="449">
        <v>596.0</v>
      </c>
      <c r="C759" s="462">
        <v>0.6</v>
      </c>
      <c r="D759" s="462">
        <v>0.9756944444444444</v>
      </c>
      <c r="E759" s="436">
        <f t="array" ref="E759">IF(B759=0,"",(J759+K759)/60)</f>
        <v>1.283333333</v>
      </c>
      <c r="F759" s="437">
        <f t="shared" si="1"/>
        <v>9.016666667</v>
      </c>
      <c r="G759" s="438">
        <f t="shared" si="9"/>
        <v>66.09981516</v>
      </c>
      <c r="H759" s="438">
        <f t="shared" si="3"/>
        <v>77.06896552</v>
      </c>
      <c r="I759" s="436">
        <f t="shared" si="10"/>
        <v>1.377079482</v>
      </c>
      <c r="J759" s="460">
        <v>60.0</v>
      </c>
      <c r="K759" s="460">
        <v>17.0</v>
      </c>
      <c r="L759" s="443"/>
      <c r="M759" s="447">
        <f>IFERROR(__xludf.DUMMYFUNCTION("""COMPUTED_VALUE"""),57.0)</f>
        <v>57</v>
      </c>
      <c r="N759" s="447">
        <f>IFERROR(__xludf.DUMMYFUNCTION("""COMPUTED_VALUE"""),57.0)</f>
        <v>57</v>
      </c>
      <c r="O759" s="447">
        <f>IFERROR(__xludf.DUMMYFUNCTION("""COMPUTED_VALUE"""),0.0)</f>
        <v>0</v>
      </c>
      <c r="P759" s="447">
        <f>IFERROR(__xludf.DUMMYFUNCTION("""COMPUTED_VALUE"""),0.0)</f>
        <v>0</v>
      </c>
      <c r="Q759" s="447">
        <f>IFERROR(__xludf.DUMMYFUNCTION("""COMPUTED_VALUE"""),0.0)</f>
        <v>0</v>
      </c>
      <c r="R759" s="447">
        <f>IFERROR(__xludf.DUMMYFUNCTION("""COMPUTED_VALUE"""),0.0)</f>
        <v>0</v>
      </c>
      <c r="S759" s="447">
        <f>IFERROR(__xludf.DUMMYFUNCTION("""COMPUTED_VALUE"""),1.0)</f>
        <v>1</v>
      </c>
      <c r="T759" s="447">
        <f>IFERROR(__xludf.DUMMYFUNCTION("""COMPUTED_VALUE"""),0.0)</f>
        <v>0</v>
      </c>
      <c r="U759" s="447">
        <f>IFERROR(__xludf.DUMMYFUNCTION("""COMPUTED_VALUE"""),0.0)</f>
        <v>0</v>
      </c>
      <c r="V759" s="447">
        <f>IFERROR(__xludf.DUMMYFUNCTION("""COMPUTED_VALUE"""),3.0)</f>
        <v>3</v>
      </c>
      <c r="W759" s="447">
        <f>IFERROR(__xludf.DUMMYFUNCTION("""COMPUTED_VALUE"""),1.0)</f>
        <v>1</v>
      </c>
      <c r="X759" s="447">
        <f>IFERROR(__xludf.DUMMYFUNCTION("""COMPUTED_VALUE"""),1.0)</f>
        <v>1</v>
      </c>
      <c r="Y759" s="447">
        <f>IFERROR(__xludf.DUMMYFUNCTION("""COMPUTED_VALUE"""),0.0)</f>
        <v>0</v>
      </c>
      <c r="Z759" s="447">
        <f>IFERROR(__xludf.DUMMYFUNCTION("""COMPUTED_VALUE"""),0.0)</f>
        <v>0</v>
      </c>
      <c r="AA759" s="447">
        <f>IFERROR(__xludf.DUMMYFUNCTION("""COMPUTED_VALUE"""),0.0)</f>
        <v>0</v>
      </c>
      <c r="AB759" s="447">
        <f>IFERROR(__xludf.DUMMYFUNCTION("""COMPUTED_VALUE"""),0.0)</f>
        <v>0</v>
      </c>
      <c r="AC759" s="447">
        <f>IFERROR(__xludf.DUMMYFUNCTION("""COMPUTED_VALUE"""),0.0)</f>
        <v>0</v>
      </c>
      <c r="AD759" s="447">
        <f>IFERROR(__xludf.DUMMYFUNCTION("""COMPUTED_VALUE"""),48.0)</f>
        <v>48</v>
      </c>
      <c r="AE759" s="447">
        <f>IFERROR(__xludf.DUMMYFUNCTION("""COMPUTED_VALUE"""),6.0)</f>
        <v>6</v>
      </c>
      <c r="AF759" s="447">
        <f>IFERROR(__xludf.DUMMYFUNCTION("""COMPUTED_VALUE"""),0.0)</f>
        <v>0</v>
      </c>
      <c r="AG759" s="443" t="s">
        <v>83</v>
      </c>
      <c r="AH759" s="443" t="s">
        <v>291</v>
      </c>
      <c r="AI759" s="443"/>
      <c r="AJ759" s="443"/>
      <c r="AK759" s="443"/>
      <c r="AL759" s="443"/>
      <c r="AM759" s="443"/>
      <c r="AN759" s="443"/>
      <c r="AO759" s="443"/>
      <c r="AP759" s="443"/>
      <c r="AQ759" s="443"/>
      <c r="AR759" s="443"/>
      <c r="AS759" s="443"/>
      <c r="AT759" s="443"/>
      <c r="AU759" s="443"/>
      <c r="AV759" s="443"/>
      <c r="AW759" s="443"/>
      <c r="AX759" s="443"/>
      <c r="AY759" s="443"/>
      <c r="AZ759" s="443"/>
      <c r="BA759" s="443"/>
      <c r="BB759" s="443"/>
      <c r="BC759" s="443"/>
      <c r="BD759" s="443"/>
      <c r="BE759" s="443"/>
    </row>
    <row r="760" hidden="1">
      <c r="A760" s="445">
        <f t="shared" si="5"/>
        <v>46050</v>
      </c>
      <c r="B760" s="449">
        <v>329.0</v>
      </c>
      <c r="C760" s="462">
        <v>0.6</v>
      </c>
      <c r="D760" s="462">
        <v>0.8055555555555556</v>
      </c>
      <c r="E760" s="436">
        <f t="array" ref="E760">IF(B760=0,"",(J760+K760)/60)</f>
        <v>0.3166666667</v>
      </c>
      <c r="F760" s="437">
        <f t="shared" si="1"/>
        <v>4.933333333</v>
      </c>
      <c r="G760" s="438">
        <f t="shared" si="9"/>
        <v>66.68918919</v>
      </c>
      <c r="H760" s="438">
        <f t="shared" si="3"/>
        <v>71.26353791</v>
      </c>
      <c r="I760" s="436">
        <f t="shared" si="10"/>
        <v>1.389358108</v>
      </c>
      <c r="J760" s="460">
        <v>0.0</v>
      </c>
      <c r="K760" s="460">
        <v>19.0</v>
      </c>
      <c r="L760" s="443"/>
      <c r="M760" s="447">
        <f>IFERROR(__xludf.DUMMYFUNCTION("""COMPUTED_VALUE"""),57.0)</f>
        <v>57</v>
      </c>
      <c r="N760" s="447">
        <f>IFERROR(__xludf.DUMMYFUNCTION("""COMPUTED_VALUE"""),57.0)</f>
        <v>57</v>
      </c>
      <c r="O760" s="447">
        <f>IFERROR(__xludf.DUMMYFUNCTION("""COMPUTED_VALUE"""),0.0)</f>
        <v>0</v>
      </c>
      <c r="P760" s="447">
        <f>IFERROR(__xludf.DUMMYFUNCTION("""COMPUTED_VALUE"""),0.0)</f>
        <v>0</v>
      </c>
      <c r="Q760" s="447">
        <f>IFERROR(__xludf.DUMMYFUNCTION("""COMPUTED_VALUE"""),0.0)</f>
        <v>0</v>
      </c>
      <c r="R760" s="447">
        <f>IFERROR(__xludf.DUMMYFUNCTION("""COMPUTED_VALUE"""),0.0)</f>
        <v>0</v>
      </c>
      <c r="S760" s="447">
        <f>IFERROR(__xludf.DUMMYFUNCTION("""COMPUTED_VALUE"""),1.0)</f>
        <v>1</v>
      </c>
      <c r="T760" s="447">
        <f>IFERROR(__xludf.DUMMYFUNCTION("""COMPUTED_VALUE"""),0.0)</f>
        <v>0</v>
      </c>
      <c r="U760" s="447">
        <f>IFERROR(__xludf.DUMMYFUNCTION("""COMPUTED_VALUE"""),0.0)</f>
        <v>0</v>
      </c>
      <c r="V760" s="447">
        <f>IFERROR(__xludf.DUMMYFUNCTION("""COMPUTED_VALUE"""),3.0)</f>
        <v>3</v>
      </c>
      <c r="W760" s="447">
        <f>IFERROR(__xludf.DUMMYFUNCTION("""COMPUTED_VALUE"""),1.0)</f>
        <v>1</v>
      </c>
      <c r="X760" s="447">
        <f>IFERROR(__xludf.DUMMYFUNCTION("""COMPUTED_VALUE"""),1.0)</f>
        <v>1</v>
      </c>
      <c r="Y760" s="447">
        <f>IFERROR(__xludf.DUMMYFUNCTION("""COMPUTED_VALUE"""),0.0)</f>
        <v>0</v>
      </c>
      <c r="Z760" s="447">
        <f>IFERROR(__xludf.DUMMYFUNCTION("""COMPUTED_VALUE"""),0.0)</f>
        <v>0</v>
      </c>
      <c r="AA760" s="447">
        <f>IFERROR(__xludf.DUMMYFUNCTION("""COMPUTED_VALUE"""),0.0)</f>
        <v>0</v>
      </c>
      <c r="AB760" s="447">
        <f>IFERROR(__xludf.DUMMYFUNCTION("""COMPUTED_VALUE"""),0.0)</f>
        <v>0</v>
      </c>
      <c r="AC760" s="447">
        <f>IFERROR(__xludf.DUMMYFUNCTION("""COMPUTED_VALUE"""),0.0)</f>
        <v>0</v>
      </c>
      <c r="AD760" s="447">
        <f>IFERROR(__xludf.DUMMYFUNCTION("""COMPUTED_VALUE"""),48.0)</f>
        <v>48</v>
      </c>
      <c r="AE760" s="447">
        <f>IFERROR(__xludf.DUMMYFUNCTION("""COMPUTED_VALUE"""),6.0)</f>
        <v>6</v>
      </c>
      <c r="AF760" s="447">
        <f>IFERROR(__xludf.DUMMYFUNCTION("""COMPUTED_VALUE"""),0.0)</f>
        <v>0</v>
      </c>
      <c r="AG760" s="443" t="s">
        <v>83</v>
      </c>
      <c r="AH760" s="443" t="s">
        <v>291</v>
      </c>
      <c r="AI760" s="443"/>
      <c r="AJ760" s="443"/>
      <c r="AK760" s="443"/>
      <c r="AL760" s="443"/>
      <c r="AM760" s="443"/>
      <c r="AN760" s="443"/>
      <c r="AO760" s="443"/>
      <c r="AP760" s="443"/>
      <c r="AQ760" s="443"/>
      <c r="AR760" s="443"/>
      <c r="AS760" s="443"/>
      <c r="AT760" s="443"/>
      <c r="AU760" s="443"/>
      <c r="AV760" s="443"/>
      <c r="AW760" s="443"/>
      <c r="AX760" s="443"/>
      <c r="AY760" s="443"/>
      <c r="AZ760" s="443"/>
      <c r="BA760" s="443"/>
      <c r="BB760" s="443"/>
      <c r="BC760" s="443"/>
      <c r="BD760" s="443"/>
      <c r="BE760" s="443"/>
    </row>
    <row r="761" hidden="1">
      <c r="A761" s="445">
        <f t="shared" si="5"/>
        <v>46051</v>
      </c>
      <c r="B761" s="449">
        <v>450.0</v>
      </c>
      <c r="C761" s="462">
        <v>0.6</v>
      </c>
      <c r="D761" s="462">
        <v>0.8895833333333333</v>
      </c>
      <c r="E761" s="436">
        <f t="array" ref="E761">IF(B761=0,"",(J761+K761)/60)</f>
        <v>0.6333333333</v>
      </c>
      <c r="F761" s="437">
        <f t="shared" si="1"/>
        <v>6.95</v>
      </c>
      <c r="G761" s="438">
        <f t="shared" si="9"/>
        <v>64.74820144</v>
      </c>
      <c r="H761" s="438">
        <f t="shared" si="3"/>
        <v>71.24010554</v>
      </c>
      <c r="I761" s="436">
        <f t="shared" si="10"/>
        <v>1.321391866</v>
      </c>
      <c r="J761" s="460">
        <v>30.0</v>
      </c>
      <c r="K761" s="464">
        <f>8</f>
        <v>8</v>
      </c>
      <c r="L761" s="443"/>
      <c r="M761" s="447">
        <f>IFERROR(__xludf.DUMMYFUNCTION("""COMPUTED_VALUE"""),57.0)</f>
        <v>57</v>
      </c>
      <c r="N761" s="447">
        <f>IFERROR(__xludf.DUMMYFUNCTION("""COMPUTED_VALUE"""),57.0)</f>
        <v>57</v>
      </c>
      <c r="O761" s="447">
        <f>IFERROR(__xludf.DUMMYFUNCTION("""COMPUTED_VALUE"""),0.0)</f>
        <v>0</v>
      </c>
      <c r="P761" s="447">
        <f>IFERROR(__xludf.DUMMYFUNCTION("""COMPUTED_VALUE"""),0.0)</f>
        <v>0</v>
      </c>
      <c r="Q761" s="447">
        <f>IFERROR(__xludf.DUMMYFUNCTION("""COMPUTED_VALUE"""),0.0)</f>
        <v>0</v>
      </c>
      <c r="R761" s="447">
        <f>IFERROR(__xludf.DUMMYFUNCTION("""COMPUTED_VALUE"""),0.0)</f>
        <v>0</v>
      </c>
      <c r="S761" s="447">
        <f>IFERROR(__xludf.DUMMYFUNCTION("""COMPUTED_VALUE"""),1.0)</f>
        <v>1</v>
      </c>
      <c r="T761" s="447">
        <f>IFERROR(__xludf.DUMMYFUNCTION("""COMPUTED_VALUE"""),0.0)</f>
        <v>0</v>
      </c>
      <c r="U761" s="447">
        <f>IFERROR(__xludf.DUMMYFUNCTION("""COMPUTED_VALUE"""),0.0)</f>
        <v>0</v>
      </c>
      <c r="V761" s="447">
        <f>IFERROR(__xludf.DUMMYFUNCTION("""COMPUTED_VALUE"""),3.0)</f>
        <v>3</v>
      </c>
      <c r="W761" s="447">
        <f>IFERROR(__xludf.DUMMYFUNCTION("""COMPUTED_VALUE"""),1.0)</f>
        <v>1</v>
      </c>
      <c r="X761" s="447">
        <f>IFERROR(__xludf.DUMMYFUNCTION("""COMPUTED_VALUE"""),1.0)</f>
        <v>1</v>
      </c>
      <c r="Y761" s="447">
        <f>IFERROR(__xludf.DUMMYFUNCTION("""COMPUTED_VALUE"""),0.0)</f>
        <v>0</v>
      </c>
      <c r="Z761" s="447">
        <f>IFERROR(__xludf.DUMMYFUNCTION("""COMPUTED_VALUE"""),0.0)</f>
        <v>0</v>
      </c>
      <c r="AA761" s="447">
        <f>IFERROR(__xludf.DUMMYFUNCTION("""COMPUTED_VALUE"""),0.0)</f>
        <v>0</v>
      </c>
      <c r="AB761" s="447">
        <f>IFERROR(__xludf.DUMMYFUNCTION("""COMPUTED_VALUE"""),0.0)</f>
        <v>0</v>
      </c>
      <c r="AC761" s="447">
        <f>IFERROR(__xludf.DUMMYFUNCTION("""COMPUTED_VALUE"""),0.0)</f>
        <v>0</v>
      </c>
      <c r="AD761" s="447">
        <f>IFERROR(__xludf.DUMMYFUNCTION("""COMPUTED_VALUE"""),49.0)</f>
        <v>49</v>
      </c>
      <c r="AE761" s="447">
        <f>IFERROR(__xludf.DUMMYFUNCTION("""COMPUTED_VALUE"""),6.0)</f>
        <v>6</v>
      </c>
      <c r="AF761" s="447">
        <f>IFERROR(__xludf.DUMMYFUNCTION("""COMPUTED_VALUE"""),0.0)</f>
        <v>0</v>
      </c>
      <c r="AG761" s="443" t="s">
        <v>83</v>
      </c>
      <c r="AH761" s="443" t="s">
        <v>291</v>
      </c>
      <c r="AI761" s="443"/>
      <c r="AJ761" s="443"/>
      <c r="AK761" s="443"/>
      <c r="AL761" s="443"/>
      <c r="AM761" s="443"/>
      <c r="AN761" s="443"/>
      <c r="AO761" s="443"/>
      <c r="AP761" s="443"/>
      <c r="AQ761" s="443"/>
      <c r="AR761" s="443"/>
      <c r="AS761" s="443"/>
      <c r="AT761" s="443"/>
      <c r="AU761" s="443"/>
      <c r="AV761" s="443"/>
      <c r="AW761" s="443"/>
      <c r="AX761" s="443"/>
      <c r="AY761" s="443"/>
      <c r="AZ761" s="443"/>
      <c r="BA761" s="443"/>
      <c r="BB761" s="443"/>
      <c r="BC761" s="443"/>
      <c r="BD761" s="443"/>
      <c r="BE761" s="443"/>
    </row>
    <row r="762" hidden="1">
      <c r="A762" s="445">
        <f t="shared" si="5"/>
        <v>46052</v>
      </c>
      <c r="B762" s="449">
        <v>431.0</v>
      </c>
      <c r="C762" s="462">
        <v>0.6</v>
      </c>
      <c r="D762" s="462">
        <v>0.875</v>
      </c>
      <c r="E762" s="436">
        <f t="array" ref="E762">IF(B762=0,"",(J762+K762)/60)</f>
        <v>0.65</v>
      </c>
      <c r="F762" s="437">
        <f t="shared" si="1"/>
        <v>6.6</v>
      </c>
      <c r="G762" s="438">
        <f t="shared" si="9"/>
        <v>65.3030303</v>
      </c>
      <c r="H762" s="438">
        <f t="shared" si="3"/>
        <v>72.43697479</v>
      </c>
      <c r="I762" s="436">
        <f t="shared" si="10"/>
        <v>1.360479798</v>
      </c>
      <c r="J762" s="460">
        <v>30.0</v>
      </c>
      <c r="K762" s="460">
        <v>9.0</v>
      </c>
      <c r="L762" s="443"/>
      <c r="M762" s="447">
        <f>IFERROR(__xludf.DUMMYFUNCTION("""COMPUTED_VALUE"""),57.0)</f>
        <v>57</v>
      </c>
      <c r="N762" s="447">
        <f>IFERROR(__xludf.DUMMYFUNCTION("""COMPUTED_VALUE"""),57.0)</f>
        <v>57</v>
      </c>
      <c r="O762" s="447">
        <f>IFERROR(__xludf.DUMMYFUNCTION("""COMPUTED_VALUE"""),0.0)</f>
        <v>0</v>
      </c>
      <c r="P762" s="447">
        <f>IFERROR(__xludf.DUMMYFUNCTION("""COMPUTED_VALUE"""),0.0)</f>
        <v>0</v>
      </c>
      <c r="Q762" s="447">
        <f>IFERROR(__xludf.DUMMYFUNCTION("""COMPUTED_VALUE"""),0.0)</f>
        <v>0</v>
      </c>
      <c r="R762" s="447">
        <f>IFERROR(__xludf.DUMMYFUNCTION("""COMPUTED_VALUE"""),0.0)</f>
        <v>0</v>
      </c>
      <c r="S762" s="447">
        <f>IFERROR(__xludf.DUMMYFUNCTION("""COMPUTED_VALUE"""),2.0)</f>
        <v>2</v>
      </c>
      <c r="T762" s="447">
        <f>IFERROR(__xludf.DUMMYFUNCTION("""COMPUTED_VALUE"""),0.0)</f>
        <v>0</v>
      </c>
      <c r="U762" s="447">
        <f>IFERROR(__xludf.DUMMYFUNCTION("""COMPUTED_VALUE"""),0.0)</f>
        <v>0</v>
      </c>
      <c r="V762" s="447">
        <f>IFERROR(__xludf.DUMMYFUNCTION("""COMPUTED_VALUE"""),3.0)</f>
        <v>3</v>
      </c>
      <c r="W762" s="447">
        <f>IFERROR(__xludf.DUMMYFUNCTION("""COMPUTED_VALUE"""),1.0)</f>
        <v>1</v>
      </c>
      <c r="X762" s="447">
        <f>IFERROR(__xludf.DUMMYFUNCTION("""COMPUTED_VALUE"""),1.0)</f>
        <v>1</v>
      </c>
      <c r="Y762" s="447">
        <f>IFERROR(__xludf.DUMMYFUNCTION("""COMPUTED_VALUE"""),0.0)</f>
        <v>0</v>
      </c>
      <c r="Z762" s="447">
        <f>IFERROR(__xludf.DUMMYFUNCTION("""COMPUTED_VALUE"""),0.0)</f>
        <v>0</v>
      </c>
      <c r="AA762" s="447">
        <f>IFERROR(__xludf.DUMMYFUNCTION("""COMPUTED_VALUE"""),0.0)</f>
        <v>0</v>
      </c>
      <c r="AB762" s="447">
        <f>IFERROR(__xludf.DUMMYFUNCTION("""COMPUTED_VALUE"""),0.0)</f>
        <v>0</v>
      </c>
      <c r="AC762" s="447">
        <f>IFERROR(__xludf.DUMMYFUNCTION("""COMPUTED_VALUE"""),0.0)</f>
        <v>0</v>
      </c>
      <c r="AD762" s="447">
        <f>IFERROR(__xludf.DUMMYFUNCTION("""COMPUTED_VALUE"""),48.0)</f>
        <v>48</v>
      </c>
      <c r="AE762" s="447">
        <f>IFERROR(__xludf.DUMMYFUNCTION("""COMPUTED_VALUE"""),7.0)</f>
        <v>7</v>
      </c>
      <c r="AF762" s="447">
        <f>IFERROR(__xludf.DUMMYFUNCTION("""COMPUTED_VALUE"""),0.0)</f>
        <v>0</v>
      </c>
      <c r="AG762" s="443" t="s">
        <v>83</v>
      </c>
      <c r="AH762" s="443" t="s">
        <v>291</v>
      </c>
      <c r="AI762" s="443"/>
      <c r="AJ762" s="443"/>
      <c r="AK762" s="443"/>
      <c r="AL762" s="443"/>
      <c r="AM762" s="443"/>
      <c r="AN762" s="443"/>
      <c r="AO762" s="443"/>
      <c r="AP762" s="443"/>
      <c r="AQ762" s="443"/>
      <c r="AR762" s="443"/>
      <c r="AS762" s="443"/>
      <c r="AT762" s="443"/>
      <c r="AU762" s="443"/>
      <c r="AV762" s="443"/>
      <c r="AW762" s="443"/>
      <c r="AX762" s="443"/>
      <c r="AY762" s="443"/>
      <c r="AZ762" s="443"/>
      <c r="BA762" s="443"/>
      <c r="BB762" s="443"/>
      <c r="BC762" s="443"/>
      <c r="BD762" s="443"/>
      <c r="BE762" s="443"/>
    </row>
    <row r="763" hidden="1">
      <c r="A763" s="445">
        <f t="shared" si="5"/>
        <v>46053</v>
      </c>
      <c r="B763" s="449">
        <v>300.0</v>
      </c>
      <c r="C763" s="462">
        <v>0.6</v>
      </c>
      <c r="D763" s="462">
        <v>0.8125</v>
      </c>
      <c r="E763" s="436">
        <f t="array" ref="E763">IF(B763=0,"",(J763+K763)/60)</f>
        <v>1.216666667</v>
      </c>
      <c r="F763" s="437">
        <f t="shared" si="1"/>
        <v>5.1</v>
      </c>
      <c r="G763" s="438">
        <f t="shared" si="9"/>
        <v>58.82352941</v>
      </c>
      <c r="H763" s="438">
        <f t="shared" si="3"/>
        <v>77.25321888</v>
      </c>
      <c r="I763" s="436">
        <f t="shared" si="10"/>
        <v>1.225490196</v>
      </c>
      <c r="J763" s="460">
        <v>30.0</v>
      </c>
      <c r="K763" s="460">
        <v>43.0</v>
      </c>
      <c r="L763" s="449" t="s">
        <v>982</v>
      </c>
      <c r="M763" s="447">
        <f>IFERROR(__xludf.DUMMYFUNCTION("""COMPUTED_VALUE"""),57.0)</f>
        <v>57</v>
      </c>
      <c r="N763" s="447">
        <f>IFERROR(__xludf.DUMMYFUNCTION("""COMPUTED_VALUE"""),57.0)</f>
        <v>57</v>
      </c>
      <c r="O763" s="447">
        <f>IFERROR(__xludf.DUMMYFUNCTION("""COMPUTED_VALUE"""),0.0)</f>
        <v>0</v>
      </c>
      <c r="P763" s="447">
        <f>IFERROR(__xludf.DUMMYFUNCTION("""COMPUTED_VALUE"""),0.0)</f>
        <v>0</v>
      </c>
      <c r="Q763" s="447">
        <f>IFERROR(__xludf.DUMMYFUNCTION("""COMPUTED_VALUE"""),0.0)</f>
        <v>0</v>
      </c>
      <c r="R763" s="447">
        <f>IFERROR(__xludf.DUMMYFUNCTION("""COMPUTED_VALUE"""),0.0)</f>
        <v>0</v>
      </c>
      <c r="S763" s="447">
        <f>IFERROR(__xludf.DUMMYFUNCTION("""COMPUTED_VALUE"""),2.0)</f>
        <v>2</v>
      </c>
      <c r="T763" s="447">
        <f>IFERROR(__xludf.DUMMYFUNCTION("""COMPUTED_VALUE"""),0.0)</f>
        <v>0</v>
      </c>
      <c r="U763" s="447">
        <f>IFERROR(__xludf.DUMMYFUNCTION("""COMPUTED_VALUE"""),0.0)</f>
        <v>0</v>
      </c>
      <c r="V763" s="447">
        <f>IFERROR(__xludf.DUMMYFUNCTION("""COMPUTED_VALUE"""),3.0)</f>
        <v>3</v>
      </c>
      <c r="W763" s="447">
        <f>IFERROR(__xludf.DUMMYFUNCTION("""COMPUTED_VALUE"""),0.0)</f>
        <v>0</v>
      </c>
      <c r="X763" s="447">
        <f>IFERROR(__xludf.DUMMYFUNCTION("""COMPUTED_VALUE"""),1.0)</f>
        <v>1</v>
      </c>
      <c r="Y763" s="447">
        <f>IFERROR(__xludf.DUMMYFUNCTION("""COMPUTED_VALUE"""),0.0)</f>
        <v>0</v>
      </c>
      <c r="Z763" s="447">
        <f>IFERROR(__xludf.DUMMYFUNCTION("""COMPUTED_VALUE"""),0.0)</f>
        <v>0</v>
      </c>
      <c r="AA763" s="447">
        <f>IFERROR(__xludf.DUMMYFUNCTION("""COMPUTED_VALUE"""),0.0)</f>
        <v>0</v>
      </c>
      <c r="AB763" s="447">
        <f>IFERROR(__xludf.DUMMYFUNCTION("""COMPUTED_VALUE"""),0.0)</f>
        <v>0</v>
      </c>
      <c r="AC763" s="447">
        <f>IFERROR(__xludf.DUMMYFUNCTION("""COMPUTED_VALUE"""),1.0)</f>
        <v>1</v>
      </c>
      <c r="AD763" s="447">
        <f>IFERROR(__xludf.DUMMYFUNCTION("""COMPUTED_VALUE"""),48.0)</f>
        <v>48</v>
      </c>
      <c r="AE763" s="447">
        <f>IFERROR(__xludf.DUMMYFUNCTION("""COMPUTED_VALUE"""),7.0)</f>
        <v>7</v>
      </c>
      <c r="AF763" s="447">
        <f>IFERROR(__xludf.DUMMYFUNCTION("""COMPUTED_VALUE"""),0.0)</f>
        <v>0</v>
      </c>
      <c r="AG763" s="443" t="s">
        <v>83</v>
      </c>
      <c r="AH763" s="443" t="s">
        <v>291</v>
      </c>
      <c r="AI763" s="443"/>
      <c r="AJ763" s="443"/>
      <c r="AK763" s="443"/>
      <c r="AL763" s="443"/>
      <c r="AM763" s="443"/>
      <c r="AN763" s="443"/>
      <c r="AO763" s="443"/>
      <c r="AP763" s="443"/>
      <c r="AQ763" s="443"/>
      <c r="AR763" s="443"/>
      <c r="AS763" s="443"/>
      <c r="AT763" s="443"/>
      <c r="AU763" s="443"/>
      <c r="AV763" s="443"/>
      <c r="AW763" s="443"/>
      <c r="AX763" s="443"/>
      <c r="AY763" s="443"/>
      <c r="AZ763" s="443"/>
      <c r="BA763" s="443"/>
      <c r="BB763" s="443"/>
      <c r="BC763" s="443"/>
      <c r="BD763" s="443"/>
      <c r="BE763" s="443"/>
    </row>
    <row r="764" hidden="1">
      <c r="A764" s="445">
        <f t="shared" si="5"/>
        <v>46054</v>
      </c>
      <c r="B764" s="449">
        <v>0.0</v>
      </c>
      <c r="C764" s="462"/>
      <c r="D764" s="462"/>
      <c r="E764" s="436" t="str">
        <f t="array" ref="E764">IF(B764=0,"",(J764+K764)/60)</f>
        <v/>
      </c>
      <c r="F764" s="437" t="str">
        <f t="shared" si="1"/>
        <v/>
      </c>
      <c r="G764" s="438" t="str">
        <f t="shared" si="9"/>
        <v>#DIV/0!</v>
      </c>
      <c r="H764" s="438" t="str">
        <f t="shared" si="3"/>
        <v/>
      </c>
      <c r="I764" s="436" t="str">
        <f t="shared" si="10"/>
        <v/>
      </c>
      <c r="J764" s="460"/>
      <c r="K764" s="464"/>
      <c r="L764" s="449"/>
      <c r="M764" s="447">
        <f>IFERROR(__xludf.DUMMYFUNCTION("TRANSPOSE(IMPORTRANGE(""https://docs.google.com/spreadsheets/d/1CNeKSHTeNNJnfn5EymHwGg5Mkuk6EcepW7_9QkJxalc/edit#gid=1218471306"",""FEBRERO 2026!F2:AG21""))"),57.0)</f>
        <v>57</v>
      </c>
      <c r="N764" s="447">
        <f>IFERROR(__xludf.DUMMYFUNCTION("""COMPUTED_VALUE"""),57.0)</f>
        <v>57</v>
      </c>
      <c r="O764" s="447">
        <f>IFERROR(__xludf.DUMMYFUNCTION("""COMPUTED_VALUE"""),0.0)</f>
        <v>0</v>
      </c>
      <c r="P764" s="447">
        <f>IFERROR(__xludf.DUMMYFUNCTION("""COMPUTED_VALUE"""),0.0)</f>
        <v>0</v>
      </c>
      <c r="Q764" s="447">
        <f>IFERROR(__xludf.DUMMYFUNCTION("""COMPUTED_VALUE"""),0.0)</f>
        <v>0</v>
      </c>
      <c r="R764" s="447">
        <f>IFERROR(__xludf.DUMMYFUNCTION("""COMPUTED_VALUE"""),0.0)</f>
        <v>0</v>
      </c>
      <c r="S764" s="447">
        <f>IFERROR(__xludf.DUMMYFUNCTION("""COMPUTED_VALUE"""),0.0)</f>
        <v>0</v>
      </c>
      <c r="T764" s="447">
        <f>IFERROR(__xludf.DUMMYFUNCTION("""COMPUTED_VALUE"""),0.0)</f>
        <v>0</v>
      </c>
      <c r="U764" s="447">
        <f>IFERROR(__xludf.DUMMYFUNCTION("""COMPUTED_VALUE"""),0.0)</f>
        <v>0</v>
      </c>
      <c r="V764" s="447">
        <f>IFERROR(__xludf.DUMMYFUNCTION("""COMPUTED_VALUE"""),0.0)</f>
        <v>0</v>
      </c>
      <c r="W764" s="447">
        <f>IFERROR(__xludf.DUMMYFUNCTION("""COMPUTED_VALUE"""),0.0)</f>
        <v>0</v>
      </c>
      <c r="X764" s="447">
        <f>IFERROR(__xludf.DUMMYFUNCTION("""COMPUTED_VALUE"""),0.0)</f>
        <v>0</v>
      </c>
      <c r="Y764" s="447">
        <f>IFERROR(__xludf.DUMMYFUNCTION("""COMPUTED_VALUE"""),0.0)</f>
        <v>0</v>
      </c>
      <c r="Z764" s="447">
        <f>IFERROR(__xludf.DUMMYFUNCTION("""COMPUTED_VALUE"""),0.0)</f>
        <v>0</v>
      </c>
      <c r="AA764" s="447">
        <f>IFERROR(__xludf.DUMMYFUNCTION("""COMPUTED_VALUE"""),0.0)</f>
        <v>0</v>
      </c>
      <c r="AB764" s="447">
        <f>IFERROR(__xludf.DUMMYFUNCTION("""COMPUTED_VALUE"""),0.0)</f>
        <v>0</v>
      </c>
      <c r="AC764" s="447">
        <f>IFERROR(__xludf.DUMMYFUNCTION("""COMPUTED_VALUE"""),0.0)</f>
        <v>0</v>
      </c>
      <c r="AD764" s="447">
        <f>IFERROR(__xludf.DUMMYFUNCTION("""COMPUTED_VALUE"""),0.0)</f>
        <v>0</v>
      </c>
      <c r="AE764" s="447">
        <f>IFERROR(__xludf.DUMMYFUNCTION("""COMPUTED_VALUE"""),0.0)</f>
        <v>0</v>
      </c>
      <c r="AF764" s="447">
        <f>IFERROR(__xludf.DUMMYFUNCTION("""COMPUTED_VALUE"""),0.0)</f>
        <v>0</v>
      </c>
      <c r="AG764" s="443" t="s">
        <v>91</v>
      </c>
      <c r="AH764" s="443" t="s">
        <v>291</v>
      </c>
      <c r="AI764" s="443"/>
      <c r="AJ764" s="443"/>
      <c r="AK764" s="443"/>
      <c r="AL764" s="443"/>
      <c r="AM764" s="443"/>
      <c r="AN764" s="443"/>
      <c r="AO764" s="443"/>
      <c r="AP764" s="443"/>
      <c r="AQ764" s="443"/>
      <c r="AR764" s="443"/>
      <c r="AS764" s="443"/>
      <c r="AT764" s="443"/>
      <c r="AU764" s="443"/>
      <c r="AV764" s="443"/>
      <c r="AW764" s="443"/>
      <c r="AX764" s="443"/>
      <c r="AY764" s="443"/>
      <c r="AZ764" s="443"/>
      <c r="BA764" s="443"/>
      <c r="BB764" s="443"/>
      <c r="BC764" s="443"/>
      <c r="BD764" s="443"/>
      <c r="BE764" s="443"/>
    </row>
    <row r="765" hidden="1">
      <c r="A765" s="445">
        <f t="shared" si="5"/>
        <v>46055</v>
      </c>
      <c r="B765" s="449">
        <v>632.0</v>
      </c>
      <c r="C765" s="462">
        <v>0.625</v>
      </c>
      <c r="D765" s="462">
        <v>1.0486111111111112</v>
      </c>
      <c r="E765" s="436">
        <f t="array" ref="E765">IF(B765=0,"",(J765+K765)/60)</f>
        <v>1.233333333</v>
      </c>
      <c r="F765" s="437">
        <f t="shared" si="1"/>
        <v>10.16666667</v>
      </c>
      <c r="G765" s="438">
        <f t="shared" si="9"/>
        <v>62.16393443</v>
      </c>
      <c r="H765" s="438">
        <f t="shared" si="3"/>
        <v>70.74626866</v>
      </c>
      <c r="I765" s="436">
        <f t="shared" si="10"/>
        <v>1.268651723</v>
      </c>
      <c r="J765" s="460">
        <v>60.0</v>
      </c>
      <c r="K765" s="464">
        <f>5+4+5</f>
        <v>14</v>
      </c>
      <c r="L765" s="449" t="s">
        <v>983</v>
      </c>
      <c r="M765" s="447">
        <f>IFERROR(__xludf.DUMMYFUNCTION("""COMPUTED_VALUE"""),57.0)</f>
        <v>57</v>
      </c>
      <c r="N765" s="447">
        <f>IFERROR(__xludf.DUMMYFUNCTION("""COMPUTED_VALUE"""),57.0)</f>
        <v>57</v>
      </c>
      <c r="O765" s="447">
        <f>IFERROR(__xludf.DUMMYFUNCTION("""COMPUTED_VALUE"""),0.0)</f>
        <v>0</v>
      </c>
      <c r="P765" s="447">
        <f>IFERROR(__xludf.DUMMYFUNCTION("""COMPUTED_VALUE"""),1.0)</f>
        <v>1</v>
      </c>
      <c r="Q765" s="447">
        <f>IFERROR(__xludf.DUMMYFUNCTION("""COMPUTED_VALUE"""),0.0)</f>
        <v>0</v>
      </c>
      <c r="R765" s="447">
        <f>IFERROR(__xludf.DUMMYFUNCTION("""COMPUTED_VALUE"""),0.0)</f>
        <v>0</v>
      </c>
      <c r="S765" s="447">
        <f>IFERROR(__xludf.DUMMYFUNCTION("""COMPUTED_VALUE"""),0.0)</f>
        <v>0</v>
      </c>
      <c r="T765" s="447">
        <f>IFERROR(__xludf.DUMMYFUNCTION("""COMPUTED_VALUE"""),0.0)</f>
        <v>0</v>
      </c>
      <c r="U765" s="447">
        <f>IFERROR(__xludf.DUMMYFUNCTION("""COMPUTED_VALUE"""),0.0)</f>
        <v>0</v>
      </c>
      <c r="V765" s="447">
        <f>IFERROR(__xludf.DUMMYFUNCTION("""COMPUTED_VALUE"""),3.0)</f>
        <v>3</v>
      </c>
      <c r="W765" s="447">
        <f>IFERROR(__xludf.DUMMYFUNCTION("""COMPUTED_VALUE"""),0.0)</f>
        <v>0</v>
      </c>
      <c r="X765" s="447">
        <f>IFERROR(__xludf.DUMMYFUNCTION("""COMPUTED_VALUE"""),1.0)</f>
        <v>1</v>
      </c>
      <c r="Y765" s="447">
        <f>IFERROR(__xludf.DUMMYFUNCTION("""COMPUTED_VALUE"""),0.0)</f>
        <v>0</v>
      </c>
      <c r="Z765" s="447">
        <f>IFERROR(__xludf.DUMMYFUNCTION("""COMPUTED_VALUE"""),0.0)</f>
        <v>0</v>
      </c>
      <c r="AA765" s="447">
        <f>IFERROR(__xludf.DUMMYFUNCTION("""COMPUTED_VALUE"""),0.0)</f>
        <v>0</v>
      </c>
      <c r="AB765" s="447">
        <f>IFERROR(__xludf.DUMMYFUNCTION("""COMPUTED_VALUE"""),0.0)</f>
        <v>0</v>
      </c>
      <c r="AC765" s="447">
        <f>IFERROR(__xludf.DUMMYFUNCTION("""COMPUTED_VALUE"""),1.0)</f>
        <v>1</v>
      </c>
      <c r="AD765" s="447">
        <f>IFERROR(__xludf.DUMMYFUNCTION("""COMPUTED_VALUE"""),49.0)</f>
        <v>49</v>
      </c>
      <c r="AE765" s="447">
        <f>IFERROR(__xludf.DUMMYFUNCTION("""COMPUTED_VALUE"""),6.0)</f>
        <v>6</v>
      </c>
      <c r="AF765" s="447">
        <f>IFERROR(__xludf.DUMMYFUNCTION("""COMPUTED_VALUE"""),0.0)</f>
        <v>0</v>
      </c>
      <c r="AG765" s="443" t="s">
        <v>91</v>
      </c>
      <c r="AH765" s="443" t="s">
        <v>291</v>
      </c>
      <c r="AI765" s="443"/>
      <c r="AJ765" s="443"/>
      <c r="AK765" s="443"/>
      <c r="AL765" s="443"/>
      <c r="AM765" s="443"/>
      <c r="AN765" s="443"/>
      <c r="AO765" s="443"/>
      <c r="AP765" s="443"/>
      <c r="AQ765" s="443"/>
      <c r="AR765" s="443"/>
      <c r="AS765" s="443"/>
      <c r="AT765" s="443"/>
      <c r="AU765" s="443"/>
      <c r="AV765" s="443"/>
      <c r="AW765" s="443"/>
      <c r="AX765" s="443"/>
      <c r="AY765" s="443"/>
      <c r="AZ765" s="443"/>
      <c r="BA765" s="443"/>
      <c r="BB765" s="443"/>
      <c r="BC765" s="443"/>
      <c r="BD765" s="443"/>
      <c r="BE765" s="443"/>
    </row>
    <row r="766" hidden="1">
      <c r="A766" s="445">
        <f t="shared" si="5"/>
        <v>46056</v>
      </c>
      <c r="B766" s="449">
        <v>459.0</v>
      </c>
      <c r="C766" s="462">
        <v>0.5833333333333334</v>
      </c>
      <c r="D766" s="462">
        <v>0.9131944444444444</v>
      </c>
      <c r="E766" s="436">
        <f t="array" ref="E766">IF(B766=0,"",(J766+K766)/60)</f>
        <v>1.083333333</v>
      </c>
      <c r="F766" s="437">
        <f t="shared" si="1"/>
        <v>7.916666667</v>
      </c>
      <c r="G766" s="438">
        <f t="shared" si="9"/>
        <v>57.97894737</v>
      </c>
      <c r="H766" s="438">
        <f t="shared" si="3"/>
        <v>67.17073171</v>
      </c>
      <c r="I766" s="436">
        <f t="shared" si="10"/>
        <v>1.183243824</v>
      </c>
      <c r="J766" s="460">
        <v>30.0</v>
      </c>
      <c r="K766" s="464">
        <f>23+12</f>
        <v>35</v>
      </c>
      <c r="L766" s="443"/>
      <c r="M766" s="447">
        <f>IFERROR(__xludf.DUMMYFUNCTION("""COMPUTED_VALUE"""),57.0)</f>
        <v>57</v>
      </c>
      <c r="N766" s="447">
        <f>IFERROR(__xludf.DUMMYFUNCTION("""COMPUTED_VALUE"""),57.0)</f>
        <v>57</v>
      </c>
      <c r="O766" s="447">
        <f>IFERROR(__xludf.DUMMYFUNCTION("""COMPUTED_VALUE"""),0.0)</f>
        <v>0</v>
      </c>
      <c r="P766" s="447">
        <f>IFERROR(__xludf.DUMMYFUNCTION("""COMPUTED_VALUE"""),1.0)</f>
        <v>1</v>
      </c>
      <c r="Q766" s="447">
        <f>IFERROR(__xludf.DUMMYFUNCTION("""COMPUTED_VALUE"""),0.0)</f>
        <v>0</v>
      </c>
      <c r="R766" s="447">
        <f>IFERROR(__xludf.DUMMYFUNCTION("""COMPUTED_VALUE"""),0.0)</f>
        <v>0</v>
      </c>
      <c r="S766" s="447">
        <f>IFERROR(__xludf.DUMMYFUNCTION("""COMPUTED_VALUE"""),0.0)</f>
        <v>0</v>
      </c>
      <c r="T766" s="447">
        <f>IFERROR(__xludf.DUMMYFUNCTION("""COMPUTED_VALUE"""),0.0)</f>
        <v>0</v>
      </c>
      <c r="U766" s="447">
        <f>IFERROR(__xludf.DUMMYFUNCTION("""COMPUTED_VALUE"""),0.0)</f>
        <v>0</v>
      </c>
      <c r="V766" s="447">
        <f>IFERROR(__xludf.DUMMYFUNCTION("""COMPUTED_VALUE"""),3.0)</f>
        <v>3</v>
      </c>
      <c r="W766" s="447">
        <f>IFERROR(__xludf.DUMMYFUNCTION("""COMPUTED_VALUE"""),0.0)</f>
        <v>0</v>
      </c>
      <c r="X766" s="447">
        <f>IFERROR(__xludf.DUMMYFUNCTION("""COMPUTED_VALUE"""),1.0)</f>
        <v>1</v>
      </c>
      <c r="Y766" s="447">
        <f>IFERROR(__xludf.DUMMYFUNCTION("""COMPUTED_VALUE"""),0.0)</f>
        <v>0</v>
      </c>
      <c r="Z766" s="447">
        <f>IFERROR(__xludf.DUMMYFUNCTION("""COMPUTED_VALUE"""),0.0)</f>
        <v>0</v>
      </c>
      <c r="AA766" s="447">
        <f>IFERROR(__xludf.DUMMYFUNCTION("""COMPUTED_VALUE"""),0.0)</f>
        <v>0</v>
      </c>
      <c r="AB766" s="447">
        <f>IFERROR(__xludf.DUMMYFUNCTION("""COMPUTED_VALUE"""),0.0)</f>
        <v>0</v>
      </c>
      <c r="AC766" s="447">
        <f>IFERROR(__xludf.DUMMYFUNCTION("""COMPUTED_VALUE"""),1.0)</f>
        <v>1</v>
      </c>
      <c r="AD766" s="447">
        <f>IFERROR(__xludf.DUMMYFUNCTION("""COMPUTED_VALUE"""),49.0)</f>
        <v>49</v>
      </c>
      <c r="AE766" s="447">
        <f>IFERROR(__xludf.DUMMYFUNCTION("""COMPUTED_VALUE"""),6.0)</f>
        <v>6</v>
      </c>
      <c r="AF766" s="447">
        <f>IFERROR(__xludf.DUMMYFUNCTION("""COMPUTED_VALUE"""),0.0)</f>
        <v>0</v>
      </c>
      <c r="AG766" s="443" t="s">
        <v>91</v>
      </c>
      <c r="AH766" s="443" t="s">
        <v>291</v>
      </c>
      <c r="AI766" s="443"/>
      <c r="AJ766" s="443"/>
      <c r="AK766" s="443"/>
      <c r="AL766" s="443"/>
      <c r="AM766" s="443"/>
      <c r="AN766" s="443"/>
      <c r="AO766" s="443"/>
      <c r="AP766" s="443"/>
      <c r="AQ766" s="443"/>
      <c r="AR766" s="443"/>
      <c r="AS766" s="443"/>
      <c r="AT766" s="443"/>
      <c r="AU766" s="443"/>
      <c r="AV766" s="443"/>
      <c r="AW766" s="443"/>
      <c r="AX766" s="443"/>
      <c r="AY766" s="443"/>
      <c r="AZ766" s="443"/>
      <c r="BA766" s="443"/>
      <c r="BB766" s="443"/>
      <c r="BC766" s="443"/>
      <c r="BD766" s="443"/>
      <c r="BE766" s="443"/>
    </row>
    <row r="767" hidden="1">
      <c r="A767" s="445">
        <f t="shared" si="5"/>
        <v>46057</v>
      </c>
      <c r="B767" s="449">
        <v>424.0</v>
      </c>
      <c r="C767" s="462">
        <v>0.5833333333333334</v>
      </c>
      <c r="D767" s="462">
        <v>0.8798611111111111</v>
      </c>
      <c r="E767" s="436">
        <f t="array" ref="E767">IF(B767=0,"",(J767+K767)/60)</f>
        <v>0.75</v>
      </c>
      <c r="F767" s="437">
        <f t="shared" si="1"/>
        <v>7.116666667</v>
      </c>
      <c r="G767" s="438">
        <f t="shared" si="9"/>
        <v>59.57845433</v>
      </c>
      <c r="H767" s="438">
        <f t="shared" si="3"/>
        <v>66.59685864</v>
      </c>
      <c r="I767" s="436">
        <f t="shared" si="10"/>
        <v>1.215886823</v>
      </c>
      <c r="J767" s="460">
        <v>30.0</v>
      </c>
      <c r="K767" s="460">
        <v>15.0</v>
      </c>
      <c r="L767" s="449" t="s">
        <v>984</v>
      </c>
      <c r="M767" s="447">
        <f>IFERROR(__xludf.DUMMYFUNCTION("""COMPUTED_VALUE"""),57.0)</f>
        <v>57</v>
      </c>
      <c r="N767" s="447">
        <f>IFERROR(__xludf.DUMMYFUNCTION("""COMPUTED_VALUE"""),57.0)</f>
        <v>57</v>
      </c>
      <c r="O767" s="447">
        <f>IFERROR(__xludf.DUMMYFUNCTION("""COMPUTED_VALUE"""),0.0)</f>
        <v>0</v>
      </c>
      <c r="P767" s="447">
        <f>IFERROR(__xludf.DUMMYFUNCTION("""COMPUTED_VALUE"""),0.0)</f>
        <v>0</v>
      </c>
      <c r="Q767" s="447">
        <f>IFERROR(__xludf.DUMMYFUNCTION("""COMPUTED_VALUE"""),0.0)</f>
        <v>0</v>
      </c>
      <c r="R767" s="447">
        <f>IFERROR(__xludf.DUMMYFUNCTION("""COMPUTED_VALUE"""),0.0)</f>
        <v>0</v>
      </c>
      <c r="S767" s="447">
        <f>IFERROR(__xludf.DUMMYFUNCTION("""COMPUTED_VALUE"""),0.0)</f>
        <v>0</v>
      </c>
      <c r="T767" s="447">
        <f>IFERROR(__xludf.DUMMYFUNCTION("""COMPUTED_VALUE"""),0.0)</f>
        <v>0</v>
      </c>
      <c r="U767" s="447">
        <f>IFERROR(__xludf.DUMMYFUNCTION("""COMPUTED_VALUE"""),0.0)</f>
        <v>0</v>
      </c>
      <c r="V767" s="447">
        <f>IFERROR(__xludf.DUMMYFUNCTION("""COMPUTED_VALUE"""),3.0)</f>
        <v>3</v>
      </c>
      <c r="W767" s="447">
        <f>IFERROR(__xludf.DUMMYFUNCTION("""COMPUTED_VALUE"""),0.0)</f>
        <v>0</v>
      </c>
      <c r="X767" s="447">
        <f>IFERROR(__xludf.DUMMYFUNCTION("""COMPUTED_VALUE"""),1.0)</f>
        <v>1</v>
      </c>
      <c r="Y767" s="447">
        <f>IFERROR(__xludf.DUMMYFUNCTION("""COMPUTED_VALUE"""),0.0)</f>
        <v>0</v>
      </c>
      <c r="Z767" s="447">
        <f>IFERROR(__xludf.DUMMYFUNCTION("""COMPUTED_VALUE"""),0.0)</f>
        <v>0</v>
      </c>
      <c r="AA767" s="447">
        <f>IFERROR(__xludf.DUMMYFUNCTION("""COMPUTED_VALUE"""),0.0)</f>
        <v>0</v>
      </c>
      <c r="AB767" s="447">
        <f>IFERROR(__xludf.DUMMYFUNCTION("""COMPUTED_VALUE"""),0.0)</f>
        <v>0</v>
      </c>
      <c r="AC767" s="447">
        <f>IFERROR(__xludf.DUMMYFUNCTION("""COMPUTED_VALUE"""),1.0)</f>
        <v>1</v>
      </c>
      <c r="AD767" s="447">
        <f>IFERROR(__xludf.DUMMYFUNCTION("""COMPUTED_VALUE"""),49.0)</f>
        <v>49</v>
      </c>
      <c r="AE767" s="447">
        <f>IFERROR(__xludf.DUMMYFUNCTION("""COMPUTED_VALUE"""),5.0)</f>
        <v>5</v>
      </c>
      <c r="AF767" s="447">
        <f>IFERROR(__xludf.DUMMYFUNCTION("""COMPUTED_VALUE"""),0.0)</f>
        <v>0</v>
      </c>
      <c r="AG767" s="443" t="s">
        <v>91</v>
      </c>
      <c r="AH767" s="443" t="s">
        <v>291</v>
      </c>
      <c r="AI767" s="443"/>
      <c r="AJ767" s="443"/>
      <c r="AK767" s="443"/>
      <c r="AL767" s="443"/>
      <c r="AM767" s="443"/>
      <c r="AN767" s="443"/>
      <c r="AO767" s="443"/>
      <c r="AP767" s="443"/>
      <c r="AQ767" s="443"/>
      <c r="AR767" s="443"/>
      <c r="AS767" s="443"/>
      <c r="AT767" s="443"/>
      <c r="AU767" s="443"/>
      <c r="AV767" s="443"/>
      <c r="AW767" s="443"/>
      <c r="AX767" s="443"/>
      <c r="AY767" s="443"/>
      <c r="AZ767" s="443"/>
      <c r="BA767" s="443"/>
      <c r="BB767" s="443"/>
      <c r="BC767" s="443"/>
      <c r="BD767" s="443"/>
      <c r="BE767" s="443"/>
    </row>
    <row r="768" hidden="1">
      <c r="A768" s="445">
        <f t="shared" si="5"/>
        <v>46058</v>
      </c>
      <c r="B768" s="449">
        <v>462.0</v>
      </c>
      <c r="C768" s="462">
        <v>0.5833333333333334</v>
      </c>
      <c r="D768" s="462">
        <v>0.875</v>
      </c>
      <c r="E768" s="436">
        <f t="array" ref="E768">IF(B768=0,"",(J768+K768)/60)</f>
        <v>0.7333333333</v>
      </c>
      <c r="F768" s="437">
        <f t="shared" si="1"/>
        <v>7</v>
      </c>
      <c r="G768" s="438">
        <f t="shared" si="9"/>
        <v>66</v>
      </c>
      <c r="H768" s="438">
        <f t="shared" si="3"/>
        <v>73.72340426</v>
      </c>
      <c r="I768" s="436">
        <f t="shared" si="10"/>
        <v>1.32</v>
      </c>
      <c r="J768" s="460">
        <v>30.0</v>
      </c>
      <c r="K768" s="464">
        <f>14</f>
        <v>14</v>
      </c>
      <c r="L768" s="449"/>
      <c r="M768" s="447">
        <f>IFERROR(__xludf.DUMMYFUNCTION("""COMPUTED_VALUE"""),57.0)</f>
        <v>57</v>
      </c>
      <c r="N768" s="447">
        <f>IFERROR(__xludf.DUMMYFUNCTION("""COMPUTED_VALUE"""),57.0)</f>
        <v>57</v>
      </c>
      <c r="O768" s="447">
        <f>IFERROR(__xludf.DUMMYFUNCTION("""COMPUTED_VALUE"""),0.0)</f>
        <v>0</v>
      </c>
      <c r="P768" s="447">
        <f>IFERROR(__xludf.DUMMYFUNCTION("""COMPUTED_VALUE"""),0.0)</f>
        <v>0</v>
      </c>
      <c r="Q768" s="447">
        <f>IFERROR(__xludf.DUMMYFUNCTION("""COMPUTED_VALUE"""),0.0)</f>
        <v>0</v>
      </c>
      <c r="R768" s="447">
        <f>IFERROR(__xludf.DUMMYFUNCTION("""COMPUTED_VALUE"""),0.0)</f>
        <v>0</v>
      </c>
      <c r="S768" s="447">
        <f>IFERROR(__xludf.DUMMYFUNCTION("""COMPUTED_VALUE"""),0.0)</f>
        <v>0</v>
      </c>
      <c r="T768" s="447">
        <f>IFERROR(__xludf.DUMMYFUNCTION("""COMPUTED_VALUE"""),0.0)</f>
        <v>0</v>
      </c>
      <c r="U768" s="447">
        <f>IFERROR(__xludf.DUMMYFUNCTION("""COMPUTED_VALUE"""),0.0)</f>
        <v>0</v>
      </c>
      <c r="V768" s="447">
        <f>IFERROR(__xludf.DUMMYFUNCTION("""COMPUTED_VALUE"""),3.0)</f>
        <v>3</v>
      </c>
      <c r="W768" s="447">
        <f>IFERROR(__xludf.DUMMYFUNCTION("""COMPUTED_VALUE"""),0.0)</f>
        <v>0</v>
      </c>
      <c r="X768" s="447">
        <f>IFERROR(__xludf.DUMMYFUNCTION("""COMPUTED_VALUE"""),1.0)</f>
        <v>1</v>
      </c>
      <c r="Y768" s="447">
        <f>IFERROR(__xludf.DUMMYFUNCTION("""COMPUTED_VALUE"""),0.0)</f>
        <v>0</v>
      </c>
      <c r="Z768" s="447">
        <f>IFERROR(__xludf.DUMMYFUNCTION("""COMPUTED_VALUE"""),0.0)</f>
        <v>0</v>
      </c>
      <c r="AA768" s="447">
        <f>IFERROR(__xludf.DUMMYFUNCTION("""COMPUTED_VALUE"""),0.0)</f>
        <v>0</v>
      </c>
      <c r="AB768" s="447">
        <f>IFERROR(__xludf.DUMMYFUNCTION("""COMPUTED_VALUE"""),0.0)</f>
        <v>0</v>
      </c>
      <c r="AC768" s="447">
        <f>IFERROR(__xludf.DUMMYFUNCTION("""COMPUTED_VALUE"""),0.0)</f>
        <v>0</v>
      </c>
      <c r="AD768" s="447">
        <f>IFERROR(__xludf.DUMMYFUNCTION("""COMPUTED_VALUE"""),50.0)</f>
        <v>50</v>
      </c>
      <c r="AE768" s="447">
        <f>IFERROR(__xludf.DUMMYFUNCTION("""COMPUTED_VALUE"""),4.0)</f>
        <v>4</v>
      </c>
      <c r="AF768" s="447">
        <f>IFERROR(__xludf.DUMMYFUNCTION("""COMPUTED_VALUE"""),0.0)</f>
        <v>0</v>
      </c>
      <c r="AG768" s="443" t="s">
        <v>91</v>
      </c>
      <c r="AH768" s="443" t="s">
        <v>291</v>
      </c>
      <c r="AI768" s="443"/>
      <c r="AJ768" s="443"/>
      <c r="AK768" s="443"/>
      <c r="AL768" s="443"/>
      <c r="AM768" s="443"/>
      <c r="AN768" s="443"/>
      <c r="AO768" s="443"/>
      <c r="AP768" s="443"/>
      <c r="AQ768" s="443"/>
      <c r="AR768" s="443"/>
      <c r="AS768" s="443"/>
      <c r="AT768" s="443"/>
      <c r="AU768" s="443"/>
      <c r="AV768" s="443"/>
      <c r="AW768" s="443"/>
      <c r="AX768" s="443"/>
      <c r="AY768" s="443"/>
      <c r="AZ768" s="443"/>
      <c r="BA768" s="443"/>
      <c r="BB768" s="443"/>
      <c r="BC768" s="443"/>
      <c r="BD768" s="443"/>
      <c r="BE768" s="443"/>
    </row>
    <row r="769" hidden="1">
      <c r="A769" s="445">
        <f t="shared" si="5"/>
        <v>46059</v>
      </c>
      <c r="B769" s="449">
        <v>363.0</v>
      </c>
      <c r="C769" s="462">
        <v>0.5833333333333334</v>
      </c>
      <c r="D769" s="462">
        <v>0.8722222222222222</v>
      </c>
      <c r="E769" s="436">
        <f t="array" ref="E769">IF(B769=0,"",(J769+K769)/60)</f>
        <v>0.5</v>
      </c>
      <c r="F769" s="437">
        <f t="shared" si="1"/>
        <v>6.933333333</v>
      </c>
      <c r="G769" s="438">
        <f t="shared" si="9"/>
        <v>52.35576923</v>
      </c>
      <c r="H769" s="438">
        <f t="shared" si="3"/>
        <v>56.42487047</v>
      </c>
      <c r="I769" s="436">
        <f t="shared" si="10"/>
        <v>1.090745192</v>
      </c>
      <c r="J769" s="460">
        <v>30.0</v>
      </c>
      <c r="K769" s="460">
        <v>0.0</v>
      </c>
      <c r="L769" s="449" t="s">
        <v>985</v>
      </c>
      <c r="M769" s="447">
        <f>IFERROR(__xludf.DUMMYFUNCTION("""COMPUTED_VALUE"""),57.0)</f>
        <v>57</v>
      </c>
      <c r="N769" s="447">
        <f>IFERROR(__xludf.DUMMYFUNCTION("""COMPUTED_VALUE"""),57.0)</f>
        <v>57</v>
      </c>
      <c r="O769" s="447">
        <f>IFERROR(__xludf.DUMMYFUNCTION("""COMPUTED_VALUE"""),0.0)</f>
        <v>0</v>
      </c>
      <c r="P769" s="447">
        <f>IFERROR(__xludf.DUMMYFUNCTION("""COMPUTED_VALUE"""),0.0)</f>
        <v>0</v>
      </c>
      <c r="Q769" s="447">
        <f>IFERROR(__xludf.DUMMYFUNCTION("""COMPUTED_VALUE"""),0.0)</f>
        <v>0</v>
      </c>
      <c r="R769" s="447">
        <f>IFERROR(__xludf.DUMMYFUNCTION("""COMPUTED_VALUE"""),0.0)</f>
        <v>0</v>
      </c>
      <c r="S769" s="447">
        <f>IFERROR(__xludf.DUMMYFUNCTION("""COMPUTED_VALUE"""),1.0)</f>
        <v>1</v>
      </c>
      <c r="T769" s="447">
        <f>IFERROR(__xludf.DUMMYFUNCTION("""COMPUTED_VALUE"""),1.0)</f>
        <v>1</v>
      </c>
      <c r="U769" s="447">
        <f>IFERROR(__xludf.DUMMYFUNCTION("""COMPUTED_VALUE"""),0.0)</f>
        <v>0</v>
      </c>
      <c r="V769" s="447">
        <f>IFERROR(__xludf.DUMMYFUNCTION("""COMPUTED_VALUE"""),3.0)</f>
        <v>3</v>
      </c>
      <c r="W769" s="447">
        <f>IFERROR(__xludf.DUMMYFUNCTION("""COMPUTED_VALUE"""),0.0)</f>
        <v>0</v>
      </c>
      <c r="X769" s="447">
        <f>IFERROR(__xludf.DUMMYFUNCTION("""COMPUTED_VALUE"""),1.0)</f>
        <v>1</v>
      </c>
      <c r="Y769" s="447">
        <f>IFERROR(__xludf.DUMMYFUNCTION("""COMPUTED_VALUE"""),0.0)</f>
        <v>0</v>
      </c>
      <c r="Z769" s="447">
        <f>IFERROR(__xludf.DUMMYFUNCTION("""COMPUTED_VALUE"""),0.0)</f>
        <v>0</v>
      </c>
      <c r="AA769" s="447">
        <f>IFERROR(__xludf.DUMMYFUNCTION("""COMPUTED_VALUE"""),0.0)</f>
        <v>0</v>
      </c>
      <c r="AB769" s="447">
        <f>IFERROR(__xludf.DUMMYFUNCTION("""COMPUTED_VALUE"""),0.0)</f>
        <v>0</v>
      </c>
      <c r="AC769" s="447">
        <f>IFERROR(__xludf.DUMMYFUNCTION("""COMPUTED_VALUE"""),0.0)</f>
        <v>0</v>
      </c>
      <c r="AD769" s="447">
        <f>IFERROR(__xludf.DUMMYFUNCTION("""COMPUTED_VALUE"""),48.0)</f>
        <v>48</v>
      </c>
      <c r="AE769" s="447">
        <f>IFERROR(__xludf.DUMMYFUNCTION("""COMPUTED_VALUE"""),6.0)</f>
        <v>6</v>
      </c>
      <c r="AF769" s="447">
        <f>IFERROR(__xludf.DUMMYFUNCTION("""COMPUTED_VALUE"""),0.0)</f>
        <v>0</v>
      </c>
      <c r="AG769" s="443" t="s">
        <v>91</v>
      </c>
      <c r="AH769" s="443" t="s">
        <v>291</v>
      </c>
      <c r="AI769" s="443"/>
      <c r="AJ769" s="443"/>
      <c r="AK769" s="443"/>
      <c r="AL769" s="443"/>
      <c r="AM769" s="443"/>
      <c r="AN769" s="443"/>
      <c r="AO769" s="443"/>
      <c r="AP769" s="443"/>
      <c r="AQ769" s="443"/>
      <c r="AR769" s="443"/>
      <c r="AS769" s="443"/>
      <c r="AT769" s="443"/>
      <c r="AU769" s="443"/>
      <c r="AV769" s="443"/>
      <c r="AW769" s="443"/>
      <c r="AX769" s="443"/>
      <c r="AY769" s="443"/>
      <c r="AZ769" s="443"/>
      <c r="BA769" s="443"/>
      <c r="BB769" s="443"/>
      <c r="BC769" s="443"/>
      <c r="BD769" s="443"/>
      <c r="BE769" s="443"/>
    </row>
    <row r="770" hidden="1">
      <c r="A770" s="445">
        <f t="shared" si="5"/>
        <v>46060</v>
      </c>
      <c r="B770" s="449">
        <v>337.0</v>
      </c>
      <c r="C770" s="462">
        <v>0.5833333333333334</v>
      </c>
      <c r="D770" s="462">
        <v>0.8069444444444445</v>
      </c>
      <c r="E770" s="436">
        <f t="array" ref="E770">IF(B770=0,"",(J770+K770)/60)</f>
        <v>0.3</v>
      </c>
      <c r="F770" s="437">
        <f t="shared" si="1"/>
        <v>5.366666667</v>
      </c>
      <c r="G770" s="438">
        <f t="shared" si="9"/>
        <v>62.79503106</v>
      </c>
      <c r="H770" s="438">
        <f t="shared" si="3"/>
        <v>66.51315789</v>
      </c>
      <c r="I770" s="436">
        <f t="shared" si="10"/>
        <v>1.308229814</v>
      </c>
      <c r="J770" s="460">
        <v>0.0</v>
      </c>
      <c r="K770" s="460">
        <v>18.0</v>
      </c>
      <c r="L770" s="449" t="s">
        <v>986</v>
      </c>
      <c r="M770" s="447">
        <f>IFERROR(__xludf.DUMMYFUNCTION("""COMPUTED_VALUE"""),57.0)</f>
        <v>57</v>
      </c>
      <c r="N770" s="447">
        <f>IFERROR(__xludf.DUMMYFUNCTION("""COMPUTED_VALUE"""),57.0)</f>
        <v>57</v>
      </c>
      <c r="O770" s="447">
        <f>IFERROR(__xludf.DUMMYFUNCTION("""COMPUTED_VALUE"""),0.0)</f>
        <v>0</v>
      </c>
      <c r="P770" s="447">
        <f>IFERROR(__xludf.DUMMYFUNCTION("""COMPUTED_VALUE"""),0.0)</f>
        <v>0</v>
      </c>
      <c r="Q770" s="447">
        <f>IFERROR(__xludf.DUMMYFUNCTION("""COMPUTED_VALUE"""),0.0)</f>
        <v>0</v>
      </c>
      <c r="R770" s="447">
        <f>IFERROR(__xludf.DUMMYFUNCTION("""COMPUTED_VALUE"""),0.0)</f>
        <v>0</v>
      </c>
      <c r="S770" s="447">
        <f>IFERROR(__xludf.DUMMYFUNCTION("""COMPUTED_VALUE"""),1.0)</f>
        <v>1</v>
      </c>
      <c r="T770" s="447">
        <f>IFERROR(__xludf.DUMMYFUNCTION("""COMPUTED_VALUE"""),1.0)</f>
        <v>1</v>
      </c>
      <c r="U770" s="447">
        <f>IFERROR(__xludf.DUMMYFUNCTION("""COMPUTED_VALUE"""),0.0)</f>
        <v>0</v>
      </c>
      <c r="V770" s="447">
        <f>IFERROR(__xludf.DUMMYFUNCTION("""COMPUTED_VALUE"""),3.0)</f>
        <v>3</v>
      </c>
      <c r="W770" s="447">
        <f>IFERROR(__xludf.DUMMYFUNCTION("""COMPUTED_VALUE"""),0.0)</f>
        <v>0</v>
      </c>
      <c r="X770" s="447">
        <f>IFERROR(__xludf.DUMMYFUNCTION("""COMPUTED_VALUE"""),1.0)</f>
        <v>1</v>
      </c>
      <c r="Y770" s="447">
        <f>IFERROR(__xludf.DUMMYFUNCTION("""COMPUTED_VALUE"""),0.0)</f>
        <v>0</v>
      </c>
      <c r="Z770" s="447">
        <f>IFERROR(__xludf.DUMMYFUNCTION("""COMPUTED_VALUE"""),0.0)</f>
        <v>0</v>
      </c>
      <c r="AA770" s="447">
        <f>IFERROR(__xludf.DUMMYFUNCTION("""COMPUTED_VALUE"""),0.0)</f>
        <v>0</v>
      </c>
      <c r="AB770" s="447">
        <f>IFERROR(__xludf.DUMMYFUNCTION("""COMPUTED_VALUE"""),0.0)</f>
        <v>0</v>
      </c>
      <c r="AC770" s="447">
        <f>IFERROR(__xludf.DUMMYFUNCTION("""COMPUTED_VALUE"""),0.0)</f>
        <v>0</v>
      </c>
      <c r="AD770" s="447">
        <f>IFERROR(__xludf.DUMMYFUNCTION("""COMPUTED_VALUE"""),48.0)</f>
        <v>48</v>
      </c>
      <c r="AE770" s="447">
        <f>IFERROR(__xludf.DUMMYFUNCTION("""COMPUTED_VALUE"""),6.0)</f>
        <v>6</v>
      </c>
      <c r="AF770" s="447">
        <f>IFERROR(__xludf.DUMMYFUNCTION("""COMPUTED_VALUE"""),0.0)</f>
        <v>0</v>
      </c>
      <c r="AG770" s="443" t="s">
        <v>91</v>
      </c>
      <c r="AH770" s="443" t="s">
        <v>291</v>
      </c>
      <c r="AI770" s="443"/>
      <c r="AJ770" s="443"/>
      <c r="AK770" s="443"/>
      <c r="AL770" s="443"/>
      <c r="AM770" s="443"/>
      <c r="AN770" s="443"/>
      <c r="AO770" s="443"/>
      <c r="AP770" s="443"/>
      <c r="AQ770" s="443"/>
      <c r="AR770" s="443"/>
      <c r="AS770" s="443"/>
      <c r="AT770" s="443"/>
      <c r="AU770" s="443"/>
      <c r="AV770" s="443"/>
      <c r="AW770" s="443"/>
      <c r="AX770" s="443"/>
      <c r="AY770" s="443"/>
      <c r="AZ770" s="443"/>
      <c r="BA770" s="443"/>
      <c r="BB770" s="443"/>
      <c r="BC770" s="443"/>
      <c r="BD770" s="443"/>
      <c r="BE770" s="443"/>
    </row>
    <row r="771" hidden="1">
      <c r="A771" s="445">
        <f t="shared" si="5"/>
        <v>46061</v>
      </c>
      <c r="B771" s="449">
        <v>0.0</v>
      </c>
      <c r="C771" s="443"/>
      <c r="D771" s="462"/>
      <c r="E771" s="436" t="str">
        <f t="array" ref="E771">IF(B771=0,"",(J771+K771)/60)</f>
        <v/>
      </c>
      <c r="F771" s="437" t="str">
        <f t="shared" si="1"/>
        <v/>
      </c>
      <c r="G771" s="438" t="str">
        <f t="shared" si="9"/>
        <v>#DIV/0!</v>
      </c>
      <c r="H771" s="438" t="str">
        <f t="shared" si="3"/>
        <v/>
      </c>
      <c r="I771" s="436" t="str">
        <f t="shared" si="10"/>
        <v/>
      </c>
      <c r="J771" s="464"/>
      <c r="K771" s="464"/>
      <c r="L771" s="443"/>
      <c r="M771" s="447">
        <f>IFERROR(__xludf.DUMMYFUNCTION("""COMPUTED_VALUE"""),57.0)</f>
        <v>57</v>
      </c>
      <c r="N771" s="447">
        <f>IFERROR(__xludf.DUMMYFUNCTION("""COMPUTED_VALUE"""),57.0)</f>
        <v>57</v>
      </c>
      <c r="O771" s="447">
        <f>IFERROR(__xludf.DUMMYFUNCTION("""COMPUTED_VALUE"""),0.0)</f>
        <v>0</v>
      </c>
      <c r="P771" s="447">
        <f>IFERROR(__xludf.DUMMYFUNCTION("""COMPUTED_VALUE"""),0.0)</f>
        <v>0</v>
      </c>
      <c r="Q771" s="447">
        <f>IFERROR(__xludf.DUMMYFUNCTION("""COMPUTED_VALUE"""),0.0)</f>
        <v>0</v>
      </c>
      <c r="R771" s="447">
        <f>IFERROR(__xludf.DUMMYFUNCTION("""COMPUTED_VALUE"""),0.0)</f>
        <v>0</v>
      </c>
      <c r="S771" s="447">
        <f>IFERROR(__xludf.DUMMYFUNCTION("""COMPUTED_VALUE"""),0.0)</f>
        <v>0</v>
      </c>
      <c r="T771" s="447">
        <f>IFERROR(__xludf.DUMMYFUNCTION("""COMPUTED_VALUE"""),0.0)</f>
        <v>0</v>
      </c>
      <c r="U771" s="447">
        <f>IFERROR(__xludf.DUMMYFUNCTION("""COMPUTED_VALUE"""),0.0)</f>
        <v>0</v>
      </c>
      <c r="V771" s="447">
        <f>IFERROR(__xludf.DUMMYFUNCTION("""COMPUTED_VALUE"""),0.0)</f>
        <v>0</v>
      </c>
      <c r="W771" s="447">
        <f>IFERROR(__xludf.DUMMYFUNCTION("""COMPUTED_VALUE"""),0.0)</f>
        <v>0</v>
      </c>
      <c r="X771" s="447">
        <f>IFERROR(__xludf.DUMMYFUNCTION("""COMPUTED_VALUE"""),0.0)</f>
        <v>0</v>
      </c>
      <c r="Y771" s="447">
        <f>IFERROR(__xludf.DUMMYFUNCTION("""COMPUTED_VALUE"""),0.0)</f>
        <v>0</v>
      </c>
      <c r="Z771" s="447">
        <f>IFERROR(__xludf.DUMMYFUNCTION("""COMPUTED_VALUE"""),0.0)</f>
        <v>0</v>
      </c>
      <c r="AA771" s="447">
        <f>IFERROR(__xludf.DUMMYFUNCTION("""COMPUTED_VALUE"""),0.0)</f>
        <v>0</v>
      </c>
      <c r="AB771" s="447">
        <f>IFERROR(__xludf.DUMMYFUNCTION("""COMPUTED_VALUE"""),0.0)</f>
        <v>0</v>
      </c>
      <c r="AC771" s="447">
        <f>IFERROR(__xludf.DUMMYFUNCTION("""COMPUTED_VALUE"""),0.0)</f>
        <v>0</v>
      </c>
      <c r="AD771" s="447">
        <f>IFERROR(__xludf.DUMMYFUNCTION("""COMPUTED_VALUE"""),0.0)</f>
        <v>0</v>
      </c>
      <c r="AE771" s="447">
        <f>IFERROR(__xludf.DUMMYFUNCTION("""COMPUTED_VALUE"""),0.0)</f>
        <v>0</v>
      </c>
      <c r="AF771" s="447">
        <f>IFERROR(__xludf.DUMMYFUNCTION("""COMPUTED_VALUE"""),0.0)</f>
        <v>0</v>
      </c>
      <c r="AG771" s="443" t="s">
        <v>91</v>
      </c>
      <c r="AH771" s="443" t="s">
        <v>291</v>
      </c>
      <c r="AI771" s="443"/>
      <c r="AJ771" s="443"/>
      <c r="AK771" s="443"/>
      <c r="AL771" s="443"/>
      <c r="AM771" s="443"/>
      <c r="AN771" s="443"/>
      <c r="AO771" s="443"/>
      <c r="AP771" s="443"/>
      <c r="AQ771" s="443"/>
      <c r="AR771" s="443"/>
      <c r="AS771" s="443"/>
      <c r="AT771" s="443"/>
      <c r="AU771" s="443"/>
      <c r="AV771" s="443"/>
      <c r="AW771" s="443"/>
      <c r="AX771" s="443"/>
      <c r="AY771" s="443"/>
      <c r="AZ771" s="443"/>
      <c r="BA771" s="443"/>
      <c r="BB771" s="443"/>
      <c r="BC771" s="443"/>
      <c r="BD771" s="443"/>
      <c r="BE771" s="443"/>
    </row>
    <row r="772" hidden="1">
      <c r="A772" s="445">
        <f t="shared" si="5"/>
        <v>46062</v>
      </c>
      <c r="B772" s="449">
        <v>677.0</v>
      </c>
      <c r="C772" s="462">
        <v>0.5833333333333334</v>
      </c>
      <c r="D772" s="462">
        <v>1.0104166666666667</v>
      </c>
      <c r="E772" s="436">
        <f t="array" ref="E772">IF(B772=0,"",(J772+K772)/60)</f>
        <v>1.25</v>
      </c>
      <c r="F772" s="437">
        <f t="shared" si="1"/>
        <v>10.25</v>
      </c>
      <c r="G772" s="438">
        <f t="shared" si="9"/>
        <v>66.04878049</v>
      </c>
      <c r="H772" s="438">
        <f t="shared" si="3"/>
        <v>75.22222222</v>
      </c>
      <c r="I772" s="436">
        <f t="shared" si="10"/>
        <v>1.405293202</v>
      </c>
      <c r="J772" s="460">
        <v>60.0</v>
      </c>
      <c r="K772" s="464">
        <f>5+10</f>
        <v>15</v>
      </c>
      <c r="L772" s="449" t="s">
        <v>983</v>
      </c>
      <c r="M772" s="447">
        <f>IFERROR(__xludf.DUMMYFUNCTION("""COMPUTED_VALUE"""),57.0)</f>
        <v>57</v>
      </c>
      <c r="N772" s="447">
        <f>IFERROR(__xludf.DUMMYFUNCTION("""COMPUTED_VALUE"""),56.0)</f>
        <v>56</v>
      </c>
      <c r="O772" s="447">
        <f>IFERROR(__xludf.DUMMYFUNCTION("""COMPUTED_VALUE"""),0.0)</f>
        <v>0</v>
      </c>
      <c r="P772" s="447">
        <f>IFERROR(__xludf.DUMMYFUNCTION("""COMPUTED_VALUE"""),0.0)</f>
        <v>0</v>
      </c>
      <c r="Q772" s="447">
        <f>IFERROR(__xludf.DUMMYFUNCTION("""COMPUTED_VALUE"""),0.0)</f>
        <v>0</v>
      </c>
      <c r="R772" s="447">
        <f>IFERROR(__xludf.DUMMYFUNCTION("""COMPUTED_VALUE"""),0.0)</f>
        <v>0</v>
      </c>
      <c r="S772" s="447">
        <f>IFERROR(__xludf.DUMMYFUNCTION("""COMPUTED_VALUE"""),0.0)</f>
        <v>0</v>
      </c>
      <c r="T772" s="447">
        <f>IFERROR(__xludf.DUMMYFUNCTION("""COMPUTED_VALUE"""),1.0)</f>
        <v>1</v>
      </c>
      <c r="U772" s="447">
        <f>IFERROR(__xludf.DUMMYFUNCTION("""COMPUTED_VALUE"""),1.0)</f>
        <v>1</v>
      </c>
      <c r="V772" s="447">
        <f>IFERROR(__xludf.DUMMYFUNCTION("""COMPUTED_VALUE"""),0.0)</f>
        <v>0</v>
      </c>
      <c r="W772" s="447">
        <f>IFERROR(__xludf.DUMMYFUNCTION("""COMPUTED_VALUE"""),1.0)</f>
        <v>1</v>
      </c>
      <c r="X772" s="447">
        <f>IFERROR(__xludf.DUMMYFUNCTION("""COMPUTED_VALUE"""),1.0)</f>
        <v>1</v>
      </c>
      <c r="Y772" s="447">
        <f>IFERROR(__xludf.DUMMYFUNCTION("""COMPUTED_VALUE"""),0.0)</f>
        <v>0</v>
      </c>
      <c r="Z772" s="447">
        <f>IFERROR(__xludf.DUMMYFUNCTION("""COMPUTED_VALUE"""),0.0)</f>
        <v>0</v>
      </c>
      <c r="AA772" s="447">
        <f>IFERROR(__xludf.DUMMYFUNCTION("""COMPUTED_VALUE"""),3.0)</f>
        <v>3</v>
      </c>
      <c r="AB772" s="447">
        <f>IFERROR(__xludf.DUMMYFUNCTION("""COMPUTED_VALUE"""),0.0)</f>
        <v>0</v>
      </c>
      <c r="AC772" s="447">
        <f>IFERROR(__xludf.DUMMYFUNCTION("""COMPUTED_VALUE"""),0.0)</f>
        <v>0</v>
      </c>
      <c r="AD772" s="447">
        <f>IFERROR(__xludf.DUMMYFUNCTION("""COMPUTED_VALUE"""),47.0)</f>
        <v>47</v>
      </c>
      <c r="AE772" s="447">
        <f>IFERROR(__xludf.DUMMYFUNCTION("""COMPUTED_VALUE"""),7.0)</f>
        <v>7</v>
      </c>
      <c r="AF772" s="447">
        <f>IFERROR(__xludf.DUMMYFUNCTION("""COMPUTED_VALUE"""),1.0)</f>
        <v>1</v>
      </c>
      <c r="AG772" s="443" t="s">
        <v>91</v>
      </c>
      <c r="AH772" s="443" t="s">
        <v>291</v>
      </c>
      <c r="AI772" s="443"/>
      <c r="AJ772" s="443"/>
      <c r="AK772" s="443"/>
      <c r="AL772" s="443"/>
      <c r="AM772" s="443"/>
      <c r="AN772" s="443"/>
      <c r="AO772" s="443"/>
      <c r="AP772" s="443"/>
      <c r="AQ772" s="443"/>
      <c r="AR772" s="443"/>
      <c r="AS772" s="443"/>
      <c r="AT772" s="443"/>
      <c r="AU772" s="443"/>
      <c r="AV772" s="443"/>
      <c r="AW772" s="443"/>
      <c r="AX772" s="443"/>
      <c r="AY772" s="443"/>
      <c r="AZ772" s="443"/>
      <c r="BA772" s="443"/>
      <c r="BB772" s="443"/>
      <c r="BC772" s="443"/>
      <c r="BD772" s="443"/>
      <c r="BE772" s="443"/>
    </row>
    <row r="773" hidden="1">
      <c r="A773" s="445">
        <f t="shared" si="5"/>
        <v>46063</v>
      </c>
      <c r="B773" s="449">
        <v>509.0</v>
      </c>
      <c r="C773" s="462">
        <v>0.5833333333333334</v>
      </c>
      <c r="D773" s="462">
        <v>0.9166666666666666</v>
      </c>
      <c r="E773" s="436">
        <f t="array" ref="E773">IF(B773=0,"",(J773+K773)/60)</f>
        <v>0.9666666667</v>
      </c>
      <c r="F773" s="437">
        <f t="shared" si="1"/>
        <v>8</v>
      </c>
      <c r="G773" s="438">
        <f t="shared" si="9"/>
        <v>63.625</v>
      </c>
      <c r="H773" s="438">
        <f t="shared" si="3"/>
        <v>72.36966825</v>
      </c>
      <c r="I773" s="436">
        <f t="shared" si="10"/>
        <v>1.383152174</v>
      </c>
      <c r="J773" s="460">
        <v>30.0</v>
      </c>
      <c r="K773" s="460">
        <f>4+4+10+10</f>
        <v>28</v>
      </c>
      <c r="L773" s="449" t="s">
        <v>983</v>
      </c>
      <c r="M773" s="447">
        <f>IFERROR(__xludf.DUMMYFUNCTION("""COMPUTED_VALUE"""),57.0)</f>
        <v>57</v>
      </c>
      <c r="N773" s="447">
        <f>IFERROR(__xludf.DUMMYFUNCTION("""COMPUTED_VALUE"""),56.0)</f>
        <v>56</v>
      </c>
      <c r="O773" s="447">
        <f>IFERROR(__xludf.DUMMYFUNCTION("""COMPUTED_VALUE"""),0.0)</f>
        <v>0</v>
      </c>
      <c r="P773" s="447">
        <f>IFERROR(__xludf.DUMMYFUNCTION("""COMPUTED_VALUE"""),0.0)</f>
        <v>0</v>
      </c>
      <c r="Q773" s="447">
        <f>IFERROR(__xludf.DUMMYFUNCTION("""COMPUTED_VALUE"""),0.0)</f>
        <v>0</v>
      </c>
      <c r="R773" s="447">
        <f>IFERROR(__xludf.DUMMYFUNCTION("""COMPUTED_VALUE"""),0.0)</f>
        <v>0</v>
      </c>
      <c r="S773" s="447">
        <f>IFERROR(__xludf.DUMMYFUNCTION("""COMPUTED_VALUE"""),0.0)</f>
        <v>0</v>
      </c>
      <c r="T773" s="447">
        <f>IFERROR(__xludf.DUMMYFUNCTION("""COMPUTED_VALUE"""),1.0)</f>
        <v>1</v>
      </c>
      <c r="U773" s="447">
        <f>IFERROR(__xludf.DUMMYFUNCTION("""COMPUTED_VALUE"""),1.0)</f>
        <v>1</v>
      </c>
      <c r="V773" s="447">
        <f>IFERROR(__xludf.DUMMYFUNCTION("""COMPUTED_VALUE"""),3.0)</f>
        <v>3</v>
      </c>
      <c r="W773" s="447">
        <f>IFERROR(__xludf.DUMMYFUNCTION("""COMPUTED_VALUE"""),1.0)</f>
        <v>1</v>
      </c>
      <c r="X773" s="447">
        <f>IFERROR(__xludf.DUMMYFUNCTION("""COMPUTED_VALUE"""),1.0)</f>
        <v>1</v>
      </c>
      <c r="Y773" s="447">
        <f>IFERROR(__xludf.DUMMYFUNCTION("""COMPUTED_VALUE"""),0.0)</f>
        <v>0</v>
      </c>
      <c r="Z773" s="447">
        <f>IFERROR(__xludf.DUMMYFUNCTION("""COMPUTED_VALUE"""),0.0)</f>
        <v>0</v>
      </c>
      <c r="AA773" s="447">
        <f>IFERROR(__xludf.DUMMYFUNCTION("""COMPUTED_VALUE"""),0.0)</f>
        <v>0</v>
      </c>
      <c r="AB773" s="447">
        <f>IFERROR(__xludf.DUMMYFUNCTION("""COMPUTED_VALUE"""),0.0)</f>
        <v>0</v>
      </c>
      <c r="AC773" s="447">
        <f>IFERROR(__xludf.DUMMYFUNCTION("""COMPUTED_VALUE"""),1.0)</f>
        <v>1</v>
      </c>
      <c r="AD773" s="447">
        <f>IFERROR(__xludf.DUMMYFUNCTION("""COMPUTED_VALUE"""),46.0)</f>
        <v>46</v>
      </c>
      <c r="AE773" s="447">
        <f>IFERROR(__xludf.DUMMYFUNCTION("""COMPUTED_VALUE"""),8.0)</f>
        <v>8</v>
      </c>
      <c r="AF773" s="447">
        <f>IFERROR(__xludf.DUMMYFUNCTION("""COMPUTED_VALUE"""),1.0)</f>
        <v>1</v>
      </c>
      <c r="AG773" s="443" t="s">
        <v>91</v>
      </c>
      <c r="AH773" s="443" t="s">
        <v>291</v>
      </c>
      <c r="AI773" s="443"/>
      <c r="AJ773" s="443"/>
      <c r="AK773" s="443"/>
      <c r="AL773" s="443"/>
      <c r="AM773" s="443"/>
      <c r="AN773" s="443"/>
      <c r="AO773" s="443"/>
      <c r="AP773" s="443"/>
      <c r="AQ773" s="443"/>
      <c r="AR773" s="443"/>
      <c r="AS773" s="443"/>
      <c r="AT773" s="443"/>
      <c r="AU773" s="443"/>
      <c r="AV773" s="443"/>
      <c r="AW773" s="443"/>
      <c r="AX773" s="443"/>
      <c r="AY773" s="443"/>
      <c r="AZ773" s="443"/>
      <c r="BA773" s="443"/>
      <c r="BB773" s="443"/>
      <c r="BC773" s="443"/>
      <c r="BD773" s="443"/>
      <c r="BE773" s="443"/>
    </row>
    <row r="774" hidden="1">
      <c r="A774" s="445">
        <f t="shared" si="5"/>
        <v>46064</v>
      </c>
      <c r="B774" s="449">
        <v>406.0</v>
      </c>
      <c r="C774" s="462">
        <v>0.5833333333333334</v>
      </c>
      <c r="D774" s="462">
        <v>0.8715277777777778</v>
      </c>
      <c r="E774" s="436">
        <f t="array" ref="E774">IF(B774=0,"",(J774+K774)/60)</f>
        <v>0.6</v>
      </c>
      <c r="F774" s="437">
        <f t="shared" si="1"/>
        <v>6.916666667</v>
      </c>
      <c r="G774" s="438">
        <f t="shared" si="9"/>
        <v>58.69879518</v>
      </c>
      <c r="H774" s="438">
        <f t="shared" si="3"/>
        <v>64.27440633</v>
      </c>
      <c r="I774" s="436">
        <f t="shared" si="10"/>
        <v>1.276060765</v>
      </c>
      <c r="J774" s="460">
        <v>30.0</v>
      </c>
      <c r="K774" s="460">
        <v>6.0</v>
      </c>
      <c r="L774" s="443"/>
      <c r="M774" s="447">
        <f>IFERROR(__xludf.DUMMYFUNCTION("""COMPUTED_VALUE"""),57.0)</f>
        <v>57</v>
      </c>
      <c r="N774" s="447">
        <f>IFERROR(__xludf.DUMMYFUNCTION("""COMPUTED_VALUE"""),56.0)</f>
        <v>56</v>
      </c>
      <c r="O774" s="447">
        <f>IFERROR(__xludf.DUMMYFUNCTION("""COMPUTED_VALUE"""),0.0)</f>
        <v>0</v>
      </c>
      <c r="P774" s="447">
        <f>IFERROR(__xludf.DUMMYFUNCTION("""COMPUTED_VALUE"""),0.0)</f>
        <v>0</v>
      </c>
      <c r="Q774" s="447">
        <f>IFERROR(__xludf.DUMMYFUNCTION("""COMPUTED_VALUE"""),0.0)</f>
        <v>0</v>
      </c>
      <c r="R774" s="447">
        <f>IFERROR(__xludf.DUMMYFUNCTION("""COMPUTED_VALUE"""),0.0)</f>
        <v>0</v>
      </c>
      <c r="S774" s="447">
        <f>IFERROR(__xludf.DUMMYFUNCTION("""COMPUTED_VALUE"""),1.0)</f>
        <v>1</v>
      </c>
      <c r="T774" s="447">
        <f>IFERROR(__xludf.DUMMYFUNCTION("""COMPUTED_VALUE"""),1.0)</f>
        <v>1</v>
      </c>
      <c r="U774" s="447">
        <f>IFERROR(__xludf.DUMMYFUNCTION("""COMPUTED_VALUE"""),1.0)</f>
        <v>1</v>
      </c>
      <c r="V774" s="447">
        <f>IFERROR(__xludf.DUMMYFUNCTION("""COMPUTED_VALUE"""),3.0)</f>
        <v>3</v>
      </c>
      <c r="W774" s="447">
        <f>IFERROR(__xludf.DUMMYFUNCTION("""COMPUTED_VALUE"""),0.0)</f>
        <v>0</v>
      </c>
      <c r="X774" s="447">
        <f>IFERROR(__xludf.DUMMYFUNCTION("""COMPUTED_VALUE"""),1.0)</f>
        <v>1</v>
      </c>
      <c r="Y774" s="447">
        <f>IFERROR(__xludf.DUMMYFUNCTION("""COMPUTED_VALUE"""),0.0)</f>
        <v>0</v>
      </c>
      <c r="Z774" s="447">
        <f>IFERROR(__xludf.DUMMYFUNCTION("""COMPUTED_VALUE"""),0.0)</f>
        <v>0</v>
      </c>
      <c r="AA774" s="447">
        <f>IFERROR(__xludf.DUMMYFUNCTION("""COMPUTED_VALUE"""),0.0)</f>
        <v>0</v>
      </c>
      <c r="AB774" s="447">
        <f>IFERROR(__xludf.DUMMYFUNCTION("""COMPUTED_VALUE"""),0.0)</f>
        <v>0</v>
      </c>
      <c r="AC774" s="447">
        <f>IFERROR(__xludf.DUMMYFUNCTION("""COMPUTED_VALUE"""),1.0)</f>
        <v>1</v>
      </c>
      <c r="AD774" s="447">
        <f>IFERROR(__xludf.DUMMYFUNCTION("""COMPUTED_VALUE"""),46.0)</f>
        <v>46</v>
      </c>
      <c r="AE774" s="447">
        <f>IFERROR(__xludf.DUMMYFUNCTION("""COMPUTED_VALUE"""),8.0)</f>
        <v>8</v>
      </c>
      <c r="AF774" s="447">
        <f>IFERROR(__xludf.DUMMYFUNCTION("""COMPUTED_VALUE"""),1.0)</f>
        <v>1</v>
      </c>
      <c r="AG774" s="443" t="s">
        <v>91</v>
      </c>
      <c r="AH774" s="443" t="s">
        <v>291</v>
      </c>
      <c r="AI774" s="443"/>
      <c r="AJ774" s="443"/>
      <c r="AK774" s="443"/>
      <c r="AL774" s="443"/>
      <c r="AM774" s="443"/>
      <c r="AN774" s="443"/>
      <c r="AO774" s="443"/>
      <c r="AP774" s="443"/>
      <c r="AQ774" s="443"/>
      <c r="AR774" s="443"/>
      <c r="AS774" s="443"/>
      <c r="AT774" s="443"/>
      <c r="AU774" s="443"/>
      <c r="AV774" s="443"/>
      <c r="AW774" s="443"/>
      <c r="AX774" s="443"/>
      <c r="AY774" s="443"/>
      <c r="AZ774" s="443"/>
      <c r="BA774" s="443"/>
      <c r="BB774" s="443"/>
      <c r="BC774" s="443"/>
      <c r="BD774" s="443"/>
      <c r="BE774" s="443"/>
    </row>
    <row r="775" hidden="1">
      <c r="A775" s="445">
        <f t="shared" si="5"/>
        <v>46065</v>
      </c>
      <c r="B775" s="449">
        <v>640.0</v>
      </c>
      <c r="C775" s="462">
        <v>0.6041666666666666</v>
      </c>
      <c r="D775" s="462">
        <v>1.03125</v>
      </c>
      <c r="E775" s="436">
        <f t="array" ref="E775">IF(B775=0,"",(J775+K775)/60)</f>
        <v>1</v>
      </c>
      <c r="F775" s="437">
        <f t="shared" si="1"/>
        <v>10.25</v>
      </c>
      <c r="G775" s="438">
        <f t="shared" si="9"/>
        <v>62.43902439</v>
      </c>
      <c r="H775" s="438">
        <f t="shared" si="3"/>
        <v>69.18918919</v>
      </c>
      <c r="I775" s="436">
        <f t="shared" si="10"/>
        <v>1.387533875</v>
      </c>
      <c r="J775" s="460">
        <v>60.0</v>
      </c>
      <c r="K775" s="460">
        <v>0.0</v>
      </c>
      <c r="L775" s="449" t="s">
        <v>987</v>
      </c>
      <c r="M775" s="447">
        <f>IFERROR(__xludf.DUMMYFUNCTION("""COMPUTED_VALUE"""),57.0)</f>
        <v>57</v>
      </c>
      <c r="N775" s="447">
        <f>IFERROR(__xludf.DUMMYFUNCTION("""COMPUTED_VALUE"""),56.0)</f>
        <v>56</v>
      </c>
      <c r="O775" s="447">
        <f>IFERROR(__xludf.DUMMYFUNCTION("""COMPUTED_VALUE"""),0.0)</f>
        <v>0</v>
      </c>
      <c r="P775" s="447">
        <f>IFERROR(__xludf.DUMMYFUNCTION("""COMPUTED_VALUE"""),0.0)</f>
        <v>0</v>
      </c>
      <c r="Q775" s="447">
        <f>IFERROR(__xludf.DUMMYFUNCTION("""COMPUTED_VALUE"""),0.0)</f>
        <v>0</v>
      </c>
      <c r="R775" s="447">
        <f>IFERROR(__xludf.DUMMYFUNCTION("""COMPUTED_VALUE"""),0.0)</f>
        <v>0</v>
      </c>
      <c r="S775" s="447">
        <f>IFERROR(__xludf.DUMMYFUNCTION("""COMPUTED_VALUE"""),2.0)</f>
        <v>2</v>
      </c>
      <c r="T775" s="447">
        <f>IFERROR(__xludf.DUMMYFUNCTION("""COMPUTED_VALUE"""),1.0)</f>
        <v>1</v>
      </c>
      <c r="U775" s="447">
        <f>IFERROR(__xludf.DUMMYFUNCTION("""COMPUTED_VALUE"""),1.0)</f>
        <v>1</v>
      </c>
      <c r="V775" s="447">
        <f>IFERROR(__xludf.DUMMYFUNCTION("""COMPUTED_VALUE"""),3.0)</f>
        <v>3</v>
      </c>
      <c r="W775" s="447">
        <f>IFERROR(__xludf.DUMMYFUNCTION("""COMPUTED_VALUE"""),0.0)</f>
        <v>0</v>
      </c>
      <c r="X775" s="447">
        <f>IFERROR(__xludf.DUMMYFUNCTION("""COMPUTED_VALUE"""),1.0)</f>
        <v>1</v>
      </c>
      <c r="Y775" s="447">
        <f>IFERROR(__xludf.DUMMYFUNCTION("""COMPUTED_VALUE"""),0.0)</f>
        <v>0</v>
      </c>
      <c r="Z775" s="447">
        <f>IFERROR(__xludf.DUMMYFUNCTION("""COMPUTED_VALUE"""),0.0)</f>
        <v>0</v>
      </c>
      <c r="AA775" s="447">
        <f>IFERROR(__xludf.DUMMYFUNCTION("""COMPUTED_VALUE"""),0.0)</f>
        <v>0</v>
      </c>
      <c r="AB775" s="447">
        <f>IFERROR(__xludf.DUMMYFUNCTION("""COMPUTED_VALUE"""),0.0)</f>
        <v>0</v>
      </c>
      <c r="AC775" s="447">
        <f>IFERROR(__xludf.DUMMYFUNCTION("""COMPUTED_VALUE"""),1.0)</f>
        <v>1</v>
      </c>
      <c r="AD775" s="447">
        <f>IFERROR(__xludf.DUMMYFUNCTION("""COMPUTED_VALUE"""),45.0)</f>
        <v>45</v>
      </c>
      <c r="AE775" s="447">
        <f>IFERROR(__xludf.DUMMYFUNCTION("""COMPUTED_VALUE"""),9.0)</f>
        <v>9</v>
      </c>
      <c r="AF775" s="447">
        <f>IFERROR(__xludf.DUMMYFUNCTION("""COMPUTED_VALUE"""),1.0)</f>
        <v>1</v>
      </c>
      <c r="AG775" s="443" t="s">
        <v>91</v>
      </c>
      <c r="AH775" s="443" t="s">
        <v>291</v>
      </c>
      <c r="AI775" s="443"/>
      <c r="AJ775" s="443"/>
      <c r="AK775" s="443"/>
      <c r="AL775" s="443"/>
      <c r="AM775" s="443"/>
      <c r="AN775" s="443"/>
      <c r="AO775" s="443"/>
      <c r="AP775" s="443"/>
      <c r="AQ775" s="443"/>
      <c r="AR775" s="443"/>
      <c r="AS775" s="443"/>
      <c r="AT775" s="443"/>
      <c r="AU775" s="443"/>
      <c r="AV775" s="443"/>
      <c r="AW775" s="443"/>
      <c r="AX775" s="443"/>
      <c r="AY775" s="443"/>
      <c r="AZ775" s="443"/>
      <c r="BA775" s="443"/>
      <c r="BB775" s="443"/>
      <c r="BC775" s="443"/>
      <c r="BD775" s="443"/>
      <c r="BE775" s="443"/>
    </row>
    <row r="776" hidden="1">
      <c r="A776" s="445">
        <f t="shared" si="5"/>
        <v>46066</v>
      </c>
      <c r="B776" s="449">
        <v>344.0</v>
      </c>
      <c r="C776" s="462">
        <v>0.625</v>
      </c>
      <c r="D776" s="462">
        <v>0.8819444444444444</v>
      </c>
      <c r="E776" s="436">
        <f t="array" ref="E776">IF(B776=0,"",(J776+K776)/60)</f>
        <v>1.2</v>
      </c>
      <c r="F776" s="437">
        <f t="shared" si="1"/>
        <v>6.166666667</v>
      </c>
      <c r="G776" s="438">
        <f t="shared" si="9"/>
        <v>55.78378378</v>
      </c>
      <c r="H776" s="438">
        <f t="shared" si="3"/>
        <v>69.26174497</v>
      </c>
      <c r="I776" s="436">
        <f t="shared" si="10"/>
        <v>1.186889017</v>
      </c>
      <c r="J776" s="460">
        <v>0.0</v>
      </c>
      <c r="K776" s="460">
        <v>72.0</v>
      </c>
      <c r="L776" s="449" t="s">
        <v>988</v>
      </c>
      <c r="M776" s="447">
        <f>IFERROR(__xludf.DUMMYFUNCTION("""COMPUTED_VALUE"""),57.0)</f>
        <v>57</v>
      </c>
      <c r="N776" s="447">
        <f>IFERROR(__xludf.DUMMYFUNCTION("""COMPUTED_VALUE"""),56.0)</f>
        <v>56</v>
      </c>
      <c r="O776" s="447">
        <f>IFERROR(__xludf.DUMMYFUNCTION("""COMPUTED_VALUE"""),0.0)</f>
        <v>0</v>
      </c>
      <c r="P776" s="447">
        <f>IFERROR(__xludf.DUMMYFUNCTION("""COMPUTED_VALUE"""),0.0)</f>
        <v>0</v>
      </c>
      <c r="Q776" s="447">
        <f>IFERROR(__xludf.DUMMYFUNCTION("""COMPUTED_VALUE"""),0.0)</f>
        <v>0</v>
      </c>
      <c r="R776" s="447">
        <f>IFERROR(__xludf.DUMMYFUNCTION("""COMPUTED_VALUE"""),0.0)</f>
        <v>0</v>
      </c>
      <c r="S776" s="447">
        <f>IFERROR(__xludf.DUMMYFUNCTION("""COMPUTED_VALUE"""),2.0)</f>
        <v>2</v>
      </c>
      <c r="T776" s="447">
        <f>IFERROR(__xludf.DUMMYFUNCTION("""COMPUTED_VALUE"""),0.0)</f>
        <v>0</v>
      </c>
      <c r="U776" s="447">
        <f>IFERROR(__xludf.DUMMYFUNCTION("""COMPUTED_VALUE"""),1.0)</f>
        <v>1</v>
      </c>
      <c r="V776" s="447">
        <f>IFERROR(__xludf.DUMMYFUNCTION("""COMPUTED_VALUE"""),3.0)</f>
        <v>3</v>
      </c>
      <c r="W776" s="447">
        <f>IFERROR(__xludf.DUMMYFUNCTION("""COMPUTED_VALUE"""),0.0)</f>
        <v>0</v>
      </c>
      <c r="X776" s="447">
        <f>IFERROR(__xludf.DUMMYFUNCTION("""COMPUTED_VALUE"""),1.0)</f>
        <v>1</v>
      </c>
      <c r="Y776" s="447">
        <f>IFERROR(__xludf.DUMMYFUNCTION("""COMPUTED_VALUE"""),0.0)</f>
        <v>0</v>
      </c>
      <c r="Z776" s="447">
        <f>IFERROR(__xludf.DUMMYFUNCTION("""COMPUTED_VALUE"""),0.0)</f>
        <v>0</v>
      </c>
      <c r="AA776" s="447">
        <f>IFERROR(__xludf.DUMMYFUNCTION("""COMPUTED_VALUE"""),0.0)</f>
        <v>0</v>
      </c>
      <c r="AB776" s="447">
        <f>IFERROR(__xludf.DUMMYFUNCTION("""COMPUTED_VALUE"""),0.0)</f>
        <v>0</v>
      </c>
      <c r="AC776" s="447">
        <f>IFERROR(__xludf.DUMMYFUNCTION("""COMPUTED_VALUE"""),0.0)</f>
        <v>0</v>
      </c>
      <c r="AD776" s="447">
        <f>IFERROR(__xludf.DUMMYFUNCTION("""COMPUTED_VALUE"""),47.0)</f>
        <v>47</v>
      </c>
      <c r="AE776" s="447">
        <f>IFERROR(__xludf.DUMMYFUNCTION("""COMPUTED_VALUE"""),7.0)</f>
        <v>7</v>
      </c>
      <c r="AF776" s="447">
        <f>IFERROR(__xludf.DUMMYFUNCTION("""COMPUTED_VALUE"""),1.0)</f>
        <v>1</v>
      </c>
      <c r="AG776" s="443" t="s">
        <v>91</v>
      </c>
      <c r="AH776" s="443" t="s">
        <v>291</v>
      </c>
      <c r="AI776" s="443"/>
      <c r="AJ776" s="443"/>
      <c r="AK776" s="443"/>
      <c r="AL776" s="443"/>
      <c r="AM776" s="443"/>
      <c r="AN776" s="443"/>
      <c r="AO776" s="443"/>
      <c r="AP776" s="443"/>
      <c r="AQ776" s="443"/>
      <c r="AR776" s="443"/>
      <c r="AS776" s="443"/>
      <c r="AT776" s="443"/>
      <c r="AU776" s="443"/>
      <c r="AV776" s="443"/>
      <c r="AW776" s="443"/>
      <c r="AX776" s="443"/>
      <c r="AY776" s="443"/>
      <c r="AZ776" s="443"/>
      <c r="BA776" s="443"/>
      <c r="BB776" s="443"/>
      <c r="BC776" s="443"/>
      <c r="BD776" s="443"/>
      <c r="BE776" s="443"/>
    </row>
    <row r="777" hidden="1">
      <c r="A777" s="445">
        <f t="shared" si="5"/>
        <v>46067</v>
      </c>
      <c r="B777" s="449">
        <v>303.0</v>
      </c>
      <c r="C777" s="462">
        <v>0.625</v>
      </c>
      <c r="D777" s="462">
        <v>0.8416666666666667</v>
      </c>
      <c r="E777" s="436">
        <f t="array" ref="E777">IF(B777=0,"",(J777+K777)/60)</f>
        <v>0.25</v>
      </c>
      <c r="F777" s="437">
        <f t="shared" si="1"/>
        <v>5.2</v>
      </c>
      <c r="G777" s="438">
        <f t="shared" si="9"/>
        <v>58.26923077</v>
      </c>
      <c r="H777" s="438">
        <f t="shared" si="3"/>
        <v>61.21212121</v>
      </c>
      <c r="I777" s="436">
        <f t="shared" si="10"/>
        <v>1.239770867</v>
      </c>
      <c r="J777" s="460">
        <v>0.0</v>
      </c>
      <c r="K777" s="464">
        <f>5+10</f>
        <v>15</v>
      </c>
      <c r="L777" s="443"/>
      <c r="M777" s="447">
        <f>IFERROR(__xludf.DUMMYFUNCTION("""COMPUTED_VALUE"""),57.0)</f>
        <v>57</v>
      </c>
      <c r="N777" s="447">
        <f>IFERROR(__xludf.DUMMYFUNCTION("""COMPUTED_VALUE"""),56.0)</f>
        <v>56</v>
      </c>
      <c r="O777" s="447">
        <f>IFERROR(__xludf.DUMMYFUNCTION("""COMPUTED_VALUE"""),0.0)</f>
        <v>0</v>
      </c>
      <c r="P777" s="447">
        <f>IFERROR(__xludf.DUMMYFUNCTION("""COMPUTED_VALUE"""),0.0)</f>
        <v>0</v>
      </c>
      <c r="Q777" s="447">
        <f>IFERROR(__xludf.DUMMYFUNCTION("""COMPUTED_VALUE"""),0.0)</f>
        <v>0</v>
      </c>
      <c r="R777" s="447">
        <f>IFERROR(__xludf.DUMMYFUNCTION("""COMPUTED_VALUE"""),0.0)</f>
        <v>0</v>
      </c>
      <c r="S777" s="447">
        <f>IFERROR(__xludf.DUMMYFUNCTION("""COMPUTED_VALUE"""),1.0)</f>
        <v>1</v>
      </c>
      <c r="T777" s="447">
        <f>IFERROR(__xludf.DUMMYFUNCTION("""COMPUTED_VALUE"""),0.0)</f>
        <v>0</v>
      </c>
      <c r="U777" s="447">
        <f>IFERROR(__xludf.DUMMYFUNCTION("""COMPUTED_VALUE"""),1.0)</f>
        <v>1</v>
      </c>
      <c r="V777" s="447">
        <f>IFERROR(__xludf.DUMMYFUNCTION("""COMPUTED_VALUE"""),3.0)</f>
        <v>3</v>
      </c>
      <c r="W777" s="447">
        <f>IFERROR(__xludf.DUMMYFUNCTION("""COMPUTED_VALUE"""),0.0)</f>
        <v>0</v>
      </c>
      <c r="X777" s="447">
        <f>IFERROR(__xludf.DUMMYFUNCTION("""COMPUTED_VALUE"""),1.0)</f>
        <v>1</v>
      </c>
      <c r="Y777" s="447">
        <f>IFERROR(__xludf.DUMMYFUNCTION("""COMPUTED_VALUE"""),0.0)</f>
        <v>0</v>
      </c>
      <c r="Z777" s="447">
        <f>IFERROR(__xludf.DUMMYFUNCTION("""COMPUTED_VALUE"""),0.0)</f>
        <v>0</v>
      </c>
      <c r="AA777" s="447">
        <f>IFERROR(__xludf.DUMMYFUNCTION("""COMPUTED_VALUE"""),0.0)</f>
        <v>0</v>
      </c>
      <c r="AB777" s="447">
        <f>IFERROR(__xludf.DUMMYFUNCTION("""COMPUTED_VALUE"""),0.0)</f>
        <v>0</v>
      </c>
      <c r="AC777" s="447">
        <f>IFERROR(__xludf.DUMMYFUNCTION("""COMPUTED_VALUE"""),1.0)</f>
        <v>1</v>
      </c>
      <c r="AD777" s="447">
        <f>IFERROR(__xludf.DUMMYFUNCTION("""COMPUTED_VALUE"""),47.0)</f>
        <v>47</v>
      </c>
      <c r="AE777" s="447">
        <f>IFERROR(__xludf.DUMMYFUNCTION("""COMPUTED_VALUE"""),7.0)</f>
        <v>7</v>
      </c>
      <c r="AF777" s="447">
        <f>IFERROR(__xludf.DUMMYFUNCTION("""COMPUTED_VALUE"""),1.0)</f>
        <v>1</v>
      </c>
      <c r="AG777" s="443" t="s">
        <v>91</v>
      </c>
      <c r="AH777" s="443" t="s">
        <v>291</v>
      </c>
      <c r="AI777" s="443"/>
      <c r="AJ777" s="443"/>
      <c r="AK777" s="443"/>
      <c r="AL777" s="443"/>
      <c r="AM777" s="443"/>
      <c r="AN777" s="443"/>
      <c r="AO777" s="443"/>
      <c r="AP777" s="443"/>
      <c r="AQ777" s="443"/>
      <c r="AR777" s="443"/>
      <c r="AS777" s="443"/>
      <c r="AT777" s="443"/>
      <c r="AU777" s="443"/>
      <c r="AV777" s="443"/>
      <c r="AW777" s="443"/>
      <c r="AX777" s="443"/>
      <c r="AY777" s="443"/>
      <c r="AZ777" s="443"/>
      <c r="BA777" s="443"/>
      <c r="BB777" s="443"/>
      <c r="BC777" s="443"/>
      <c r="BD777" s="443"/>
      <c r="BE777" s="443"/>
    </row>
    <row r="778" hidden="1">
      <c r="A778" s="445">
        <f t="shared" si="5"/>
        <v>46068</v>
      </c>
      <c r="B778" s="449">
        <v>0.0</v>
      </c>
      <c r="C778" s="443"/>
      <c r="D778" s="462"/>
      <c r="E778" s="436" t="str">
        <f t="array" ref="E778">IF(B778=0,"",(J778+K778)/60)</f>
        <v/>
      </c>
      <c r="F778" s="437" t="str">
        <f t="shared" si="1"/>
        <v/>
      </c>
      <c r="G778" s="438" t="str">
        <f t="shared" si="9"/>
        <v>#DIV/0!</v>
      </c>
      <c r="H778" s="438" t="str">
        <f t="shared" si="3"/>
        <v/>
      </c>
      <c r="I778" s="436" t="str">
        <f t="shared" si="10"/>
        <v/>
      </c>
      <c r="J778" s="464"/>
      <c r="K778" s="464"/>
      <c r="L778" s="443"/>
      <c r="M778" s="447">
        <f>IFERROR(__xludf.DUMMYFUNCTION("""COMPUTED_VALUE"""),57.0)</f>
        <v>57</v>
      </c>
      <c r="N778" s="447">
        <f>IFERROR(__xludf.DUMMYFUNCTION("""COMPUTED_VALUE"""),57.0)</f>
        <v>57</v>
      </c>
      <c r="O778" s="447">
        <f>IFERROR(__xludf.DUMMYFUNCTION("""COMPUTED_VALUE"""),0.0)</f>
        <v>0</v>
      </c>
      <c r="P778" s="447">
        <f>IFERROR(__xludf.DUMMYFUNCTION("""COMPUTED_VALUE"""),0.0)</f>
        <v>0</v>
      </c>
      <c r="Q778" s="447">
        <f>IFERROR(__xludf.DUMMYFUNCTION("""COMPUTED_VALUE"""),0.0)</f>
        <v>0</v>
      </c>
      <c r="R778" s="447">
        <f>IFERROR(__xludf.DUMMYFUNCTION("""COMPUTED_VALUE"""),0.0)</f>
        <v>0</v>
      </c>
      <c r="S778" s="447">
        <f>IFERROR(__xludf.DUMMYFUNCTION("""COMPUTED_VALUE"""),0.0)</f>
        <v>0</v>
      </c>
      <c r="T778" s="447">
        <f>IFERROR(__xludf.DUMMYFUNCTION("""COMPUTED_VALUE"""),0.0)</f>
        <v>0</v>
      </c>
      <c r="U778" s="447">
        <f>IFERROR(__xludf.DUMMYFUNCTION("""COMPUTED_VALUE"""),0.0)</f>
        <v>0</v>
      </c>
      <c r="V778" s="447">
        <f>IFERROR(__xludf.DUMMYFUNCTION("""COMPUTED_VALUE"""),0.0)</f>
        <v>0</v>
      </c>
      <c r="W778" s="447">
        <f>IFERROR(__xludf.DUMMYFUNCTION("""COMPUTED_VALUE"""),0.0)</f>
        <v>0</v>
      </c>
      <c r="X778" s="447">
        <f>IFERROR(__xludf.DUMMYFUNCTION("""COMPUTED_VALUE"""),0.0)</f>
        <v>0</v>
      </c>
      <c r="Y778" s="447">
        <f>IFERROR(__xludf.DUMMYFUNCTION("""COMPUTED_VALUE"""),0.0)</f>
        <v>0</v>
      </c>
      <c r="Z778" s="447">
        <f>IFERROR(__xludf.DUMMYFUNCTION("""COMPUTED_VALUE"""),0.0)</f>
        <v>0</v>
      </c>
      <c r="AA778" s="447">
        <f>IFERROR(__xludf.DUMMYFUNCTION("""COMPUTED_VALUE"""),0.0)</f>
        <v>0</v>
      </c>
      <c r="AB778" s="447">
        <f>IFERROR(__xludf.DUMMYFUNCTION("""COMPUTED_VALUE"""),0.0)</f>
        <v>0</v>
      </c>
      <c r="AC778" s="447">
        <f>IFERROR(__xludf.DUMMYFUNCTION("""COMPUTED_VALUE"""),0.0)</f>
        <v>0</v>
      </c>
      <c r="AD778" s="447">
        <f>IFERROR(__xludf.DUMMYFUNCTION("""COMPUTED_VALUE"""),0.0)</f>
        <v>0</v>
      </c>
      <c r="AE778" s="447">
        <f>IFERROR(__xludf.DUMMYFUNCTION("""COMPUTED_VALUE"""),0.0)</f>
        <v>0</v>
      </c>
      <c r="AF778" s="447">
        <f>IFERROR(__xludf.DUMMYFUNCTION("""COMPUTED_VALUE"""),0.0)</f>
        <v>0</v>
      </c>
      <c r="AG778" s="443" t="s">
        <v>91</v>
      </c>
      <c r="AH778" s="443" t="s">
        <v>291</v>
      </c>
      <c r="AI778" s="443"/>
      <c r="AJ778" s="443"/>
      <c r="AK778" s="443"/>
      <c r="AL778" s="443"/>
      <c r="AM778" s="443"/>
      <c r="AN778" s="443"/>
      <c r="AO778" s="443"/>
      <c r="AP778" s="443"/>
      <c r="AQ778" s="443"/>
      <c r="AR778" s="443"/>
      <c r="AS778" s="443"/>
      <c r="AT778" s="443"/>
      <c r="AU778" s="443"/>
      <c r="AV778" s="443"/>
      <c r="AW778" s="443"/>
      <c r="AX778" s="443"/>
      <c r="AY778" s="443"/>
      <c r="AZ778" s="443"/>
      <c r="BA778" s="443"/>
      <c r="BB778" s="443"/>
      <c r="BC778" s="443"/>
      <c r="BD778" s="443"/>
      <c r="BE778" s="443"/>
    </row>
    <row r="779" hidden="1">
      <c r="A779" s="445">
        <f t="shared" si="5"/>
        <v>46069</v>
      </c>
      <c r="B779" s="449">
        <v>517.0</v>
      </c>
      <c r="C779" s="462">
        <v>0.625</v>
      </c>
      <c r="D779" s="462">
        <v>0.9569444444444445</v>
      </c>
      <c r="E779" s="436">
        <f t="array" ref="E779">IF(B779=0,"",(J779+K779)/60)</f>
        <v>0.8</v>
      </c>
      <c r="F779" s="437">
        <f t="shared" si="1"/>
        <v>7.966666667</v>
      </c>
      <c r="G779" s="438">
        <f t="shared" si="9"/>
        <v>64.89539749</v>
      </c>
      <c r="H779" s="438">
        <f t="shared" si="3"/>
        <v>72.13953488</v>
      </c>
      <c r="I779" s="436">
        <f t="shared" si="10"/>
        <v>1.442119944</v>
      </c>
      <c r="J779" s="460">
        <v>30.0</v>
      </c>
      <c r="K779" s="464">
        <f>12+6</f>
        <v>18</v>
      </c>
      <c r="L779" s="449" t="s">
        <v>989</v>
      </c>
      <c r="M779" s="447">
        <f>IFERROR(__xludf.DUMMYFUNCTION("""COMPUTED_VALUE"""),57.0)</f>
        <v>57</v>
      </c>
      <c r="N779" s="447">
        <f>IFERROR(__xludf.DUMMYFUNCTION("""COMPUTED_VALUE"""),56.0)</f>
        <v>56</v>
      </c>
      <c r="O779" s="447">
        <f>IFERROR(__xludf.DUMMYFUNCTION("""COMPUTED_VALUE"""),0.0)</f>
        <v>0</v>
      </c>
      <c r="P779" s="447">
        <f>IFERROR(__xludf.DUMMYFUNCTION("""COMPUTED_VALUE"""),0.0)</f>
        <v>0</v>
      </c>
      <c r="Q779" s="447">
        <f>IFERROR(__xludf.DUMMYFUNCTION("""COMPUTED_VALUE"""),0.0)</f>
        <v>0</v>
      </c>
      <c r="R779" s="447">
        <f>IFERROR(__xludf.DUMMYFUNCTION("""COMPUTED_VALUE"""),0.0)</f>
        <v>0</v>
      </c>
      <c r="S779" s="447">
        <f>IFERROR(__xludf.DUMMYFUNCTION("""COMPUTED_VALUE"""),1.0)</f>
        <v>1</v>
      </c>
      <c r="T779" s="447">
        <f>IFERROR(__xludf.DUMMYFUNCTION("""COMPUTED_VALUE"""),2.0)</f>
        <v>2</v>
      </c>
      <c r="U779" s="447">
        <f>IFERROR(__xludf.DUMMYFUNCTION("""COMPUTED_VALUE"""),1.0)</f>
        <v>1</v>
      </c>
      <c r="V779" s="447">
        <f>IFERROR(__xludf.DUMMYFUNCTION("""COMPUTED_VALUE"""),3.0)</f>
        <v>3</v>
      </c>
      <c r="W779" s="447">
        <f>IFERROR(__xludf.DUMMYFUNCTION("""COMPUTED_VALUE"""),0.0)</f>
        <v>0</v>
      </c>
      <c r="X779" s="447">
        <f>IFERROR(__xludf.DUMMYFUNCTION("""COMPUTED_VALUE"""),1.0)</f>
        <v>1</v>
      </c>
      <c r="Y779" s="447">
        <f>IFERROR(__xludf.DUMMYFUNCTION("""COMPUTED_VALUE"""),0.0)</f>
        <v>0</v>
      </c>
      <c r="Z779" s="447">
        <f>IFERROR(__xludf.DUMMYFUNCTION("""COMPUTED_VALUE"""),0.0)</f>
        <v>0</v>
      </c>
      <c r="AA779" s="447">
        <f>IFERROR(__xludf.DUMMYFUNCTION("""COMPUTED_VALUE"""),0.0)</f>
        <v>0</v>
      </c>
      <c r="AB779" s="447">
        <f>IFERROR(__xludf.DUMMYFUNCTION("""COMPUTED_VALUE"""),0.0)</f>
        <v>0</v>
      </c>
      <c r="AC779" s="447">
        <f>IFERROR(__xludf.DUMMYFUNCTION("""COMPUTED_VALUE"""),1.0)</f>
        <v>1</v>
      </c>
      <c r="AD779" s="447">
        <f>IFERROR(__xludf.DUMMYFUNCTION("""COMPUTED_VALUE"""),45.0)</f>
        <v>45</v>
      </c>
      <c r="AE779" s="447">
        <f>IFERROR(__xludf.DUMMYFUNCTION("""COMPUTED_VALUE"""),9.0)</f>
        <v>9</v>
      </c>
      <c r="AF779" s="447">
        <f>IFERROR(__xludf.DUMMYFUNCTION("""COMPUTED_VALUE"""),1.0)</f>
        <v>1</v>
      </c>
      <c r="AG779" s="443" t="s">
        <v>91</v>
      </c>
      <c r="AH779" s="443" t="s">
        <v>291</v>
      </c>
      <c r="AI779" s="443"/>
      <c r="AJ779" s="443"/>
      <c r="AK779" s="443"/>
      <c r="AL779" s="443"/>
      <c r="AM779" s="443"/>
      <c r="AN779" s="443"/>
      <c r="AO779" s="443"/>
      <c r="AP779" s="443"/>
      <c r="AQ779" s="443"/>
      <c r="AR779" s="443"/>
      <c r="AS779" s="443"/>
      <c r="AT779" s="443"/>
      <c r="AU779" s="443"/>
      <c r="AV779" s="443"/>
      <c r="AW779" s="443"/>
      <c r="AX779" s="443"/>
      <c r="AY779" s="443"/>
      <c r="AZ779" s="443"/>
      <c r="BA779" s="443"/>
      <c r="BB779" s="443"/>
      <c r="BC779" s="443"/>
      <c r="BD779" s="443"/>
      <c r="BE779" s="443"/>
    </row>
    <row r="780" hidden="1">
      <c r="A780" s="445">
        <f t="shared" si="5"/>
        <v>46070</v>
      </c>
      <c r="B780" s="449">
        <v>446.0</v>
      </c>
      <c r="C780" s="462">
        <v>0.5833333333333334</v>
      </c>
      <c r="D780" s="462">
        <v>0.8916666666666667</v>
      </c>
      <c r="E780" s="436">
        <f t="array" ref="E780">IF(B780=0,"",(J780+K780)/60)</f>
        <v>0.7666666667</v>
      </c>
      <c r="F780" s="437">
        <f t="shared" si="1"/>
        <v>7.4</v>
      </c>
      <c r="G780" s="438">
        <f t="shared" si="9"/>
        <v>60.27027027</v>
      </c>
      <c r="H780" s="438">
        <f t="shared" si="3"/>
        <v>67.2361809</v>
      </c>
      <c r="I780" s="436">
        <f t="shared" si="10"/>
        <v>1.282346176</v>
      </c>
      <c r="J780" s="460">
        <v>30.0</v>
      </c>
      <c r="K780" s="460">
        <v>16.0</v>
      </c>
      <c r="L780" s="449" t="s">
        <v>990</v>
      </c>
      <c r="M780" s="447">
        <f>IFERROR(__xludf.DUMMYFUNCTION("""COMPUTED_VALUE"""),57.0)</f>
        <v>57</v>
      </c>
      <c r="N780" s="447">
        <f>IFERROR(__xludf.DUMMYFUNCTION("""COMPUTED_VALUE"""),56.0)</f>
        <v>56</v>
      </c>
      <c r="O780" s="447">
        <f>IFERROR(__xludf.DUMMYFUNCTION("""COMPUTED_VALUE"""),0.0)</f>
        <v>0</v>
      </c>
      <c r="P780" s="447">
        <f>IFERROR(__xludf.DUMMYFUNCTION("""COMPUTED_VALUE"""),0.0)</f>
        <v>0</v>
      </c>
      <c r="Q780" s="447">
        <f>IFERROR(__xludf.DUMMYFUNCTION("""COMPUTED_VALUE"""),0.0)</f>
        <v>0</v>
      </c>
      <c r="R780" s="447">
        <f>IFERROR(__xludf.DUMMYFUNCTION("""COMPUTED_VALUE"""),0.0)</f>
        <v>0</v>
      </c>
      <c r="S780" s="447">
        <f>IFERROR(__xludf.DUMMYFUNCTION("""COMPUTED_VALUE"""),1.0)</f>
        <v>1</v>
      </c>
      <c r="T780" s="447">
        <f>IFERROR(__xludf.DUMMYFUNCTION("""COMPUTED_VALUE"""),1.0)</f>
        <v>1</v>
      </c>
      <c r="U780" s="447">
        <f>IFERROR(__xludf.DUMMYFUNCTION("""COMPUTED_VALUE"""),1.0)</f>
        <v>1</v>
      </c>
      <c r="V780" s="447">
        <f>IFERROR(__xludf.DUMMYFUNCTION("""COMPUTED_VALUE"""),3.0)</f>
        <v>3</v>
      </c>
      <c r="W780" s="447">
        <f>IFERROR(__xludf.DUMMYFUNCTION("""COMPUTED_VALUE"""),0.0)</f>
        <v>0</v>
      </c>
      <c r="X780" s="447">
        <f>IFERROR(__xludf.DUMMYFUNCTION("""COMPUTED_VALUE"""),1.0)</f>
        <v>1</v>
      </c>
      <c r="Y780" s="447">
        <f>IFERROR(__xludf.DUMMYFUNCTION("""COMPUTED_VALUE"""),0.0)</f>
        <v>0</v>
      </c>
      <c r="Z780" s="447">
        <f>IFERROR(__xludf.DUMMYFUNCTION("""COMPUTED_VALUE"""),0.0)</f>
        <v>0</v>
      </c>
      <c r="AA780" s="447">
        <f>IFERROR(__xludf.DUMMYFUNCTION("""COMPUTED_VALUE"""),0.0)</f>
        <v>0</v>
      </c>
      <c r="AB780" s="447">
        <f>IFERROR(__xludf.DUMMYFUNCTION("""COMPUTED_VALUE"""),0.0)</f>
        <v>0</v>
      </c>
      <c r="AC780" s="447">
        <f>IFERROR(__xludf.DUMMYFUNCTION("""COMPUTED_VALUE"""),0.0)</f>
        <v>0</v>
      </c>
      <c r="AD780" s="447">
        <f>IFERROR(__xludf.DUMMYFUNCTION("""COMPUTED_VALUE"""),47.0)</f>
        <v>47</v>
      </c>
      <c r="AE780" s="447">
        <f>IFERROR(__xludf.DUMMYFUNCTION("""COMPUTED_VALUE"""),7.0)</f>
        <v>7</v>
      </c>
      <c r="AF780" s="447">
        <f>IFERROR(__xludf.DUMMYFUNCTION("""COMPUTED_VALUE"""),1.0)</f>
        <v>1</v>
      </c>
      <c r="AG780" s="443" t="s">
        <v>91</v>
      </c>
      <c r="AH780" s="443" t="s">
        <v>291</v>
      </c>
      <c r="AI780" s="443"/>
      <c r="AJ780" s="443"/>
      <c r="AK780" s="443"/>
      <c r="AL780" s="443"/>
      <c r="AM780" s="443"/>
      <c r="AN780" s="443"/>
      <c r="AO780" s="443"/>
      <c r="AP780" s="443"/>
      <c r="AQ780" s="443"/>
      <c r="AR780" s="443"/>
      <c r="AS780" s="443"/>
      <c r="AT780" s="443"/>
      <c r="AU780" s="443"/>
      <c r="AV780" s="443"/>
      <c r="AW780" s="443"/>
      <c r="AX780" s="443"/>
      <c r="AY780" s="443"/>
      <c r="AZ780" s="443"/>
      <c r="BA780" s="443"/>
      <c r="BB780" s="443"/>
      <c r="BC780" s="443"/>
      <c r="BD780" s="443"/>
      <c r="BE780" s="443"/>
    </row>
    <row r="781" hidden="1">
      <c r="A781" s="445">
        <f t="shared" si="5"/>
        <v>46071</v>
      </c>
      <c r="B781" s="449">
        <v>316.0</v>
      </c>
      <c r="C781" s="462">
        <v>0.5833333333333334</v>
      </c>
      <c r="D781" s="462">
        <v>0.8090277777777778</v>
      </c>
      <c r="E781" s="436">
        <f t="array" ref="E781">IF(B781=0,"",(J781+K781)/60)</f>
        <v>0.7833333333</v>
      </c>
      <c r="F781" s="437">
        <f t="shared" si="1"/>
        <v>5.416666667</v>
      </c>
      <c r="G781" s="438">
        <f t="shared" si="9"/>
        <v>58.33846154</v>
      </c>
      <c r="H781" s="438">
        <f t="shared" si="3"/>
        <v>68.20143885</v>
      </c>
      <c r="I781" s="436">
        <f t="shared" si="10"/>
        <v>1.268227425</v>
      </c>
      <c r="J781" s="460">
        <v>30.0</v>
      </c>
      <c r="K781" s="464">
        <f>5+12</f>
        <v>17</v>
      </c>
      <c r="L781" s="449" t="s">
        <v>991</v>
      </c>
      <c r="M781" s="447">
        <f>IFERROR(__xludf.DUMMYFUNCTION("""COMPUTED_VALUE"""),57.0)</f>
        <v>57</v>
      </c>
      <c r="N781" s="447">
        <f>IFERROR(__xludf.DUMMYFUNCTION("""COMPUTED_VALUE"""),57.0)</f>
        <v>57</v>
      </c>
      <c r="O781" s="447">
        <f>IFERROR(__xludf.DUMMYFUNCTION("""COMPUTED_VALUE"""),0.0)</f>
        <v>0</v>
      </c>
      <c r="P781" s="447">
        <f>IFERROR(__xludf.DUMMYFUNCTION("""COMPUTED_VALUE"""),0.0)</f>
        <v>0</v>
      </c>
      <c r="Q781" s="447">
        <f>IFERROR(__xludf.DUMMYFUNCTION("""COMPUTED_VALUE"""),0.0)</f>
        <v>0</v>
      </c>
      <c r="R781" s="447">
        <f>IFERROR(__xludf.DUMMYFUNCTION("""COMPUTED_VALUE"""),0.0)</f>
        <v>0</v>
      </c>
      <c r="S781" s="447">
        <f>IFERROR(__xludf.DUMMYFUNCTION("""COMPUTED_VALUE"""),1.0)</f>
        <v>1</v>
      </c>
      <c r="T781" s="447">
        <f>IFERROR(__xludf.DUMMYFUNCTION("""COMPUTED_VALUE"""),1.0)</f>
        <v>1</v>
      </c>
      <c r="U781" s="447">
        <f>IFERROR(__xludf.DUMMYFUNCTION("""COMPUTED_VALUE"""),0.0)</f>
        <v>0</v>
      </c>
      <c r="V781" s="447">
        <f>IFERROR(__xludf.DUMMYFUNCTION("""COMPUTED_VALUE"""),3.0)</f>
        <v>3</v>
      </c>
      <c r="W781" s="447">
        <f>IFERROR(__xludf.DUMMYFUNCTION("""COMPUTED_VALUE"""),1.0)</f>
        <v>1</v>
      </c>
      <c r="X781" s="447">
        <f>IFERROR(__xludf.DUMMYFUNCTION("""COMPUTED_VALUE"""),1.0)</f>
        <v>1</v>
      </c>
      <c r="Y781" s="447">
        <f>IFERROR(__xludf.DUMMYFUNCTION("""COMPUTED_VALUE"""),0.0)</f>
        <v>0</v>
      </c>
      <c r="Z781" s="447">
        <f>IFERROR(__xludf.DUMMYFUNCTION("""COMPUTED_VALUE"""),0.0)</f>
        <v>0</v>
      </c>
      <c r="AA781" s="447">
        <f>IFERROR(__xludf.DUMMYFUNCTION("""COMPUTED_VALUE"""),0.0)</f>
        <v>0</v>
      </c>
      <c r="AB781" s="447">
        <f>IFERROR(__xludf.DUMMYFUNCTION("""COMPUTED_VALUE"""),0.0)</f>
        <v>0</v>
      </c>
      <c r="AC781" s="447">
        <f>IFERROR(__xludf.DUMMYFUNCTION("""COMPUTED_VALUE"""),1.0)</f>
        <v>1</v>
      </c>
      <c r="AD781" s="447">
        <f>IFERROR(__xludf.DUMMYFUNCTION("""COMPUTED_VALUE"""),46.0)</f>
        <v>46</v>
      </c>
      <c r="AE781" s="447">
        <f>IFERROR(__xludf.DUMMYFUNCTION("""COMPUTED_VALUE"""),8.0)</f>
        <v>8</v>
      </c>
      <c r="AF781" s="447">
        <f>IFERROR(__xludf.DUMMYFUNCTION("""COMPUTED_VALUE"""),0.0)</f>
        <v>0</v>
      </c>
      <c r="AG781" s="443" t="s">
        <v>91</v>
      </c>
      <c r="AH781" s="443" t="s">
        <v>291</v>
      </c>
      <c r="AI781" s="443"/>
      <c r="AJ781" s="443"/>
      <c r="AK781" s="443"/>
      <c r="AL781" s="443"/>
      <c r="AM781" s="443"/>
      <c r="AN781" s="443"/>
      <c r="AO781" s="443"/>
      <c r="AP781" s="443"/>
      <c r="AQ781" s="443"/>
      <c r="AR781" s="443"/>
      <c r="AS781" s="443"/>
      <c r="AT781" s="443"/>
      <c r="AU781" s="443"/>
      <c r="AV781" s="443"/>
      <c r="AW781" s="443"/>
      <c r="AX781" s="443"/>
      <c r="AY781" s="443"/>
      <c r="AZ781" s="443"/>
      <c r="BA781" s="443"/>
      <c r="BB781" s="443"/>
      <c r="BC781" s="443"/>
      <c r="BD781" s="443"/>
      <c r="BE781" s="443"/>
    </row>
    <row r="782" hidden="1">
      <c r="A782" s="445">
        <f t="shared" si="5"/>
        <v>46072</v>
      </c>
      <c r="B782" s="449">
        <v>558.0</v>
      </c>
      <c r="C782" s="462">
        <v>0.5833333333333334</v>
      </c>
      <c r="D782" s="462">
        <v>0.9465277777777777</v>
      </c>
      <c r="E782" s="436">
        <f t="array" ref="E782">IF(B782=0,"",(J782+K782)/60)</f>
        <v>0.5</v>
      </c>
      <c r="F782" s="437">
        <f t="shared" si="1"/>
        <v>8.716666667</v>
      </c>
      <c r="G782" s="438">
        <f t="shared" si="9"/>
        <v>64.01529637</v>
      </c>
      <c r="H782" s="438">
        <f t="shared" si="3"/>
        <v>67.91075051</v>
      </c>
      <c r="I782" s="436">
        <f t="shared" si="10"/>
        <v>1.391636878</v>
      </c>
      <c r="J782" s="460">
        <v>30.0</v>
      </c>
      <c r="K782" s="460">
        <v>0.0</v>
      </c>
      <c r="L782" s="449" t="s">
        <v>992</v>
      </c>
      <c r="M782" s="447">
        <f>IFERROR(__xludf.DUMMYFUNCTION("""COMPUTED_VALUE"""),57.0)</f>
        <v>57</v>
      </c>
      <c r="N782" s="447">
        <f>IFERROR(__xludf.DUMMYFUNCTION("""COMPUTED_VALUE"""),57.0)</f>
        <v>57</v>
      </c>
      <c r="O782" s="447">
        <f>IFERROR(__xludf.DUMMYFUNCTION("""COMPUTED_VALUE"""),0.0)</f>
        <v>0</v>
      </c>
      <c r="P782" s="447">
        <f>IFERROR(__xludf.DUMMYFUNCTION("""COMPUTED_VALUE"""),0.0)</f>
        <v>0</v>
      </c>
      <c r="Q782" s="447">
        <f>IFERROR(__xludf.DUMMYFUNCTION("""COMPUTED_VALUE"""),0.0)</f>
        <v>0</v>
      </c>
      <c r="R782" s="447">
        <f>IFERROR(__xludf.DUMMYFUNCTION("""COMPUTED_VALUE"""),0.0)</f>
        <v>0</v>
      </c>
      <c r="S782" s="447">
        <f>IFERROR(__xludf.DUMMYFUNCTION("""COMPUTED_VALUE"""),1.0)</f>
        <v>1</v>
      </c>
      <c r="T782" s="447">
        <f>IFERROR(__xludf.DUMMYFUNCTION("""COMPUTED_VALUE"""),1.0)</f>
        <v>1</v>
      </c>
      <c r="U782" s="447">
        <f>IFERROR(__xludf.DUMMYFUNCTION("""COMPUTED_VALUE"""),0.0)</f>
        <v>0</v>
      </c>
      <c r="V782" s="447">
        <f>IFERROR(__xludf.DUMMYFUNCTION("""COMPUTED_VALUE"""),3.0)</f>
        <v>3</v>
      </c>
      <c r="W782" s="447">
        <f>IFERROR(__xludf.DUMMYFUNCTION("""COMPUTED_VALUE"""),1.0)</f>
        <v>1</v>
      </c>
      <c r="X782" s="447">
        <f>IFERROR(__xludf.DUMMYFUNCTION("""COMPUTED_VALUE"""),1.0)</f>
        <v>1</v>
      </c>
      <c r="Y782" s="447">
        <f>IFERROR(__xludf.DUMMYFUNCTION("""COMPUTED_VALUE"""),0.0)</f>
        <v>0</v>
      </c>
      <c r="Z782" s="447">
        <f>IFERROR(__xludf.DUMMYFUNCTION("""COMPUTED_VALUE"""),0.0)</f>
        <v>0</v>
      </c>
      <c r="AA782" s="447">
        <f>IFERROR(__xludf.DUMMYFUNCTION("""COMPUTED_VALUE"""),0.0)</f>
        <v>0</v>
      </c>
      <c r="AB782" s="447">
        <f>IFERROR(__xludf.DUMMYFUNCTION("""COMPUTED_VALUE"""),0.0)</f>
        <v>0</v>
      </c>
      <c r="AC782" s="447">
        <f>IFERROR(__xludf.DUMMYFUNCTION("""COMPUTED_VALUE"""),1.0)</f>
        <v>1</v>
      </c>
      <c r="AD782" s="447">
        <f>IFERROR(__xludf.DUMMYFUNCTION("""COMPUTED_VALUE"""),46.0)</f>
        <v>46</v>
      </c>
      <c r="AE782" s="447">
        <f>IFERROR(__xludf.DUMMYFUNCTION("""COMPUTED_VALUE"""),8.0)</f>
        <v>8</v>
      </c>
      <c r="AF782" s="447">
        <f>IFERROR(__xludf.DUMMYFUNCTION("""COMPUTED_VALUE"""),0.0)</f>
        <v>0</v>
      </c>
      <c r="AG782" s="443" t="s">
        <v>91</v>
      </c>
      <c r="AH782" s="443" t="s">
        <v>291</v>
      </c>
      <c r="AI782" s="443"/>
      <c r="AJ782" s="443"/>
      <c r="AK782" s="443"/>
      <c r="AL782" s="443"/>
      <c r="AM782" s="443"/>
      <c r="AN782" s="443"/>
      <c r="AO782" s="443"/>
      <c r="AP782" s="443"/>
      <c r="AQ782" s="443"/>
      <c r="AR782" s="443"/>
      <c r="AS782" s="443"/>
      <c r="AT782" s="443"/>
      <c r="AU782" s="443"/>
      <c r="AV782" s="443"/>
      <c r="AW782" s="443"/>
      <c r="AX782" s="443"/>
      <c r="AY782" s="443"/>
      <c r="AZ782" s="443"/>
      <c r="BA782" s="443"/>
      <c r="BB782" s="443"/>
      <c r="BC782" s="443"/>
      <c r="BD782" s="443"/>
      <c r="BE782" s="443"/>
    </row>
    <row r="783" hidden="1">
      <c r="A783" s="445">
        <f t="shared" si="5"/>
        <v>46073</v>
      </c>
      <c r="B783" s="449">
        <v>482.0</v>
      </c>
      <c r="C783" s="462">
        <v>0.625</v>
      </c>
      <c r="D783" s="462">
        <v>0.9409722222222222</v>
      </c>
      <c r="E783" s="436">
        <f t="array" ref="E783">IF(B783=0,"",(J783+K783)/60)</f>
        <v>0.5</v>
      </c>
      <c r="F783" s="437">
        <f t="shared" si="1"/>
        <v>7.583333333</v>
      </c>
      <c r="G783" s="438">
        <f t="shared" si="9"/>
        <v>63.56043956</v>
      </c>
      <c r="H783" s="438">
        <f t="shared" si="3"/>
        <v>68.04705882</v>
      </c>
      <c r="I783" s="436">
        <f t="shared" si="10"/>
        <v>1.381748686</v>
      </c>
      <c r="J783" s="460">
        <v>30.0</v>
      </c>
      <c r="K783" s="460">
        <v>0.0</v>
      </c>
      <c r="L783" s="449" t="s">
        <v>993</v>
      </c>
      <c r="M783" s="447">
        <f>IFERROR(__xludf.DUMMYFUNCTION("""COMPUTED_VALUE"""),57.0)</f>
        <v>57</v>
      </c>
      <c r="N783" s="447">
        <f>IFERROR(__xludf.DUMMYFUNCTION("""COMPUTED_VALUE"""),57.0)</f>
        <v>57</v>
      </c>
      <c r="O783" s="447">
        <f>IFERROR(__xludf.DUMMYFUNCTION("""COMPUTED_VALUE"""),0.0)</f>
        <v>0</v>
      </c>
      <c r="P783" s="447">
        <f>IFERROR(__xludf.DUMMYFUNCTION("""COMPUTED_VALUE"""),1.0)</f>
        <v>1</v>
      </c>
      <c r="Q783" s="447">
        <f>IFERROR(__xludf.DUMMYFUNCTION("""COMPUTED_VALUE"""),0.0)</f>
        <v>0</v>
      </c>
      <c r="R783" s="447">
        <f>IFERROR(__xludf.DUMMYFUNCTION("""COMPUTED_VALUE"""),0.0)</f>
        <v>0</v>
      </c>
      <c r="S783" s="447">
        <f>IFERROR(__xludf.DUMMYFUNCTION("""COMPUTED_VALUE"""),1.0)</f>
        <v>1</v>
      </c>
      <c r="T783" s="447">
        <f>IFERROR(__xludf.DUMMYFUNCTION("""COMPUTED_VALUE"""),1.0)</f>
        <v>1</v>
      </c>
      <c r="U783" s="447">
        <f>IFERROR(__xludf.DUMMYFUNCTION("""COMPUTED_VALUE"""),0.0)</f>
        <v>0</v>
      </c>
      <c r="V783" s="447">
        <f>IFERROR(__xludf.DUMMYFUNCTION("""COMPUTED_VALUE"""),3.0)</f>
        <v>3</v>
      </c>
      <c r="W783" s="447">
        <f>IFERROR(__xludf.DUMMYFUNCTION("""COMPUTED_VALUE"""),1.0)</f>
        <v>1</v>
      </c>
      <c r="X783" s="447">
        <f>IFERROR(__xludf.DUMMYFUNCTION("""COMPUTED_VALUE"""),1.0)</f>
        <v>1</v>
      </c>
      <c r="Y783" s="447">
        <f>IFERROR(__xludf.DUMMYFUNCTION("""COMPUTED_VALUE"""),0.0)</f>
        <v>0</v>
      </c>
      <c r="Z783" s="447">
        <f>IFERROR(__xludf.DUMMYFUNCTION("""COMPUTED_VALUE"""),0.0)</f>
        <v>0</v>
      </c>
      <c r="AA783" s="447">
        <f>IFERROR(__xludf.DUMMYFUNCTION("""COMPUTED_VALUE"""),0.0)</f>
        <v>0</v>
      </c>
      <c r="AB783" s="447">
        <f>IFERROR(__xludf.DUMMYFUNCTION("""COMPUTED_VALUE"""),0.0)</f>
        <v>0</v>
      </c>
      <c r="AC783" s="447">
        <f>IFERROR(__xludf.DUMMYFUNCTION("""COMPUTED_VALUE"""),0.0)</f>
        <v>0</v>
      </c>
      <c r="AD783" s="447">
        <f>IFERROR(__xludf.DUMMYFUNCTION("""COMPUTED_VALUE"""),46.0)</f>
        <v>46</v>
      </c>
      <c r="AE783" s="447">
        <f>IFERROR(__xludf.DUMMYFUNCTION("""COMPUTED_VALUE"""),8.0)</f>
        <v>8</v>
      </c>
      <c r="AF783" s="447">
        <f>IFERROR(__xludf.DUMMYFUNCTION("""COMPUTED_VALUE"""),0.0)</f>
        <v>0</v>
      </c>
      <c r="AG783" s="443" t="s">
        <v>91</v>
      </c>
      <c r="AH783" s="443" t="s">
        <v>291</v>
      </c>
      <c r="AI783" s="443"/>
      <c r="AJ783" s="443"/>
      <c r="AK783" s="443"/>
      <c r="AL783" s="443"/>
      <c r="AM783" s="443"/>
      <c r="AN783" s="443"/>
      <c r="AO783" s="443"/>
      <c r="AP783" s="443"/>
      <c r="AQ783" s="443"/>
      <c r="AR783" s="443"/>
      <c r="AS783" s="443"/>
      <c r="AT783" s="443"/>
      <c r="AU783" s="443"/>
      <c r="AV783" s="443"/>
      <c r="AW783" s="443"/>
      <c r="AX783" s="443"/>
      <c r="AY783" s="443"/>
      <c r="AZ783" s="443"/>
      <c r="BA783" s="443"/>
      <c r="BB783" s="443"/>
      <c r="BC783" s="443"/>
      <c r="BD783" s="443"/>
      <c r="BE783" s="443"/>
    </row>
    <row r="784" hidden="1">
      <c r="A784" s="445">
        <f t="shared" si="5"/>
        <v>46074</v>
      </c>
      <c r="B784" s="449">
        <v>162.0</v>
      </c>
      <c r="C784" s="462">
        <v>0.625</v>
      </c>
      <c r="D784" s="462">
        <v>0.7666666666666667</v>
      </c>
      <c r="E784" s="436">
        <f t="array" ref="E784">IF(B784=0,"",(J784+K784)/60)</f>
        <v>0.8333333333</v>
      </c>
      <c r="F784" s="437">
        <f t="shared" si="1"/>
        <v>3.4</v>
      </c>
      <c r="G784" s="438">
        <f t="shared" si="9"/>
        <v>47.64705882</v>
      </c>
      <c r="H784" s="438">
        <f t="shared" si="3"/>
        <v>63.11688312</v>
      </c>
      <c r="I784" s="436">
        <f t="shared" si="10"/>
        <v>1.058823529</v>
      </c>
      <c r="J784" s="460">
        <v>0.0</v>
      </c>
      <c r="K784" s="460">
        <v>50.0</v>
      </c>
      <c r="L784" s="449" t="s">
        <v>994</v>
      </c>
      <c r="M784" s="447">
        <f>IFERROR(__xludf.DUMMYFUNCTION("""COMPUTED_VALUE"""),57.0)</f>
        <v>57</v>
      </c>
      <c r="N784" s="447">
        <f>IFERROR(__xludf.DUMMYFUNCTION("""COMPUTED_VALUE"""),57.0)</f>
        <v>57</v>
      </c>
      <c r="O784" s="447">
        <f>IFERROR(__xludf.DUMMYFUNCTION("""COMPUTED_VALUE"""),0.0)</f>
        <v>0</v>
      </c>
      <c r="P784" s="447">
        <f>IFERROR(__xludf.DUMMYFUNCTION("""COMPUTED_VALUE"""),1.0)</f>
        <v>1</v>
      </c>
      <c r="Q784" s="447">
        <f>IFERROR(__xludf.DUMMYFUNCTION("""COMPUTED_VALUE"""),0.0)</f>
        <v>0</v>
      </c>
      <c r="R784" s="447">
        <f>IFERROR(__xludf.DUMMYFUNCTION("""COMPUTED_VALUE"""),0.0)</f>
        <v>0</v>
      </c>
      <c r="S784" s="447">
        <f>IFERROR(__xludf.DUMMYFUNCTION("""COMPUTED_VALUE"""),1.0)</f>
        <v>1</v>
      </c>
      <c r="T784" s="447">
        <f>IFERROR(__xludf.DUMMYFUNCTION("""COMPUTED_VALUE"""),1.0)</f>
        <v>1</v>
      </c>
      <c r="U784" s="447">
        <f>IFERROR(__xludf.DUMMYFUNCTION("""COMPUTED_VALUE"""),0.0)</f>
        <v>0</v>
      </c>
      <c r="V784" s="447">
        <f>IFERROR(__xludf.DUMMYFUNCTION("""COMPUTED_VALUE"""),3.0)</f>
        <v>3</v>
      </c>
      <c r="W784" s="447">
        <f>IFERROR(__xludf.DUMMYFUNCTION("""COMPUTED_VALUE"""),1.0)</f>
        <v>1</v>
      </c>
      <c r="X784" s="447">
        <f>IFERROR(__xludf.DUMMYFUNCTION("""COMPUTED_VALUE"""),1.0)</f>
        <v>1</v>
      </c>
      <c r="Y784" s="447">
        <f>IFERROR(__xludf.DUMMYFUNCTION("""COMPUTED_VALUE"""),0.0)</f>
        <v>0</v>
      </c>
      <c r="Z784" s="447">
        <f>IFERROR(__xludf.DUMMYFUNCTION("""COMPUTED_VALUE"""),0.0)</f>
        <v>0</v>
      </c>
      <c r="AA784" s="447">
        <f>IFERROR(__xludf.DUMMYFUNCTION("""COMPUTED_VALUE"""),0.0)</f>
        <v>0</v>
      </c>
      <c r="AB784" s="447">
        <f>IFERROR(__xludf.DUMMYFUNCTION("""COMPUTED_VALUE"""),0.0)</f>
        <v>0</v>
      </c>
      <c r="AC784" s="447">
        <f>IFERROR(__xludf.DUMMYFUNCTION("""COMPUTED_VALUE"""),1.0)</f>
        <v>1</v>
      </c>
      <c r="AD784" s="447">
        <f>IFERROR(__xludf.DUMMYFUNCTION("""COMPUTED_VALUE"""),45.0)</f>
        <v>45</v>
      </c>
      <c r="AE784" s="447">
        <f>IFERROR(__xludf.DUMMYFUNCTION("""COMPUTED_VALUE"""),9.0)</f>
        <v>9</v>
      </c>
      <c r="AF784" s="447">
        <f>IFERROR(__xludf.DUMMYFUNCTION("""COMPUTED_VALUE"""),0.0)</f>
        <v>0</v>
      </c>
      <c r="AG784" s="443" t="s">
        <v>91</v>
      </c>
      <c r="AH784" s="443" t="s">
        <v>291</v>
      </c>
      <c r="AI784" s="443"/>
      <c r="AJ784" s="443"/>
      <c r="AK784" s="443"/>
      <c r="AL784" s="443"/>
      <c r="AM784" s="443"/>
      <c r="AN784" s="443"/>
      <c r="AO784" s="443"/>
      <c r="AP784" s="443"/>
      <c r="AQ784" s="443"/>
      <c r="AR784" s="443"/>
      <c r="AS784" s="443"/>
      <c r="AT784" s="443"/>
      <c r="AU784" s="443"/>
      <c r="AV784" s="443"/>
      <c r="AW784" s="443"/>
      <c r="AX784" s="443"/>
      <c r="AY784" s="443"/>
      <c r="AZ784" s="443"/>
      <c r="BA784" s="443"/>
      <c r="BB784" s="443"/>
      <c r="BC784" s="443"/>
      <c r="BD784" s="443"/>
      <c r="BE784" s="443"/>
    </row>
    <row r="785" hidden="1">
      <c r="A785" s="445">
        <f t="shared" si="5"/>
        <v>46075</v>
      </c>
      <c r="B785" s="449">
        <v>0.0</v>
      </c>
      <c r="C785" s="443"/>
      <c r="D785" s="462"/>
      <c r="E785" s="436" t="str">
        <f t="array" ref="E785">IF(B785=0,"",(J785+K785)/60)</f>
        <v/>
      </c>
      <c r="F785" s="437" t="str">
        <f t="shared" si="1"/>
        <v/>
      </c>
      <c r="G785" s="438" t="str">
        <f t="shared" si="9"/>
        <v>#DIV/0!</v>
      </c>
      <c r="H785" s="438" t="str">
        <f t="shared" si="3"/>
        <v/>
      </c>
      <c r="I785" s="436" t="str">
        <f t="shared" si="10"/>
        <v/>
      </c>
      <c r="J785" s="464"/>
      <c r="K785" s="464"/>
      <c r="L785" s="443"/>
      <c r="M785" s="447">
        <f>IFERROR(__xludf.DUMMYFUNCTION("""COMPUTED_VALUE"""),57.0)</f>
        <v>57</v>
      </c>
      <c r="N785" s="447">
        <f>IFERROR(__xludf.DUMMYFUNCTION("""COMPUTED_VALUE"""),57.0)</f>
        <v>57</v>
      </c>
      <c r="O785" s="447">
        <f>IFERROR(__xludf.DUMMYFUNCTION("""COMPUTED_VALUE"""),0.0)</f>
        <v>0</v>
      </c>
      <c r="P785" s="447">
        <f>IFERROR(__xludf.DUMMYFUNCTION("""COMPUTED_VALUE"""),0.0)</f>
        <v>0</v>
      </c>
      <c r="Q785" s="447">
        <f>IFERROR(__xludf.DUMMYFUNCTION("""COMPUTED_VALUE"""),0.0)</f>
        <v>0</v>
      </c>
      <c r="R785" s="447">
        <f>IFERROR(__xludf.DUMMYFUNCTION("""COMPUTED_VALUE"""),0.0)</f>
        <v>0</v>
      </c>
      <c r="S785" s="447">
        <f>IFERROR(__xludf.DUMMYFUNCTION("""COMPUTED_VALUE"""),0.0)</f>
        <v>0</v>
      </c>
      <c r="T785" s="447">
        <f>IFERROR(__xludf.DUMMYFUNCTION("""COMPUTED_VALUE"""),0.0)</f>
        <v>0</v>
      </c>
      <c r="U785" s="447">
        <f>IFERROR(__xludf.DUMMYFUNCTION("""COMPUTED_VALUE"""),0.0)</f>
        <v>0</v>
      </c>
      <c r="V785" s="447">
        <f>IFERROR(__xludf.DUMMYFUNCTION("""COMPUTED_VALUE"""),0.0)</f>
        <v>0</v>
      </c>
      <c r="W785" s="447">
        <f>IFERROR(__xludf.DUMMYFUNCTION("""COMPUTED_VALUE"""),0.0)</f>
        <v>0</v>
      </c>
      <c r="X785" s="447">
        <f>IFERROR(__xludf.DUMMYFUNCTION("""COMPUTED_VALUE"""),0.0)</f>
        <v>0</v>
      </c>
      <c r="Y785" s="447">
        <f>IFERROR(__xludf.DUMMYFUNCTION("""COMPUTED_VALUE"""),0.0)</f>
        <v>0</v>
      </c>
      <c r="Z785" s="447">
        <f>IFERROR(__xludf.DUMMYFUNCTION("""COMPUTED_VALUE"""),0.0)</f>
        <v>0</v>
      </c>
      <c r="AA785" s="447">
        <f>IFERROR(__xludf.DUMMYFUNCTION("""COMPUTED_VALUE"""),0.0)</f>
        <v>0</v>
      </c>
      <c r="AB785" s="447">
        <f>IFERROR(__xludf.DUMMYFUNCTION("""COMPUTED_VALUE"""),0.0)</f>
        <v>0</v>
      </c>
      <c r="AC785" s="447">
        <f>IFERROR(__xludf.DUMMYFUNCTION("""COMPUTED_VALUE"""),0.0)</f>
        <v>0</v>
      </c>
      <c r="AD785" s="447">
        <f>IFERROR(__xludf.DUMMYFUNCTION("""COMPUTED_VALUE"""),0.0)</f>
        <v>0</v>
      </c>
      <c r="AE785" s="447">
        <f>IFERROR(__xludf.DUMMYFUNCTION("""COMPUTED_VALUE"""),0.0)</f>
        <v>0</v>
      </c>
      <c r="AF785" s="447">
        <f>IFERROR(__xludf.DUMMYFUNCTION("""COMPUTED_VALUE"""),0.0)</f>
        <v>0</v>
      </c>
      <c r="AG785" s="443" t="s">
        <v>91</v>
      </c>
      <c r="AH785" s="443" t="s">
        <v>291</v>
      </c>
      <c r="AI785" s="443"/>
      <c r="AJ785" s="443"/>
      <c r="AK785" s="443"/>
      <c r="AL785" s="443"/>
      <c r="AM785" s="443"/>
      <c r="AN785" s="443"/>
      <c r="AO785" s="443"/>
      <c r="AP785" s="443"/>
      <c r="AQ785" s="443"/>
      <c r="AR785" s="443"/>
      <c r="AS785" s="443"/>
      <c r="AT785" s="443"/>
      <c r="AU785" s="443"/>
      <c r="AV785" s="443"/>
      <c r="AW785" s="443"/>
      <c r="AX785" s="443"/>
      <c r="AY785" s="443"/>
      <c r="AZ785" s="443"/>
      <c r="BA785" s="443"/>
      <c r="BB785" s="443"/>
      <c r="BC785" s="443"/>
      <c r="BD785" s="443"/>
      <c r="BE785" s="443"/>
    </row>
    <row r="786" hidden="1">
      <c r="A786" s="445">
        <f t="shared" si="5"/>
        <v>46076</v>
      </c>
      <c r="B786" s="449">
        <v>646.0</v>
      </c>
      <c r="C786" s="462">
        <v>0.5833333333333334</v>
      </c>
      <c r="D786" s="462">
        <v>1.0034722222222223</v>
      </c>
      <c r="E786" s="436">
        <f t="array" ref="E786">IF(B786=0,"",(J786+K786)/60)</f>
        <v>1.316666667</v>
      </c>
      <c r="F786" s="437">
        <f t="shared" si="1"/>
        <v>10.08333333</v>
      </c>
      <c r="G786" s="438">
        <f t="shared" si="9"/>
        <v>64.0661157</v>
      </c>
      <c r="H786" s="438">
        <f t="shared" si="3"/>
        <v>73.68821293</v>
      </c>
      <c r="I786" s="436">
        <f t="shared" si="10"/>
        <v>1.456048084</v>
      </c>
      <c r="J786" s="460">
        <v>60.0</v>
      </c>
      <c r="K786" s="464">
        <f>5+9+5</f>
        <v>19</v>
      </c>
      <c r="L786" s="443"/>
      <c r="M786" s="447">
        <f>IFERROR(__xludf.DUMMYFUNCTION("""COMPUTED_VALUE"""),57.0)</f>
        <v>57</v>
      </c>
      <c r="N786" s="447">
        <f>IFERROR(__xludf.DUMMYFUNCTION("""COMPUTED_VALUE"""),57.0)</f>
        <v>57</v>
      </c>
      <c r="O786" s="447">
        <f>IFERROR(__xludf.DUMMYFUNCTION("""COMPUTED_VALUE"""),0.0)</f>
        <v>0</v>
      </c>
      <c r="P786" s="447">
        <f>IFERROR(__xludf.DUMMYFUNCTION("""COMPUTED_VALUE"""),0.0)</f>
        <v>0</v>
      </c>
      <c r="Q786" s="447">
        <f>IFERROR(__xludf.DUMMYFUNCTION("""COMPUTED_VALUE"""),0.0)</f>
        <v>0</v>
      </c>
      <c r="R786" s="447">
        <f>IFERROR(__xludf.DUMMYFUNCTION("""COMPUTED_VALUE"""),0.0)</f>
        <v>0</v>
      </c>
      <c r="S786" s="447">
        <f>IFERROR(__xludf.DUMMYFUNCTION("""COMPUTED_VALUE"""),4.0)</f>
        <v>4</v>
      </c>
      <c r="T786" s="447">
        <f>IFERROR(__xludf.DUMMYFUNCTION("""COMPUTED_VALUE"""),0.0)</f>
        <v>0</v>
      </c>
      <c r="U786" s="447">
        <f>IFERROR(__xludf.DUMMYFUNCTION("""COMPUTED_VALUE"""),0.0)</f>
        <v>0</v>
      </c>
      <c r="V786" s="447">
        <f>IFERROR(__xludf.DUMMYFUNCTION("""COMPUTED_VALUE"""),3.0)</f>
        <v>3</v>
      </c>
      <c r="W786" s="447">
        <f>IFERROR(__xludf.DUMMYFUNCTION("""COMPUTED_VALUE"""),1.0)</f>
        <v>1</v>
      </c>
      <c r="X786" s="447">
        <f>IFERROR(__xludf.DUMMYFUNCTION("""COMPUTED_VALUE"""),1.0)</f>
        <v>1</v>
      </c>
      <c r="Y786" s="447">
        <f>IFERROR(__xludf.DUMMYFUNCTION("""COMPUTED_VALUE"""),0.0)</f>
        <v>0</v>
      </c>
      <c r="Z786" s="447">
        <f>IFERROR(__xludf.DUMMYFUNCTION("""COMPUTED_VALUE"""),0.0)</f>
        <v>0</v>
      </c>
      <c r="AA786" s="447">
        <f>IFERROR(__xludf.DUMMYFUNCTION("""COMPUTED_VALUE"""),0.0)</f>
        <v>0</v>
      </c>
      <c r="AB786" s="447">
        <f>IFERROR(__xludf.DUMMYFUNCTION("""COMPUTED_VALUE"""),0.0)</f>
        <v>0</v>
      </c>
      <c r="AC786" s="447">
        <f>IFERROR(__xludf.DUMMYFUNCTION("""COMPUTED_VALUE"""),1.0)</f>
        <v>1</v>
      </c>
      <c r="AD786" s="447">
        <f>IFERROR(__xludf.DUMMYFUNCTION("""COMPUTED_VALUE"""),44.0)</f>
        <v>44</v>
      </c>
      <c r="AE786" s="447">
        <f>IFERROR(__xludf.DUMMYFUNCTION("""COMPUTED_VALUE"""),10.0)</f>
        <v>10</v>
      </c>
      <c r="AF786" s="447">
        <f>IFERROR(__xludf.DUMMYFUNCTION("""COMPUTED_VALUE"""),0.0)</f>
        <v>0</v>
      </c>
      <c r="AG786" s="443" t="s">
        <v>91</v>
      </c>
      <c r="AH786" s="443" t="s">
        <v>291</v>
      </c>
      <c r="AI786" s="443"/>
      <c r="AJ786" s="443"/>
      <c r="AK786" s="443"/>
      <c r="AL786" s="443"/>
      <c r="AM786" s="443"/>
      <c r="AN786" s="443"/>
      <c r="AO786" s="443"/>
      <c r="AP786" s="443"/>
      <c r="AQ786" s="443"/>
      <c r="AR786" s="443"/>
      <c r="AS786" s="443"/>
      <c r="AT786" s="443"/>
      <c r="AU786" s="443"/>
      <c r="AV786" s="443"/>
      <c r="AW786" s="443"/>
      <c r="AX786" s="443"/>
      <c r="AY786" s="443"/>
      <c r="AZ786" s="443"/>
      <c r="BA786" s="443"/>
      <c r="BB786" s="443"/>
      <c r="BC786" s="443"/>
      <c r="BD786" s="443"/>
      <c r="BE786" s="443"/>
    </row>
    <row r="787" hidden="1">
      <c r="A787" s="445">
        <f t="shared" si="5"/>
        <v>46077</v>
      </c>
      <c r="B787" s="449">
        <v>477.0</v>
      </c>
      <c r="C787" s="462">
        <v>0.5833333333333334</v>
      </c>
      <c r="D787" s="462">
        <v>0.9069444444444444</v>
      </c>
      <c r="E787" s="436">
        <f t="array" ref="E787">IF(B787=0,"",(J787+K787)/60)</f>
        <v>1.033333333</v>
      </c>
      <c r="F787" s="437">
        <f t="shared" si="1"/>
        <v>7.766666667</v>
      </c>
      <c r="G787" s="438">
        <f t="shared" si="9"/>
        <v>61.41630901</v>
      </c>
      <c r="H787" s="438">
        <f t="shared" si="3"/>
        <v>70.84158416</v>
      </c>
      <c r="I787" s="436">
        <f t="shared" si="10"/>
        <v>1.395825205</v>
      </c>
      <c r="J787" s="460">
        <v>30.0</v>
      </c>
      <c r="K787" s="460">
        <f>11+11+5+5</f>
        <v>32</v>
      </c>
      <c r="L787" s="449" t="s">
        <v>995</v>
      </c>
      <c r="M787" s="447">
        <f>IFERROR(__xludf.DUMMYFUNCTION("""COMPUTED_VALUE"""),57.0)</f>
        <v>57</v>
      </c>
      <c r="N787" s="447">
        <f>IFERROR(__xludf.DUMMYFUNCTION("""COMPUTED_VALUE"""),57.0)</f>
        <v>57</v>
      </c>
      <c r="O787" s="447">
        <f>IFERROR(__xludf.DUMMYFUNCTION("""COMPUTED_VALUE"""),0.0)</f>
        <v>0</v>
      </c>
      <c r="P787" s="447">
        <f>IFERROR(__xludf.DUMMYFUNCTION("""COMPUTED_VALUE"""),1.0)</f>
        <v>1</v>
      </c>
      <c r="Q787" s="447">
        <f>IFERROR(__xludf.DUMMYFUNCTION("""COMPUTED_VALUE"""),0.0)</f>
        <v>0</v>
      </c>
      <c r="R787" s="447">
        <f>IFERROR(__xludf.DUMMYFUNCTION("""COMPUTED_VALUE"""),0.0)</f>
        <v>0</v>
      </c>
      <c r="S787" s="447">
        <f>IFERROR(__xludf.DUMMYFUNCTION("""COMPUTED_VALUE"""),4.0)</f>
        <v>4</v>
      </c>
      <c r="T787" s="447">
        <f>IFERROR(__xludf.DUMMYFUNCTION("""COMPUTED_VALUE"""),0.0)</f>
        <v>0</v>
      </c>
      <c r="U787" s="447">
        <f>IFERROR(__xludf.DUMMYFUNCTION("""COMPUTED_VALUE"""),0.0)</f>
        <v>0</v>
      </c>
      <c r="V787" s="447">
        <f>IFERROR(__xludf.DUMMYFUNCTION("""COMPUTED_VALUE"""),3.0)</f>
        <v>3</v>
      </c>
      <c r="W787" s="447">
        <f>IFERROR(__xludf.DUMMYFUNCTION("""COMPUTED_VALUE"""),1.0)</f>
        <v>1</v>
      </c>
      <c r="X787" s="447">
        <f>IFERROR(__xludf.DUMMYFUNCTION("""COMPUTED_VALUE"""),1.0)</f>
        <v>1</v>
      </c>
      <c r="Y787" s="447">
        <f>IFERROR(__xludf.DUMMYFUNCTION("""COMPUTED_VALUE"""),0.0)</f>
        <v>0</v>
      </c>
      <c r="Z787" s="447">
        <f>IFERROR(__xludf.DUMMYFUNCTION("""COMPUTED_VALUE"""),0.0)</f>
        <v>0</v>
      </c>
      <c r="AA787" s="447">
        <f>IFERROR(__xludf.DUMMYFUNCTION("""COMPUTED_VALUE"""),0.0)</f>
        <v>0</v>
      </c>
      <c r="AB787" s="447">
        <f>IFERROR(__xludf.DUMMYFUNCTION("""COMPUTED_VALUE"""),0.0)</f>
        <v>0</v>
      </c>
      <c r="AC787" s="447">
        <f>IFERROR(__xludf.DUMMYFUNCTION("""COMPUTED_VALUE"""),0.0)</f>
        <v>0</v>
      </c>
      <c r="AD787" s="447">
        <f>IFERROR(__xludf.DUMMYFUNCTION("""COMPUTED_VALUE"""),44.0)</f>
        <v>44</v>
      </c>
      <c r="AE787" s="447">
        <f>IFERROR(__xludf.DUMMYFUNCTION("""COMPUTED_VALUE"""),10.0)</f>
        <v>10</v>
      </c>
      <c r="AF787" s="447">
        <f>IFERROR(__xludf.DUMMYFUNCTION("""COMPUTED_VALUE"""),0.0)</f>
        <v>0</v>
      </c>
      <c r="AG787" s="443" t="s">
        <v>91</v>
      </c>
      <c r="AH787" s="443" t="s">
        <v>291</v>
      </c>
      <c r="AI787" s="443"/>
      <c r="AJ787" s="443"/>
      <c r="AK787" s="443"/>
      <c r="AL787" s="443"/>
      <c r="AM787" s="443"/>
      <c r="AN787" s="443"/>
      <c r="AO787" s="443"/>
      <c r="AP787" s="443"/>
      <c r="AQ787" s="443"/>
      <c r="AR787" s="443"/>
      <c r="AS787" s="443"/>
      <c r="AT787" s="443"/>
      <c r="AU787" s="443"/>
      <c r="AV787" s="443"/>
      <c r="AW787" s="443"/>
      <c r="AX787" s="443"/>
      <c r="AY787" s="443"/>
      <c r="AZ787" s="443"/>
      <c r="BA787" s="443"/>
      <c r="BB787" s="443"/>
      <c r="BC787" s="443"/>
      <c r="BD787" s="443"/>
      <c r="BE787" s="443"/>
    </row>
    <row r="788" hidden="1">
      <c r="A788" s="445">
        <f t="shared" si="5"/>
        <v>46078</v>
      </c>
      <c r="B788" s="449">
        <v>444.0</v>
      </c>
      <c r="C788" s="462">
        <v>0.6041666666666666</v>
      </c>
      <c r="D788" s="462">
        <v>0.8993055555555556</v>
      </c>
      <c r="E788" s="436">
        <f t="array" ref="E788">IF(B788=0,"",(J788+K788)/60)</f>
        <v>0.6333333333</v>
      </c>
      <c r="F788" s="437">
        <f t="shared" si="1"/>
        <v>7.083333333</v>
      </c>
      <c r="G788" s="438">
        <f t="shared" si="9"/>
        <v>62.68235294</v>
      </c>
      <c r="H788" s="438">
        <f t="shared" si="3"/>
        <v>68.8372093</v>
      </c>
      <c r="I788" s="436">
        <f t="shared" si="10"/>
        <v>1.362659847</v>
      </c>
      <c r="J788" s="460">
        <v>30.0</v>
      </c>
      <c r="K788" s="464">
        <f>8</f>
        <v>8</v>
      </c>
      <c r="L788" s="449" t="s">
        <v>996</v>
      </c>
      <c r="M788" s="447">
        <f>IFERROR(__xludf.DUMMYFUNCTION("""COMPUTED_VALUE"""),57.0)</f>
        <v>57</v>
      </c>
      <c r="N788" s="447">
        <f>IFERROR(__xludf.DUMMYFUNCTION("""COMPUTED_VALUE"""),57.0)</f>
        <v>57</v>
      </c>
      <c r="O788" s="447">
        <f>IFERROR(__xludf.DUMMYFUNCTION("""COMPUTED_VALUE"""),0.0)</f>
        <v>0</v>
      </c>
      <c r="P788" s="447">
        <f>IFERROR(__xludf.DUMMYFUNCTION("""COMPUTED_VALUE"""),0.0)</f>
        <v>0</v>
      </c>
      <c r="Q788" s="447">
        <f>IFERROR(__xludf.DUMMYFUNCTION("""COMPUTED_VALUE"""),0.0)</f>
        <v>0</v>
      </c>
      <c r="R788" s="447">
        <f>IFERROR(__xludf.DUMMYFUNCTION("""COMPUTED_VALUE"""),0.0)</f>
        <v>0</v>
      </c>
      <c r="S788" s="447">
        <f>IFERROR(__xludf.DUMMYFUNCTION("""COMPUTED_VALUE"""),3.0)</f>
        <v>3</v>
      </c>
      <c r="T788" s="447">
        <f>IFERROR(__xludf.DUMMYFUNCTION("""COMPUTED_VALUE"""),0.0)</f>
        <v>0</v>
      </c>
      <c r="U788" s="447">
        <f>IFERROR(__xludf.DUMMYFUNCTION("""COMPUTED_VALUE"""),0.0)</f>
        <v>0</v>
      </c>
      <c r="V788" s="447">
        <f>IFERROR(__xludf.DUMMYFUNCTION("""COMPUTED_VALUE"""),3.0)</f>
        <v>3</v>
      </c>
      <c r="W788" s="447">
        <f>IFERROR(__xludf.DUMMYFUNCTION("""COMPUTED_VALUE"""),1.0)</f>
        <v>1</v>
      </c>
      <c r="X788" s="447">
        <f>IFERROR(__xludf.DUMMYFUNCTION("""COMPUTED_VALUE"""),1.0)</f>
        <v>1</v>
      </c>
      <c r="Y788" s="447">
        <f>IFERROR(__xludf.DUMMYFUNCTION("""COMPUTED_VALUE"""),0.0)</f>
        <v>0</v>
      </c>
      <c r="Z788" s="447">
        <f>IFERROR(__xludf.DUMMYFUNCTION("""COMPUTED_VALUE"""),0.0)</f>
        <v>0</v>
      </c>
      <c r="AA788" s="447">
        <f>IFERROR(__xludf.DUMMYFUNCTION("""COMPUTED_VALUE"""),0.0)</f>
        <v>0</v>
      </c>
      <c r="AB788" s="447">
        <f>IFERROR(__xludf.DUMMYFUNCTION("""COMPUTED_VALUE"""),0.0)</f>
        <v>0</v>
      </c>
      <c r="AC788" s="447">
        <f>IFERROR(__xludf.DUMMYFUNCTION("""COMPUTED_VALUE"""),0.0)</f>
        <v>0</v>
      </c>
      <c r="AD788" s="447">
        <f>IFERROR(__xludf.DUMMYFUNCTION("""COMPUTED_VALUE"""),46.0)</f>
        <v>46</v>
      </c>
      <c r="AE788" s="447">
        <f>IFERROR(__xludf.DUMMYFUNCTION("""COMPUTED_VALUE"""),8.0)</f>
        <v>8</v>
      </c>
      <c r="AF788" s="447">
        <f>IFERROR(__xludf.DUMMYFUNCTION("""COMPUTED_VALUE"""),0.0)</f>
        <v>0</v>
      </c>
      <c r="AG788" s="443" t="s">
        <v>91</v>
      </c>
      <c r="AH788" s="443" t="s">
        <v>291</v>
      </c>
      <c r="AI788" s="443"/>
      <c r="AJ788" s="443"/>
      <c r="AK788" s="443"/>
      <c r="AL788" s="443"/>
      <c r="AM788" s="443"/>
      <c r="AN788" s="443"/>
      <c r="AO788" s="443"/>
      <c r="AP788" s="443"/>
      <c r="AQ788" s="443"/>
      <c r="AR788" s="443"/>
      <c r="AS788" s="443"/>
      <c r="AT788" s="443"/>
      <c r="AU788" s="443"/>
      <c r="AV788" s="443"/>
      <c r="AW788" s="443"/>
      <c r="AX788" s="443"/>
      <c r="AY788" s="443"/>
      <c r="AZ788" s="443"/>
      <c r="BA788" s="443"/>
      <c r="BB788" s="443"/>
      <c r="BC788" s="443"/>
      <c r="BD788" s="443"/>
      <c r="BE788" s="443"/>
    </row>
    <row r="789" hidden="1">
      <c r="A789" s="445">
        <f t="shared" si="5"/>
        <v>46079</v>
      </c>
      <c r="B789" s="449">
        <v>595.0</v>
      </c>
      <c r="C789" s="462">
        <v>0.5833333333333334</v>
      </c>
      <c r="D789" s="462">
        <v>0.9513888888888888</v>
      </c>
      <c r="E789" s="436">
        <f t="array" ref="E789">IF(B789=0,"",(J789+K789)/60)</f>
        <v>0.9333333333</v>
      </c>
      <c r="F789" s="437">
        <f t="shared" si="1"/>
        <v>8.833333333</v>
      </c>
      <c r="G789" s="438">
        <f t="shared" si="9"/>
        <v>67.35849057</v>
      </c>
      <c r="H789" s="438">
        <f t="shared" si="3"/>
        <v>75.3164557</v>
      </c>
      <c r="I789" s="436">
        <f t="shared" si="10"/>
        <v>1.464315012</v>
      </c>
      <c r="J789" s="460">
        <v>30.0</v>
      </c>
      <c r="K789" s="464">
        <f>6+20</f>
        <v>26</v>
      </c>
      <c r="L789" s="443"/>
      <c r="M789" s="447">
        <f>IFERROR(__xludf.DUMMYFUNCTION("""COMPUTED_VALUE"""),57.0)</f>
        <v>57</v>
      </c>
      <c r="N789" s="447">
        <f>IFERROR(__xludf.DUMMYFUNCTION("""COMPUTED_VALUE"""),57.0)</f>
        <v>57</v>
      </c>
      <c r="O789" s="447">
        <f>IFERROR(__xludf.DUMMYFUNCTION("""COMPUTED_VALUE"""),0.0)</f>
        <v>0</v>
      </c>
      <c r="P789" s="447">
        <f>IFERROR(__xludf.DUMMYFUNCTION("""COMPUTED_VALUE"""),0.0)</f>
        <v>0</v>
      </c>
      <c r="Q789" s="447">
        <f>IFERROR(__xludf.DUMMYFUNCTION("""COMPUTED_VALUE"""),0.0)</f>
        <v>0</v>
      </c>
      <c r="R789" s="447">
        <f>IFERROR(__xludf.DUMMYFUNCTION("""COMPUTED_VALUE"""),0.0)</f>
        <v>0</v>
      </c>
      <c r="S789" s="447">
        <f>IFERROR(__xludf.DUMMYFUNCTION("""COMPUTED_VALUE"""),3.0)</f>
        <v>3</v>
      </c>
      <c r="T789" s="447">
        <f>IFERROR(__xludf.DUMMYFUNCTION("""COMPUTED_VALUE"""),0.0)</f>
        <v>0</v>
      </c>
      <c r="U789" s="447">
        <f>IFERROR(__xludf.DUMMYFUNCTION("""COMPUTED_VALUE"""),0.0)</f>
        <v>0</v>
      </c>
      <c r="V789" s="447">
        <f>IFERROR(__xludf.DUMMYFUNCTION("""COMPUTED_VALUE"""),3.0)</f>
        <v>3</v>
      </c>
      <c r="W789" s="447">
        <f>IFERROR(__xludf.DUMMYFUNCTION("""COMPUTED_VALUE"""),1.0)</f>
        <v>1</v>
      </c>
      <c r="X789" s="447">
        <f>IFERROR(__xludf.DUMMYFUNCTION("""COMPUTED_VALUE"""),1.0)</f>
        <v>1</v>
      </c>
      <c r="Y789" s="447">
        <f>IFERROR(__xludf.DUMMYFUNCTION("""COMPUTED_VALUE"""),0.0)</f>
        <v>0</v>
      </c>
      <c r="Z789" s="447">
        <f>IFERROR(__xludf.DUMMYFUNCTION("""COMPUTED_VALUE"""),0.0)</f>
        <v>0</v>
      </c>
      <c r="AA789" s="447">
        <f>IFERROR(__xludf.DUMMYFUNCTION("""COMPUTED_VALUE"""),0.0)</f>
        <v>0</v>
      </c>
      <c r="AB789" s="447">
        <f>IFERROR(__xludf.DUMMYFUNCTION("""COMPUTED_VALUE"""),0.0)</f>
        <v>0</v>
      </c>
      <c r="AC789" s="447">
        <f>IFERROR(__xludf.DUMMYFUNCTION("""COMPUTED_VALUE"""),0.0)</f>
        <v>0</v>
      </c>
      <c r="AD789" s="447">
        <f>IFERROR(__xludf.DUMMYFUNCTION("""COMPUTED_VALUE"""),46.0)</f>
        <v>46</v>
      </c>
      <c r="AE789" s="447">
        <f>IFERROR(__xludf.DUMMYFUNCTION("""COMPUTED_VALUE"""),8.0)</f>
        <v>8</v>
      </c>
      <c r="AF789" s="447">
        <f>IFERROR(__xludf.DUMMYFUNCTION("""COMPUTED_VALUE"""),0.0)</f>
        <v>0</v>
      </c>
      <c r="AG789" s="443" t="s">
        <v>91</v>
      </c>
      <c r="AH789" s="443" t="s">
        <v>291</v>
      </c>
      <c r="AI789" s="443"/>
      <c r="AJ789" s="443"/>
      <c r="AK789" s="443"/>
      <c r="AL789" s="443"/>
      <c r="AM789" s="443"/>
      <c r="AN789" s="443"/>
      <c r="AO789" s="443"/>
      <c r="AP789" s="443"/>
      <c r="AQ789" s="443"/>
      <c r="AR789" s="443"/>
      <c r="AS789" s="443"/>
      <c r="AT789" s="443"/>
      <c r="AU789" s="443"/>
      <c r="AV789" s="443"/>
      <c r="AW789" s="443"/>
      <c r="AX789" s="443"/>
      <c r="AY789" s="443"/>
      <c r="AZ789" s="443"/>
      <c r="BA789" s="443"/>
      <c r="BB789" s="443"/>
      <c r="BC789" s="443"/>
      <c r="BD789" s="443"/>
      <c r="BE789" s="443"/>
    </row>
    <row r="790" hidden="1">
      <c r="A790" s="445">
        <f t="shared" si="5"/>
        <v>46080</v>
      </c>
      <c r="B790" s="449">
        <v>276.0</v>
      </c>
      <c r="C790" s="462">
        <v>0.625</v>
      </c>
      <c r="D790" s="462">
        <v>0.8194444444444444</v>
      </c>
      <c r="E790" s="436">
        <f t="array" ref="E790">IF(B790=0,"",(J790+K790)/60)</f>
        <v>0.2166666667</v>
      </c>
      <c r="F790" s="437">
        <f t="shared" si="1"/>
        <v>4.666666667</v>
      </c>
      <c r="G790" s="438">
        <f t="shared" si="9"/>
        <v>59.14285714</v>
      </c>
      <c r="H790" s="438">
        <f t="shared" si="3"/>
        <v>62.02247191</v>
      </c>
      <c r="I790" s="436">
        <f t="shared" si="10"/>
        <v>1.258358663</v>
      </c>
      <c r="J790" s="460">
        <v>0.0</v>
      </c>
      <c r="K790" s="464">
        <f>4+4+5</f>
        <v>13</v>
      </c>
      <c r="L790" s="449" t="s">
        <v>997</v>
      </c>
      <c r="M790" s="447">
        <f>IFERROR(__xludf.DUMMYFUNCTION("""COMPUTED_VALUE"""),57.0)</f>
        <v>57</v>
      </c>
      <c r="N790" s="447">
        <f>IFERROR(__xludf.DUMMYFUNCTION("""COMPUTED_VALUE"""),57.0)</f>
        <v>57</v>
      </c>
      <c r="O790" s="447">
        <f>IFERROR(__xludf.DUMMYFUNCTION("""COMPUTED_VALUE"""),0.0)</f>
        <v>0</v>
      </c>
      <c r="P790" s="447">
        <f>IFERROR(__xludf.DUMMYFUNCTION("""COMPUTED_VALUE"""),0.0)</f>
        <v>0</v>
      </c>
      <c r="Q790" s="447">
        <f>IFERROR(__xludf.DUMMYFUNCTION("""COMPUTED_VALUE"""),0.0)</f>
        <v>0</v>
      </c>
      <c r="R790" s="447">
        <f>IFERROR(__xludf.DUMMYFUNCTION("""COMPUTED_VALUE"""),0.0)</f>
        <v>0</v>
      </c>
      <c r="S790" s="447">
        <f>IFERROR(__xludf.DUMMYFUNCTION("""COMPUTED_VALUE"""),4.0)</f>
        <v>4</v>
      </c>
      <c r="T790" s="447">
        <f>IFERROR(__xludf.DUMMYFUNCTION("""COMPUTED_VALUE"""),0.0)</f>
        <v>0</v>
      </c>
      <c r="U790" s="447">
        <f>IFERROR(__xludf.DUMMYFUNCTION("""COMPUTED_VALUE"""),0.0)</f>
        <v>0</v>
      </c>
      <c r="V790" s="447">
        <f>IFERROR(__xludf.DUMMYFUNCTION("""COMPUTED_VALUE"""),1.0)</f>
        <v>1</v>
      </c>
      <c r="W790" s="447">
        <f>IFERROR(__xludf.DUMMYFUNCTION("""COMPUTED_VALUE"""),0.0)</f>
        <v>0</v>
      </c>
      <c r="X790" s="447">
        <f>IFERROR(__xludf.DUMMYFUNCTION("""COMPUTED_VALUE"""),1.0)</f>
        <v>1</v>
      </c>
      <c r="Y790" s="447">
        <f>IFERROR(__xludf.DUMMYFUNCTION("""COMPUTED_VALUE"""),0.0)</f>
        <v>0</v>
      </c>
      <c r="Z790" s="447">
        <f>IFERROR(__xludf.DUMMYFUNCTION("""COMPUTED_VALUE"""),0.0)</f>
        <v>0</v>
      </c>
      <c r="AA790" s="447">
        <f>IFERROR(__xludf.DUMMYFUNCTION("""COMPUTED_VALUE"""),1.0)</f>
        <v>1</v>
      </c>
      <c r="AB790" s="447">
        <f>IFERROR(__xludf.DUMMYFUNCTION("""COMPUTED_VALUE"""),0.0)</f>
        <v>0</v>
      </c>
      <c r="AC790" s="447">
        <f>IFERROR(__xludf.DUMMYFUNCTION("""COMPUTED_VALUE"""),0.0)</f>
        <v>0</v>
      </c>
      <c r="AD790" s="447">
        <f>IFERROR(__xludf.DUMMYFUNCTION("""COMPUTED_VALUE"""),47.0)</f>
        <v>47</v>
      </c>
      <c r="AE790" s="447">
        <f>IFERROR(__xludf.DUMMYFUNCTION("""COMPUTED_VALUE"""),7.0)</f>
        <v>7</v>
      </c>
      <c r="AF790" s="447">
        <f>IFERROR(__xludf.DUMMYFUNCTION("""COMPUTED_VALUE"""),0.0)</f>
        <v>0</v>
      </c>
      <c r="AG790" s="443" t="s">
        <v>91</v>
      </c>
      <c r="AH790" s="443" t="s">
        <v>291</v>
      </c>
      <c r="AI790" s="443"/>
      <c r="AJ790" s="443"/>
      <c r="AK790" s="443"/>
      <c r="AL790" s="443"/>
      <c r="AM790" s="443"/>
      <c r="AN790" s="443"/>
      <c r="AO790" s="443"/>
      <c r="AP790" s="443"/>
      <c r="AQ790" s="443"/>
      <c r="AR790" s="443"/>
      <c r="AS790" s="443"/>
      <c r="AT790" s="443"/>
      <c r="AU790" s="443"/>
      <c r="AV790" s="443"/>
      <c r="AW790" s="443"/>
      <c r="AX790" s="443"/>
      <c r="AY790" s="443"/>
      <c r="AZ790" s="443"/>
      <c r="BA790" s="443"/>
      <c r="BB790" s="443"/>
      <c r="BC790" s="443"/>
      <c r="BD790" s="443"/>
      <c r="BE790" s="443"/>
    </row>
    <row r="791" hidden="1">
      <c r="A791" s="445">
        <f t="shared" si="5"/>
        <v>46081</v>
      </c>
      <c r="B791" s="449">
        <v>310.0</v>
      </c>
      <c r="C791" s="462">
        <v>0.625</v>
      </c>
      <c r="D791" s="462">
        <v>0.8263888888888888</v>
      </c>
      <c r="E791" s="436">
        <f t="array" ref="E791">IF(B791=0,"",(J791+K791)/60)</f>
        <v>0.3833333333</v>
      </c>
      <c r="F791" s="437">
        <f t="shared" si="1"/>
        <v>4.833333333</v>
      </c>
      <c r="G791" s="438">
        <f t="shared" si="9"/>
        <v>64.13793103</v>
      </c>
      <c r="H791" s="438">
        <f t="shared" si="3"/>
        <v>69.66292135</v>
      </c>
      <c r="I791" s="436">
        <f t="shared" si="10"/>
        <v>1.308937368</v>
      </c>
      <c r="J791" s="460">
        <v>0.0</v>
      </c>
      <c r="K791" s="464">
        <f>12+3+8</f>
        <v>23</v>
      </c>
      <c r="L791" s="443"/>
      <c r="M791" s="447">
        <f>IFERROR(__xludf.DUMMYFUNCTION("""COMPUTED_VALUE"""),57.0)</f>
        <v>57</v>
      </c>
      <c r="N791" s="447">
        <f>IFERROR(__xludf.DUMMYFUNCTION("""COMPUTED_VALUE"""),57.0)</f>
        <v>57</v>
      </c>
      <c r="O791" s="447">
        <f>IFERROR(__xludf.DUMMYFUNCTION("""COMPUTED_VALUE"""),0.0)</f>
        <v>0</v>
      </c>
      <c r="P791" s="447">
        <f>IFERROR(__xludf.DUMMYFUNCTION("""COMPUTED_VALUE"""),0.0)</f>
        <v>0</v>
      </c>
      <c r="Q791" s="447">
        <f>IFERROR(__xludf.DUMMYFUNCTION("""COMPUTED_VALUE"""),0.0)</f>
        <v>0</v>
      </c>
      <c r="R791" s="447">
        <f>IFERROR(__xludf.DUMMYFUNCTION("""COMPUTED_VALUE"""),0.0)</f>
        <v>0</v>
      </c>
      <c r="S791" s="447">
        <f>IFERROR(__xludf.DUMMYFUNCTION("""COMPUTED_VALUE"""),1.0)</f>
        <v>1</v>
      </c>
      <c r="T791" s="447">
        <f>IFERROR(__xludf.DUMMYFUNCTION("""COMPUTED_VALUE"""),0.0)</f>
        <v>0</v>
      </c>
      <c r="U791" s="447">
        <f>IFERROR(__xludf.DUMMYFUNCTION("""COMPUTED_VALUE"""),0.0)</f>
        <v>0</v>
      </c>
      <c r="V791" s="447">
        <f>IFERROR(__xludf.DUMMYFUNCTION("""COMPUTED_VALUE"""),2.0)</f>
        <v>2</v>
      </c>
      <c r="W791" s="447">
        <f>IFERROR(__xludf.DUMMYFUNCTION("""COMPUTED_VALUE"""),0.0)</f>
        <v>0</v>
      </c>
      <c r="X791" s="447">
        <f>IFERROR(__xludf.DUMMYFUNCTION("""COMPUTED_VALUE"""),1.0)</f>
        <v>1</v>
      </c>
      <c r="Y791" s="447">
        <f>IFERROR(__xludf.DUMMYFUNCTION("""COMPUTED_VALUE"""),0.0)</f>
        <v>0</v>
      </c>
      <c r="Z791" s="447">
        <f>IFERROR(__xludf.DUMMYFUNCTION("""COMPUTED_VALUE"""),0.0)</f>
        <v>0</v>
      </c>
      <c r="AA791" s="447">
        <f>IFERROR(__xludf.DUMMYFUNCTION("""COMPUTED_VALUE"""),0.0)</f>
        <v>0</v>
      </c>
      <c r="AB791" s="447">
        <f>IFERROR(__xludf.DUMMYFUNCTION("""COMPUTED_VALUE"""),0.0)</f>
        <v>0</v>
      </c>
      <c r="AC791" s="447">
        <f>IFERROR(__xludf.DUMMYFUNCTION("""COMPUTED_VALUE"""),1.0)</f>
        <v>1</v>
      </c>
      <c r="AD791" s="447">
        <f>IFERROR(__xludf.DUMMYFUNCTION("""COMPUTED_VALUE"""),49.0)</f>
        <v>49</v>
      </c>
      <c r="AE791" s="447">
        <f>IFERROR(__xludf.DUMMYFUNCTION("""COMPUTED_VALUE"""),5.0)</f>
        <v>5</v>
      </c>
      <c r="AF791" s="447">
        <f>IFERROR(__xludf.DUMMYFUNCTION("""COMPUTED_VALUE"""),0.0)</f>
        <v>0</v>
      </c>
      <c r="AG791" s="443" t="s">
        <v>91</v>
      </c>
      <c r="AH791" s="443" t="s">
        <v>291</v>
      </c>
      <c r="AI791" s="443"/>
      <c r="AJ791" s="443"/>
      <c r="AK791" s="443"/>
      <c r="AL791" s="443"/>
      <c r="AM791" s="443"/>
      <c r="AN791" s="443"/>
      <c r="AO791" s="443"/>
      <c r="AP791" s="443"/>
      <c r="AQ791" s="443"/>
      <c r="AR791" s="443"/>
      <c r="AS791" s="443"/>
      <c r="AT791" s="443"/>
      <c r="AU791" s="443"/>
      <c r="AV791" s="443"/>
      <c r="AW791" s="443"/>
      <c r="AX791" s="443"/>
      <c r="AY791" s="443"/>
      <c r="AZ791" s="443"/>
      <c r="BA791" s="443"/>
      <c r="BB791" s="443"/>
      <c r="BC791" s="443"/>
      <c r="BD791" s="443"/>
      <c r="BE791" s="443"/>
    </row>
    <row r="792" hidden="1">
      <c r="A792" s="445">
        <f t="shared" si="5"/>
        <v>46082</v>
      </c>
      <c r="B792" s="449">
        <v>0.0</v>
      </c>
      <c r="C792" s="443"/>
      <c r="D792" s="462"/>
      <c r="E792" s="436" t="str">
        <f t="array" ref="E792">IF(B792=0,"",(J792+K792)/60)</f>
        <v/>
      </c>
      <c r="F792" s="437" t="str">
        <f t="shared" si="1"/>
        <v/>
      </c>
      <c r="G792" s="438" t="str">
        <f t="shared" si="9"/>
        <v>#DIV/0!</v>
      </c>
      <c r="H792" s="438" t="str">
        <f t="shared" si="3"/>
        <v/>
      </c>
      <c r="I792" s="436" t="str">
        <f t="shared" si="10"/>
        <v/>
      </c>
      <c r="J792" s="464"/>
      <c r="K792" s="464"/>
      <c r="L792" s="443"/>
      <c r="M792" s="447">
        <f>IFERROR(__xludf.DUMMYFUNCTION("TRANSPOSE(IMPORTRANGE(""https://docs.google.com/spreadsheets/d/1CNeKSHTeNNJnfn5EymHwGg5Mkuk6EcepW7_9QkJxalc/edit#gid=1218471306"",""MARZO 2026!F2:Aj21""))"),57.0)</f>
        <v>57</v>
      </c>
      <c r="N792" s="447">
        <f>IFERROR(__xludf.DUMMYFUNCTION("""COMPUTED_VALUE"""),57.0)</f>
        <v>57</v>
      </c>
      <c r="O792" s="447">
        <f>IFERROR(__xludf.DUMMYFUNCTION("""COMPUTED_VALUE"""),0.0)</f>
        <v>0</v>
      </c>
      <c r="P792" s="447">
        <f>IFERROR(__xludf.DUMMYFUNCTION("""COMPUTED_VALUE"""),0.0)</f>
        <v>0</v>
      </c>
      <c r="Q792" s="447">
        <f>IFERROR(__xludf.DUMMYFUNCTION("""COMPUTED_VALUE"""),0.0)</f>
        <v>0</v>
      </c>
      <c r="R792" s="447">
        <f>IFERROR(__xludf.DUMMYFUNCTION("""COMPUTED_VALUE"""),0.0)</f>
        <v>0</v>
      </c>
      <c r="S792" s="447">
        <f>IFERROR(__xludf.DUMMYFUNCTION("""COMPUTED_VALUE"""),0.0)</f>
        <v>0</v>
      </c>
      <c r="T792" s="447">
        <f>IFERROR(__xludf.DUMMYFUNCTION("""COMPUTED_VALUE"""),0.0)</f>
        <v>0</v>
      </c>
      <c r="U792" s="447">
        <f>IFERROR(__xludf.DUMMYFUNCTION("""COMPUTED_VALUE"""),0.0)</f>
        <v>0</v>
      </c>
      <c r="V792" s="447">
        <f>IFERROR(__xludf.DUMMYFUNCTION("""COMPUTED_VALUE"""),0.0)</f>
        <v>0</v>
      </c>
      <c r="W792" s="447">
        <f>IFERROR(__xludf.DUMMYFUNCTION("""COMPUTED_VALUE"""),0.0)</f>
        <v>0</v>
      </c>
      <c r="X792" s="447">
        <f>IFERROR(__xludf.DUMMYFUNCTION("""COMPUTED_VALUE"""),0.0)</f>
        <v>0</v>
      </c>
      <c r="Y792" s="447">
        <f>IFERROR(__xludf.DUMMYFUNCTION("""COMPUTED_VALUE"""),0.0)</f>
        <v>0</v>
      </c>
      <c r="Z792" s="447">
        <f>IFERROR(__xludf.DUMMYFUNCTION("""COMPUTED_VALUE"""),0.0)</f>
        <v>0</v>
      </c>
      <c r="AA792" s="447">
        <f>IFERROR(__xludf.DUMMYFUNCTION("""COMPUTED_VALUE"""),0.0)</f>
        <v>0</v>
      </c>
      <c r="AB792" s="447">
        <f>IFERROR(__xludf.DUMMYFUNCTION("""COMPUTED_VALUE"""),0.0)</f>
        <v>0</v>
      </c>
      <c r="AC792" s="447">
        <f>IFERROR(__xludf.DUMMYFUNCTION("""COMPUTED_VALUE"""),0.0)</f>
        <v>0</v>
      </c>
      <c r="AD792" s="447">
        <f>IFERROR(__xludf.DUMMYFUNCTION("""COMPUTED_VALUE"""),0.0)</f>
        <v>0</v>
      </c>
      <c r="AE792" s="447">
        <f>IFERROR(__xludf.DUMMYFUNCTION("""COMPUTED_VALUE"""),0.0)</f>
        <v>0</v>
      </c>
      <c r="AF792" s="447">
        <f>IFERROR(__xludf.DUMMYFUNCTION("""COMPUTED_VALUE"""),0.0)</f>
        <v>0</v>
      </c>
      <c r="AG792" s="443" t="s">
        <v>98</v>
      </c>
      <c r="AH792" s="443" t="s">
        <v>291</v>
      </c>
      <c r="AI792" s="443"/>
      <c r="AJ792" s="443"/>
      <c r="AK792" s="443"/>
      <c r="AL792" s="443"/>
      <c r="AM792" s="443"/>
      <c r="AN792" s="443"/>
      <c r="AO792" s="443"/>
      <c r="AP792" s="443"/>
      <c r="AQ792" s="443"/>
      <c r="AR792" s="443"/>
      <c r="AS792" s="443"/>
      <c r="AT792" s="443"/>
      <c r="AU792" s="443"/>
      <c r="AV792" s="443"/>
      <c r="AW792" s="443"/>
      <c r="AX792" s="443"/>
      <c r="AY792" s="443"/>
      <c r="AZ792" s="443"/>
      <c r="BA792" s="443"/>
      <c r="BB792" s="443"/>
      <c r="BC792" s="443"/>
      <c r="BD792" s="443"/>
      <c r="BE792" s="443"/>
    </row>
    <row r="793" hidden="1">
      <c r="A793" s="445">
        <f t="shared" si="5"/>
        <v>46083</v>
      </c>
      <c r="B793" s="449">
        <v>614.0</v>
      </c>
      <c r="C793" s="462">
        <v>0.5833333333333334</v>
      </c>
      <c r="D793" s="462">
        <v>0.9881944444444445</v>
      </c>
      <c r="E793" s="436">
        <f t="array" ref="E793">IF(B793=0,"",(J793+K793)/60)</f>
        <v>1.166666667</v>
      </c>
      <c r="F793" s="437">
        <f t="shared" si="1"/>
        <v>9.716666667</v>
      </c>
      <c r="G793" s="438">
        <f t="shared" si="9"/>
        <v>63.19039451</v>
      </c>
      <c r="H793" s="438">
        <f t="shared" si="3"/>
        <v>71.8128655</v>
      </c>
      <c r="I793" s="436">
        <f t="shared" si="10"/>
        <v>1.404230989</v>
      </c>
      <c r="J793" s="460">
        <v>60.0</v>
      </c>
      <c r="K793" s="464">
        <f>5+5</f>
        <v>10</v>
      </c>
      <c r="L793" s="443"/>
      <c r="M793" s="447">
        <f>IFERROR(__xludf.DUMMYFUNCTION("""COMPUTED_VALUE"""),57.0)</f>
        <v>57</v>
      </c>
      <c r="N793" s="447">
        <f>IFERROR(__xludf.DUMMYFUNCTION("""COMPUTED_VALUE"""),57.0)</f>
        <v>57</v>
      </c>
      <c r="O793" s="447">
        <f>IFERROR(__xludf.DUMMYFUNCTION("""COMPUTED_VALUE"""),0.0)</f>
        <v>0</v>
      </c>
      <c r="P793" s="447">
        <f>IFERROR(__xludf.DUMMYFUNCTION("""COMPUTED_VALUE"""),0.0)</f>
        <v>0</v>
      </c>
      <c r="Q793" s="447">
        <f>IFERROR(__xludf.DUMMYFUNCTION("""COMPUTED_VALUE"""),1.0)</f>
        <v>1</v>
      </c>
      <c r="R793" s="447">
        <f>IFERROR(__xludf.DUMMYFUNCTION("""COMPUTED_VALUE"""),0.0)</f>
        <v>0</v>
      </c>
      <c r="S793" s="447">
        <f>IFERROR(__xludf.DUMMYFUNCTION("""COMPUTED_VALUE"""),3.0)</f>
        <v>3</v>
      </c>
      <c r="T793" s="447">
        <f>IFERROR(__xludf.DUMMYFUNCTION("""COMPUTED_VALUE"""),1.0)</f>
        <v>1</v>
      </c>
      <c r="U793" s="447">
        <f>IFERROR(__xludf.DUMMYFUNCTION("""COMPUTED_VALUE"""),0.0)</f>
        <v>0</v>
      </c>
      <c r="V793" s="447">
        <f>IFERROR(__xludf.DUMMYFUNCTION("""COMPUTED_VALUE"""),2.0)</f>
        <v>2</v>
      </c>
      <c r="W793" s="447">
        <f>IFERROR(__xludf.DUMMYFUNCTION("""COMPUTED_VALUE"""),0.0)</f>
        <v>0</v>
      </c>
      <c r="X793" s="447">
        <f>IFERROR(__xludf.DUMMYFUNCTION("""COMPUTED_VALUE"""),1.0)</f>
        <v>1</v>
      </c>
      <c r="Y793" s="447">
        <f>IFERROR(__xludf.DUMMYFUNCTION("""COMPUTED_VALUE"""),0.0)</f>
        <v>0</v>
      </c>
      <c r="Z793" s="447">
        <f>IFERROR(__xludf.DUMMYFUNCTION("""COMPUTED_VALUE"""),0.0)</f>
        <v>0</v>
      </c>
      <c r="AA793" s="447">
        <f>IFERROR(__xludf.DUMMYFUNCTION("""COMPUTED_VALUE"""),0.0)</f>
        <v>0</v>
      </c>
      <c r="AB793" s="447">
        <f>IFERROR(__xludf.DUMMYFUNCTION("""COMPUTED_VALUE"""),0.0)</f>
        <v>0</v>
      </c>
      <c r="AC793" s="447">
        <f>IFERROR(__xludf.DUMMYFUNCTION("""COMPUTED_VALUE"""),1.0)</f>
        <v>1</v>
      </c>
      <c r="AD793" s="447">
        <f>IFERROR(__xludf.DUMMYFUNCTION("""COMPUTED_VALUE"""),45.0)</f>
        <v>45</v>
      </c>
      <c r="AE793" s="447">
        <f>IFERROR(__xludf.DUMMYFUNCTION("""COMPUTED_VALUE"""),9.0)</f>
        <v>9</v>
      </c>
      <c r="AF793" s="447">
        <f>IFERROR(__xludf.DUMMYFUNCTION("""COMPUTED_VALUE"""),0.0)</f>
        <v>0</v>
      </c>
      <c r="AG793" s="443" t="s">
        <v>98</v>
      </c>
      <c r="AH793" s="443" t="s">
        <v>291</v>
      </c>
      <c r="AI793" s="443"/>
      <c r="AJ793" s="443"/>
      <c r="AK793" s="443"/>
      <c r="AL793" s="443"/>
      <c r="AM793" s="443"/>
      <c r="AN793" s="443"/>
      <c r="AO793" s="443"/>
      <c r="AP793" s="443"/>
      <c r="AQ793" s="443"/>
      <c r="AR793" s="443"/>
      <c r="AS793" s="443"/>
      <c r="AT793" s="443"/>
      <c r="AU793" s="443"/>
      <c r="AV793" s="443"/>
      <c r="AW793" s="443"/>
      <c r="AX793" s="443"/>
      <c r="AY793" s="443"/>
      <c r="AZ793" s="443"/>
      <c r="BA793" s="443"/>
      <c r="BB793" s="443"/>
      <c r="BC793" s="443"/>
      <c r="BD793" s="443"/>
      <c r="BE793" s="443"/>
    </row>
    <row r="794" hidden="1">
      <c r="A794" s="445">
        <f t="shared" si="5"/>
        <v>46084</v>
      </c>
      <c r="B794" s="449">
        <v>515.0</v>
      </c>
      <c r="C794" s="462">
        <v>0.5833333333333334</v>
      </c>
      <c r="D794" s="462">
        <v>0.9256944444444445</v>
      </c>
      <c r="E794" s="436">
        <f t="array" ref="E794">IF(B794=0,"",(J794+K794)/60)</f>
        <v>0.5</v>
      </c>
      <c r="F794" s="437">
        <f t="shared" si="1"/>
        <v>8.216666667</v>
      </c>
      <c r="G794" s="438">
        <f t="shared" si="9"/>
        <v>62.67748479</v>
      </c>
      <c r="H794" s="438">
        <f t="shared" si="3"/>
        <v>66.73866091</v>
      </c>
      <c r="I794" s="436">
        <f t="shared" si="10"/>
        <v>1.424488291</v>
      </c>
      <c r="J794" s="460">
        <v>30.0</v>
      </c>
      <c r="K794" s="460">
        <v>0.0</v>
      </c>
      <c r="L794" s="443"/>
      <c r="M794" s="447">
        <f>IFERROR(__xludf.DUMMYFUNCTION("""COMPUTED_VALUE"""),57.0)</f>
        <v>57</v>
      </c>
      <c r="N794" s="447">
        <f>IFERROR(__xludf.DUMMYFUNCTION("""COMPUTED_VALUE"""),57.0)</f>
        <v>57</v>
      </c>
      <c r="O794" s="447">
        <f>IFERROR(__xludf.DUMMYFUNCTION("""COMPUTED_VALUE"""),0.0)</f>
        <v>0</v>
      </c>
      <c r="P794" s="447">
        <f>IFERROR(__xludf.DUMMYFUNCTION("""COMPUTED_VALUE"""),0.0)</f>
        <v>0</v>
      </c>
      <c r="Q794" s="447">
        <f>IFERROR(__xludf.DUMMYFUNCTION("""COMPUTED_VALUE"""),1.0)</f>
        <v>1</v>
      </c>
      <c r="R794" s="447">
        <f>IFERROR(__xludf.DUMMYFUNCTION("""COMPUTED_VALUE"""),0.0)</f>
        <v>0</v>
      </c>
      <c r="S794" s="447">
        <f>IFERROR(__xludf.DUMMYFUNCTION("""COMPUTED_VALUE"""),3.0)</f>
        <v>3</v>
      </c>
      <c r="T794" s="447">
        <f>IFERROR(__xludf.DUMMYFUNCTION("""COMPUTED_VALUE"""),2.0)</f>
        <v>2</v>
      </c>
      <c r="U794" s="447">
        <f>IFERROR(__xludf.DUMMYFUNCTION("""COMPUTED_VALUE"""),0.0)</f>
        <v>0</v>
      </c>
      <c r="V794" s="447">
        <f>IFERROR(__xludf.DUMMYFUNCTION("""COMPUTED_VALUE"""),2.0)</f>
        <v>2</v>
      </c>
      <c r="W794" s="447">
        <f>IFERROR(__xludf.DUMMYFUNCTION("""COMPUTED_VALUE"""),0.0)</f>
        <v>0</v>
      </c>
      <c r="X794" s="447">
        <f>IFERROR(__xludf.DUMMYFUNCTION("""COMPUTED_VALUE"""),1.0)</f>
        <v>1</v>
      </c>
      <c r="Y794" s="447">
        <f>IFERROR(__xludf.DUMMYFUNCTION("""COMPUTED_VALUE"""),0.0)</f>
        <v>0</v>
      </c>
      <c r="Z794" s="447">
        <f>IFERROR(__xludf.DUMMYFUNCTION("""COMPUTED_VALUE"""),0.0)</f>
        <v>0</v>
      </c>
      <c r="AA794" s="447">
        <f>IFERROR(__xludf.DUMMYFUNCTION("""COMPUTED_VALUE"""),0.0)</f>
        <v>0</v>
      </c>
      <c r="AB794" s="447">
        <f>IFERROR(__xludf.DUMMYFUNCTION("""COMPUTED_VALUE"""),0.0)</f>
        <v>0</v>
      </c>
      <c r="AC794" s="447">
        <f>IFERROR(__xludf.DUMMYFUNCTION("""COMPUTED_VALUE"""),1.0)</f>
        <v>1</v>
      </c>
      <c r="AD794" s="447">
        <f>IFERROR(__xludf.DUMMYFUNCTION("""COMPUTED_VALUE"""),44.0)</f>
        <v>44</v>
      </c>
      <c r="AE794" s="447">
        <f>IFERROR(__xludf.DUMMYFUNCTION("""COMPUTED_VALUE"""),10.0)</f>
        <v>10</v>
      </c>
      <c r="AF794" s="447">
        <f>IFERROR(__xludf.DUMMYFUNCTION("""COMPUTED_VALUE"""),0.0)</f>
        <v>0</v>
      </c>
      <c r="AG794" s="443" t="s">
        <v>98</v>
      </c>
      <c r="AH794" s="443" t="s">
        <v>291</v>
      </c>
      <c r="AI794" s="443"/>
      <c r="AJ794" s="443"/>
      <c r="AK794" s="443"/>
      <c r="AL794" s="443"/>
      <c r="AM794" s="443"/>
      <c r="AN794" s="443"/>
      <c r="AO794" s="443"/>
      <c r="AP794" s="443"/>
      <c r="AQ794" s="443"/>
      <c r="AR794" s="443"/>
      <c r="AS794" s="443"/>
      <c r="AT794" s="443"/>
      <c r="AU794" s="443"/>
      <c r="AV794" s="443"/>
      <c r="AW794" s="443"/>
      <c r="AX794" s="443"/>
      <c r="AY794" s="443"/>
      <c r="AZ794" s="443"/>
      <c r="BA794" s="443"/>
      <c r="BB794" s="443"/>
      <c r="BC794" s="443"/>
      <c r="BD794" s="443"/>
      <c r="BE794" s="443"/>
    </row>
    <row r="795" hidden="1">
      <c r="A795" s="445">
        <f t="shared" si="5"/>
        <v>46085</v>
      </c>
      <c r="B795" s="449">
        <v>596.0</v>
      </c>
      <c r="C795" s="462">
        <v>0.5833333333333334</v>
      </c>
      <c r="D795" s="462">
        <v>0.9625</v>
      </c>
      <c r="E795" s="436">
        <f t="array" ref="E795">IF(B795=0,"",(J795+K795)/60)</f>
        <v>0.9</v>
      </c>
      <c r="F795" s="437">
        <f t="shared" si="1"/>
        <v>9.1</v>
      </c>
      <c r="G795" s="438">
        <f t="shared" si="9"/>
        <v>65.49450549</v>
      </c>
      <c r="H795" s="438">
        <f t="shared" si="3"/>
        <v>72.68292683</v>
      </c>
      <c r="I795" s="436">
        <f t="shared" si="10"/>
        <v>1.423793598</v>
      </c>
      <c r="J795" s="460">
        <v>30.0</v>
      </c>
      <c r="K795" s="460">
        <v>24.0</v>
      </c>
      <c r="L795" s="443"/>
      <c r="M795" s="447">
        <f>IFERROR(__xludf.DUMMYFUNCTION("""COMPUTED_VALUE"""),57.0)</f>
        <v>57</v>
      </c>
      <c r="N795" s="447">
        <f>IFERROR(__xludf.DUMMYFUNCTION("""COMPUTED_VALUE"""),57.0)</f>
        <v>57</v>
      </c>
      <c r="O795" s="447">
        <f>IFERROR(__xludf.DUMMYFUNCTION("""COMPUTED_VALUE"""),0.0)</f>
        <v>0</v>
      </c>
      <c r="P795" s="447">
        <f>IFERROR(__xludf.DUMMYFUNCTION("""COMPUTED_VALUE"""),0.0)</f>
        <v>0</v>
      </c>
      <c r="Q795" s="447">
        <f>IFERROR(__xludf.DUMMYFUNCTION("""COMPUTED_VALUE"""),1.0)</f>
        <v>1</v>
      </c>
      <c r="R795" s="447">
        <f>IFERROR(__xludf.DUMMYFUNCTION("""COMPUTED_VALUE"""),0.0)</f>
        <v>0</v>
      </c>
      <c r="S795" s="447">
        <f>IFERROR(__xludf.DUMMYFUNCTION("""COMPUTED_VALUE"""),1.0)</f>
        <v>1</v>
      </c>
      <c r="T795" s="447">
        <f>IFERROR(__xludf.DUMMYFUNCTION("""COMPUTED_VALUE"""),2.0)</f>
        <v>2</v>
      </c>
      <c r="U795" s="447">
        <f>IFERROR(__xludf.DUMMYFUNCTION("""COMPUTED_VALUE"""),0.0)</f>
        <v>0</v>
      </c>
      <c r="V795" s="447">
        <f>IFERROR(__xludf.DUMMYFUNCTION("""COMPUTED_VALUE"""),2.0)</f>
        <v>2</v>
      </c>
      <c r="W795" s="447">
        <f>IFERROR(__xludf.DUMMYFUNCTION("""COMPUTED_VALUE"""),1.0)</f>
        <v>1</v>
      </c>
      <c r="X795" s="447">
        <f>IFERROR(__xludf.DUMMYFUNCTION("""COMPUTED_VALUE"""),1.0)</f>
        <v>1</v>
      </c>
      <c r="Y795" s="447">
        <f>IFERROR(__xludf.DUMMYFUNCTION("""COMPUTED_VALUE"""),0.0)</f>
        <v>0</v>
      </c>
      <c r="Z795" s="447">
        <f>IFERROR(__xludf.DUMMYFUNCTION("""COMPUTED_VALUE"""),0.0)</f>
        <v>0</v>
      </c>
      <c r="AA795" s="447">
        <f>IFERROR(__xludf.DUMMYFUNCTION("""COMPUTED_VALUE"""),0.0)</f>
        <v>0</v>
      </c>
      <c r="AB795" s="447">
        <f>IFERROR(__xludf.DUMMYFUNCTION("""COMPUTED_VALUE"""),0.0)</f>
        <v>0</v>
      </c>
      <c r="AC795" s="447">
        <f>IFERROR(__xludf.DUMMYFUNCTION("""COMPUTED_VALUE"""),0.0)</f>
        <v>0</v>
      </c>
      <c r="AD795" s="447">
        <f>IFERROR(__xludf.DUMMYFUNCTION("""COMPUTED_VALUE"""),46.0)</f>
        <v>46</v>
      </c>
      <c r="AE795" s="447">
        <f>IFERROR(__xludf.DUMMYFUNCTION("""COMPUTED_VALUE"""),8.0)</f>
        <v>8</v>
      </c>
      <c r="AF795" s="447">
        <f>IFERROR(__xludf.DUMMYFUNCTION("""COMPUTED_VALUE"""),0.0)</f>
        <v>0</v>
      </c>
      <c r="AG795" s="443" t="s">
        <v>98</v>
      </c>
      <c r="AH795" s="443" t="s">
        <v>291</v>
      </c>
      <c r="AI795" s="443"/>
      <c r="AJ795" s="443"/>
      <c r="AK795" s="443"/>
      <c r="AL795" s="443"/>
      <c r="AM795" s="443"/>
      <c r="AN795" s="443"/>
      <c r="AO795" s="443"/>
      <c r="AP795" s="443"/>
      <c r="AQ795" s="443"/>
      <c r="AR795" s="443"/>
      <c r="AS795" s="443"/>
      <c r="AT795" s="443"/>
      <c r="AU795" s="443"/>
      <c r="AV795" s="443"/>
      <c r="AW795" s="443"/>
      <c r="AX795" s="443"/>
      <c r="AY795" s="443"/>
      <c r="AZ795" s="443"/>
      <c r="BA795" s="443"/>
      <c r="BB795" s="443"/>
      <c r="BC795" s="443"/>
      <c r="BD795" s="443"/>
      <c r="BE795" s="443"/>
    </row>
    <row r="796" hidden="1">
      <c r="A796" s="445">
        <f t="shared" si="5"/>
        <v>46086</v>
      </c>
      <c r="B796" s="449">
        <v>469.0</v>
      </c>
      <c r="C796" s="462">
        <v>0.5833333333333334</v>
      </c>
      <c r="D796" s="462">
        <v>0.9652777777777778</v>
      </c>
      <c r="E796" s="436">
        <f t="array" ref="E796">IF(B796=0,"",(J796+K796)/60)</f>
        <v>2.2</v>
      </c>
      <c r="F796" s="437">
        <f t="shared" si="1"/>
        <v>9.166666667</v>
      </c>
      <c r="G796" s="438">
        <f t="shared" si="9"/>
        <v>51.16363636</v>
      </c>
      <c r="H796" s="438">
        <f t="shared" si="3"/>
        <v>67.32057416</v>
      </c>
      <c r="I796" s="436">
        <f t="shared" si="10"/>
        <v>1.065909091</v>
      </c>
      <c r="J796" s="460">
        <v>30.0</v>
      </c>
      <c r="K796" s="460">
        <v>102.0</v>
      </c>
      <c r="L796" s="449" t="s">
        <v>998</v>
      </c>
      <c r="M796" s="447">
        <f>IFERROR(__xludf.DUMMYFUNCTION("""COMPUTED_VALUE"""),57.0)</f>
        <v>57</v>
      </c>
      <c r="N796" s="447">
        <f>IFERROR(__xludf.DUMMYFUNCTION("""COMPUTED_VALUE"""),56.0)</f>
        <v>56</v>
      </c>
      <c r="O796" s="447">
        <f>IFERROR(__xludf.DUMMYFUNCTION("""COMPUTED_VALUE"""),0.0)</f>
        <v>0</v>
      </c>
      <c r="P796" s="447">
        <f>IFERROR(__xludf.DUMMYFUNCTION("""COMPUTED_VALUE"""),0.0)</f>
        <v>0</v>
      </c>
      <c r="Q796" s="447">
        <f>IFERROR(__xludf.DUMMYFUNCTION("""COMPUTED_VALUE"""),0.0)</f>
        <v>0</v>
      </c>
      <c r="R796" s="447">
        <f>IFERROR(__xludf.DUMMYFUNCTION("""COMPUTED_VALUE"""),1.0)</f>
        <v>1</v>
      </c>
      <c r="S796" s="447">
        <f>IFERROR(__xludf.DUMMYFUNCTION("""COMPUTED_VALUE"""),0.0)</f>
        <v>0</v>
      </c>
      <c r="T796" s="447">
        <f>IFERROR(__xludf.DUMMYFUNCTION("""COMPUTED_VALUE"""),2.0)</f>
        <v>2</v>
      </c>
      <c r="U796" s="447">
        <f>IFERROR(__xludf.DUMMYFUNCTION("""COMPUTED_VALUE"""),0.0)</f>
        <v>0</v>
      </c>
      <c r="V796" s="447">
        <f>IFERROR(__xludf.DUMMYFUNCTION("""COMPUTED_VALUE"""),2.0)</f>
        <v>2</v>
      </c>
      <c r="W796" s="447">
        <f>IFERROR(__xludf.DUMMYFUNCTION("""COMPUTED_VALUE"""),0.0)</f>
        <v>0</v>
      </c>
      <c r="X796" s="447">
        <f>IFERROR(__xludf.DUMMYFUNCTION("""COMPUTED_VALUE"""),1.0)</f>
        <v>1</v>
      </c>
      <c r="Y796" s="447">
        <f>IFERROR(__xludf.DUMMYFUNCTION("""COMPUTED_VALUE"""),0.0)</f>
        <v>0</v>
      </c>
      <c r="Z796" s="447">
        <f>IFERROR(__xludf.DUMMYFUNCTION("""COMPUTED_VALUE"""),0.0)</f>
        <v>0</v>
      </c>
      <c r="AA796" s="447">
        <f>IFERROR(__xludf.DUMMYFUNCTION("""COMPUTED_VALUE"""),0.0)</f>
        <v>0</v>
      </c>
      <c r="AB796" s="447">
        <f>IFERROR(__xludf.DUMMYFUNCTION("""COMPUTED_VALUE"""),0.0)</f>
        <v>0</v>
      </c>
      <c r="AC796" s="447">
        <f>IFERROR(__xludf.DUMMYFUNCTION("""COMPUTED_VALUE"""),0.0)</f>
        <v>0</v>
      </c>
      <c r="AD796" s="447">
        <f>IFERROR(__xludf.DUMMYFUNCTION("""COMPUTED_VALUE"""),48.0)</f>
        <v>48</v>
      </c>
      <c r="AE796" s="447">
        <f>IFERROR(__xludf.DUMMYFUNCTION("""COMPUTED_VALUE"""),5.0)</f>
        <v>5</v>
      </c>
      <c r="AF796" s="447">
        <f>IFERROR(__xludf.DUMMYFUNCTION("""COMPUTED_VALUE"""),1.0)</f>
        <v>1</v>
      </c>
      <c r="AG796" s="443" t="s">
        <v>98</v>
      </c>
      <c r="AH796" s="443" t="s">
        <v>291</v>
      </c>
      <c r="AI796" s="443"/>
      <c r="AJ796" s="443"/>
      <c r="AK796" s="443"/>
      <c r="AL796" s="443"/>
      <c r="AM796" s="443"/>
      <c r="AN796" s="443"/>
      <c r="AO796" s="443"/>
      <c r="AP796" s="443"/>
      <c r="AQ796" s="443"/>
      <c r="AR796" s="443"/>
      <c r="AS796" s="443"/>
      <c r="AT796" s="443"/>
      <c r="AU796" s="443"/>
      <c r="AV796" s="443"/>
      <c r="AW796" s="443"/>
      <c r="AX796" s="443"/>
      <c r="AY796" s="443"/>
      <c r="AZ796" s="443"/>
      <c r="BA796" s="443"/>
      <c r="BB796" s="443"/>
      <c r="BC796" s="443"/>
      <c r="BD796" s="443"/>
      <c r="BE796" s="443"/>
    </row>
    <row r="797" hidden="1">
      <c r="A797" s="445">
        <f t="shared" si="5"/>
        <v>46087</v>
      </c>
      <c r="B797" s="449">
        <v>422.0</v>
      </c>
      <c r="C797" s="462">
        <v>0.5902777777777778</v>
      </c>
      <c r="D797" s="462">
        <v>0.9083333333333333</v>
      </c>
      <c r="E797" s="436">
        <f t="array" ref="E797">IF(B797=0,"",(J797+K797)/60)</f>
        <v>1.866666667</v>
      </c>
      <c r="F797" s="437">
        <f t="shared" si="1"/>
        <v>7.633333333</v>
      </c>
      <c r="G797" s="438">
        <f t="shared" si="9"/>
        <v>55.28384279</v>
      </c>
      <c r="H797" s="438">
        <f t="shared" si="3"/>
        <v>73.17919075</v>
      </c>
      <c r="I797" s="436">
        <f t="shared" si="10"/>
        <v>1.151746725</v>
      </c>
      <c r="J797" s="460">
        <v>30.0</v>
      </c>
      <c r="K797" s="464">
        <f>7+46+21+8</f>
        <v>82</v>
      </c>
      <c r="L797" s="449" t="s">
        <v>999</v>
      </c>
      <c r="M797" s="447">
        <f>IFERROR(__xludf.DUMMYFUNCTION("""COMPUTED_VALUE"""),57.0)</f>
        <v>57</v>
      </c>
      <c r="N797" s="447">
        <f>IFERROR(__xludf.DUMMYFUNCTION("""COMPUTED_VALUE"""),56.0)</f>
        <v>56</v>
      </c>
      <c r="O797" s="447">
        <f>IFERROR(__xludf.DUMMYFUNCTION("""COMPUTED_VALUE"""),0.0)</f>
        <v>0</v>
      </c>
      <c r="P797" s="447">
        <f>IFERROR(__xludf.DUMMYFUNCTION("""COMPUTED_VALUE"""),0.0)</f>
        <v>0</v>
      </c>
      <c r="Q797" s="447">
        <f>IFERROR(__xludf.DUMMYFUNCTION("""COMPUTED_VALUE"""),0.0)</f>
        <v>0</v>
      </c>
      <c r="R797" s="447">
        <f>IFERROR(__xludf.DUMMYFUNCTION("""COMPUTED_VALUE"""),0.0)</f>
        <v>0</v>
      </c>
      <c r="S797" s="447">
        <f>IFERROR(__xludf.DUMMYFUNCTION("""COMPUTED_VALUE"""),0.0)</f>
        <v>0</v>
      </c>
      <c r="T797" s="447">
        <f>IFERROR(__xludf.DUMMYFUNCTION("""COMPUTED_VALUE"""),2.0)</f>
        <v>2</v>
      </c>
      <c r="U797" s="447">
        <f>IFERROR(__xludf.DUMMYFUNCTION("""COMPUTED_VALUE"""),1.0)</f>
        <v>1</v>
      </c>
      <c r="V797" s="447">
        <f>IFERROR(__xludf.DUMMYFUNCTION("""COMPUTED_VALUE"""),2.0)</f>
        <v>2</v>
      </c>
      <c r="W797" s="447">
        <f>IFERROR(__xludf.DUMMYFUNCTION("""COMPUTED_VALUE"""),0.0)</f>
        <v>0</v>
      </c>
      <c r="X797" s="447">
        <f>IFERROR(__xludf.DUMMYFUNCTION("""COMPUTED_VALUE"""),1.0)</f>
        <v>1</v>
      </c>
      <c r="Y797" s="447">
        <f>IFERROR(__xludf.DUMMYFUNCTION("""COMPUTED_VALUE"""),0.0)</f>
        <v>0</v>
      </c>
      <c r="Z797" s="447">
        <f>IFERROR(__xludf.DUMMYFUNCTION("""COMPUTED_VALUE"""),0.0)</f>
        <v>0</v>
      </c>
      <c r="AA797" s="447">
        <f>IFERROR(__xludf.DUMMYFUNCTION("""COMPUTED_VALUE"""),0.0)</f>
        <v>0</v>
      </c>
      <c r="AB797" s="447">
        <f>IFERROR(__xludf.DUMMYFUNCTION("""COMPUTED_VALUE"""),0.0)</f>
        <v>0</v>
      </c>
      <c r="AC797" s="447">
        <f>IFERROR(__xludf.DUMMYFUNCTION("""COMPUTED_VALUE"""),0.0)</f>
        <v>0</v>
      </c>
      <c r="AD797" s="447">
        <f>IFERROR(__xludf.DUMMYFUNCTION("""COMPUTED_VALUE"""),48.0)</f>
        <v>48</v>
      </c>
      <c r="AE797" s="447">
        <f>IFERROR(__xludf.DUMMYFUNCTION("""COMPUTED_VALUE"""),6.0)</f>
        <v>6</v>
      </c>
      <c r="AF797" s="447">
        <f>IFERROR(__xludf.DUMMYFUNCTION("""COMPUTED_VALUE"""),1.0)</f>
        <v>1</v>
      </c>
      <c r="AG797" s="443" t="s">
        <v>98</v>
      </c>
      <c r="AH797" s="443" t="s">
        <v>291</v>
      </c>
      <c r="AI797" s="443"/>
      <c r="AJ797" s="443"/>
      <c r="AK797" s="443"/>
      <c r="AL797" s="443"/>
      <c r="AM797" s="443"/>
      <c r="AN797" s="443"/>
      <c r="AO797" s="443"/>
      <c r="AP797" s="443"/>
      <c r="AQ797" s="443"/>
      <c r="AR797" s="443"/>
      <c r="AS797" s="443"/>
      <c r="AT797" s="443"/>
      <c r="AU797" s="443"/>
      <c r="AV797" s="443"/>
      <c r="AW797" s="443"/>
      <c r="AX797" s="443"/>
      <c r="AY797" s="443"/>
      <c r="AZ797" s="443"/>
      <c r="BA797" s="443"/>
      <c r="BB797" s="443"/>
      <c r="BC797" s="443"/>
      <c r="BD797" s="443"/>
      <c r="BE797" s="443"/>
    </row>
    <row r="798" hidden="1">
      <c r="A798" s="445">
        <f t="shared" si="5"/>
        <v>46088</v>
      </c>
      <c r="B798" s="449">
        <v>279.0</v>
      </c>
      <c r="C798" s="462">
        <v>0.625</v>
      </c>
      <c r="D798" s="462">
        <v>0.8534722222222222</v>
      </c>
      <c r="E798" s="436">
        <f t="array" ref="E798">IF(B798=0,"",(J798+K798)/60)</f>
        <v>1.033333333</v>
      </c>
      <c r="F798" s="437">
        <f t="shared" si="1"/>
        <v>5.483333333</v>
      </c>
      <c r="G798" s="438">
        <f t="shared" si="9"/>
        <v>50.88145897</v>
      </c>
      <c r="H798" s="438">
        <f t="shared" si="3"/>
        <v>62.69662921</v>
      </c>
      <c r="I798" s="436">
        <f t="shared" si="10"/>
        <v>1.082584233</v>
      </c>
      <c r="J798" s="460">
        <v>0.0</v>
      </c>
      <c r="K798" s="460">
        <v>62.0</v>
      </c>
      <c r="L798" s="443"/>
      <c r="M798" s="447">
        <f>IFERROR(__xludf.DUMMYFUNCTION("""COMPUTED_VALUE"""),57.0)</f>
        <v>57</v>
      </c>
      <c r="N798" s="447">
        <f>IFERROR(__xludf.DUMMYFUNCTION("""COMPUTED_VALUE"""),56.0)</f>
        <v>56</v>
      </c>
      <c r="O798" s="447">
        <f>IFERROR(__xludf.DUMMYFUNCTION("""COMPUTED_VALUE"""),0.0)</f>
        <v>0</v>
      </c>
      <c r="P798" s="447">
        <f>IFERROR(__xludf.DUMMYFUNCTION("""COMPUTED_VALUE"""),1.0)</f>
        <v>1</v>
      </c>
      <c r="Q798" s="447">
        <f>IFERROR(__xludf.DUMMYFUNCTION("""COMPUTED_VALUE"""),0.0)</f>
        <v>0</v>
      </c>
      <c r="R798" s="447">
        <f>IFERROR(__xludf.DUMMYFUNCTION("""COMPUTED_VALUE"""),0.0)</f>
        <v>0</v>
      </c>
      <c r="S798" s="447">
        <f>IFERROR(__xludf.DUMMYFUNCTION("""COMPUTED_VALUE"""),0.0)</f>
        <v>0</v>
      </c>
      <c r="T798" s="447">
        <f>IFERROR(__xludf.DUMMYFUNCTION("""COMPUTED_VALUE"""),1.0)</f>
        <v>1</v>
      </c>
      <c r="U798" s="447">
        <f>IFERROR(__xludf.DUMMYFUNCTION("""COMPUTED_VALUE"""),1.0)</f>
        <v>1</v>
      </c>
      <c r="V798" s="447">
        <f>IFERROR(__xludf.DUMMYFUNCTION("""COMPUTED_VALUE"""),2.0)</f>
        <v>2</v>
      </c>
      <c r="W798" s="447">
        <f>IFERROR(__xludf.DUMMYFUNCTION("""COMPUTED_VALUE"""),0.0)</f>
        <v>0</v>
      </c>
      <c r="X798" s="447">
        <f>IFERROR(__xludf.DUMMYFUNCTION("""COMPUTED_VALUE"""),1.0)</f>
        <v>1</v>
      </c>
      <c r="Y798" s="447">
        <f>IFERROR(__xludf.DUMMYFUNCTION("""COMPUTED_VALUE"""),0.0)</f>
        <v>0</v>
      </c>
      <c r="Z798" s="447">
        <f>IFERROR(__xludf.DUMMYFUNCTION("""COMPUTED_VALUE"""),0.0)</f>
        <v>0</v>
      </c>
      <c r="AA798" s="447">
        <f>IFERROR(__xludf.DUMMYFUNCTION("""COMPUTED_VALUE"""),0.0)</f>
        <v>0</v>
      </c>
      <c r="AB798" s="447">
        <f>IFERROR(__xludf.DUMMYFUNCTION("""COMPUTED_VALUE"""),0.0)</f>
        <v>0</v>
      </c>
      <c r="AC798" s="447">
        <f>IFERROR(__xludf.DUMMYFUNCTION("""COMPUTED_VALUE"""),1.0)</f>
        <v>1</v>
      </c>
      <c r="AD798" s="447">
        <f>IFERROR(__xludf.DUMMYFUNCTION("""COMPUTED_VALUE"""),47.0)</f>
        <v>47</v>
      </c>
      <c r="AE798" s="447">
        <f>IFERROR(__xludf.DUMMYFUNCTION("""COMPUTED_VALUE"""),7.0)</f>
        <v>7</v>
      </c>
      <c r="AF798" s="447">
        <f>IFERROR(__xludf.DUMMYFUNCTION("""COMPUTED_VALUE"""),1.0)</f>
        <v>1</v>
      </c>
      <c r="AG798" s="443" t="s">
        <v>98</v>
      </c>
      <c r="AH798" s="443" t="s">
        <v>291</v>
      </c>
      <c r="AI798" s="443"/>
      <c r="AJ798" s="443"/>
      <c r="AK798" s="443"/>
      <c r="AL798" s="443"/>
      <c r="AM798" s="443"/>
      <c r="AN798" s="443"/>
      <c r="AO798" s="443"/>
      <c r="AP798" s="443"/>
      <c r="AQ798" s="443"/>
      <c r="AR798" s="443"/>
      <c r="AS798" s="443"/>
      <c r="AT798" s="443"/>
      <c r="AU798" s="443"/>
      <c r="AV798" s="443"/>
      <c r="AW798" s="443"/>
      <c r="AX798" s="443"/>
      <c r="AY798" s="443"/>
      <c r="AZ798" s="443"/>
      <c r="BA798" s="443"/>
      <c r="BB798" s="443"/>
      <c r="BC798" s="443"/>
      <c r="BD798" s="443"/>
      <c r="BE798" s="443"/>
    </row>
    <row r="799" hidden="1">
      <c r="A799" s="445">
        <f t="shared" si="5"/>
        <v>46089</v>
      </c>
      <c r="B799" s="449">
        <v>0.0</v>
      </c>
      <c r="C799" s="462"/>
      <c r="D799" s="462"/>
      <c r="E799" s="436" t="str">
        <f t="array" ref="E799">IF(B799=0,"",(J799+K799)/60)</f>
        <v/>
      </c>
      <c r="F799" s="437" t="str">
        <f t="shared" si="1"/>
        <v/>
      </c>
      <c r="G799" s="438" t="str">
        <f t="shared" si="9"/>
        <v>#DIV/0!</v>
      </c>
      <c r="H799" s="438" t="str">
        <f t="shared" si="3"/>
        <v/>
      </c>
      <c r="I799" s="436" t="str">
        <f t="shared" si="10"/>
        <v/>
      </c>
      <c r="J799" s="460"/>
      <c r="K799" s="464"/>
      <c r="L799" s="443"/>
      <c r="M799" s="447">
        <f>IFERROR(__xludf.DUMMYFUNCTION("""COMPUTED_VALUE"""),57.0)</f>
        <v>57</v>
      </c>
      <c r="N799" s="447">
        <f>IFERROR(__xludf.DUMMYFUNCTION("""COMPUTED_VALUE"""),57.0)</f>
        <v>57</v>
      </c>
      <c r="O799" s="447">
        <f>IFERROR(__xludf.DUMMYFUNCTION("""COMPUTED_VALUE"""),0.0)</f>
        <v>0</v>
      </c>
      <c r="P799" s="447">
        <f>IFERROR(__xludf.DUMMYFUNCTION("""COMPUTED_VALUE"""),0.0)</f>
        <v>0</v>
      </c>
      <c r="Q799" s="447">
        <f>IFERROR(__xludf.DUMMYFUNCTION("""COMPUTED_VALUE"""),0.0)</f>
        <v>0</v>
      </c>
      <c r="R799" s="447">
        <f>IFERROR(__xludf.DUMMYFUNCTION("""COMPUTED_VALUE"""),0.0)</f>
        <v>0</v>
      </c>
      <c r="S799" s="447">
        <f>IFERROR(__xludf.DUMMYFUNCTION("""COMPUTED_VALUE"""),0.0)</f>
        <v>0</v>
      </c>
      <c r="T799" s="447">
        <f>IFERROR(__xludf.DUMMYFUNCTION("""COMPUTED_VALUE"""),0.0)</f>
        <v>0</v>
      </c>
      <c r="U799" s="447">
        <f>IFERROR(__xludf.DUMMYFUNCTION("""COMPUTED_VALUE"""),0.0)</f>
        <v>0</v>
      </c>
      <c r="V799" s="447">
        <f>IFERROR(__xludf.DUMMYFUNCTION("""COMPUTED_VALUE"""),0.0)</f>
        <v>0</v>
      </c>
      <c r="W799" s="447">
        <f>IFERROR(__xludf.DUMMYFUNCTION("""COMPUTED_VALUE"""),0.0)</f>
        <v>0</v>
      </c>
      <c r="X799" s="447">
        <f>IFERROR(__xludf.DUMMYFUNCTION("""COMPUTED_VALUE"""),0.0)</f>
        <v>0</v>
      </c>
      <c r="Y799" s="447">
        <f>IFERROR(__xludf.DUMMYFUNCTION("""COMPUTED_VALUE"""),0.0)</f>
        <v>0</v>
      </c>
      <c r="Z799" s="447">
        <f>IFERROR(__xludf.DUMMYFUNCTION("""COMPUTED_VALUE"""),0.0)</f>
        <v>0</v>
      </c>
      <c r="AA799" s="447">
        <f>IFERROR(__xludf.DUMMYFUNCTION("""COMPUTED_VALUE"""),0.0)</f>
        <v>0</v>
      </c>
      <c r="AB799" s="447">
        <f>IFERROR(__xludf.DUMMYFUNCTION("""COMPUTED_VALUE"""),0.0)</f>
        <v>0</v>
      </c>
      <c r="AC799" s="447">
        <f>IFERROR(__xludf.DUMMYFUNCTION("""COMPUTED_VALUE"""),0.0)</f>
        <v>0</v>
      </c>
      <c r="AD799" s="447">
        <f>IFERROR(__xludf.DUMMYFUNCTION("""COMPUTED_VALUE"""),0.0)</f>
        <v>0</v>
      </c>
      <c r="AE799" s="447">
        <f>IFERROR(__xludf.DUMMYFUNCTION("""COMPUTED_VALUE"""),0.0)</f>
        <v>0</v>
      </c>
      <c r="AF799" s="447">
        <f>IFERROR(__xludf.DUMMYFUNCTION("""COMPUTED_VALUE"""),0.0)</f>
        <v>0</v>
      </c>
      <c r="AG799" s="443" t="s">
        <v>98</v>
      </c>
      <c r="AH799" s="443" t="s">
        <v>291</v>
      </c>
      <c r="AI799" s="443"/>
      <c r="AJ799" s="443"/>
      <c r="AK799" s="443"/>
      <c r="AL799" s="443"/>
      <c r="AM799" s="443"/>
      <c r="AN799" s="443"/>
      <c r="AO799" s="443"/>
      <c r="AP799" s="443"/>
      <c r="AQ799" s="443"/>
      <c r="AR799" s="443"/>
      <c r="AS799" s="443"/>
      <c r="AT799" s="443"/>
      <c r="AU799" s="443"/>
      <c r="AV799" s="443"/>
      <c r="AW799" s="443"/>
      <c r="AX799" s="443"/>
      <c r="AY799" s="443"/>
      <c r="AZ799" s="443"/>
      <c r="BA799" s="443"/>
      <c r="BB799" s="443"/>
      <c r="BC799" s="443"/>
      <c r="BD799" s="443"/>
      <c r="BE799" s="443"/>
    </row>
    <row r="800" hidden="1">
      <c r="A800" s="445">
        <f t="shared" si="5"/>
        <v>46090</v>
      </c>
      <c r="B800" s="449">
        <v>516.0</v>
      </c>
      <c r="C800" s="462">
        <v>0.5833333333333334</v>
      </c>
      <c r="D800" s="462">
        <v>0.9201388888888888</v>
      </c>
      <c r="E800" s="436">
        <f t="array" ref="E800">IF(B800=0,"",(J800+K800)/60)</f>
        <v>0.8333333333</v>
      </c>
      <c r="F800" s="437">
        <f t="shared" si="1"/>
        <v>8.083333333</v>
      </c>
      <c r="G800" s="438">
        <f t="shared" si="9"/>
        <v>63.83505155</v>
      </c>
      <c r="H800" s="438">
        <f t="shared" si="3"/>
        <v>71.17241379</v>
      </c>
      <c r="I800" s="436">
        <f t="shared" si="10"/>
        <v>1.329896907</v>
      </c>
      <c r="J800" s="460">
        <v>30.0</v>
      </c>
      <c r="K800" s="464">
        <f>20</f>
        <v>20</v>
      </c>
      <c r="L800" s="449" t="s">
        <v>1000</v>
      </c>
      <c r="M800" s="447">
        <f>IFERROR(__xludf.DUMMYFUNCTION("""COMPUTED_VALUE"""),57.0)</f>
        <v>57</v>
      </c>
      <c r="N800" s="447">
        <f>IFERROR(__xludf.DUMMYFUNCTION("""COMPUTED_VALUE"""),56.0)</f>
        <v>56</v>
      </c>
      <c r="O800" s="447">
        <f>IFERROR(__xludf.DUMMYFUNCTION("""COMPUTED_VALUE"""),0.0)</f>
        <v>0</v>
      </c>
      <c r="P800" s="447">
        <f>IFERROR(__xludf.DUMMYFUNCTION("""COMPUTED_VALUE"""),1.0)</f>
        <v>1</v>
      </c>
      <c r="Q800" s="447">
        <f>IFERROR(__xludf.DUMMYFUNCTION("""COMPUTED_VALUE"""),0.0)</f>
        <v>0</v>
      </c>
      <c r="R800" s="447">
        <f>IFERROR(__xludf.DUMMYFUNCTION("""COMPUTED_VALUE"""),0.0)</f>
        <v>0</v>
      </c>
      <c r="S800" s="447">
        <f>IFERROR(__xludf.DUMMYFUNCTION("""COMPUTED_VALUE"""),1.0)</f>
        <v>1</v>
      </c>
      <c r="T800" s="447">
        <f>IFERROR(__xludf.DUMMYFUNCTION("""COMPUTED_VALUE"""),0.0)</f>
        <v>0</v>
      </c>
      <c r="U800" s="447">
        <f>IFERROR(__xludf.DUMMYFUNCTION("""COMPUTED_VALUE"""),1.0)</f>
        <v>1</v>
      </c>
      <c r="V800" s="447">
        <f>IFERROR(__xludf.DUMMYFUNCTION("""COMPUTED_VALUE"""),2.0)</f>
        <v>2</v>
      </c>
      <c r="W800" s="447">
        <f>IFERROR(__xludf.DUMMYFUNCTION("""COMPUTED_VALUE"""),0.0)</f>
        <v>0</v>
      </c>
      <c r="X800" s="447">
        <f>IFERROR(__xludf.DUMMYFUNCTION("""COMPUTED_VALUE"""),1.0)</f>
        <v>1</v>
      </c>
      <c r="Y800" s="447">
        <f>IFERROR(__xludf.DUMMYFUNCTION("""COMPUTED_VALUE"""),0.0)</f>
        <v>0</v>
      </c>
      <c r="Z800" s="447">
        <f>IFERROR(__xludf.DUMMYFUNCTION("""COMPUTED_VALUE"""),0.0)</f>
        <v>0</v>
      </c>
      <c r="AA800" s="447">
        <f>IFERROR(__xludf.DUMMYFUNCTION("""COMPUTED_VALUE"""),0.0)</f>
        <v>0</v>
      </c>
      <c r="AB800" s="447">
        <f>IFERROR(__xludf.DUMMYFUNCTION("""COMPUTED_VALUE"""),0.0)</f>
        <v>0</v>
      </c>
      <c r="AC800" s="447">
        <f>IFERROR(__xludf.DUMMYFUNCTION("""COMPUTED_VALUE"""),0.0)</f>
        <v>0</v>
      </c>
      <c r="AD800" s="447">
        <f>IFERROR(__xludf.DUMMYFUNCTION("""COMPUTED_VALUE"""),48.0)</f>
        <v>48</v>
      </c>
      <c r="AE800" s="447">
        <f>IFERROR(__xludf.DUMMYFUNCTION("""COMPUTED_VALUE"""),6.0)</f>
        <v>6</v>
      </c>
      <c r="AF800" s="447">
        <f>IFERROR(__xludf.DUMMYFUNCTION("""COMPUTED_VALUE"""),1.0)</f>
        <v>1</v>
      </c>
      <c r="AG800" s="443" t="s">
        <v>98</v>
      </c>
      <c r="AH800" s="443" t="s">
        <v>291</v>
      </c>
      <c r="AI800" s="443"/>
      <c r="AJ800" s="443"/>
      <c r="AK800" s="443"/>
      <c r="AL800" s="443"/>
      <c r="AM800" s="443"/>
      <c r="AN800" s="443"/>
      <c r="AO800" s="443"/>
      <c r="AP800" s="443"/>
      <c r="AQ800" s="443"/>
      <c r="AR800" s="443"/>
      <c r="AS800" s="443"/>
      <c r="AT800" s="443"/>
      <c r="AU800" s="443"/>
      <c r="AV800" s="443"/>
      <c r="AW800" s="443"/>
      <c r="AX800" s="443"/>
      <c r="AY800" s="443"/>
      <c r="AZ800" s="443"/>
      <c r="BA800" s="443"/>
      <c r="BB800" s="443"/>
      <c r="BC800" s="443"/>
      <c r="BD800" s="443"/>
      <c r="BE800" s="443"/>
    </row>
    <row r="801" hidden="1">
      <c r="A801" s="445">
        <f t="shared" si="5"/>
        <v>46091</v>
      </c>
      <c r="B801" s="449">
        <v>506.0</v>
      </c>
      <c r="C801" s="462">
        <v>0.5833333333333334</v>
      </c>
      <c r="D801" s="462">
        <v>0.9166666666666666</v>
      </c>
      <c r="E801" s="436">
        <f t="array" ref="E801">IF(B801=0,"",(J801+K801)/60)</f>
        <v>0.6333333333</v>
      </c>
      <c r="F801" s="437">
        <f t="shared" si="1"/>
        <v>8</v>
      </c>
      <c r="G801" s="438">
        <f t="shared" si="9"/>
        <v>63.25</v>
      </c>
      <c r="H801" s="438">
        <f t="shared" si="3"/>
        <v>68.68778281</v>
      </c>
      <c r="I801" s="436">
        <f t="shared" si="10"/>
        <v>1.290816327</v>
      </c>
      <c r="J801" s="460">
        <v>30.0</v>
      </c>
      <c r="K801" s="460">
        <v>8.0</v>
      </c>
      <c r="L801" s="443"/>
      <c r="M801" s="447">
        <f>IFERROR(__xludf.DUMMYFUNCTION("""COMPUTED_VALUE"""),57.0)</f>
        <v>57</v>
      </c>
      <c r="N801" s="447">
        <f>IFERROR(__xludf.DUMMYFUNCTION("""COMPUTED_VALUE"""),56.0)</f>
        <v>56</v>
      </c>
      <c r="O801" s="447">
        <f>IFERROR(__xludf.DUMMYFUNCTION("""COMPUTED_VALUE"""),0.0)</f>
        <v>0</v>
      </c>
      <c r="P801" s="447">
        <f>IFERROR(__xludf.DUMMYFUNCTION("""COMPUTED_VALUE"""),0.0)</f>
        <v>0</v>
      </c>
      <c r="Q801" s="447">
        <f>IFERROR(__xludf.DUMMYFUNCTION("""COMPUTED_VALUE"""),0.0)</f>
        <v>0</v>
      </c>
      <c r="R801" s="447">
        <f>IFERROR(__xludf.DUMMYFUNCTION("""COMPUTED_VALUE"""),0.0)</f>
        <v>0</v>
      </c>
      <c r="S801" s="447">
        <f>IFERROR(__xludf.DUMMYFUNCTION("""COMPUTED_VALUE"""),1.0)</f>
        <v>1</v>
      </c>
      <c r="T801" s="447">
        <f>IFERROR(__xludf.DUMMYFUNCTION("""COMPUTED_VALUE"""),0.0)</f>
        <v>0</v>
      </c>
      <c r="U801" s="447">
        <f>IFERROR(__xludf.DUMMYFUNCTION("""COMPUTED_VALUE"""),1.0)</f>
        <v>1</v>
      </c>
      <c r="V801" s="447">
        <f>IFERROR(__xludf.DUMMYFUNCTION("""COMPUTED_VALUE"""),2.0)</f>
        <v>2</v>
      </c>
      <c r="W801" s="447">
        <f>IFERROR(__xludf.DUMMYFUNCTION("""COMPUTED_VALUE"""),0.0)</f>
        <v>0</v>
      </c>
      <c r="X801" s="447">
        <f>IFERROR(__xludf.DUMMYFUNCTION("""COMPUTED_VALUE"""),1.0)</f>
        <v>1</v>
      </c>
      <c r="Y801" s="447">
        <f>IFERROR(__xludf.DUMMYFUNCTION("""COMPUTED_VALUE"""),0.0)</f>
        <v>0</v>
      </c>
      <c r="Z801" s="447">
        <f>IFERROR(__xludf.DUMMYFUNCTION("""COMPUTED_VALUE"""),0.0)</f>
        <v>0</v>
      </c>
      <c r="AA801" s="447">
        <f>IFERROR(__xludf.DUMMYFUNCTION("""COMPUTED_VALUE"""),0.0)</f>
        <v>0</v>
      </c>
      <c r="AB801" s="447">
        <f>IFERROR(__xludf.DUMMYFUNCTION("""COMPUTED_VALUE"""),0.0)</f>
        <v>0</v>
      </c>
      <c r="AC801" s="447">
        <f>IFERROR(__xludf.DUMMYFUNCTION("""COMPUTED_VALUE"""),0.0)</f>
        <v>0</v>
      </c>
      <c r="AD801" s="447">
        <f>IFERROR(__xludf.DUMMYFUNCTION("""COMPUTED_VALUE"""),49.0)</f>
        <v>49</v>
      </c>
      <c r="AE801" s="447">
        <f>IFERROR(__xludf.DUMMYFUNCTION("""COMPUTED_VALUE"""),5.0)</f>
        <v>5</v>
      </c>
      <c r="AF801" s="447">
        <f>IFERROR(__xludf.DUMMYFUNCTION("""COMPUTED_VALUE"""),1.0)</f>
        <v>1</v>
      </c>
      <c r="AG801" s="443" t="s">
        <v>98</v>
      </c>
      <c r="AH801" s="443" t="s">
        <v>291</v>
      </c>
      <c r="AI801" s="443"/>
      <c r="AJ801" s="443"/>
      <c r="AK801" s="443"/>
      <c r="AL801" s="443"/>
      <c r="AM801" s="443"/>
      <c r="AN801" s="443"/>
      <c r="AO801" s="443"/>
      <c r="AP801" s="443"/>
      <c r="AQ801" s="443"/>
      <c r="AR801" s="443"/>
      <c r="AS801" s="443"/>
      <c r="AT801" s="443"/>
      <c r="AU801" s="443"/>
      <c r="AV801" s="443"/>
      <c r="AW801" s="443"/>
      <c r="AX801" s="443"/>
      <c r="AY801" s="443"/>
      <c r="AZ801" s="443"/>
      <c r="BA801" s="443"/>
      <c r="BB801" s="443"/>
      <c r="BC801" s="443"/>
      <c r="BD801" s="443"/>
      <c r="BE801" s="443"/>
    </row>
    <row r="802" hidden="1">
      <c r="A802" s="445">
        <f t="shared" si="5"/>
        <v>46092</v>
      </c>
      <c r="B802" s="449">
        <v>498.0</v>
      </c>
      <c r="C802" s="462">
        <v>0.5833333333333334</v>
      </c>
      <c r="D802" s="462">
        <v>0.8993055555555556</v>
      </c>
      <c r="E802" s="436">
        <f t="array" ref="E802">IF(B802=0,"",(J802+K802)/60)</f>
        <v>0.5</v>
      </c>
      <c r="F802" s="437">
        <f t="shared" si="1"/>
        <v>7.583333333</v>
      </c>
      <c r="G802" s="438">
        <f t="shared" si="9"/>
        <v>65.67032967</v>
      </c>
      <c r="H802" s="438">
        <f t="shared" si="3"/>
        <v>70.30588235</v>
      </c>
      <c r="I802" s="436">
        <f t="shared" si="10"/>
        <v>1.397241057</v>
      </c>
      <c r="J802" s="460">
        <v>30.0</v>
      </c>
      <c r="K802" s="464"/>
      <c r="L802" s="449" t="s">
        <v>1001</v>
      </c>
      <c r="M802" s="447">
        <f>IFERROR(__xludf.DUMMYFUNCTION("""COMPUTED_VALUE"""),57.0)</f>
        <v>57</v>
      </c>
      <c r="N802" s="447">
        <f>IFERROR(__xludf.DUMMYFUNCTION("""COMPUTED_VALUE"""),56.0)</f>
        <v>56</v>
      </c>
      <c r="O802" s="447">
        <f>IFERROR(__xludf.DUMMYFUNCTION("""COMPUTED_VALUE"""),0.0)</f>
        <v>0</v>
      </c>
      <c r="P802" s="447">
        <f>IFERROR(__xludf.DUMMYFUNCTION("""COMPUTED_VALUE"""),0.0)</f>
        <v>0</v>
      </c>
      <c r="Q802" s="447">
        <f>IFERROR(__xludf.DUMMYFUNCTION("""COMPUTED_VALUE"""),0.0)</f>
        <v>0</v>
      </c>
      <c r="R802" s="447">
        <f>IFERROR(__xludf.DUMMYFUNCTION("""COMPUTED_VALUE"""),0.0)</f>
        <v>0</v>
      </c>
      <c r="S802" s="447">
        <f>IFERROR(__xludf.DUMMYFUNCTION("""COMPUTED_VALUE"""),1.0)</f>
        <v>1</v>
      </c>
      <c r="T802" s="447">
        <f>IFERROR(__xludf.DUMMYFUNCTION("""COMPUTED_VALUE"""),1.0)</f>
        <v>1</v>
      </c>
      <c r="U802" s="447">
        <f>IFERROR(__xludf.DUMMYFUNCTION("""COMPUTED_VALUE"""),1.0)</f>
        <v>1</v>
      </c>
      <c r="V802" s="447">
        <f>IFERROR(__xludf.DUMMYFUNCTION("""COMPUTED_VALUE"""),2.0)</f>
        <v>2</v>
      </c>
      <c r="W802" s="447">
        <f>IFERROR(__xludf.DUMMYFUNCTION("""COMPUTED_VALUE"""),0.0)</f>
        <v>0</v>
      </c>
      <c r="X802" s="447">
        <f>IFERROR(__xludf.DUMMYFUNCTION("""COMPUTED_VALUE"""),1.0)</f>
        <v>1</v>
      </c>
      <c r="Y802" s="447">
        <f>IFERROR(__xludf.DUMMYFUNCTION("""COMPUTED_VALUE"""),0.0)</f>
        <v>0</v>
      </c>
      <c r="Z802" s="447">
        <f>IFERROR(__xludf.DUMMYFUNCTION("""COMPUTED_VALUE"""),0.0)</f>
        <v>0</v>
      </c>
      <c r="AA802" s="447">
        <f>IFERROR(__xludf.DUMMYFUNCTION("""COMPUTED_VALUE"""),0.0)</f>
        <v>0</v>
      </c>
      <c r="AB802" s="447">
        <f>IFERROR(__xludf.DUMMYFUNCTION("""COMPUTED_VALUE"""),0.0)</f>
        <v>0</v>
      </c>
      <c r="AC802" s="447">
        <f>IFERROR(__xludf.DUMMYFUNCTION("""COMPUTED_VALUE"""),1.0)</f>
        <v>1</v>
      </c>
      <c r="AD802" s="447">
        <f>IFERROR(__xludf.DUMMYFUNCTION("""COMPUTED_VALUE"""),47.0)</f>
        <v>47</v>
      </c>
      <c r="AE802" s="447">
        <f>IFERROR(__xludf.DUMMYFUNCTION("""COMPUTED_VALUE"""),7.0)</f>
        <v>7</v>
      </c>
      <c r="AF802" s="447">
        <f>IFERROR(__xludf.DUMMYFUNCTION("""COMPUTED_VALUE"""),1.0)</f>
        <v>1</v>
      </c>
      <c r="AG802" s="443" t="s">
        <v>98</v>
      </c>
      <c r="AH802" s="443" t="s">
        <v>291</v>
      </c>
      <c r="AI802" s="443"/>
      <c r="AJ802" s="443"/>
      <c r="AK802" s="443"/>
      <c r="AL802" s="443"/>
      <c r="AM802" s="443"/>
      <c r="AN802" s="443"/>
      <c r="AO802" s="443"/>
      <c r="AP802" s="443"/>
      <c r="AQ802" s="443"/>
      <c r="AR802" s="443"/>
      <c r="AS802" s="443"/>
      <c r="AT802" s="443"/>
      <c r="AU802" s="443"/>
      <c r="AV802" s="443"/>
      <c r="AW802" s="443"/>
      <c r="AX802" s="443"/>
      <c r="AY802" s="443"/>
      <c r="AZ802" s="443"/>
      <c r="BA802" s="443"/>
      <c r="BB802" s="443"/>
      <c r="BC802" s="443"/>
      <c r="BD802" s="443"/>
      <c r="BE802" s="443"/>
    </row>
    <row r="803" hidden="1">
      <c r="A803" s="445">
        <f t="shared" si="5"/>
        <v>46093</v>
      </c>
      <c r="B803" s="449">
        <v>511.0</v>
      </c>
      <c r="C803" s="462">
        <v>0.5833333333333334</v>
      </c>
      <c r="D803" s="462">
        <v>0.9444444444444444</v>
      </c>
      <c r="E803" s="436">
        <f t="array" ref="E803">IF(B803=0,"",(J803+K803)/60)</f>
        <v>0.7333333333</v>
      </c>
      <c r="F803" s="437">
        <f t="shared" si="1"/>
        <v>8.666666667</v>
      </c>
      <c r="G803" s="438">
        <f t="shared" si="9"/>
        <v>58.96153846</v>
      </c>
      <c r="H803" s="438">
        <f t="shared" si="3"/>
        <v>64.41176471</v>
      </c>
      <c r="I803" s="436">
        <f t="shared" si="10"/>
        <v>1.254500818</v>
      </c>
      <c r="J803" s="460">
        <v>30.0</v>
      </c>
      <c r="K803" s="460">
        <v>14.0</v>
      </c>
      <c r="L803" s="449" t="s">
        <v>1002</v>
      </c>
      <c r="M803" s="447">
        <f>IFERROR(__xludf.DUMMYFUNCTION("""COMPUTED_VALUE"""),57.0)</f>
        <v>57</v>
      </c>
      <c r="N803" s="447">
        <f>IFERROR(__xludf.DUMMYFUNCTION("""COMPUTED_VALUE"""),56.0)</f>
        <v>56</v>
      </c>
      <c r="O803" s="447">
        <f>IFERROR(__xludf.DUMMYFUNCTION("""COMPUTED_VALUE"""),0.0)</f>
        <v>0</v>
      </c>
      <c r="P803" s="447">
        <f>IFERROR(__xludf.DUMMYFUNCTION("""COMPUTED_VALUE"""),0.0)</f>
        <v>0</v>
      </c>
      <c r="Q803" s="447">
        <f>IFERROR(__xludf.DUMMYFUNCTION("""COMPUTED_VALUE"""),0.0)</f>
        <v>0</v>
      </c>
      <c r="R803" s="447">
        <f>IFERROR(__xludf.DUMMYFUNCTION("""COMPUTED_VALUE"""),0.0)</f>
        <v>0</v>
      </c>
      <c r="S803" s="447">
        <f>IFERROR(__xludf.DUMMYFUNCTION("""COMPUTED_VALUE"""),2.0)</f>
        <v>2</v>
      </c>
      <c r="T803" s="447">
        <f>IFERROR(__xludf.DUMMYFUNCTION("""COMPUTED_VALUE"""),1.0)</f>
        <v>1</v>
      </c>
      <c r="U803" s="447">
        <f>IFERROR(__xludf.DUMMYFUNCTION("""COMPUTED_VALUE"""),1.0)</f>
        <v>1</v>
      </c>
      <c r="V803" s="447">
        <f>IFERROR(__xludf.DUMMYFUNCTION("""COMPUTED_VALUE"""),2.0)</f>
        <v>2</v>
      </c>
      <c r="W803" s="447">
        <f>IFERROR(__xludf.DUMMYFUNCTION("""COMPUTED_VALUE"""),0.0)</f>
        <v>0</v>
      </c>
      <c r="X803" s="447">
        <f>IFERROR(__xludf.DUMMYFUNCTION("""COMPUTED_VALUE"""),1.0)</f>
        <v>1</v>
      </c>
      <c r="Y803" s="447">
        <f>IFERROR(__xludf.DUMMYFUNCTION("""COMPUTED_VALUE"""),0.0)</f>
        <v>0</v>
      </c>
      <c r="Z803" s="447">
        <f>IFERROR(__xludf.DUMMYFUNCTION("""COMPUTED_VALUE"""),0.0)</f>
        <v>0</v>
      </c>
      <c r="AA803" s="447">
        <f>IFERROR(__xludf.DUMMYFUNCTION("""COMPUTED_VALUE"""),0.0)</f>
        <v>0</v>
      </c>
      <c r="AB803" s="447">
        <f>IFERROR(__xludf.DUMMYFUNCTION("""COMPUTED_VALUE"""),0.0)</f>
        <v>0</v>
      </c>
      <c r="AC803" s="447">
        <f>IFERROR(__xludf.DUMMYFUNCTION("""COMPUTED_VALUE"""),0.0)</f>
        <v>0</v>
      </c>
      <c r="AD803" s="447">
        <f>IFERROR(__xludf.DUMMYFUNCTION("""COMPUTED_VALUE"""),47.0)</f>
        <v>47</v>
      </c>
      <c r="AE803" s="447">
        <f>IFERROR(__xludf.DUMMYFUNCTION("""COMPUTED_VALUE"""),7.0)</f>
        <v>7</v>
      </c>
      <c r="AF803" s="447">
        <f>IFERROR(__xludf.DUMMYFUNCTION("""COMPUTED_VALUE"""),1.0)</f>
        <v>1</v>
      </c>
      <c r="AG803" s="443" t="s">
        <v>98</v>
      </c>
      <c r="AH803" s="443" t="s">
        <v>291</v>
      </c>
      <c r="AI803" s="443"/>
      <c r="AJ803" s="443"/>
      <c r="AK803" s="443"/>
      <c r="AL803" s="443"/>
      <c r="AM803" s="443"/>
      <c r="AN803" s="443"/>
      <c r="AO803" s="443"/>
      <c r="AP803" s="443"/>
      <c r="AQ803" s="443"/>
      <c r="AR803" s="443"/>
      <c r="AS803" s="443"/>
      <c r="AT803" s="443"/>
      <c r="AU803" s="443"/>
      <c r="AV803" s="443"/>
      <c r="AW803" s="443"/>
      <c r="AX803" s="443"/>
      <c r="AY803" s="443"/>
      <c r="AZ803" s="443"/>
      <c r="BA803" s="443"/>
      <c r="BB803" s="443"/>
      <c r="BC803" s="443"/>
      <c r="BD803" s="443"/>
      <c r="BE803" s="443"/>
    </row>
    <row r="804" hidden="1">
      <c r="A804" s="445">
        <f t="shared" si="5"/>
        <v>46094</v>
      </c>
      <c r="B804" s="449">
        <v>420.0</v>
      </c>
      <c r="C804" s="462">
        <v>0.5833333333333334</v>
      </c>
      <c r="D804" s="462">
        <v>0.9125</v>
      </c>
      <c r="E804" s="436">
        <f t="array" ref="E804">IF(B804=0,"",(J804+K804)/60)</f>
        <v>1.516666667</v>
      </c>
      <c r="F804" s="437">
        <f t="shared" si="1"/>
        <v>7.9</v>
      </c>
      <c r="G804" s="438">
        <f t="shared" si="9"/>
        <v>53.16455696</v>
      </c>
      <c r="H804" s="438">
        <f t="shared" si="3"/>
        <v>65.79634465</v>
      </c>
      <c r="I804" s="436">
        <f t="shared" si="10"/>
        <v>1.155751238</v>
      </c>
      <c r="J804" s="460">
        <v>30.0</v>
      </c>
      <c r="K804" s="460">
        <v>61.0</v>
      </c>
      <c r="L804" s="449" t="s">
        <v>1001</v>
      </c>
      <c r="M804" s="447">
        <f>IFERROR(__xludf.DUMMYFUNCTION("""COMPUTED_VALUE"""),57.0)</f>
        <v>57</v>
      </c>
      <c r="N804" s="447">
        <f>IFERROR(__xludf.DUMMYFUNCTION("""COMPUTED_VALUE"""),56.0)</f>
        <v>56</v>
      </c>
      <c r="O804" s="447">
        <f>IFERROR(__xludf.DUMMYFUNCTION("""COMPUTED_VALUE"""),1.0)</f>
        <v>1</v>
      </c>
      <c r="P804" s="447">
        <f>IFERROR(__xludf.DUMMYFUNCTION("""COMPUTED_VALUE"""),0.0)</f>
        <v>0</v>
      </c>
      <c r="Q804" s="447">
        <f>IFERROR(__xludf.DUMMYFUNCTION("""COMPUTED_VALUE"""),0.0)</f>
        <v>0</v>
      </c>
      <c r="R804" s="447">
        <f>IFERROR(__xludf.DUMMYFUNCTION("""COMPUTED_VALUE"""),0.0)</f>
        <v>0</v>
      </c>
      <c r="S804" s="447">
        <f>IFERROR(__xludf.DUMMYFUNCTION("""COMPUTED_VALUE"""),2.0)</f>
        <v>2</v>
      </c>
      <c r="T804" s="447">
        <f>IFERROR(__xludf.DUMMYFUNCTION("""COMPUTED_VALUE"""),1.0)</f>
        <v>1</v>
      </c>
      <c r="U804" s="447">
        <f>IFERROR(__xludf.DUMMYFUNCTION("""COMPUTED_VALUE"""),1.0)</f>
        <v>1</v>
      </c>
      <c r="V804" s="447">
        <f>IFERROR(__xludf.DUMMYFUNCTION("""COMPUTED_VALUE"""),2.0)</f>
        <v>2</v>
      </c>
      <c r="W804" s="447">
        <f>IFERROR(__xludf.DUMMYFUNCTION("""COMPUTED_VALUE"""),0.0)</f>
        <v>0</v>
      </c>
      <c r="X804" s="447">
        <f>IFERROR(__xludf.DUMMYFUNCTION("""COMPUTED_VALUE"""),1.0)</f>
        <v>1</v>
      </c>
      <c r="Y804" s="447">
        <f>IFERROR(__xludf.DUMMYFUNCTION("""COMPUTED_VALUE"""),0.0)</f>
        <v>0</v>
      </c>
      <c r="Z804" s="447">
        <f>IFERROR(__xludf.DUMMYFUNCTION("""COMPUTED_VALUE"""),0.0)</f>
        <v>0</v>
      </c>
      <c r="AA804" s="447">
        <f>IFERROR(__xludf.DUMMYFUNCTION("""COMPUTED_VALUE"""),0.0)</f>
        <v>0</v>
      </c>
      <c r="AB804" s="447">
        <f>IFERROR(__xludf.DUMMYFUNCTION("""COMPUTED_VALUE"""),0.0)</f>
        <v>0</v>
      </c>
      <c r="AC804" s="447">
        <f>IFERROR(__xludf.DUMMYFUNCTION("""COMPUTED_VALUE"""),0.0)</f>
        <v>0</v>
      </c>
      <c r="AD804" s="447">
        <f>IFERROR(__xludf.DUMMYFUNCTION("""COMPUTED_VALUE"""),46.0)</f>
        <v>46</v>
      </c>
      <c r="AE804" s="447">
        <f>IFERROR(__xludf.DUMMYFUNCTION("""COMPUTED_VALUE"""),8.0)</f>
        <v>8</v>
      </c>
      <c r="AF804" s="447">
        <f>IFERROR(__xludf.DUMMYFUNCTION("""COMPUTED_VALUE"""),1.0)</f>
        <v>1</v>
      </c>
      <c r="AG804" s="443" t="s">
        <v>98</v>
      </c>
      <c r="AH804" s="443" t="s">
        <v>291</v>
      </c>
      <c r="AI804" s="443"/>
      <c r="AJ804" s="443"/>
      <c r="AK804" s="443"/>
      <c r="AL804" s="443"/>
      <c r="AM804" s="443"/>
      <c r="AN804" s="443"/>
      <c r="AO804" s="443"/>
      <c r="AP804" s="443"/>
      <c r="AQ804" s="443"/>
      <c r="AR804" s="443"/>
      <c r="AS804" s="443"/>
      <c r="AT804" s="443"/>
      <c r="AU804" s="443"/>
      <c r="AV804" s="443"/>
      <c r="AW804" s="443"/>
      <c r="AX804" s="443"/>
      <c r="AY804" s="443"/>
      <c r="AZ804" s="443"/>
      <c r="BA804" s="443"/>
      <c r="BB804" s="443"/>
      <c r="BC804" s="443"/>
      <c r="BD804" s="443"/>
      <c r="BE804" s="443"/>
    </row>
    <row r="805" hidden="1">
      <c r="A805" s="445">
        <f t="shared" si="5"/>
        <v>46095</v>
      </c>
      <c r="B805" s="449">
        <v>231.0</v>
      </c>
      <c r="C805" s="462">
        <v>0.625</v>
      </c>
      <c r="D805" s="462">
        <v>0.7861111111111111</v>
      </c>
      <c r="E805" s="436">
        <f t="array" ref="E805">IF(B805=0,"",(J805+K805)/60)</f>
        <v>0.65</v>
      </c>
      <c r="F805" s="437">
        <f t="shared" si="1"/>
        <v>3.866666667</v>
      </c>
      <c r="G805" s="438">
        <f t="shared" si="9"/>
        <v>59.74137931</v>
      </c>
      <c r="H805" s="438">
        <f t="shared" si="3"/>
        <v>71.8134715</v>
      </c>
      <c r="I805" s="436">
        <f t="shared" si="10"/>
        <v>1.298725637</v>
      </c>
      <c r="J805" s="460">
        <v>30.0</v>
      </c>
      <c r="K805" s="460">
        <v>9.0</v>
      </c>
      <c r="L805" s="449" t="s">
        <v>1003</v>
      </c>
      <c r="M805" s="447">
        <f>IFERROR(__xludf.DUMMYFUNCTION("""COMPUTED_VALUE"""),57.0)</f>
        <v>57</v>
      </c>
      <c r="N805" s="447">
        <f>IFERROR(__xludf.DUMMYFUNCTION("""COMPUTED_VALUE"""),56.0)</f>
        <v>56</v>
      </c>
      <c r="O805" s="447">
        <f>IFERROR(__xludf.DUMMYFUNCTION("""COMPUTED_VALUE"""),1.0)</f>
        <v>1</v>
      </c>
      <c r="P805" s="447">
        <f>IFERROR(__xludf.DUMMYFUNCTION("""COMPUTED_VALUE"""),1.0)</f>
        <v>1</v>
      </c>
      <c r="Q805" s="447">
        <f>IFERROR(__xludf.DUMMYFUNCTION("""COMPUTED_VALUE"""),0.0)</f>
        <v>0</v>
      </c>
      <c r="R805" s="447">
        <f>IFERROR(__xludf.DUMMYFUNCTION("""COMPUTED_VALUE"""),0.0)</f>
        <v>0</v>
      </c>
      <c r="S805" s="447">
        <f>IFERROR(__xludf.DUMMYFUNCTION("""COMPUTED_VALUE"""),1.0)</f>
        <v>1</v>
      </c>
      <c r="T805" s="447">
        <f>IFERROR(__xludf.DUMMYFUNCTION("""COMPUTED_VALUE"""),1.0)</f>
        <v>1</v>
      </c>
      <c r="U805" s="447">
        <f>IFERROR(__xludf.DUMMYFUNCTION("""COMPUTED_VALUE"""),1.0)</f>
        <v>1</v>
      </c>
      <c r="V805" s="447">
        <f>IFERROR(__xludf.DUMMYFUNCTION("""COMPUTED_VALUE"""),2.0)</f>
        <v>2</v>
      </c>
      <c r="W805" s="447">
        <f>IFERROR(__xludf.DUMMYFUNCTION("""COMPUTED_VALUE"""),0.0)</f>
        <v>0</v>
      </c>
      <c r="X805" s="447">
        <f>IFERROR(__xludf.DUMMYFUNCTION("""COMPUTED_VALUE"""),1.0)</f>
        <v>1</v>
      </c>
      <c r="Y805" s="447">
        <f>IFERROR(__xludf.DUMMYFUNCTION("""COMPUTED_VALUE"""),0.0)</f>
        <v>0</v>
      </c>
      <c r="Z805" s="447">
        <f>IFERROR(__xludf.DUMMYFUNCTION("""COMPUTED_VALUE"""),0.0)</f>
        <v>0</v>
      </c>
      <c r="AA805" s="447">
        <f>IFERROR(__xludf.DUMMYFUNCTION("""COMPUTED_VALUE"""),0.0)</f>
        <v>0</v>
      </c>
      <c r="AB805" s="447">
        <f>IFERROR(__xludf.DUMMYFUNCTION("""COMPUTED_VALUE"""),0.0)</f>
        <v>0</v>
      </c>
      <c r="AC805" s="447">
        <f>IFERROR(__xludf.DUMMYFUNCTION("""COMPUTED_VALUE"""),0.0)</f>
        <v>0</v>
      </c>
      <c r="AD805" s="447">
        <f>IFERROR(__xludf.DUMMYFUNCTION("""COMPUTED_VALUE"""),46.0)</f>
        <v>46</v>
      </c>
      <c r="AE805" s="447">
        <f>IFERROR(__xludf.DUMMYFUNCTION("""COMPUTED_VALUE"""),8.0)</f>
        <v>8</v>
      </c>
      <c r="AF805" s="447">
        <f>IFERROR(__xludf.DUMMYFUNCTION("""COMPUTED_VALUE"""),1.0)</f>
        <v>1</v>
      </c>
      <c r="AG805" s="443" t="s">
        <v>98</v>
      </c>
      <c r="AH805" s="443" t="s">
        <v>291</v>
      </c>
      <c r="AI805" s="443"/>
      <c r="AJ805" s="443"/>
      <c r="AK805" s="443"/>
      <c r="AL805" s="443"/>
      <c r="AM805" s="443"/>
      <c r="AN805" s="443"/>
      <c r="AO805" s="443"/>
      <c r="AP805" s="443"/>
      <c r="AQ805" s="443"/>
      <c r="AR805" s="443"/>
      <c r="AS805" s="443"/>
      <c r="AT805" s="443"/>
      <c r="AU805" s="443"/>
      <c r="AV805" s="443"/>
      <c r="AW805" s="443"/>
      <c r="AX805" s="443"/>
      <c r="AY805" s="443"/>
      <c r="AZ805" s="443"/>
      <c r="BA805" s="443"/>
      <c r="BB805" s="443"/>
      <c r="BC805" s="443"/>
      <c r="BD805" s="443"/>
      <c r="BE805" s="443"/>
    </row>
    <row r="806" hidden="1">
      <c r="A806" s="445">
        <f t="shared" si="5"/>
        <v>46096</v>
      </c>
      <c r="B806" s="449">
        <v>0.0</v>
      </c>
      <c r="C806" s="443"/>
      <c r="D806" s="462"/>
      <c r="E806" s="436" t="str">
        <f t="array" ref="E806">IF(B806=0,"",(J806+K806)/60)</f>
        <v/>
      </c>
      <c r="F806" s="437" t="str">
        <f t="shared" si="1"/>
        <v/>
      </c>
      <c r="G806" s="438" t="str">
        <f t="shared" si="9"/>
        <v>#DIV/0!</v>
      </c>
      <c r="H806" s="438" t="str">
        <f t="shared" si="3"/>
        <v/>
      </c>
      <c r="I806" s="436" t="str">
        <f t="shared" si="10"/>
        <v/>
      </c>
      <c r="J806" s="464"/>
      <c r="K806" s="464"/>
      <c r="L806" s="443"/>
      <c r="M806" s="447">
        <f>IFERROR(__xludf.DUMMYFUNCTION("""COMPUTED_VALUE"""),57.0)</f>
        <v>57</v>
      </c>
      <c r="N806" s="447">
        <f>IFERROR(__xludf.DUMMYFUNCTION("""COMPUTED_VALUE"""),57.0)</f>
        <v>57</v>
      </c>
      <c r="O806" s="447">
        <f>IFERROR(__xludf.DUMMYFUNCTION("""COMPUTED_VALUE"""),0.0)</f>
        <v>0</v>
      </c>
      <c r="P806" s="447">
        <f>IFERROR(__xludf.DUMMYFUNCTION("""COMPUTED_VALUE"""),0.0)</f>
        <v>0</v>
      </c>
      <c r="Q806" s="447">
        <f>IFERROR(__xludf.DUMMYFUNCTION("""COMPUTED_VALUE"""),0.0)</f>
        <v>0</v>
      </c>
      <c r="R806" s="447">
        <f>IFERROR(__xludf.DUMMYFUNCTION("""COMPUTED_VALUE"""),0.0)</f>
        <v>0</v>
      </c>
      <c r="S806" s="447">
        <f>IFERROR(__xludf.DUMMYFUNCTION("""COMPUTED_VALUE"""),0.0)</f>
        <v>0</v>
      </c>
      <c r="T806" s="447">
        <f>IFERROR(__xludf.DUMMYFUNCTION("""COMPUTED_VALUE"""),0.0)</f>
        <v>0</v>
      </c>
      <c r="U806" s="447">
        <f>IFERROR(__xludf.DUMMYFUNCTION("""COMPUTED_VALUE"""),0.0)</f>
        <v>0</v>
      </c>
      <c r="V806" s="447">
        <f>IFERROR(__xludf.DUMMYFUNCTION("""COMPUTED_VALUE"""),0.0)</f>
        <v>0</v>
      </c>
      <c r="W806" s="447">
        <f>IFERROR(__xludf.DUMMYFUNCTION("""COMPUTED_VALUE"""),0.0)</f>
        <v>0</v>
      </c>
      <c r="X806" s="447">
        <f>IFERROR(__xludf.DUMMYFUNCTION("""COMPUTED_VALUE"""),0.0)</f>
        <v>0</v>
      </c>
      <c r="Y806" s="447">
        <f>IFERROR(__xludf.DUMMYFUNCTION("""COMPUTED_VALUE"""),0.0)</f>
        <v>0</v>
      </c>
      <c r="Z806" s="447">
        <f>IFERROR(__xludf.DUMMYFUNCTION("""COMPUTED_VALUE"""),0.0)</f>
        <v>0</v>
      </c>
      <c r="AA806" s="447">
        <f>IFERROR(__xludf.DUMMYFUNCTION("""COMPUTED_VALUE"""),0.0)</f>
        <v>0</v>
      </c>
      <c r="AB806" s="447">
        <f>IFERROR(__xludf.DUMMYFUNCTION("""COMPUTED_VALUE"""),0.0)</f>
        <v>0</v>
      </c>
      <c r="AC806" s="447">
        <f>IFERROR(__xludf.DUMMYFUNCTION("""COMPUTED_VALUE"""),0.0)</f>
        <v>0</v>
      </c>
      <c r="AD806" s="447">
        <f>IFERROR(__xludf.DUMMYFUNCTION("""COMPUTED_VALUE"""),0.0)</f>
        <v>0</v>
      </c>
      <c r="AE806" s="447">
        <f>IFERROR(__xludf.DUMMYFUNCTION("""COMPUTED_VALUE"""),0.0)</f>
        <v>0</v>
      </c>
      <c r="AF806" s="447">
        <f>IFERROR(__xludf.DUMMYFUNCTION("""COMPUTED_VALUE"""),0.0)</f>
        <v>0</v>
      </c>
      <c r="AG806" s="443" t="s">
        <v>98</v>
      </c>
      <c r="AH806" s="443" t="s">
        <v>291</v>
      </c>
      <c r="AI806" s="443"/>
      <c r="AJ806" s="443"/>
      <c r="AK806" s="443"/>
      <c r="AL806" s="443"/>
      <c r="AM806" s="443"/>
      <c r="AN806" s="443"/>
      <c r="AO806" s="443"/>
      <c r="AP806" s="443"/>
      <c r="AQ806" s="443"/>
      <c r="AR806" s="443"/>
      <c r="AS806" s="443"/>
      <c r="AT806" s="443"/>
      <c r="AU806" s="443"/>
      <c r="AV806" s="443"/>
      <c r="AW806" s="443"/>
      <c r="AX806" s="443"/>
      <c r="AY806" s="443"/>
      <c r="AZ806" s="443"/>
      <c r="BA806" s="443"/>
      <c r="BB806" s="443"/>
      <c r="BC806" s="443"/>
      <c r="BD806" s="443"/>
      <c r="BE806" s="443"/>
    </row>
    <row r="807" hidden="1">
      <c r="A807" s="445">
        <f t="shared" si="5"/>
        <v>46097</v>
      </c>
      <c r="B807" s="449">
        <v>554.0</v>
      </c>
      <c r="C807" s="462">
        <v>0.5833333333333334</v>
      </c>
      <c r="D807" s="462">
        <v>0.9472222222222222</v>
      </c>
      <c r="E807" s="436">
        <f t="array" ref="E807">IF(B807=0,"",(J807+K807)/60)</f>
        <v>1</v>
      </c>
      <c r="F807" s="437">
        <f t="shared" si="1"/>
        <v>8.733333333</v>
      </c>
      <c r="G807" s="438">
        <f t="shared" si="9"/>
        <v>63.4351145</v>
      </c>
      <c r="H807" s="438">
        <f t="shared" si="3"/>
        <v>71.63793103</v>
      </c>
      <c r="I807" s="436">
        <f t="shared" si="10"/>
        <v>1.321564885</v>
      </c>
      <c r="J807" s="460">
        <v>30.0</v>
      </c>
      <c r="K807" s="460">
        <v>30.0</v>
      </c>
      <c r="L807" s="443"/>
      <c r="M807" s="447">
        <f>IFERROR(__xludf.DUMMYFUNCTION("""COMPUTED_VALUE"""),57.0)</f>
        <v>57</v>
      </c>
      <c r="N807" s="447">
        <f>IFERROR(__xludf.DUMMYFUNCTION("""COMPUTED_VALUE"""),56.0)</f>
        <v>56</v>
      </c>
      <c r="O807" s="447">
        <f>IFERROR(__xludf.DUMMYFUNCTION("""COMPUTED_VALUE"""),0.0)</f>
        <v>0</v>
      </c>
      <c r="P807" s="447">
        <f>IFERROR(__xludf.DUMMYFUNCTION("""COMPUTED_VALUE"""),0.0)</f>
        <v>0</v>
      </c>
      <c r="Q807" s="447">
        <f>IFERROR(__xludf.DUMMYFUNCTION("""COMPUTED_VALUE"""),0.0)</f>
        <v>0</v>
      </c>
      <c r="R807" s="447">
        <f>IFERROR(__xludf.DUMMYFUNCTION("""COMPUTED_VALUE"""),0.0)</f>
        <v>0</v>
      </c>
      <c r="S807" s="447">
        <f>IFERROR(__xludf.DUMMYFUNCTION("""COMPUTED_VALUE"""),1.0)</f>
        <v>1</v>
      </c>
      <c r="T807" s="447">
        <f>IFERROR(__xludf.DUMMYFUNCTION("""COMPUTED_VALUE"""),1.0)</f>
        <v>1</v>
      </c>
      <c r="U807" s="447">
        <f>IFERROR(__xludf.DUMMYFUNCTION("""COMPUTED_VALUE"""),1.0)</f>
        <v>1</v>
      </c>
      <c r="V807" s="447">
        <f>IFERROR(__xludf.DUMMYFUNCTION("""COMPUTED_VALUE"""),2.0)</f>
        <v>2</v>
      </c>
      <c r="W807" s="447">
        <f>IFERROR(__xludf.DUMMYFUNCTION("""COMPUTED_VALUE"""),0.0)</f>
        <v>0</v>
      </c>
      <c r="X807" s="447">
        <f>IFERROR(__xludf.DUMMYFUNCTION("""COMPUTED_VALUE"""),1.0)</f>
        <v>1</v>
      </c>
      <c r="Y807" s="447">
        <f>IFERROR(__xludf.DUMMYFUNCTION("""COMPUTED_VALUE"""),0.0)</f>
        <v>0</v>
      </c>
      <c r="Z807" s="447">
        <f>IFERROR(__xludf.DUMMYFUNCTION("""COMPUTED_VALUE"""),0.0)</f>
        <v>0</v>
      </c>
      <c r="AA807" s="447">
        <f>IFERROR(__xludf.DUMMYFUNCTION("""COMPUTED_VALUE"""),0.0)</f>
        <v>0</v>
      </c>
      <c r="AB807" s="447">
        <f>IFERROR(__xludf.DUMMYFUNCTION("""COMPUTED_VALUE"""),0.0)</f>
        <v>0</v>
      </c>
      <c r="AC807" s="447">
        <f>IFERROR(__xludf.DUMMYFUNCTION("""COMPUTED_VALUE"""),0.0)</f>
        <v>0</v>
      </c>
      <c r="AD807" s="447">
        <f>IFERROR(__xludf.DUMMYFUNCTION("""COMPUTED_VALUE"""),48.0)</f>
        <v>48</v>
      </c>
      <c r="AE807" s="447">
        <f>IFERROR(__xludf.DUMMYFUNCTION("""COMPUTED_VALUE"""),6.0)</f>
        <v>6</v>
      </c>
      <c r="AF807" s="447">
        <f>IFERROR(__xludf.DUMMYFUNCTION("""COMPUTED_VALUE"""),1.0)</f>
        <v>1</v>
      </c>
      <c r="AG807" s="443" t="s">
        <v>98</v>
      </c>
      <c r="AH807" s="443" t="s">
        <v>291</v>
      </c>
      <c r="AI807" s="443"/>
      <c r="AJ807" s="443"/>
      <c r="AK807" s="443"/>
      <c r="AL807" s="443"/>
      <c r="AM807" s="443"/>
      <c r="AN807" s="443"/>
      <c r="AO807" s="443"/>
      <c r="AP807" s="443"/>
      <c r="AQ807" s="443"/>
      <c r="AR807" s="443"/>
      <c r="AS807" s="443"/>
      <c r="AT807" s="443"/>
      <c r="AU807" s="443"/>
      <c r="AV807" s="443"/>
      <c r="AW807" s="443"/>
      <c r="AX807" s="443"/>
      <c r="AY807" s="443"/>
      <c r="AZ807" s="443"/>
      <c r="BA807" s="443"/>
      <c r="BB807" s="443"/>
      <c r="BC807" s="443"/>
      <c r="BD807" s="443"/>
      <c r="BE807" s="443"/>
    </row>
    <row r="808" hidden="1">
      <c r="A808" s="445">
        <f t="shared" si="5"/>
        <v>46098</v>
      </c>
      <c r="B808" s="449">
        <v>501.0</v>
      </c>
      <c r="C808" s="462">
        <v>0.5833333333333334</v>
      </c>
      <c r="D808" s="462">
        <v>0.9375</v>
      </c>
      <c r="E808" s="436">
        <f t="array" ref="E808">IF(B808=0,"",(J808+K808)/60)</f>
        <v>0.7833333333</v>
      </c>
      <c r="F808" s="437">
        <f t="shared" si="1"/>
        <v>8.5</v>
      </c>
      <c r="G808" s="438">
        <f t="shared" si="9"/>
        <v>58.94117647</v>
      </c>
      <c r="H808" s="438">
        <f t="shared" si="3"/>
        <v>64.92440605</v>
      </c>
      <c r="I808" s="436">
        <f t="shared" si="10"/>
        <v>1.227941176</v>
      </c>
      <c r="J808" s="460">
        <v>30.0</v>
      </c>
      <c r="K808" s="460">
        <v>17.0</v>
      </c>
      <c r="L808" s="449" t="s">
        <v>1004</v>
      </c>
      <c r="M808" s="447">
        <f>IFERROR(__xludf.DUMMYFUNCTION("""COMPUTED_VALUE"""),57.0)</f>
        <v>57</v>
      </c>
      <c r="N808" s="447">
        <f>IFERROR(__xludf.DUMMYFUNCTION("""COMPUTED_VALUE"""),56.0)</f>
        <v>56</v>
      </c>
      <c r="O808" s="447">
        <f>IFERROR(__xludf.DUMMYFUNCTION("""COMPUTED_VALUE"""),0.0)</f>
        <v>0</v>
      </c>
      <c r="P808" s="447">
        <f>IFERROR(__xludf.DUMMYFUNCTION("""COMPUTED_VALUE"""),0.0)</f>
        <v>0</v>
      </c>
      <c r="Q808" s="447">
        <f>IFERROR(__xludf.DUMMYFUNCTION("""COMPUTED_VALUE"""),0.0)</f>
        <v>0</v>
      </c>
      <c r="R808" s="447">
        <f>IFERROR(__xludf.DUMMYFUNCTION("""COMPUTED_VALUE"""),0.0)</f>
        <v>0</v>
      </c>
      <c r="S808" s="447">
        <f>IFERROR(__xludf.DUMMYFUNCTION("""COMPUTED_VALUE"""),2.0)</f>
        <v>2</v>
      </c>
      <c r="T808" s="447">
        <f>IFERROR(__xludf.DUMMYFUNCTION("""COMPUTED_VALUE"""),0.0)</f>
        <v>0</v>
      </c>
      <c r="U808" s="447">
        <f>IFERROR(__xludf.DUMMYFUNCTION("""COMPUTED_VALUE"""),1.0)</f>
        <v>1</v>
      </c>
      <c r="V808" s="447">
        <f>IFERROR(__xludf.DUMMYFUNCTION("""COMPUTED_VALUE"""),2.0)</f>
        <v>2</v>
      </c>
      <c r="W808" s="447">
        <f>IFERROR(__xludf.DUMMYFUNCTION("""COMPUTED_VALUE"""),0.0)</f>
        <v>0</v>
      </c>
      <c r="X808" s="447">
        <f>IFERROR(__xludf.DUMMYFUNCTION("""COMPUTED_VALUE"""),1.0)</f>
        <v>1</v>
      </c>
      <c r="Y808" s="447">
        <f>IFERROR(__xludf.DUMMYFUNCTION("""COMPUTED_VALUE"""),0.0)</f>
        <v>0</v>
      </c>
      <c r="Z808" s="447">
        <f>IFERROR(__xludf.DUMMYFUNCTION("""COMPUTED_VALUE"""),0.0)</f>
        <v>0</v>
      </c>
      <c r="AA808" s="447">
        <f>IFERROR(__xludf.DUMMYFUNCTION("""COMPUTED_VALUE"""),0.0)</f>
        <v>0</v>
      </c>
      <c r="AB808" s="447">
        <f>IFERROR(__xludf.DUMMYFUNCTION("""COMPUTED_VALUE"""),0.0)</f>
        <v>0</v>
      </c>
      <c r="AC808" s="447">
        <f>IFERROR(__xludf.DUMMYFUNCTION("""COMPUTED_VALUE"""),0.0)</f>
        <v>0</v>
      </c>
      <c r="AD808" s="447">
        <f>IFERROR(__xludf.DUMMYFUNCTION("""COMPUTED_VALUE"""),48.0)</f>
        <v>48</v>
      </c>
      <c r="AE808" s="447">
        <f>IFERROR(__xludf.DUMMYFUNCTION("""COMPUTED_VALUE"""),6.0)</f>
        <v>6</v>
      </c>
      <c r="AF808" s="447">
        <f>IFERROR(__xludf.DUMMYFUNCTION("""COMPUTED_VALUE"""),1.0)</f>
        <v>1</v>
      </c>
      <c r="AG808" s="443" t="s">
        <v>98</v>
      </c>
      <c r="AH808" s="443" t="s">
        <v>291</v>
      </c>
      <c r="AI808" s="443"/>
      <c r="AJ808" s="443"/>
      <c r="AK808" s="443"/>
      <c r="AL808" s="443"/>
      <c r="AM808" s="443"/>
      <c r="AN808" s="443"/>
      <c r="AO808" s="443"/>
      <c r="AP808" s="443"/>
      <c r="AQ808" s="443"/>
      <c r="AR808" s="443"/>
      <c r="AS808" s="443"/>
      <c r="AT808" s="443"/>
      <c r="AU808" s="443"/>
      <c r="AV808" s="443"/>
      <c r="AW808" s="443"/>
      <c r="AX808" s="443"/>
      <c r="AY808" s="443"/>
      <c r="AZ808" s="443"/>
      <c r="BA808" s="443"/>
      <c r="BB808" s="443"/>
      <c r="BC808" s="443"/>
      <c r="BD808" s="443"/>
      <c r="BE808" s="443"/>
    </row>
    <row r="809" hidden="1">
      <c r="A809" s="445">
        <f t="shared" si="5"/>
        <v>46099</v>
      </c>
      <c r="B809" s="449">
        <v>322.0</v>
      </c>
      <c r="C809" s="462">
        <v>0.625</v>
      </c>
      <c r="D809" s="462">
        <v>0.8631944444444445</v>
      </c>
      <c r="E809" s="436">
        <f t="array" ref="E809">IF(B809=0,"",(J809+K809)/60)</f>
        <v>1</v>
      </c>
      <c r="F809" s="437">
        <f t="shared" si="1"/>
        <v>5.716666667</v>
      </c>
      <c r="G809" s="438">
        <f t="shared" si="9"/>
        <v>56.32653061</v>
      </c>
      <c r="H809" s="438">
        <f t="shared" si="3"/>
        <v>68.26855124</v>
      </c>
      <c r="I809" s="436">
        <f t="shared" si="10"/>
        <v>1.149521033</v>
      </c>
      <c r="J809" s="460">
        <v>30.0</v>
      </c>
      <c r="K809" s="460">
        <v>30.0</v>
      </c>
      <c r="L809" s="449" t="s">
        <v>1005</v>
      </c>
      <c r="M809" s="447">
        <f>IFERROR(__xludf.DUMMYFUNCTION("""COMPUTED_VALUE"""),57.0)</f>
        <v>57</v>
      </c>
      <c r="N809" s="447">
        <f>IFERROR(__xludf.DUMMYFUNCTION("""COMPUTED_VALUE"""),56.0)</f>
        <v>56</v>
      </c>
      <c r="O809" s="447">
        <f>IFERROR(__xludf.DUMMYFUNCTION("""COMPUTED_VALUE"""),0.0)</f>
        <v>0</v>
      </c>
      <c r="P809" s="447">
        <f>IFERROR(__xludf.DUMMYFUNCTION("""COMPUTED_VALUE"""),0.0)</f>
        <v>0</v>
      </c>
      <c r="Q809" s="447">
        <f>IFERROR(__xludf.DUMMYFUNCTION("""COMPUTED_VALUE"""),0.0)</f>
        <v>0</v>
      </c>
      <c r="R809" s="447">
        <f>IFERROR(__xludf.DUMMYFUNCTION("""COMPUTED_VALUE"""),0.0)</f>
        <v>0</v>
      </c>
      <c r="S809" s="447">
        <f>IFERROR(__xludf.DUMMYFUNCTION("""COMPUTED_VALUE"""),2.0)</f>
        <v>2</v>
      </c>
      <c r="T809" s="447">
        <f>IFERROR(__xludf.DUMMYFUNCTION("""COMPUTED_VALUE"""),0.0)</f>
        <v>0</v>
      </c>
      <c r="U809" s="447">
        <f>IFERROR(__xludf.DUMMYFUNCTION("""COMPUTED_VALUE"""),1.0)</f>
        <v>1</v>
      </c>
      <c r="V809" s="447">
        <f>IFERROR(__xludf.DUMMYFUNCTION("""COMPUTED_VALUE"""),1.0)</f>
        <v>1</v>
      </c>
      <c r="W809" s="447">
        <f>IFERROR(__xludf.DUMMYFUNCTION("""COMPUTED_VALUE"""),0.0)</f>
        <v>0</v>
      </c>
      <c r="X809" s="447">
        <f>IFERROR(__xludf.DUMMYFUNCTION("""COMPUTED_VALUE"""),1.0)</f>
        <v>1</v>
      </c>
      <c r="Y809" s="447">
        <f>IFERROR(__xludf.DUMMYFUNCTION("""COMPUTED_VALUE"""),0.0)</f>
        <v>0</v>
      </c>
      <c r="Z809" s="447">
        <f>IFERROR(__xludf.DUMMYFUNCTION("""COMPUTED_VALUE"""),0.0)</f>
        <v>0</v>
      </c>
      <c r="AA809" s="447">
        <f>IFERROR(__xludf.DUMMYFUNCTION("""COMPUTED_VALUE"""),0.0)</f>
        <v>0</v>
      </c>
      <c r="AB809" s="447">
        <f>IFERROR(__xludf.DUMMYFUNCTION("""COMPUTED_VALUE"""),0.0)</f>
        <v>0</v>
      </c>
      <c r="AC809" s="447">
        <f>IFERROR(__xludf.DUMMYFUNCTION("""COMPUTED_VALUE"""),0.0)</f>
        <v>0</v>
      </c>
      <c r="AD809" s="447">
        <f>IFERROR(__xludf.DUMMYFUNCTION("""COMPUTED_VALUE"""),49.0)</f>
        <v>49</v>
      </c>
      <c r="AE809" s="447">
        <f>IFERROR(__xludf.DUMMYFUNCTION("""COMPUTED_VALUE"""),5.0)</f>
        <v>5</v>
      </c>
      <c r="AF809" s="447">
        <f>IFERROR(__xludf.DUMMYFUNCTION("""COMPUTED_VALUE"""),1.0)</f>
        <v>1</v>
      </c>
      <c r="AG809" s="443" t="s">
        <v>98</v>
      </c>
      <c r="AH809" s="443" t="s">
        <v>291</v>
      </c>
      <c r="AI809" s="443"/>
      <c r="AJ809" s="443"/>
      <c r="AK809" s="443"/>
      <c r="AL809" s="443"/>
      <c r="AM809" s="443"/>
      <c r="AN809" s="443"/>
      <c r="AO809" s="443"/>
      <c r="AP809" s="443"/>
      <c r="AQ809" s="443"/>
      <c r="AR809" s="443"/>
      <c r="AS809" s="443"/>
      <c r="AT809" s="443"/>
      <c r="AU809" s="443"/>
      <c r="AV809" s="443"/>
      <c r="AW809" s="443"/>
      <c r="AX809" s="443"/>
      <c r="AY809" s="443"/>
      <c r="AZ809" s="443"/>
      <c r="BA809" s="443"/>
      <c r="BB809" s="443"/>
      <c r="BC809" s="443"/>
      <c r="BD809" s="443"/>
      <c r="BE809" s="443"/>
    </row>
    <row r="810" hidden="1">
      <c r="A810" s="445">
        <f t="shared" si="5"/>
        <v>46100</v>
      </c>
      <c r="B810" s="449">
        <v>618.0</v>
      </c>
      <c r="C810" s="462">
        <v>0.5833333333333334</v>
      </c>
      <c r="D810" s="462">
        <v>0.9972222222222222</v>
      </c>
      <c r="E810" s="436">
        <f t="array" ref="E810">IF(B810=0,"",(J810+K810)/60)</f>
        <v>1.616666667</v>
      </c>
      <c r="F810" s="437">
        <f t="shared" si="1"/>
        <v>9.933333333</v>
      </c>
      <c r="G810" s="438">
        <f t="shared" si="9"/>
        <v>62.2147651</v>
      </c>
      <c r="H810" s="438">
        <f t="shared" si="3"/>
        <v>74.30861723</v>
      </c>
      <c r="I810" s="436">
        <f t="shared" si="10"/>
        <v>1.29614094</v>
      </c>
      <c r="J810" s="460">
        <v>60.0</v>
      </c>
      <c r="K810" s="464">
        <f>7+16+7+7</f>
        <v>37</v>
      </c>
      <c r="L810" s="449" t="s">
        <v>1006</v>
      </c>
      <c r="M810" s="447">
        <f>IFERROR(__xludf.DUMMYFUNCTION("""COMPUTED_VALUE"""),57.0)</f>
        <v>57</v>
      </c>
      <c r="N810" s="447">
        <f>IFERROR(__xludf.DUMMYFUNCTION("""COMPUTED_VALUE"""),56.0)</f>
        <v>56</v>
      </c>
      <c r="O810" s="447">
        <f>IFERROR(__xludf.DUMMYFUNCTION("""COMPUTED_VALUE"""),0.0)</f>
        <v>0</v>
      </c>
      <c r="P810" s="447">
        <f>IFERROR(__xludf.DUMMYFUNCTION("""COMPUTED_VALUE"""),0.0)</f>
        <v>0</v>
      </c>
      <c r="Q810" s="447">
        <f>IFERROR(__xludf.DUMMYFUNCTION("""COMPUTED_VALUE"""),0.0)</f>
        <v>0</v>
      </c>
      <c r="R810" s="447">
        <f>IFERROR(__xludf.DUMMYFUNCTION("""COMPUTED_VALUE"""),0.0)</f>
        <v>0</v>
      </c>
      <c r="S810" s="447">
        <f>IFERROR(__xludf.DUMMYFUNCTION("""COMPUTED_VALUE"""),2.0)</f>
        <v>2</v>
      </c>
      <c r="T810" s="447">
        <f>IFERROR(__xludf.DUMMYFUNCTION("""COMPUTED_VALUE"""),0.0)</f>
        <v>0</v>
      </c>
      <c r="U810" s="447">
        <f>IFERROR(__xludf.DUMMYFUNCTION("""COMPUTED_VALUE"""),1.0)</f>
        <v>1</v>
      </c>
      <c r="V810" s="447">
        <f>IFERROR(__xludf.DUMMYFUNCTION("""COMPUTED_VALUE"""),2.0)</f>
        <v>2</v>
      </c>
      <c r="W810" s="447">
        <f>IFERROR(__xludf.DUMMYFUNCTION("""COMPUTED_VALUE"""),0.0)</f>
        <v>0</v>
      </c>
      <c r="X810" s="447">
        <f>IFERROR(__xludf.DUMMYFUNCTION("""COMPUTED_VALUE"""),1.0)</f>
        <v>1</v>
      </c>
      <c r="Y810" s="447">
        <f>IFERROR(__xludf.DUMMYFUNCTION("""COMPUTED_VALUE"""),0.0)</f>
        <v>0</v>
      </c>
      <c r="Z810" s="447">
        <f>IFERROR(__xludf.DUMMYFUNCTION("""COMPUTED_VALUE"""),0.0)</f>
        <v>0</v>
      </c>
      <c r="AA810" s="447">
        <f>IFERROR(__xludf.DUMMYFUNCTION("""COMPUTED_VALUE"""),0.0)</f>
        <v>0</v>
      </c>
      <c r="AB810" s="447">
        <f>IFERROR(__xludf.DUMMYFUNCTION("""COMPUTED_VALUE"""),0.0)</f>
        <v>0</v>
      </c>
      <c r="AC810" s="447">
        <f>IFERROR(__xludf.DUMMYFUNCTION("""COMPUTED_VALUE"""),0.0)</f>
        <v>0</v>
      </c>
      <c r="AD810" s="447">
        <f>IFERROR(__xludf.DUMMYFUNCTION("""COMPUTED_VALUE"""),48.0)</f>
        <v>48</v>
      </c>
      <c r="AE810" s="447">
        <f>IFERROR(__xludf.DUMMYFUNCTION("""COMPUTED_VALUE"""),6.0)</f>
        <v>6</v>
      </c>
      <c r="AF810" s="447">
        <f>IFERROR(__xludf.DUMMYFUNCTION("""COMPUTED_VALUE"""),1.0)</f>
        <v>1</v>
      </c>
      <c r="AG810" s="443" t="s">
        <v>98</v>
      </c>
      <c r="AH810" s="443" t="s">
        <v>291</v>
      </c>
      <c r="AI810" s="443"/>
      <c r="AJ810" s="443"/>
      <c r="AK810" s="443"/>
      <c r="AL810" s="443"/>
      <c r="AM810" s="443"/>
      <c r="AN810" s="443"/>
      <c r="AO810" s="443"/>
      <c r="AP810" s="443"/>
      <c r="AQ810" s="443"/>
      <c r="AR810" s="443"/>
      <c r="AS810" s="443"/>
      <c r="AT810" s="443"/>
      <c r="AU810" s="443"/>
      <c r="AV810" s="443"/>
      <c r="AW810" s="443"/>
      <c r="AX810" s="443"/>
      <c r="AY810" s="443"/>
      <c r="AZ810" s="443"/>
      <c r="BA810" s="443"/>
      <c r="BB810" s="443"/>
      <c r="BC810" s="443"/>
      <c r="BD810" s="443"/>
      <c r="BE810" s="443"/>
    </row>
    <row r="811" hidden="1">
      <c r="A811" s="445">
        <f t="shared" si="5"/>
        <v>46101</v>
      </c>
      <c r="B811" s="449">
        <v>397.0</v>
      </c>
      <c r="C811" s="462">
        <v>0.5833333333333334</v>
      </c>
      <c r="D811" s="462">
        <v>0.8590277777777777</v>
      </c>
      <c r="E811" s="436">
        <f t="array" ref="E811">IF(B811=0,"",(J811+K811)/60)</f>
        <v>0.5</v>
      </c>
      <c r="F811" s="437">
        <f t="shared" si="1"/>
        <v>6.616666667</v>
      </c>
      <c r="G811" s="438">
        <f t="shared" si="9"/>
        <v>60</v>
      </c>
      <c r="H811" s="438">
        <f t="shared" si="3"/>
        <v>64.90463215</v>
      </c>
      <c r="I811" s="436">
        <f t="shared" si="10"/>
        <v>1.25</v>
      </c>
      <c r="J811" s="460">
        <v>30.0</v>
      </c>
      <c r="K811" s="460">
        <v>0.0</v>
      </c>
      <c r="L811" s="449" t="s">
        <v>1007</v>
      </c>
      <c r="M811" s="447">
        <f>IFERROR(__xludf.DUMMYFUNCTION("""COMPUTED_VALUE"""),57.0)</f>
        <v>57</v>
      </c>
      <c r="N811" s="447">
        <f>IFERROR(__xludf.DUMMYFUNCTION("""COMPUTED_VALUE"""),56.0)</f>
        <v>56</v>
      </c>
      <c r="O811" s="447">
        <f>IFERROR(__xludf.DUMMYFUNCTION("""COMPUTED_VALUE"""),0.0)</f>
        <v>0</v>
      </c>
      <c r="P811" s="447">
        <f>IFERROR(__xludf.DUMMYFUNCTION("""COMPUTED_VALUE"""),0.0)</f>
        <v>0</v>
      </c>
      <c r="Q811" s="447">
        <f>IFERROR(__xludf.DUMMYFUNCTION("""COMPUTED_VALUE"""),0.0)</f>
        <v>0</v>
      </c>
      <c r="R811" s="447">
        <f>IFERROR(__xludf.DUMMYFUNCTION("""COMPUTED_VALUE"""),0.0)</f>
        <v>0</v>
      </c>
      <c r="S811" s="447">
        <f>IFERROR(__xludf.DUMMYFUNCTION("""COMPUTED_VALUE"""),1.0)</f>
        <v>1</v>
      </c>
      <c r="T811" s="447">
        <f>IFERROR(__xludf.DUMMYFUNCTION("""COMPUTED_VALUE"""),0.0)</f>
        <v>0</v>
      </c>
      <c r="U811" s="447">
        <f>IFERROR(__xludf.DUMMYFUNCTION("""COMPUTED_VALUE"""),1.0)</f>
        <v>1</v>
      </c>
      <c r="V811" s="447">
        <f>IFERROR(__xludf.DUMMYFUNCTION("""COMPUTED_VALUE"""),3.0)</f>
        <v>3</v>
      </c>
      <c r="W811" s="447">
        <f>IFERROR(__xludf.DUMMYFUNCTION("""COMPUTED_VALUE"""),0.0)</f>
        <v>0</v>
      </c>
      <c r="X811" s="447">
        <f>IFERROR(__xludf.DUMMYFUNCTION("""COMPUTED_VALUE"""),1.0)</f>
        <v>1</v>
      </c>
      <c r="Y811" s="447">
        <f>IFERROR(__xludf.DUMMYFUNCTION("""COMPUTED_VALUE"""),0.0)</f>
        <v>0</v>
      </c>
      <c r="Z811" s="447">
        <f>IFERROR(__xludf.DUMMYFUNCTION("""COMPUTED_VALUE"""),0.0)</f>
        <v>0</v>
      </c>
      <c r="AA811" s="447">
        <f>IFERROR(__xludf.DUMMYFUNCTION("""COMPUTED_VALUE"""),0.0)</f>
        <v>0</v>
      </c>
      <c r="AB811" s="447">
        <f>IFERROR(__xludf.DUMMYFUNCTION("""COMPUTED_VALUE"""),0.0)</f>
        <v>0</v>
      </c>
      <c r="AC811" s="447">
        <f>IFERROR(__xludf.DUMMYFUNCTION("""COMPUTED_VALUE"""),0.0)</f>
        <v>0</v>
      </c>
      <c r="AD811" s="447">
        <f>IFERROR(__xludf.DUMMYFUNCTION("""COMPUTED_VALUE"""),48.0)</f>
        <v>48</v>
      </c>
      <c r="AE811" s="447">
        <f>IFERROR(__xludf.DUMMYFUNCTION("""COMPUTED_VALUE"""),6.0)</f>
        <v>6</v>
      </c>
      <c r="AF811" s="447">
        <f>IFERROR(__xludf.DUMMYFUNCTION("""COMPUTED_VALUE"""),1.0)</f>
        <v>1</v>
      </c>
      <c r="AG811" s="443" t="s">
        <v>98</v>
      </c>
      <c r="AH811" s="443" t="s">
        <v>291</v>
      </c>
      <c r="AI811" s="443"/>
      <c r="AJ811" s="443"/>
      <c r="AK811" s="443"/>
      <c r="AL811" s="443"/>
      <c r="AM811" s="443"/>
      <c r="AN811" s="443"/>
      <c r="AO811" s="443"/>
      <c r="AP811" s="443"/>
      <c r="AQ811" s="443"/>
      <c r="AR811" s="443"/>
      <c r="AS811" s="443"/>
      <c r="AT811" s="443"/>
      <c r="AU811" s="443"/>
      <c r="AV811" s="443"/>
      <c r="AW811" s="443"/>
      <c r="AX811" s="443"/>
      <c r="AY811" s="443"/>
      <c r="AZ811" s="443"/>
      <c r="BA811" s="443"/>
      <c r="BB811" s="443"/>
      <c r="BC811" s="443"/>
      <c r="BD811" s="443"/>
      <c r="BE811" s="443"/>
    </row>
    <row r="812" hidden="1">
      <c r="A812" s="445">
        <f t="shared" si="5"/>
        <v>46102</v>
      </c>
      <c r="B812" s="449">
        <v>313.0</v>
      </c>
      <c r="C812" s="462">
        <v>0.625</v>
      </c>
      <c r="D812" s="462">
        <v>0.8243055555555555</v>
      </c>
      <c r="E812" s="436">
        <f t="array" ref="E812">IF(B812=0,"",(J812+K812)/60)</f>
        <v>0.1</v>
      </c>
      <c r="F812" s="437">
        <f t="shared" si="1"/>
        <v>4.783333333</v>
      </c>
      <c r="G812" s="438">
        <f t="shared" si="9"/>
        <v>65.43554007</v>
      </c>
      <c r="H812" s="438">
        <f t="shared" si="3"/>
        <v>66.83274021</v>
      </c>
      <c r="I812" s="436">
        <f t="shared" si="10"/>
        <v>1.335419185</v>
      </c>
      <c r="J812" s="460">
        <v>0.0</v>
      </c>
      <c r="K812" s="460">
        <v>6.0</v>
      </c>
      <c r="L812" s="449"/>
      <c r="M812" s="447">
        <f>IFERROR(__xludf.DUMMYFUNCTION("""COMPUTED_VALUE"""),57.0)</f>
        <v>57</v>
      </c>
      <c r="N812" s="447">
        <f>IFERROR(__xludf.DUMMYFUNCTION("""COMPUTED_VALUE"""),56.0)</f>
        <v>56</v>
      </c>
      <c r="O812" s="447">
        <f>IFERROR(__xludf.DUMMYFUNCTION("""COMPUTED_VALUE"""),0.0)</f>
        <v>0</v>
      </c>
      <c r="P812" s="447">
        <f>IFERROR(__xludf.DUMMYFUNCTION("""COMPUTED_VALUE"""),0.0)</f>
        <v>0</v>
      </c>
      <c r="Q812" s="447">
        <f>IFERROR(__xludf.DUMMYFUNCTION("""COMPUTED_VALUE"""),0.0)</f>
        <v>0</v>
      </c>
      <c r="R812" s="447">
        <f>IFERROR(__xludf.DUMMYFUNCTION("""COMPUTED_VALUE"""),0.0)</f>
        <v>0</v>
      </c>
      <c r="S812" s="447">
        <f>IFERROR(__xludf.DUMMYFUNCTION("""COMPUTED_VALUE"""),0.0)</f>
        <v>0</v>
      </c>
      <c r="T812" s="447">
        <f>IFERROR(__xludf.DUMMYFUNCTION("""COMPUTED_VALUE"""),0.0)</f>
        <v>0</v>
      </c>
      <c r="U812" s="447">
        <f>IFERROR(__xludf.DUMMYFUNCTION("""COMPUTED_VALUE"""),1.0)</f>
        <v>1</v>
      </c>
      <c r="V812" s="447">
        <f>IFERROR(__xludf.DUMMYFUNCTION("""COMPUTED_VALUE"""),3.0)</f>
        <v>3</v>
      </c>
      <c r="W812" s="447">
        <f>IFERROR(__xludf.DUMMYFUNCTION("""COMPUTED_VALUE"""),0.0)</f>
        <v>0</v>
      </c>
      <c r="X812" s="447">
        <f>IFERROR(__xludf.DUMMYFUNCTION("""COMPUTED_VALUE"""),1.0)</f>
        <v>1</v>
      </c>
      <c r="Y812" s="447">
        <f>IFERROR(__xludf.DUMMYFUNCTION("""COMPUTED_VALUE"""),0.0)</f>
        <v>0</v>
      </c>
      <c r="Z812" s="447">
        <f>IFERROR(__xludf.DUMMYFUNCTION("""COMPUTED_VALUE"""),0.0)</f>
        <v>0</v>
      </c>
      <c r="AA812" s="447">
        <f>IFERROR(__xludf.DUMMYFUNCTION("""COMPUTED_VALUE"""),0.0)</f>
        <v>0</v>
      </c>
      <c r="AB812" s="447">
        <f>IFERROR(__xludf.DUMMYFUNCTION("""COMPUTED_VALUE"""),0.0)</f>
        <v>0</v>
      </c>
      <c r="AC812" s="447">
        <f>IFERROR(__xludf.DUMMYFUNCTION("""COMPUTED_VALUE"""),0.0)</f>
        <v>0</v>
      </c>
      <c r="AD812" s="447">
        <f>IFERROR(__xludf.DUMMYFUNCTION("""COMPUTED_VALUE"""),49.0)</f>
        <v>49</v>
      </c>
      <c r="AE812" s="447">
        <f>IFERROR(__xludf.DUMMYFUNCTION("""COMPUTED_VALUE"""),5.0)</f>
        <v>5</v>
      </c>
      <c r="AF812" s="447">
        <f>IFERROR(__xludf.DUMMYFUNCTION("""COMPUTED_VALUE"""),1.0)</f>
        <v>1</v>
      </c>
      <c r="AG812" s="443" t="s">
        <v>98</v>
      </c>
      <c r="AH812" s="443" t="s">
        <v>291</v>
      </c>
      <c r="AI812" s="443"/>
      <c r="AJ812" s="443"/>
      <c r="AK812" s="443"/>
      <c r="AL812" s="443"/>
      <c r="AM812" s="443"/>
      <c r="AN812" s="443"/>
      <c r="AO812" s="443"/>
      <c r="AP812" s="443"/>
      <c r="AQ812" s="443"/>
      <c r="AR812" s="443"/>
      <c r="AS812" s="443"/>
      <c r="AT812" s="443"/>
      <c r="AU812" s="443"/>
      <c r="AV812" s="443"/>
      <c r="AW812" s="443"/>
      <c r="AX812" s="443"/>
      <c r="AY812" s="443"/>
      <c r="AZ812" s="443"/>
      <c r="BA812" s="443"/>
      <c r="BB812" s="443"/>
      <c r="BC812" s="443"/>
      <c r="BD812" s="443"/>
      <c r="BE812" s="443"/>
    </row>
    <row r="813" hidden="1">
      <c r="A813" s="445">
        <f t="shared" si="5"/>
        <v>46103</v>
      </c>
      <c r="B813" s="449">
        <v>0.0</v>
      </c>
      <c r="C813" s="443"/>
      <c r="D813" s="462"/>
      <c r="E813" s="436" t="str">
        <f t="array" ref="E813">IF(B813=0,"",(J813+K813)/60)</f>
        <v/>
      </c>
      <c r="F813" s="437" t="str">
        <f t="shared" si="1"/>
        <v/>
      </c>
      <c r="G813" s="438" t="str">
        <f t="shared" si="9"/>
        <v>#DIV/0!</v>
      </c>
      <c r="H813" s="438" t="str">
        <f t="shared" si="3"/>
        <v/>
      </c>
      <c r="I813" s="436" t="str">
        <f t="shared" si="10"/>
        <v/>
      </c>
      <c r="J813" s="464"/>
      <c r="K813" s="464"/>
      <c r="L813" s="443"/>
      <c r="M813" s="447">
        <f>IFERROR(__xludf.DUMMYFUNCTION("""COMPUTED_VALUE"""),57.0)</f>
        <v>57</v>
      </c>
      <c r="N813" s="447">
        <f>IFERROR(__xludf.DUMMYFUNCTION("""COMPUTED_VALUE"""),57.0)</f>
        <v>57</v>
      </c>
      <c r="O813" s="447">
        <f>IFERROR(__xludf.DUMMYFUNCTION("""COMPUTED_VALUE"""),0.0)</f>
        <v>0</v>
      </c>
      <c r="P813" s="447">
        <f>IFERROR(__xludf.DUMMYFUNCTION("""COMPUTED_VALUE"""),0.0)</f>
        <v>0</v>
      </c>
      <c r="Q813" s="447">
        <f>IFERROR(__xludf.DUMMYFUNCTION("""COMPUTED_VALUE"""),0.0)</f>
        <v>0</v>
      </c>
      <c r="R813" s="447">
        <f>IFERROR(__xludf.DUMMYFUNCTION("""COMPUTED_VALUE"""),0.0)</f>
        <v>0</v>
      </c>
      <c r="S813" s="447">
        <f>IFERROR(__xludf.DUMMYFUNCTION("""COMPUTED_VALUE"""),0.0)</f>
        <v>0</v>
      </c>
      <c r="T813" s="447">
        <f>IFERROR(__xludf.DUMMYFUNCTION("""COMPUTED_VALUE"""),0.0)</f>
        <v>0</v>
      </c>
      <c r="U813" s="447">
        <f>IFERROR(__xludf.DUMMYFUNCTION("""COMPUTED_VALUE"""),0.0)</f>
        <v>0</v>
      </c>
      <c r="V813" s="447">
        <f>IFERROR(__xludf.DUMMYFUNCTION("""COMPUTED_VALUE"""),0.0)</f>
        <v>0</v>
      </c>
      <c r="W813" s="447">
        <f>IFERROR(__xludf.DUMMYFUNCTION("""COMPUTED_VALUE"""),0.0)</f>
        <v>0</v>
      </c>
      <c r="X813" s="447">
        <f>IFERROR(__xludf.DUMMYFUNCTION("""COMPUTED_VALUE"""),0.0)</f>
        <v>0</v>
      </c>
      <c r="Y813" s="447">
        <f>IFERROR(__xludf.DUMMYFUNCTION("""COMPUTED_VALUE"""),0.0)</f>
        <v>0</v>
      </c>
      <c r="Z813" s="447">
        <f>IFERROR(__xludf.DUMMYFUNCTION("""COMPUTED_VALUE"""),0.0)</f>
        <v>0</v>
      </c>
      <c r="AA813" s="447">
        <f>IFERROR(__xludf.DUMMYFUNCTION("""COMPUTED_VALUE"""),0.0)</f>
        <v>0</v>
      </c>
      <c r="AB813" s="447">
        <f>IFERROR(__xludf.DUMMYFUNCTION("""COMPUTED_VALUE"""),0.0)</f>
        <v>0</v>
      </c>
      <c r="AC813" s="447">
        <f>IFERROR(__xludf.DUMMYFUNCTION("""COMPUTED_VALUE"""),0.0)</f>
        <v>0</v>
      </c>
      <c r="AD813" s="447">
        <f>IFERROR(__xludf.DUMMYFUNCTION("""COMPUTED_VALUE"""),0.0)</f>
        <v>0</v>
      </c>
      <c r="AE813" s="447">
        <f>IFERROR(__xludf.DUMMYFUNCTION("""COMPUTED_VALUE"""),0.0)</f>
        <v>0</v>
      </c>
      <c r="AF813" s="447">
        <f>IFERROR(__xludf.DUMMYFUNCTION("""COMPUTED_VALUE"""),0.0)</f>
        <v>0</v>
      </c>
      <c r="AG813" s="443" t="s">
        <v>98</v>
      </c>
      <c r="AH813" s="443" t="s">
        <v>291</v>
      </c>
      <c r="AI813" s="443"/>
      <c r="AJ813" s="443"/>
      <c r="AK813" s="443"/>
      <c r="AL813" s="443"/>
      <c r="AM813" s="443"/>
      <c r="AN813" s="443"/>
      <c r="AO813" s="443"/>
      <c r="AP813" s="443"/>
      <c r="AQ813" s="443"/>
      <c r="AR813" s="443"/>
      <c r="AS813" s="443"/>
      <c r="AT813" s="443"/>
      <c r="AU813" s="443"/>
      <c r="AV813" s="443"/>
      <c r="AW813" s="443"/>
      <c r="AX813" s="443"/>
      <c r="AY813" s="443"/>
      <c r="AZ813" s="443"/>
      <c r="BA813" s="443"/>
      <c r="BB813" s="443"/>
      <c r="BC813" s="443"/>
      <c r="BD813" s="443"/>
      <c r="BE813" s="443"/>
    </row>
    <row r="814" hidden="1">
      <c r="A814" s="445">
        <f t="shared" si="5"/>
        <v>46104</v>
      </c>
      <c r="B814" s="449">
        <v>699.0</v>
      </c>
      <c r="C814" s="462">
        <v>0.5833333333333334</v>
      </c>
      <c r="D814" s="462">
        <v>1.1277777777777778</v>
      </c>
      <c r="E814" s="436">
        <f t="array" ref="E814">IF(B814=0,"",(J814+K814)/60)</f>
        <v>1.5</v>
      </c>
      <c r="F814" s="437">
        <f t="shared" si="1"/>
        <v>13.06666667</v>
      </c>
      <c r="G814" s="438">
        <f t="shared" si="9"/>
        <v>53.49489796</v>
      </c>
      <c r="H814" s="438">
        <f t="shared" si="3"/>
        <v>60.43227666</v>
      </c>
      <c r="I814" s="436">
        <f t="shared" si="10"/>
        <v>1.18877551</v>
      </c>
      <c r="J814" s="460">
        <v>60.0</v>
      </c>
      <c r="K814" s="460">
        <v>30.0</v>
      </c>
      <c r="L814" s="449" t="s">
        <v>1008</v>
      </c>
      <c r="M814" s="447">
        <f>IFERROR(__xludf.DUMMYFUNCTION("""COMPUTED_VALUE"""),57.0)</f>
        <v>57</v>
      </c>
      <c r="N814" s="447">
        <f>IFERROR(__xludf.DUMMYFUNCTION("""COMPUTED_VALUE"""),55.0)</f>
        <v>55</v>
      </c>
      <c r="O814" s="447">
        <f>IFERROR(__xludf.DUMMYFUNCTION("""COMPUTED_VALUE"""),1.0)</f>
        <v>1</v>
      </c>
      <c r="P814" s="447">
        <f>IFERROR(__xludf.DUMMYFUNCTION("""COMPUTED_VALUE"""),0.0)</f>
        <v>0</v>
      </c>
      <c r="Q814" s="447">
        <f>IFERROR(__xludf.DUMMYFUNCTION("""COMPUTED_VALUE"""),0.0)</f>
        <v>0</v>
      </c>
      <c r="R814" s="447">
        <f>IFERROR(__xludf.DUMMYFUNCTION("""COMPUTED_VALUE"""),1.0)</f>
        <v>1</v>
      </c>
      <c r="S814" s="447">
        <f>IFERROR(__xludf.DUMMYFUNCTION("""COMPUTED_VALUE"""),1.0)</f>
        <v>1</v>
      </c>
      <c r="T814" s="447">
        <f>IFERROR(__xludf.DUMMYFUNCTION("""COMPUTED_VALUE"""),1.0)</f>
        <v>1</v>
      </c>
      <c r="U814" s="447">
        <f>IFERROR(__xludf.DUMMYFUNCTION("""COMPUTED_VALUE"""),1.0)</f>
        <v>1</v>
      </c>
      <c r="V814" s="447">
        <f>IFERROR(__xludf.DUMMYFUNCTION("""COMPUTED_VALUE"""),3.0)</f>
        <v>3</v>
      </c>
      <c r="W814" s="447">
        <f>IFERROR(__xludf.DUMMYFUNCTION("""COMPUTED_VALUE"""),0.0)</f>
        <v>0</v>
      </c>
      <c r="X814" s="447">
        <f>IFERROR(__xludf.DUMMYFUNCTION("""COMPUTED_VALUE"""),1.0)</f>
        <v>1</v>
      </c>
      <c r="Y814" s="447">
        <f>IFERROR(__xludf.DUMMYFUNCTION("""COMPUTED_VALUE"""),0.0)</f>
        <v>0</v>
      </c>
      <c r="Z814" s="447">
        <f>IFERROR(__xludf.DUMMYFUNCTION("""COMPUTED_VALUE"""),0.0)</f>
        <v>0</v>
      </c>
      <c r="AA814" s="447">
        <f>IFERROR(__xludf.DUMMYFUNCTION("""COMPUTED_VALUE"""),0.0)</f>
        <v>0</v>
      </c>
      <c r="AB814" s="447">
        <f>IFERROR(__xludf.DUMMYFUNCTION("""COMPUTED_VALUE"""),0.0)</f>
        <v>0</v>
      </c>
      <c r="AC814" s="447">
        <f>IFERROR(__xludf.DUMMYFUNCTION("""COMPUTED_VALUE"""),0.0)</f>
        <v>0</v>
      </c>
      <c r="AD814" s="447">
        <f>IFERROR(__xludf.DUMMYFUNCTION("""COMPUTED_VALUE"""),45.0)</f>
        <v>45</v>
      </c>
      <c r="AE814" s="447">
        <f>IFERROR(__xludf.DUMMYFUNCTION("""COMPUTED_VALUE"""),8.0)</f>
        <v>8</v>
      </c>
      <c r="AF814" s="447">
        <f>IFERROR(__xludf.DUMMYFUNCTION("""COMPUTED_VALUE"""),2.0)</f>
        <v>2</v>
      </c>
      <c r="AG814" s="443" t="s">
        <v>98</v>
      </c>
      <c r="AH814" s="443" t="s">
        <v>291</v>
      </c>
      <c r="AI814" s="443"/>
      <c r="AJ814" s="443"/>
      <c r="AK814" s="443"/>
      <c r="AL814" s="443"/>
      <c r="AM814" s="443"/>
      <c r="AN814" s="443"/>
      <c r="AO814" s="443"/>
      <c r="AP814" s="443"/>
      <c r="AQ814" s="443"/>
      <c r="AR814" s="443"/>
      <c r="AS814" s="443"/>
      <c r="AT814" s="443"/>
      <c r="AU814" s="443"/>
      <c r="AV814" s="443"/>
      <c r="AW814" s="443"/>
      <c r="AX814" s="443"/>
      <c r="AY814" s="443"/>
      <c r="AZ814" s="443"/>
      <c r="BA814" s="443"/>
      <c r="BB814" s="443"/>
      <c r="BC814" s="443"/>
      <c r="BD814" s="443"/>
      <c r="BE814" s="443"/>
    </row>
    <row r="815" hidden="1">
      <c r="A815" s="445">
        <f t="shared" si="5"/>
        <v>46105</v>
      </c>
      <c r="B815" s="449">
        <v>328.0</v>
      </c>
      <c r="C815" s="462">
        <v>0.625</v>
      </c>
      <c r="D815" s="462">
        <v>0.8666666666666667</v>
      </c>
      <c r="E815" s="436">
        <f t="array" ref="E815">IF(B815=0,"",(J815+K815)/60)</f>
        <v>0</v>
      </c>
      <c r="F815" s="437">
        <f t="shared" si="1"/>
        <v>5.8</v>
      </c>
      <c r="G815" s="438">
        <f t="shared" si="9"/>
        <v>56.55172414</v>
      </c>
      <c r="H815" s="438">
        <f t="shared" si="3"/>
        <v>56.55172414</v>
      </c>
      <c r="I815" s="436">
        <f t="shared" si="10"/>
        <v>1.256704981</v>
      </c>
      <c r="J815" s="460">
        <v>0.0</v>
      </c>
      <c r="K815" s="464"/>
      <c r="L815" s="449" t="s">
        <v>1009</v>
      </c>
      <c r="M815" s="447">
        <f>IFERROR(__xludf.DUMMYFUNCTION("""COMPUTED_VALUE"""),57.0)</f>
        <v>57</v>
      </c>
      <c r="N815" s="447">
        <f>IFERROR(__xludf.DUMMYFUNCTION("""COMPUTED_VALUE"""),55.0)</f>
        <v>55</v>
      </c>
      <c r="O815" s="447">
        <f>IFERROR(__xludf.DUMMYFUNCTION("""COMPUTED_VALUE"""),0.0)</f>
        <v>0</v>
      </c>
      <c r="P815" s="447">
        <f>IFERROR(__xludf.DUMMYFUNCTION("""COMPUTED_VALUE"""),1.0)</f>
        <v>1</v>
      </c>
      <c r="Q815" s="447">
        <f>IFERROR(__xludf.DUMMYFUNCTION("""COMPUTED_VALUE"""),0.0)</f>
        <v>0</v>
      </c>
      <c r="R815" s="447">
        <f>IFERROR(__xludf.DUMMYFUNCTION("""COMPUTED_VALUE"""),0.0)</f>
        <v>0</v>
      </c>
      <c r="S815" s="447">
        <f>IFERROR(__xludf.DUMMYFUNCTION("""COMPUTED_VALUE"""),1.0)</f>
        <v>1</v>
      </c>
      <c r="T815" s="447">
        <f>IFERROR(__xludf.DUMMYFUNCTION("""COMPUTED_VALUE"""),1.0)</f>
        <v>1</v>
      </c>
      <c r="U815" s="447">
        <f>IFERROR(__xludf.DUMMYFUNCTION("""COMPUTED_VALUE"""),2.0)</f>
        <v>2</v>
      </c>
      <c r="V815" s="447">
        <f>IFERROR(__xludf.DUMMYFUNCTION("""COMPUTED_VALUE"""),3.0)</f>
        <v>3</v>
      </c>
      <c r="W815" s="447">
        <f>IFERROR(__xludf.DUMMYFUNCTION("""COMPUTED_VALUE"""),0.0)</f>
        <v>0</v>
      </c>
      <c r="X815" s="447">
        <f>IFERROR(__xludf.DUMMYFUNCTION("""COMPUTED_VALUE"""),1.0)</f>
        <v>1</v>
      </c>
      <c r="Y815" s="447">
        <f>IFERROR(__xludf.DUMMYFUNCTION("""COMPUTED_VALUE"""),0.0)</f>
        <v>0</v>
      </c>
      <c r="Z815" s="447">
        <f>IFERROR(__xludf.DUMMYFUNCTION("""COMPUTED_VALUE"""),0.0)</f>
        <v>0</v>
      </c>
      <c r="AA815" s="447">
        <f>IFERROR(__xludf.DUMMYFUNCTION("""COMPUTED_VALUE"""),0.0)</f>
        <v>0</v>
      </c>
      <c r="AB815" s="447">
        <f>IFERROR(__xludf.DUMMYFUNCTION("""COMPUTED_VALUE"""),0.0)</f>
        <v>0</v>
      </c>
      <c r="AC815" s="447">
        <f>IFERROR(__xludf.DUMMYFUNCTION("""COMPUTED_VALUE"""),0.0)</f>
        <v>0</v>
      </c>
      <c r="AD815" s="447">
        <f>IFERROR(__xludf.DUMMYFUNCTION("""COMPUTED_VALUE"""),45.0)</f>
        <v>45</v>
      </c>
      <c r="AE815" s="447">
        <f>IFERROR(__xludf.DUMMYFUNCTION("""COMPUTED_VALUE"""),9.0)</f>
        <v>9</v>
      </c>
      <c r="AF815" s="447">
        <f>IFERROR(__xludf.DUMMYFUNCTION("""COMPUTED_VALUE"""),2.0)</f>
        <v>2</v>
      </c>
      <c r="AG815" s="443" t="s">
        <v>98</v>
      </c>
      <c r="AH815" s="443" t="s">
        <v>291</v>
      </c>
      <c r="AI815" s="443"/>
      <c r="AJ815" s="443"/>
      <c r="AK815" s="443"/>
      <c r="AL815" s="443"/>
      <c r="AM815" s="443"/>
      <c r="AN815" s="443"/>
      <c r="AO815" s="443"/>
      <c r="AP815" s="443"/>
      <c r="AQ815" s="443"/>
      <c r="AR815" s="443"/>
      <c r="AS815" s="443"/>
      <c r="AT815" s="443"/>
      <c r="AU815" s="443"/>
      <c r="AV815" s="443"/>
      <c r="AW815" s="443"/>
      <c r="AX815" s="443"/>
      <c r="AY815" s="443"/>
      <c r="AZ815" s="443"/>
      <c r="BA815" s="443"/>
      <c r="BB815" s="443"/>
      <c r="BC815" s="443"/>
      <c r="BD815" s="443"/>
      <c r="BE815" s="443"/>
    </row>
    <row r="816" hidden="1">
      <c r="A816" s="445">
        <f t="shared" si="5"/>
        <v>46106</v>
      </c>
      <c r="B816" s="449">
        <v>359.0</v>
      </c>
      <c r="C816" s="462">
        <v>0.625</v>
      </c>
      <c r="D816" s="462">
        <v>0.8833333333333333</v>
      </c>
      <c r="E816" s="436">
        <f t="array" ref="E816">IF(B816=0,"",(J816+K816)/60)</f>
        <v>0.75</v>
      </c>
      <c r="F816" s="437">
        <f t="shared" si="1"/>
        <v>6.2</v>
      </c>
      <c r="G816" s="438">
        <f t="shared" si="9"/>
        <v>57.90322581</v>
      </c>
      <c r="H816" s="438">
        <f t="shared" si="3"/>
        <v>65.87155963</v>
      </c>
      <c r="I816" s="436">
        <f t="shared" si="10"/>
        <v>1.286738351</v>
      </c>
      <c r="J816" s="460">
        <v>30.0</v>
      </c>
      <c r="K816" s="460">
        <v>15.0</v>
      </c>
      <c r="L816" s="449" t="s">
        <v>1010</v>
      </c>
      <c r="M816" s="447">
        <f>IFERROR(__xludf.DUMMYFUNCTION("""COMPUTED_VALUE"""),57.0)</f>
        <v>57</v>
      </c>
      <c r="N816" s="447">
        <f>IFERROR(__xludf.DUMMYFUNCTION("""COMPUTED_VALUE"""),55.0)</f>
        <v>55</v>
      </c>
      <c r="O816" s="447">
        <f>IFERROR(__xludf.DUMMYFUNCTION("""COMPUTED_VALUE"""),0.0)</f>
        <v>0</v>
      </c>
      <c r="P816" s="447">
        <f>IFERROR(__xludf.DUMMYFUNCTION("""COMPUTED_VALUE"""),0.0)</f>
        <v>0</v>
      </c>
      <c r="Q816" s="447">
        <f>IFERROR(__xludf.DUMMYFUNCTION("""COMPUTED_VALUE"""),0.0)</f>
        <v>0</v>
      </c>
      <c r="R816" s="447">
        <f>IFERROR(__xludf.DUMMYFUNCTION("""COMPUTED_VALUE"""),0.0)</f>
        <v>0</v>
      </c>
      <c r="S816" s="447">
        <f>IFERROR(__xludf.DUMMYFUNCTION("""COMPUTED_VALUE"""),2.0)</f>
        <v>2</v>
      </c>
      <c r="T816" s="447">
        <f>IFERROR(__xludf.DUMMYFUNCTION("""COMPUTED_VALUE"""),1.0)</f>
        <v>1</v>
      </c>
      <c r="U816" s="447">
        <f>IFERROR(__xludf.DUMMYFUNCTION("""COMPUTED_VALUE"""),2.0)</f>
        <v>2</v>
      </c>
      <c r="V816" s="447">
        <f>IFERROR(__xludf.DUMMYFUNCTION("""COMPUTED_VALUE"""),3.0)</f>
        <v>3</v>
      </c>
      <c r="W816" s="447">
        <f>IFERROR(__xludf.DUMMYFUNCTION("""COMPUTED_VALUE"""),0.0)</f>
        <v>0</v>
      </c>
      <c r="X816" s="447">
        <f>IFERROR(__xludf.DUMMYFUNCTION("""COMPUTED_VALUE"""),1.0)</f>
        <v>1</v>
      </c>
      <c r="Y816" s="447">
        <f>IFERROR(__xludf.DUMMYFUNCTION("""COMPUTED_VALUE"""),0.0)</f>
        <v>0</v>
      </c>
      <c r="Z816" s="447">
        <f>IFERROR(__xludf.DUMMYFUNCTION("""COMPUTED_VALUE"""),0.0)</f>
        <v>0</v>
      </c>
      <c r="AA816" s="447">
        <f>IFERROR(__xludf.DUMMYFUNCTION("""COMPUTED_VALUE"""),0.0)</f>
        <v>0</v>
      </c>
      <c r="AB816" s="447">
        <f>IFERROR(__xludf.DUMMYFUNCTION("""COMPUTED_VALUE"""),0.0)</f>
        <v>0</v>
      </c>
      <c r="AC816" s="447">
        <f>IFERROR(__xludf.DUMMYFUNCTION("""COMPUTED_VALUE"""),0.0)</f>
        <v>0</v>
      </c>
      <c r="AD816" s="447">
        <f>IFERROR(__xludf.DUMMYFUNCTION("""COMPUTED_VALUE"""),45.0)</f>
        <v>45</v>
      </c>
      <c r="AE816" s="447">
        <f>IFERROR(__xludf.DUMMYFUNCTION("""COMPUTED_VALUE"""),9.0)</f>
        <v>9</v>
      </c>
      <c r="AF816" s="447">
        <f>IFERROR(__xludf.DUMMYFUNCTION("""COMPUTED_VALUE"""),2.0)</f>
        <v>2</v>
      </c>
      <c r="AG816" s="443" t="s">
        <v>98</v>
      </c>
      <c r="AH816" s="443" t="s">
        <v>291</v>
      </c>
      <c r="AI816" s="443"/>
      <c r="AJ816" s="443"/>
      <c r="AK816" s="443"/>
      <c r="AL816" s="443"/>
      <c r="AM816" s="443"/>
      <c r="AN816" s="443"/>
      <c r="AO816" s="443"/>
      <c r="AP816" s="443"/>
      <c r="AQ816" s="443"/>
      <c r="AR816" s="443"/>
      <c r="AS816" s="443"/>
      <c r="AT816" s="443"/>
      <c r="AU816" s="443"/>
      <c r="AV816" s="443"/>
      <c r="AW816" s="443"/>
      <c r="AX816" s="443"/>
      <c r="AY816" s="443"/>
      <c r="AZ816" s="443"/>
      <c r="BA816" s="443"/>
      <c r="BB816" s="443"/>
      <c r="BC816" s="443"/>
      <c r="BD816" s="443"/>
      <c r="BE816" s="443"/>
    </row>
    <row r="817" hidden="1">
      <c r="A817" s="445">
        <f t="shared" si="5"/>
        <v>46107</v>
      </c>
      <c r="B817" s="449">
        <v>504.0</v>
      </c>
      <c r="C817" s="462">
        <v>0.5833333333333334</v>
      </c>
      <c r="D817" s="462">
        <v>0.9215277777777777</v>
      </c>
      <c r="E817" s="436">
        <f t="array" ref="E817">IF(B817=0,"",(J817+K817)/60)</f>
        <v>1.083333333</v>
      </c>
      <c r="F817" s="437">
        <f t="shared" si="1"/>
        <v>8.116666667</v>
      </c>
      <c r="G817" s="438">
        <f t="shared" si="9"/>
        <v>62.09445585</v>
      </c>
      <c r="H817" s="438">
        <f t="shared" si="3"/>
        <v>71.65876777</v>
      </c>
      <c r="I817" s="436">
        <f t="shared" si="10"/>
        <v>1.379876797</v>
      </c>
      <c r="J817" s="460">
        <v>30.0</v>
      </c>
      <c r="K817" s="460">
        <v>35.0</v>
      </c>
      <c r="L817" s="443"/>
      <c r="M817" s="447">
        <f>IFERROR(__xludf.DUMMYFUNCTION("""COMPUTED_VALUE"""),57.0)</f>
        <v>57</v>
      </c>
      <c r="N817" s="447">
        <f>IFERROR(__xludf.DUMMYFUNCTION("""COMPUTED_VALUE"""),56.0)</f>
        <v>56</v>
      </c>
      <c r="O817" s="447">
        <f>IFERROR(__xludf.DUMMYFUNCTION("""COMPUTED_VALUE"""),0.0)</f>
        <v>0</v>
      </c>
      <c r="P817" s="447">
        <f>IFERROR(__xludf.DUMMYFUNCTION("""COMPUTED_VALUE"""),0.0)</f>
        <v>0</v>
      </c>
      <c r="Q817" s="447">
        <f>IFERROR(__xludf.DUMMYFUNCTION("""COMPUTED_VALUE"""),0.0)</f>
        <v>0</v>
      </c>
      <c r="R817" s="447">
        <f>IFERROR(__xludf.DUMMYFUNCTION("""COMPUTED_VALUE"""),0.0)</f>
        <v>0</v>
      </c>
      <c r="S817" s="447">
        <f>IFERROR(__xludf.DUMMYFUNCTION("""COMPUTED_VALUE"""),2.0)</f>
        <v>2</v>
      </c>
      <c r="T817" s="447">
        <f>IFERROR(__xludf.DUMMYFUNCTION("""COMPUTED_VALUE"""),1.0)</f>
        <v>1</v>
      </c>
      <c r="U817" s="447">
        <f>IFERROR(__xludf.DUMMYFUNCTION("""COMPUTED_VALUE"""),1.0)</f>
        <v>1</v>
      </c>
      <c r="V817" s="447">
        <f>IFERROR(__xludf.DUMMYFUNCTION("""COMPUTED_VALUE"""),3.0)</f>
        <v>3</v>
      </c>
      <c r="W817" s="447">
        <f>IFERROR(__xludf.DUMMYFUNCTION("""COMPUTED_VALUE"""),0.0)</f>
        <v>0</v>
      </c>
      <c r="X817" s="447">
        <f>IFERROR(__xludf.DUMMYFUNCTION("""COMPUTED_VALUE"""),1.0)</f>
        <v>1</v>
      </c>
      <c r="Y817" s="447">
        <f>IFERROR(__xludf.DUMMYFUNCTION("""COMPUTED_VALUE"""),0.0)</f>
        <v>0</v>
      </c>
      <c r="Z817" s="447">
        <f>IFERROR(__xludf.DUMMYFUNCTION("""COMPUTED_VALUE"""),0.0)</f>
        <v>0</v>
      </c>
      <c r="AA817" s="447">
        <f>IFERROR(__xludf.DUMMYFUNCTION("""COMPUTED_VALUE"""),0.0)</f>
        <v>0</v>
      </c>
      <c r="AB817" s="447">
        <f>IFERROR(__xludf.DUMMYFUNCTION("""COMPUTED_VALUE"""),1.0)</f>
        <v>1</v>
      </c>
      <c r="AC817" s="447">
        <f>IFERROR(__xludf.DUMMYFUNCTION("""COMPUTED_VALUE"""),0.0)</f>
        <v>0</v>
      </c>
      <c r="AD817" s="447">
        <f>IFERROR(__xludf.DUMMYFUNCTION("""COMPUTED_VALUE"""),45.0)</f>
        <v>45</v>
      </c>
      <c r="AE817" s="447">
        <f>IFERROR(__xludf.DUMMYFUNCTION("""COMPUTED_VALUE"""),8.0)</f>
        <v>8</v>
      </c>
      <c r="AF817" s="447">
        <f>IFERROR(__xludf.DUMMYFUNCTION("""COMPUTED_VALUE"""),1.0)</f>
        <v>1</v>
      </c>
      <c r="AG817" s="443" t="s">
        <v>98</v>
      </c>
      <c r="AH817" s="443" t="s">
        <v>291</v>
      </c>
      <c r="AI817" s="443"/>
      <c r="AJ817" s="443"/>
      <c r="AK817" s="443"/>
      <c r="AL817" s="443"/>
      <c r="AM817" s="443"/>
      <c r="AN817" s="443"/>
      <c r="AO817" s="443"/>
      <c r="AP817" s="443"/>
      <c r="AQ817" s="443"/>
      <c r="AR817" s="443"/>
      <c r="AS817" s="443"/>
      <c r="AT817" s="443"/>
      <c r="AU817" s="443"/>
      <c r="AV817" s="443"/>
      <c r="AW817" s="443"/>
      <c r="AX817" s="443"/>
      <c r="AY817" s="443"/>
      <c r="AZ817" s="443"/>
      <c r="BA817" s="443"/>
      <c r="BB817" s="443"/>
      <c r="BC817" s="443"/>
      <c r="BD817" s="443"/>
      <c r="BE817" s="443"/>
    </row>
    <row r="818" hidden="1">
      <c r="A818" s="445">
        <f t="shared" si="5"/>
        <v>46108</v>
      </c>
      <c r="B818" s="449">
        <v>337.0</v>
      </c>
      <c r="C818" s="462">
        <v>0.625</v>
      </c>
      <c r="D818" s="462">
        <v>0.8631944444444445</v>
      </c>
      <c r="E818" s="436">
        <f t="array" ref="E818">IF(B818=0,"",(J818+K818)/60)</f>
        <v>0.5</v>
      </c>
      <c r="F818" s="437">
        <f t="shared" si="1"/>
        <v>5.716666667</v>
      </c>
      <c r="G818" s="438">
        <f t="shared" si="9"/>
        <v>58.95043732</v>
      </c>
      <c r="H818" s="438">
        <f t="shared" si="3"/>
        <v>64.60063898</v>
      </c>
      <c r="I818" s="436">
        <f t="shared" si="10"/>
        <v>1.281531246</v>
      </c>
      <c r="J818" s="460">
        <v>30.0</v>
      </c>
      <c r="K818" s="460">
        <v>0.0</v>
      </c>
      <c r="L818" s="443"/>
      <c r="M818" s="447">
        <f>IFERROR(__xludf.DUMMYFUNCTION("""COMPUTED_VALUE"""),57.0)</f>
        <v>57</v>
      </c>
      <c r="N818" s="447">
        <f>IFERROR(__xludf.DUMMYFUNCTION("""COMPUTED_VALUE"""),56.0)</f>
        <v>56</v>
      </c>
      <c r="O818" s="447">
        <f>IFERROR(__xludf.DUMMYFUNCTION("""COMPUTED_VALUE"""),0.0)</f>
        <v>0</v>
      </c>
      <c r="P818" s="447">
        <f>IFERROR(__xludf.DUMMYFUNCTION("""COMPUTED_VALUE"""),1.0)</f>
        <v>1</v>
      </c>
      <c r="Q818" s="447">
        <f>IFERROR(__xludf.DUMMYFUNCTION("""COMPUTED_VALUE"""),0.0)</f>
        <v>0</v>
      </c>
      <c r="R818" s="447">
        <f>IFERROR(__xludf.DUMMYFUNCTION("""COMPUTED_VALUE"""),0.0)</f>
        <v>0</v>
      </c>
      <c r="S818" s="447">
        <f>IFERROR(__xludf.DUMMYFUNCTION("""COMPUTED_VALUE"""),1.0)</f>
        <v>1</v>
      </c>
      <c r="T818" s="447">
        <f>IFERROR(__xludf.DUMMYFUNCTION("""COMPUTED_VALUE"""),1.0)</f>
        <v>1</v>
      </c>
      <c r="U818" s="447">
        <f>IFERROR(__xludf.DUMMYFUNCTION("""COMPUTED_VALUE"""),1.0)</f>
        <v>1</v>
      </c>
      <c r="V818" s="447">
        <f>IFERROR(__xludf.DUMMYFUNCTION("""COMPUTED_VALUE"""),3.0)</f>
        <v>3</v>
      </c>
      <c r="W818" s="447">
        <f>IFERROR(__xludf.DUMMYFUNCTION("""COMPUTED_VALUE"""),0.0)</f>
        <v>0</v>
      </c>
      <c r="X818" s="447">
        <f>IFERROR(__xludf.DUMMYFUNCTION("""COMPUTED_VALUE"""),1.0)</f>
        <v>1</v>
      </c>
      <c r="Y818" s="447">
        <f>IFERROR(__xludf.DUMMYFUNCTION("""COMPUTED_VALUE"""),0.0)</f>
        <v>0</v>
      </c>
      <c r="Z818" s="447">
        <f>IFERROR(__xludf.DUMMYFUNCTION("""COMPUTED_VALUE"""),0.0)</f>
        <v>0</v>
      </c>
      <c r="AA818" s="447">
        <f>IFERROR(__xludf.DUMMYFUNCTION("""COMPUTED_VALUE"""),0.0)</f>
        <v>0</v>
      </c>
      <c r="AB818" s="447">
        <f>IFERROR(__xludf.DUMMYFUNCTION("""COMPUTED_VALUE"""),0.0)</f>
        <v>0</v>
      </c>
      <c r="AC818" s="447">
        <f>IFERROR(__xludf.DUMMYFUNCTION("""COMPUTED_VALUE"""),0.0)</f>
        <v>0</v>
      </c>
      <c r="AD818" s="447">
        <f>IFERROR(__xludf.DUMMYFUNCTION("""COMPUTED_VALUE"""),46.0)</f>
        <v>46</v>
      </c>
      <c r="AE818" s="447">
        <f>IFERROR(__xludf.DUMMYFUNCTION("""COMPUTED_VALUE"""),8.0)</f>
        <v>8</v>
      </c>
      <c r="AF818" s="447">
        <f>IFERROR(__xludf.DUMMYFUNCTION("""COMPUTED_VALUE"""),1.0)</f>
        <v>1</v>
      </c>
      <c r="AG818" s="443" t="s">
        <v>98</v>
      </c>
      <c r="AH818" s="443" t="s">
        <v>291</v>
      </c>
      <c r="AI818" s="443"/>
      <c r="AJ818" s="443"/>
      <c r="AK818" s="443"/>
      <c r="AL818" s="443"/>
      <c r="AM818" s="443"/>
      <c r="AN818" s="443"/>
      <c r="AO818" s="443"/>
      <c r="AP818" s="443"/>
      <c r="AQ818" s="443"/>
      <c r="AR818" s="443"/>
      <c r="AS818" s="443"/>
      <c r="AT818" s="443"/>
      <c r="AU818" s="443"/>
      <c r="AV818" s="443"/>
      <c r="AW818" s="443"/>
      <c r="AX818" s="443"/>
      <c r="AY818" s="443"/>
      <c r="AZ818" s="443"/>
      <c r="BA818" s="443"/>
      <c r="BB818" s="443"/>
      <c r="BC818" s="443"/>
      <c r="BD818" s="443"/>
      <c r="BE818" s="443"/>
    </row>
    <row r="819" hidden="1">
      <c r="A819" s="445">
        <f t="shared" si="5"/>
        <v>46109</v>
      </c>
      <c r="B819" s="449">
        <v>456.0</v>
      </c>
      <c r="C819" s="462">
        <v>0.6298611111111111</v>
      </c>
      <c r="D819" s="462">
        <v>0.925</v>
      </c>
      <c r="E819" s="436">
        <f t="array" ref="E819">IF(B819=0,"",(J819+K819)/60)</f>
        <v>1.1</v>
      </c>
      <c r="F819" s="437">
        <f t="shared" si="1"/>
        <v>7.083333333</v>
      </c>
      <c r="G819" s="438">
        <f t="shared" si="9"/>
        <v>64.37647059</v>
      </c>
      <c r="H819" s="438">
        <f t="shared" si="3"/>
        <v>76.21169916</v>
      </c>
      <c r="I819" s="436">
        <f t="shared" si="10"/>
        <v>1.399488491</v>
      </c>
      <c r="J819" s="460">
        <v>30.0</v>
      </c>
      <c r="K819" s="460">
        <v>36.0</v>
      </c>
      <c r="L819" s="443"/>
      <c r="M819" s="447">
        <f>IFERROR(__xludf.DUMMYFUNCTION("""COMPUTED_VALUE"""),57.0)</f>
        <v>57</v>
      </c>
      <c r="N819" s="447">
        <f>IFERROR(__xludf.DUMMYFUNCTION("""COMPUTED_VALUE"""),57.0)</f>
        <v>57</v>
      </c>
      <c r="O819" s="447">
        <f>IFERROR(__xludf.DUMMYFUNCTION("""COMPUTED_VALUE"""),1.0)</f>
        <v>1</v>
      </c>
      <c r="P819" s="447">
        <f>IFERROR(__xludf.DUMMYFUNCTION("""COMPUTED_VALUE"""),1.0)</f>
        <v>1</v>
      </c>
      <c r="Q819" s="447">
        <f>IFERROR(__xludf.DUMMYFUNCTION("""COMPUTED_VALUE"""),0.0)</f>
        <v>0</v>
      </c>
      <c r="R819" s="447">
        <f>IFERROR(__xludf.DUMMYFUNCTION("""COMPUTED_VALUE"""),0.0)</f>
        <v>0</v>
      </c>
      <c r="S819" s="447">
        <f>IFERROR(__xludf.DUMMYFUNCTION("""COMPUTED_VALUE"""),1.0)</f>
        <v>1</v>
      </c>
      <c r="T819" s="447">
        <f>IFERROR(__xludf.DUMMYFUNCTION("""COMPUTED_VALUE"""),0.0)</f>
        <v>0</v>
      </c>
      <c r="U819" s="447">
        <f>IFERROR(__xludf.DUMMYFUNCTION("""COMPUTED_VALUE"""),0.0)</f>
        <v>0</v>
      </c>
      <c r="V819" s="447">
        <f>IFERROR(__xludf.DUMMYFUNCTION("""COMPUTED_VALUE"""),3.0)</f>
        <v>3</v>
      </c>
      <c r="W819" s="447">
        <f>IFERROR(__xludf.DUMMYFUNCTION("""COMPUTED_VALUE"""),0.0)</f>
        <v>0</v>
      </c>
      <c r="X819" s="447">
        <f>IFERROR(__xludf.DUMMYFUNCTION("""COMPUTED_VALUE"""),1.0)</f>
        <v>1</v>
      </c>
      <c r="Y819" s="447">
        <f>IFERROR(__xludf.DUMMYFUNCTION("""COMPUTED_VALUE"""),0.0)</f>
        <v>0</v>
      </c>
      <c r="Z819" s="447">
        <f>IFERROR(__xludf.DUMMYFUNCTION("""COMPUTED_VALUE"""),0.0)</f>
        <v>0</v>
      </c>
      <c r="AA819" s="447">
        <f>IFERROR(__xludf.DUMMYFUNCTION("""COMPUTED_VALUE"""),0.0)</f>
        <v>0</v>
      </c>
      <c r="AB819" s="447">
        <f>IFERROR(__xludf.DUMMYFUNCTION("""COMPUTED_VALUE"""),0.0)</f>
        <v>0</v>
      </c>
      <c r="AC819" s="447">
        <f>IFERROR(__xludf.DUMMYFUNCTION("""COMPUTED_VALUE"""),1.0)</f>
        <v>1</v>
      </c>
      <c r="AD819" s="447">
        <f>IFERROR(__xludf.DUMMYFUNCTION("""COMPUTED_VALUE"""),46.0)</f>
        <v>46</v>
      </c>
      <c r="AE819" s="447">
        <f>IFERROR(__xludf.DUMMYFUNCTION("""COMPUTED_VALUE"""),8.0)</f>
        <v>8</v>
      </c>
      <c r="AF819" s="447">
        <f>IFERROR(__xludf.DUMMYFUNCTION("""COMPUTED_VALUE"""),0.0)</f>
        <v>0</v>
      </c>
      <c r="AG819" s="443" t="s">
        <v>98</v>
      </c>
      <c r="AH819" s="443" t="s">
        <v>291</v>
      </c>
      <c r="AI819" s="443"/>
      <c r="AJ819" s="443"/>
      <c r="AK819" s="443"/>
      <c r="AL819" s="443"/>
      <c r="AM819" s="443"/>
      <c r="AN819" s="443"/>
      <c r="AO819" s="443"/>
      <c r="AP819" s="443"/>
      <c r="AQ819" s="443"/>
      <c r="AR819" s="443"/>
      <c r="AS819" s="443"/>
      <c r="AT819" s="443"/>
      <c r="AU819" s="443"/>
      <c r="AV819" s="443"/>
      <c r="AW819" s="443"/>
      <c r="AX819" s="443"/>
      <c r="AY819" s="443"/>
      <c r="AZ819" s="443"/>
      <c r="BA819" s="443"/>
      <c r="BB819" s="443"/>
      <c r="BC819" s="443"/>
      <c r="BD819" s="443"/>
      <c r="BE819" s="443"/>
    </row>
    <row r="820" hidden="1">
      <c r="A820" s="445">
        <f t="shared" si="5"/>
        <v>46110</v>
      </c>
      <c r="B820" s="449">
        <v>0.0</v>
      </c>
      <c r="C820" s="443"/>
      <c r="D820" s="462"/>
      <c r="E820" s="436" t="str">
        <f t="array" ref="E820">IF(B820=0,"",(J820+K820)/60)</f>
        <v/>
      </c>
      <c r="F820" s="437" t="str">
        <f t="shared" si="1"/>
        <v/>
      </c>
      <c r="G820" s="438" t="str">
        <f t="shared" si="9"/>
        <v>#DIV/0!</v>
      </c>
      <c r="H820" s="438" t="str">
        <f t="shared" si="3"/>
        <v/>
      </c>
      <c r="I820" s="436" t="str">
        <f t="shared" si="10"/>
        <v/>
      </c>
      <c r="J820" s="464"/>
      <c r="K820" s="464"/>
      <c r="L820" s="443"/>
      <c r="M820" s="447">
        <f>IFERROR(__xludf.DUMMYFUNCTION("""COMPUTED_VALUE"""),57.0)</f>
        <v>57</v>
      </c>
      <c r="N820" s="447">
        <f>IFERROR(__xludf.DUMMYFUNCTION("""COMPUTED_VALUE"""),57.0)</f>
        <v>57</v>
      </c>
      <c r="O820" s="447">
        <f>IFERROR(__xludf.DUMMYFUNCTION("""COMPUTED_VALUE"""),0.0)</f>
        <v>0</v>
      </c>
      <c r="P820" s="447">
        <f>IFERROR(__xludf.DUMMYFUNCTION("""COMPUTED_VALUE"""),0.0)</f>
        <v>0</v>
      </c>
      <c r="Q820" s="447">
        <f>IFERROR(__xludf.DUMMYFUNCTION("""COMPUTED_VALUE"""),0.0)</f>
        <v>0</v>
      </c>
      <c r="R820" s="447">
        <f>IFERROR(__xludf.DUMMYFUNCTION("""COMPUTED_VALUE"""),0.0)</f>
        <v>0</v>
      </c>
      <c r="S820" s="447">
        <f>IFERROR(__xludf.DUMMYFUNCTION("""COMPUTED_VALUE"""),0.0)</f>
        <v>0</v>
      </c>
      <c r="T820" s="447">
        <f>IFERROR(__xludf.DUMMYFUNCTION("""COMPUTED_VALUE"""),0.0)</f>
        <v>0</v>
      </c>
      <c r="U820" s="447">
        <f>IFERROR(__xludf.DUMMYFUNCTION("""COMPUTED_VALUE"""),0.0)</f>
        <v>0</v>
      </c>
      <c r="V820" s="447">
        <f>IFERROR(__xludf.DUMMYFUNCTION("""COMPUTED_VALUE"""),0.0)</f>
        <v>0</v>
      </c>
      <c r="W820" s="447">
        <f>IFERROR(__xludf.DUMMYFUNCTION("""COMPUTED_VALUE"""),0.0)</f>
        <v>0</v>
      </c>
      <c r="X820" s="447">
        <f>IFERROR(__xludf.DUMMYFUNCTION("""COMPUTED_VALUE"""),0.0)</f>
        <v>0</v>
      </c>
      <c r="Y820" s="447">
        <f>IFERROR(__xludf.DUMMYFUNCTION("""COMPUTED_VALUE"""),0.0)</f>
        <v>0</v>
      </c>
      <c r="Z820" s="447">
        <f>IFERROR(__xludf.DUMMYFUNCTION("""COMPUTED_VALUE"""),0.0)</f>
        <v>0</v>
      </c>
      <c r="AA820" s="447">
        <f>IFERROR(__xludf.DUMMYFUNCTION("""COMPUTED_VALUE"""),0.0)</f>
        <v>0</v>
      </c>
      <c r="AB820" s="447">
        <f>IFERROR(__xludf.DUMMYFUNCTION("""COMPUTED_VALUE"""),0.0)</f>
        <v>0</v>
      </c>
      <c r="AC820" s="447">
        <f>IFERROR(__xludf.DUMMYFUNCTION("""COMPUTED_VALUE"""),0.0)</f>
        <v>0</v>
      </c>
      <c r="AD820" s="447">
        <f>IFERROR(__xludf.DUMMYFUNCTION("""COMPUTED_VALUE"""),0.0)</f>
        <v>0</v>
      </c>
      <c r="AE820" s="447">
        <f>IFERROR(__xludf.DUMMYFUNCTION("""COMPUTED_VALUE"""),0.0)</f>
        <v>0</v>
      </c>
      <c r="AF820" s="447">
        <f>IFERROR(__xludf.DUMMYFUNCTION("""COMPUTED_VALUE"""),0.0)</f>
        <v>0</v>
      </c>
      <c r="AG820" s="443" t="s">
        <v>98</v>
      </c>
      <c r="AH820" s="443" t="s">
        <v>291</v>
      </c>
      <c r="AI820" s="443"/>
      <c r="AJ820" s="443"/>
      <c r="AK820" s="443"/>
      <c r="AL820" s="443"/>
      <c r="AM820" s="443"/>
      <c r="AN820" s="443"/>
      <c r="AO820" s="443"/>
      <c r="AP820" s="443"/>
      <c r="AQ820" s="443"/>
      <c r="AR820" s="443"/>
      <c r="AS820" s="443"/>
      <c r="AT820" s="443"/>
      <c r="AU820" s="443"/>
      <c r="AV820" s="443"/>
      <c r="AW820" s="443"/>
      <c r="AX820" s="443"/>
      <c r="AY820" s="443"/>
      <c r="AZ820" s="443"/>
      <c r="BA820" s="443"/>
      <c r="BB820" s="443"/>
      <c r="BC820" s="443"/>
      <c r="BD820" s="443"/>
      <c r="BE820" s="443"/>
    </row>
    <row r="821" hidden="1">
      <c r="A821" s="445">
        <f t="shared" si="5"/>
        <v>46111</v>
      </c>
      <c r="B821" s="449">
        <v>678.0</v>
      </c>
      <c r="C821" s="462">
        <v>0.625</v>
      </c>
      <c r="D821" s="462">
        <v>1.0430555555555556</v>
      </c>
      <c r="E821" s="436">
        <f t="array" ref="E821">IF(B821=0,"",(J821+K821)/60)</f>
        <v>1.333333333</v>
      </c>
      <c r="F821" s="437">
        <f t="shared" si="1"/>
        <v>10.03333333</v>
      </c>
      <c r="G821" s="438">
        <f t="shared" si="9"/>
        <v>67.57475083</v>
      </c>
      <c r="H821" s="438">
        <f t="shared" si="3"/>
        <v>77.93103448</v>
      </c>
      <c r="I821" s="436">
        <f t="shared" si="10"/>
        <v>1.437760656</v>
      </c>
      <c r="J821" s="460">
        <v>60.0</v>
      </c>
      <c r="K821" s="460">
        <v>20.0</v>
      </c>
      <c r="L821" s="449" t="s">
        <v>1011</v>
      </c>
      <c r="M821" s="447">
        <f>IFERROR(__xludf.DUMMYFUNCTION("""COMPUTED_VALUE"""),57.0)</f>
        <v>57</v>
      </c>
      <c r="N821" s="447">
        <f>IFERROR(__xludf.DUMMYFUNCTION("""COMPUTED_VALUE"""),57.0)</f>
        <v>57</v>
      </c>
      <c r="O821" s="447">
        <f>IFERROR(__xludf.DUMMYFUNCTION("""COMPUTED_VALUE"""),1.0)</f>
        <v>1</v>
      </c>
      <c r="P821" s="447">
        <f>IFERROR(__xludf.DUMMYFUNCTION("""COMPUTED_VALUE"""),0.0)</f>
        <v>0</v>
      </c>
      <c r="Q821" s="447">
        <f>IFERROR(__xludf.DUMMYFUNCTION("""COMPUTED_VALUE"""),0.0)</f>
        <v>0</v>
      </c>
      <c r="R821" s="447">
        <f>IFERROR(__xludf.DUMMYFUNCTION("""COMPUTED_VALUE"""),0.0)</f>
        <v>0</v>
      </c>
      <c r="S821" s="447">
        <f>IFERROR(__xludf.DUMMYFUNCTION("""COMPUTED_VALUE"""),1.0)</f>
        <v>1</v>
      </c>
      <c r="T821" s="447">
        <f>IFERROR(__xludf.DUMMYFUNCTION("""COMPUTED_VALUE"""),1.0)</f>
        <v>1</v>
      </c>
      <c r="U821" s="447">
        <f>IFERROR(__xludf.DUMMYFUNCTION("""COMPUTED_VALUE"""),0.0)</f>
        <v>0</v>
      </c>
      <c r="V821" s="447">
        <f>IFERROR(__xludf.DUMMYFUNCTION("""COMPUTED_VALUE"""),3.0)</f>
        <v>3</v>
      </c>
      <c r="W821" s="447">
        <f>IFERROR(__xludf.DUMMYFUNCTION("""COMPUTED_VALUE"""),0.0)</f>
        <v>0</v>
      </c>
      <c r="X821" s="447">
        <f>IFERROR(__xludf.DUMMYFUNCTION("""COMPUTED_VALUE"""),1.0)</f>
        <v>1</v>
      </c>
      <c r="Y821" s="447">
        <f>IFERROR(__xludf.DUMMYFUNCTION("""COMPUTED_VALUE"""),0.0)</f>
        <v>0</v>
      </c>
      <c r="Z821" s="447">
        <f>IFERROR(__xludf.DUMMYFUNCTION("""COMPUTED_VALUE"""),0.0)</f>
        <v>0</v>
      </c>
      <c r="AA821" s="447">
        <f>IFERROR(__xludf.DUMMYFUNCTION("""COMPUTED_VALUE"""),0.0)</f>
        <v>0</v>
      </c>
      <c r="AB821" s="447">
        <f>IFERROR(__xludf.DUMMYFUNCTION("""COMPUTED_VALUE"""),0.0)</f>
        <v>0</v>
      </c>
      <c r="AC821" s="447">
        <f>IFERROR(__xludf.DUMMYFUNCTION("""COMPUTED_VALUE"""),0.0)</f>
        <v>0</v>
      </c>
      <c r="AD821" s="447">
        <f>IFERROR(__xludf.DUMMYFUNCTION("""COMPUTED_VALUE"""),47.0)</f>
        <v>47</v>
      </c>
      <c r="AE821" s="447">
        <f>IFERROR(__xludf.DUMMYFUNCTION("""COMPUTED_VALUE"""),7.0)</f>
        <v>7</v>
      </c>
      <c r="AF821" s="447">
        <f>IFERROR(__xludf.DUMMYFUNCTION("""COMPUTED_VALUE"""),0.0)</f>
        <v>0</v>
      </c>
      <c r="AG821" s="443" t="s">
        <v>98</v>
      </c>
      <c r="AH821" s="443" t="s">
        <v>291</v>
      </c>
      <c r="AI821" s="443"/>
      <c r="AJ821" s="443"/>
      <c r="AK821" s="443"/>
      <c r="AL821" s="443"/>
      <c r="AM821" s="443"/>
      <c r="AN821" s="443"/>
      <c r="AO821" s="443"/>
      <c r="AP821" s="443"/>
      <c r="AQ821" s="443"/>
      <c r="AR821" s="443"/>
      <c r="AS821" s="443"/>
      <c r="AT821" s="443"/>
      <c r="AU821" s="443"/>
      <c r="AV821" s="443"/>
      <c r="AW821" s="443"/>
      <c r="AX821" s="443"/>
      <c r="AY821" s="443"/>
      <c r="AZ821" s="443"/>
      <c r="BA821" s="443"/>
      <c r="BB821" s="443"/>
      <c r="BC821" s="443"/>
      <c r="BD821" s="443"/>
      <c r="BE821" s="443"/>
    </row>
    <row r="822" hidden="1">
      <c r="A822" s="445">
        <f t="shared" si="5"/>
        <v>46112</v>
      </c>
      <c r="B822" s="449">
        <v>430.0</v>
      </c>
      <c r="C822" s="462">
        <v>0.5833333333333334</v>
      </c>
      <c r="D822" s="462">
        <v>0.8708333333333333</v>
      </c>
      <c r="E822" s="436">
        <f t="array" ref="E822">IF(B822=0,"",(J822+K822)/60)</f>
        <v>0.7333333333</v>
      </c>
      <c r="F822" s="437">
        <f t="shared" si="1"/>
        <v>6.9</v>
      </c>
      <c r="G822" s="438">
        <f t="shared" si="9"/>
        <v>62.31884058</v>
      </c>
      <c r="H822" s="438">
        <f t="shared" si="3"/>
        <v>69.72972973</v>
      </c>
      <c r="I822" s="436">
        <f t="shared" si="10"/>
        <v>1.354757404</v>
      </c>
      <c r="J822" s="460">
        <v>30.0</v>
      </c>
      <c r="K822" s="460">
        <v>14.0</v>
      </c>
      <c r="L822" s="443"/>
      <c r="M822" s="447">
        <f>IFERROR(__xludf.DUMMYFUNCTION("""COMPUTED_VALUE"""),57.0)</f>
        <v>57</v>
      </c>
      <c r="N822" s="447">
        <f>IFERROR(__xludf.DUMMYFUNCTION("""COMPUTED_VALUE"""),57.0)</f>
        <v>57</v>
      </c>
      <c r="O822" s="447">
        <f>IFERROR(__xludf.DUMMYFUNCTION("""COMPUTED_VALUE"""),1.0)</f>
        <v>1</v>
      </c>
      <c r="P822" s="447">
        <f>IFERROR(__xludf.DUMMYFUNCTION("""COMPUTED_VALUE"""),0.0)</f>
        <v>0</v>
      </c>
      <c r="Q822" s="447">
        <f>IFERROR(__xludf.DUMMYFUNCTION("""COMPUTED_VALUE"""),0.0)</f>
        <v>0</v>
      </c>
      <c r="R822" s="447">
        <f>IFERROR(__xludf.DUMMYFUNCTION("""COMPUTED_VALUE"""),0.0)</f>
        <v>0</v>
      </c>
      <c r="S822" s="447">
        <f>IFERROR(__xludf.DUMMYFUNCTION("""COMPUTED_VALUE"""),2.0)</f>
        <v>2</v>
      </c>
      <c r="T822" s="447">
        <f>IFERROR(__xludf.DUMMYFUNCTION("""COMPUTED_VALUE"""),1.0)</f>
        <v>1</v>
      </c>
      <c r="U822" s="447">
        <f>IFERROR(__xludf.DUMMYFUNCTION("""COMPUTED_VALUE"""),0.0)</f>
        <v>0</v>
      </c>
      <c r="V822" s="447">
        <f>IFERROR(__xludf.DUMMYFUNCTION("""COMPUTED_VALUE"""),3.0)</f>
        <v>3</v>
      </c>
      <c r="W822" s="447">
        <f>IFERROR(__xludf.DUMMYFUNCTION("""COMPUTED_VALUE"""),0.0)</f>
        <v>0</v>
      </c>
      <c r="X822" s="447">
        <f>IFERROR(__xludf.DUMMYFUNCTION("""COMPUTED_VALUE"""),1.0)</f>
        <v>1</v>
      </c>
      <c r="Y822" s="447">
        <f>IFERROR(__xludf.DUMMYFUNCTION("""COMPUTED_VALUE"""),0.0)</f>
        <v>0</v>
      </c>
      <c r="Z822" s="447">
        <f>IFERROR(__xludf.DUMMYFUNCTION("""COMPUTED_VALUE"""),0.0)</f>
        <v>0</v>
      </c>
      <c r="AA822" s="447">
        <f>IFERROR(__xludf.DUMMYFUNCTION("""COMPUTED_VALUE"""),0.0)</f>
        <v>0</v>
      </c>
      <c r="AB822" s="447">
        <f>IFERROR(__xludf.DUMMYFUNCTION("""COMPUTED_VALUE"""),0.0)</f>
        <v>0</v>
      </c>
      <c r="AC822" s="447">
        <f>IFERROR(__xludf.DUMMYFUNCTION("""COMPUTED_VALUE"""),0.0)</f>
        <v>0</v>
      </c>
      <c r="AD822" s="447">
        <f>IFERROR(__xludf.DUMMYFUNCTION("""COMPUTED_VALUE"""),46.0)</f>
        <v>46</v>
      </c>
      <c r="AE822" s="447">
        <f>IFERROR(__xludf.DUMMYFUNCTION("""COMPUTED_VALUE"""),8.0)</f>
        <v>8</v>
      </c>
      <c r="AF822" s="447">
        <f>IFERROR(__xludf.DUMMYFUNCTION("""COMPUTED_VALUE"""),0.0)</f>
        <v>0</v>
      </c>
      <c r="AG822" s="443" t="s">
        <v>98</v>
      </c>
      <c r="AH822" s="443" t="s">
        <v>291</v>
      </c>
      <c r="AI822" s="443"/>
      <c r="AJ822" s="443"/>
      <c r="AK822" s="443"/>
      <c r="AL822" s="443"/>
      <c r="AM822" s="443"/>
      <c r="AN822" s="443"/>
      <c r="AO822" s="443"/>
      <c r="AP822" s="443"/>
      <c r="AQ822" s="443"/>
      <c r="AR822" s="443"/>
      <c r="AS822" s="443"/>
      <c r="AT822" s="443"/>
      <c r="AU822" s="443"/>
      <c r="AV822" s="443"/>
      <c r="AW822" s="443"/>
      <c r="AX822" s="443"/>
      <c r="AY822" s="443"/>
      <c r="AZ822" s="443"/>
      <c r="BA822" s="443"/>
      <c r="BB822" s="443"/>
      <c r="BC822" s="443"/>
      <c r="BD822" s="443"/>
      <c r="BE822" s="443"/>
    </row>
    <row r="823" hidden="1">
      <c r="A823" s="445">
        <f t="shared" si="5"/>
        <v>46113</v>
      </c>
      <c r="B823" s="449">
        <v>316.0</v>
      </c>
      <c r="C823" s="462">
        <v>0.5833333333333334</v>
      </c>
      <c r="D823" s="462">
        <v>1.20625</v>
      </c>
      <c r="E823" s="436">
        <f t="array" ref="E823">IF(B823=0,"",(J823+K823)/60)</f>
        <v>9.833333333</v>
      </c>
      <c r="F823" s="437">
        <f t="shared" si="1"/>
        <v>14.95</v>
      </c>
      <c r="G823" s="438">
        <f t="shared" si="9"/>
        <v>21.13712375</v>
      </c>
      <c r="H823" s="438">
        <f t="shared" si="3"/>
        <v>61.75895765</v>
      </c>
      <c r="I823" s="436">
        <f t="shared" si="10"/>
        <v>0.4595026901</v>
      </c>
      <c r="J823" s="460">
        <v>0.0</v>
      </c>
      <c r="K823" s="460">
        <v>590.0</v>
      </c>
      <c r="L823" s="443"/>
      <c r="M823" s="447">
        <f>IFERROR(__xludf.DUMMYFUNCTION("TRANSPOSE(IMPORTRANGE(""https://docs.google.com/spreadsheets/d/1CNeKSHTeNNJnfn5EymHwGg5Mkuk6EcepW7_9QkJxalc/edit#gid=1218471306"",""ABRIL 2026!F2:AI21""))"),57.0)</f>
        <v>57</v>
      </c>
      <c r="N823" s="447">
        <f>IFERROR(__xludf.DUMMYFUNCTION("""COMPUTED_VALUE"""),57.0)</f>
        <v>57</v>
      </c>
      <c r="O823" s="447">
        <f>IFERROR(__xludf.DUMMYFUNCTION("""COMPUTED_VALUE"""),0.0)</f>
        <v>0</v>
      </c>
      <c r="P823" s="447">
        <f>IFERROR(__xludf.DUMMYFUNCTION("""COMPUTED_VALUE"""),0.0)</f>
        <v>0</v>
      </c>
      <c r="Q823" s="447">
        <f>IFERROR(__xludf.DUMMYFUNCTION("""COMPUTED_VALUE"""),0.0)</f>
        <v>0</v>
      </c>
      <c r="R823" s="447">
        <f>IFERROR(__xludf.DUMMYFUNCTION("""COMPUTED_VALUE"""),0.0)</f>
        <v>0</v>
      </c>
      <c r="S823" s="447">
        <f>IFERROR(__xludf.DUMMYFUNCTION("""COMPUTED_VALUE"""),3.0)</f>
        <v>3</v>
      </c>
      <c r="T823" s="447">
        <f>IFERROR(__xludf.DUMMYFUNCTION("""COMPUTED_VALUE"""),1.0)</f>
        <v>1</v>
      </c>
      <c r="U823" s="447">
        <f>IFERROR(__xludf.DUMMYFUNCTION("""COMPUTED_VALUE"""),0.0)</f>
        <v>0</v>
      </c>
      <c r="V823" s="447">
        <f>IFERROR(__xludf.DUMMYFUNCTION("""COMPUTED_VALUE"""),3.0)</f>
        <v>3</v>
      </c>
      <c r="W823" s="447">
        <f>IFERROR(__xludf.DUMMYFUNCTION("""COMPUTED_VALUE"""),0.0)</f>
        <v>0</v>
      </c>
      <c r="X823" s="447">
        <f>IFERROR(__xludf.DUMMYFUNCTION("""COMPUTED_VALUE"""),1.0)</f>
        <v>1</v>
      </c>
      <c r="Y823" s="447">
        <f>IFERROR(__xludf.DUMMYFUNCTION("""COMPUTED_VALUE"""),0.0)</f>
        <v>0</v>
      </c>
      <c r="Z823" s="447">
        <f>IFERROR(__xludf.DUMMYFUNCTION("""COMPUTED_VALUE"""),0.0)</f>
        <v>0</v>
      </c>
      <c r="AA823" s="447">
        <f>IFERROR(__xludf.DUMMYFUNCTION("""COMPUTED_VALUE"""),0.0)</f>
        <v>0</v>
      </c>
      <c r="AB823" s="447">
        <f>IFERROR(__xludf.DUMMYFUNCTION("""COMPUTED_VALUE"""),0.0)</f>
        <v>0</v>
      </c>
      <c r="AC823" s="447">
        <f>IFERROR(__xludf.DUMMYFUNCTION("""COMPUTED_VALUE"""),0.0)</f>
        <v>0</v>
      </c>
      <c r="AD823" s="447">
        <f>IFERROR(__xludf.DUMMYFUNCTION("""COMPUTED_VALUE"""),46.0)</f>
        <v>46</v>
      </c>
      <c r="AE823" s="447">
        <f>IFERROR(__xludf.DUMMYFUNCTION("""COMPUTED_VALUE"""),8.0)</f>
        <v>8</v>
      </c>
      <c r="AF823" s="447">
        <f>IFERROR(__xludf.DUMMYFUNCTION("""COMPUTED_VALUE"""),0.0)</f>
        <v>0</v>
      </c>
      <c r="AG823" s="443" t="s">
        <v>106</v>
      </c>
      <c r="AH823" s="443" t="s">
        <v>291</v>
      </c>
      <c r="AI823" s="443"/>
      <c r="AJ823" s="443"/>
      <c r="AK823" s="443"/>
      <c r="AL823" s="443"/>
      <c r="AM823" s="443"/>
      <c r="AN823" s="443"/>
      <c r="AO823" s="443"/>
      <c r="AP823" s="443"/>
      <c r="AQ823" s="443"/>
      <c r="AR823" s="443"/>
      <c r="AS823" s="443"/>
      <c r="AT823" s="443"/>
      <c r="AU823" s="443"/>
      <c r="AV823" s="443"/>
      <c r="AW823" s="443"/>
      <c r="AX823" s="443"/>
      <c r="AY823" s="443"/>
      <c r="AZ823" s="443"/>
      <c r="BA823" s="443"/>
      <c r="BB823" s="443"/>
      <c r="BC823" s="443"/>
      <c r="BD823" s="443"/>
      <c r="BE823" s="443"/>
    </row>
    <row r="824" hidden="1">
      <c r="A824" s="445">
        <f t="shared" si="5"/>
        <v>46114</v>
      </c>
      <c r="B824" s="449">
        <v>0.0</v>
      </c>
      <c r="C824" s="443"/>
      <c r="D824" s="462"/>
      <c r="E824" s="436" t="str">
        <f t="array" ref="E824">IF(B824=0,"",(J824+K824)/60)</f>
        <v/>
      </c>
      <c r="F824" s="437" t="str">
        <f t="shared" si="1"/>
        <v/>
      </c>
      <c r="G824" s="438" t="str">
        <f t="shared" si="9"/>
        <v>#DIV/0!</v>
      </c>
      <c r="H824" s="438" t="str">
        <f t="shared" si="3"/>
        <v/>
      </c>
      <c r="I824" s="436" t="str">
        <f t="shared" si="10"/>
        <v/>
      </c>
      <c r="J824" s="464"/>
      <c r="K824" s="464"/>
      <c r="L824" s="443"/>
      <c r="M824" s="447">
        <f>IFERROR(__xludf.DUMMYFUNCTION("""COMPUTED_VALUE"""),57.0)</f>
        <v>57</v>
      </c>
      <c r="N824" s="447">
        <f>IFERROR(__xludf.DUMMYFUNCTION("""COMPUTED_VALUE"""),57.0)</f>
        <v>57</v>
      </c>
      <c r="O824" s="447">
        <f>IFERROR(__xludf.DUMMYFUNCTION("""COMPUTED_VALUE"""),0.0)</f>
        <v>0</v>
      </c>
      <c r="P824" s="447">
        <f>IFERROR(__xludf.DUMMYFUNCTION("""COMPUTED_VALUE"""),0.0)</f>
        <v>0</v>
      </c>
      <c r="Q824" s="447">
        <f>IFERROR(__xludf.DUMMYFUNCTION("""COMPUTED_VALUE"""),0.0)</f>
        <v>0</v>
      </c>
      <c r="R824" s="447">
        <f>IFERROR(__xludf.DUMMYFUNCTION("""COMPUTED_VALUE"""),0.0)</f>
        <v>0</v>
      </c>
      <c r="S824" s="447">
        <f>IFERROR(__xludf.DUMMYFUNCTION("""COMPUTED_VALUE"""),0.0)</f>
        <v>0</v>
      </c>
      <c r="T824" s="447">
        <f>IFERROR(__xludf.DUMMYFUNCTION("""COMPUTED_VALUE"""),0.0)</f>
        <v>0</v>
      </c>
      <c r="U824" s="447">
        <f>IFERROR(__xludf.DUMMYFUNCTION("""COMPUTED_VALUE"""),0.0)</f>
        <v>0</v>
      </c>
      <c r="V824" s="447">
        <f>IFERROR(__xludf.DUMMYFUNCTION("""COMPUTED_VALUE"""),0.0)</f>
        <v>0</v>
      </c>
      <c r="W824" s="447">
        <f>IFERROR(__xludf.DUMMYFUNCTION("""COMPUTED_VALUE"""),0.0)</f>
        <v>0</v>
      </c>
      <c r="X824" s="447">
        <f>IFERROR(__xludf.DUMMYFUNCTION("""COMPUTED_VALUE"""),0.0)</f>
        <v>0</v>
      </c>
      <c r="Y824" s="447">
        <f>IFERROR(__xludf.DUMMYFUNCTION("""COMPUTED_VALUE"""),0.0)</f>
        <v>0</v>
      </c>
      <c r="Z824" s="447">
        <f>IFERROR(__xludf.DUMMYFUNCTION("""COMPUTED_VALUE"""),0.0)</f>
        <v>0</v>
      </c>
      <c r="AA824" s="447">
        <f>IFERROR(__xludf.DUMMYFUNCTION("""COMPUTED_VALUE"""),0.0)</f>
        <v>0</v>
      </c>
      <c r="AB824" s="447">
        <f>IFERROR(__xludf.DUMMYFUNCTION("""COMPUTED_VALUE"""),0.0)</f>
        <v>0</v>
      </c>
      <c r="AC824" s="447">
        <f>IFERROR(__xludf.DUMMYFUNCTION("""COMPUTED_VALUE"""),0.0)</f>
        <v>0</v>
      </c>
      <c r="AD824" s="447">
        <f>IFERROR(__xludf.DUMMYFUNCTION("""COMPUTED_VALUE"""),0.0)</f>
        <v>0</v>
      </c>
      <c r="AE824" s="447">
        <f>IFERROR(__xludf.DUMMYFUNCTION("""COMPUTED_VALUE"""),0.0)</f>
        <v>0</v>
      </c>
      <c r="AF824" s="447">
        <f>IFERROR(__xludf.DUMMYFUNCTION("""COMPUTED_VALUE"""),0.0)</f>
        <v>0</v>
      </c>
      <c r="AG824" s="443" t="s">
        <v>106</v>
      </c>
      <c r="AH824" s="443" t="s">
        <v>291</v>
      </c>
      <c r="AI824" s="443"/>
      <c r="AJ824" s="443"/>
      <c r="AK824" s="443"/>
      <c r="AL824" s="443"/>
      <c r="AM824" s="443"/>
      <c r="AN824" s="443"/>
      <c r="AO824" s="443"/>
      <c r="AP824" s="443"/>
      <c r="AQ824" s="443"/>
      <c r="AR824" s="443"/>
      <c r="AS824" s="443"/>
      <c r="AT824" s="443"/>
      <c r="AU824" s="443"/>
      <c r="AV824" s="443"/>
      <c r="AW824" s="443"/>
      <c r="AX824" s="443"/>
      <c r="AY824" s="443"/>
      <c r="AZ824" s="443"/>
      <c r="BA824" s="443"/>
      <c r="BB824" s="443"/>
      <c r="BC824" s="443"/>
      <c r="BD824" s="443"/>
      <c r="BE824" s="443"/>
    </row>
    <row r="825" hidden="1">
      <c r="A825" s="445">
        <f t="shared" si="5"/>
        <v>46115</v>
      </c>
      <c r="B825" s="449">
        <v>0.0</v>
      </c>
      <c r="C825" s="443"/>
      <c r="D825" s="462"/>
      <c r="E825" s="436" t="str">
        <f t="array" ref="E825">IF(B825=0,"",(J825+K825)/60)</f>
        <v/>
      </c>
      <c r="F825" s="437" t="str">
        <f t="shared" si="1"/>
        <v/>
      </c>
      <c r="G825" s="438" t="str">
        <f t="shared" si="9"/>
        <v>#DIV/0!</v>
      </c>
      <c r="H825" s="438" t="str">
        <f t="shared" si="3"/>
        <v/>
      </c>
      <c r="I825" s="436" t="str">
        <f t="shared" si="10"/>
        <v/>
      </c>
      <c r="J825" s="464"/>
      <c r="K825" s="464"/>
      <c r="L825" s="443"/>
      <c r="M825" s="447">
        <f>IFERROR(__xludf.DUMMYFUNCTION("""COMPUTED_VALUE"""),57.0)</f>
        <v>57</v>
      </c>
      <c r="N825" s="447">
        <f>IFERROR(__xludf.DUMMYFUNCTION("""COMPUTED_VALUE"""),57.0)</f>
        <v>57</v>
      </c>
      <c r="O825" s="447">
        <f>IFERROR(__xludf.DUMMYFUNCTION("""COMPUTED_VALUE"""),0.0)</f>
        <v>0</v>
      </c>
      <c r="P825" s="447">
        <f>IFERROR(__xludf.DUMMYFUNCTION("""COMPUTED_VALUE"""),0.0)</f>
        <v>0</v>
      </c>
      <c r="Q825" s="447">
        <f>IFERROR(__xludf.DUMMYFUNCTION("""COMPUTED_VALUE"""),0.0)</f>
        <v>0</v>
      </c>
      <c r="R825" s="447">
        <f>IFERROR(__xludf.DUMMYFUNCTION("""COMPUTED_VALUE"""),0.0)</f>
        <v>0</v>
      </c>
      <c r="S825" s="447">
        <f>IFERROR(__xludf.DUMMYFUNCTION("""COMPUTED_VALUE"""),0.0)</f>
        <v>0</v>
      </c>
      <c r="T825" s="447">
        <f>IFERROR(__xludf.DUMMYFUNCTION("""COMPUTED_VALUE"""),0.0)</f>
        <v>0</v>
      </c>
      <c r="U825" s="447">
        <f>IFERROR(__xludf.DUMMYFUNCTION("""COMPUTED_VALUE"""),0.0)</f>
        <v>0</v>
      </c>
      <c r="V825" s="447">
        <f>IFERROR(__xludf.DUMMYFUNCTION("""COMPUTED_VALUE"""),0.0)</f>
        <v>0</v>
      </c>
      <c r="W825" s="447">
        <f>IFERROR(__xludf.DUMMYFUNCTION("""COMPUTED_VALUE"""),0.0)</f>
        <v>0</v>
      </c>
      <c r="X825" s="447">
        <f>IFERROR(__xludf.DUMMYFUNCTION("""COMPUTED_VALUE"""),0.0)</f>
        <v>0</v>
      </c>
      <c r="Y825" s="447">
        <f>IFERROR(__xludf.DUMMYFUNCTION("""COMPUTED_VALUE"""),0.0)</f>
        <v>0</v>
      </c>
      <c r="Z825" s="447">
        <f>IFERROR(__xludf.DUMMYFUNCTION("""COMPUTED_VALUE"""),0.0)</f>
        <v>0</v>
      </c>
      <c r="AA825" s="447">
        <f>IFERROR(__xludf.DUMMYFUNCTION("""COMPUTED_VALUE"""),0.0)</f>
        <v>0</v>
      </c>
      <c r="AB825" s="447">
        <f>IFERROR(__xludf.DUMMYFUNCTION("""COMPUTED_VALUE"""),0.0)</f>
        <v>0</v>
      </c>
      <c r="AC825" s="447">
        <f>IFERROR(__xludf.DUMMYFUNCTION("""COMPUTED_VALUE"""),0.0)</f>
        <v>0</v>
      </c>
      <c r="AD825" s="447">
        <f>IFERROR(__xludf.DUMMYFUNCTION("""COMPUTED_VALUE"""),0.0)</f>
        <v>0</v>
      </c>
      <c r="AE825" s="447">
        <f>IFERROR(__xludf.DUMMYFUNCTION("""COMPUTED_VALUE"""),0.0)</f>
        <v>0</v>
      </c>
      <c r="AF825" s="447">
        <f>IFERROR(__xludf.DUMMYFUNCTION("""COMPUTED_VALUE"""),0.0)</f>
        <v>0</v>
      </c>
      <c r="AG825" s="443" t="s">
        <v>106</v>
      </c>
      <c r="AH825" s="443" t="s">
        <v>291</v>
      </c>
      <c r="AI825" s="443"/>
      <c r="AJ825" s="443"/>
      <c r="AK825" s="443"/>
      <c r="AL825" s="443"/>
      <c r="AM825" s="443"/>
      <c r="AN825" s="443"/>
      <c r="AO825" s="443"/>
      <c r="AP825" s="443"/>
      <c r="AQ825" s="443"/>
      <c r="AR825" s="443"/>
      <c r="AS825" s="443"/>
      <c r="AT825" s="443"/>
      <c r="AU825" s="443"/>
      <c r="AV825" s="443"/>
      <c r="AW825" s="443"/>
      <c r="AX825" s="443"/>
      <c r="AY825" s="443"/>
      <c r="AZ825" s="443"/>
      <c r="BA825" s="443"/>
      <c r="BB825" s="443"/>
      <c r="BC825" s="443"/>
      <c r="BD825" s="443"/>
      <c r="BE825" s="443"/>
    </row>
    <row r="826" hidden="1">
      <c r="A826" s="445">
        <f t="shared" si="5"/>
        <v>46116</v>
      </c>
      <c r="B826" s="449">
        <v>431.0</v>
      </c>
      <c r="C826" s="462">
        <v>0.625</v>
      </c>
      <c r="D826" s="462">
        <v>0.9125</v>
      </c>
      <c r="E826" s="436">
        <f t="array" ref="E826">IF(B826=0,"",(J826+K826)/60)</f>
        <v>0.5</v>
      </c>
      <c r="F826" s="437">
        <f t="shared" si="1"/>
        <v>6.9</v>
      </c>
      <c r="G826" s="438">
        <f t="shared" si="9"/>
        <v>62.46376812</v>
      </c>
      <c r="H826" s="438">
        <f t="shared" si="3"/>
        <v>67.34375</v>
      </c>
      <c r="I826" s="436">
        <f t="shared" si="10"/>
        <v>1.388083736</v>
      </c>
      <c r="J826" s="460">
        <v>30.0</v>
      </c>
      <c r="K826" s="464"/>
      <c r="L826" s="443"/>
      <c r="M826" s="447">
        <f>IFERROR(__xludf.DUMMYFUNCTION("""COMPUTED_VALUE"""),57.0)</f>
        <v>57</v>
      </c>
      <c r="N826" s="447">
        <f>IFERROR(__xludf.DUMMYFUNCTION("""COMPUTED_VALUE"""),57.0)</f>
        <v>57</v>
      </c>
      <c r="O826" s="447">
        <f>IFERROR(__xludf.DUMMYFUNCTION("""COMPUTED_VALUE"""),0.0)</f>
        <v>0</v>
      </c>
      <c r="P826" s="447">
        <f>IFERROR(__xludf.DUMMYFUNCTION("""COMPUTED_VALUE"""),0.0)</f>
        <v>0</v>
      </c>
      <c r="Q826" s="447">
        <f>IFERROR(__xludf.DUMMYFUNCTION("""COMPUTED_VALUE"""),1.0)</f>
        <v>1</v>
      </c>
      <c r="R826" s="447">
        <f>IFERROR(__xludf.DUMMYFUNCTION("""COMPUTED_VALUE"""),0.0)</f>
        <v>0</v>
      </c>
      <c r="S826" s="447">
        <f>IFERROR(__xludf.DUMMYFUNCTION("""COMPUTED_VALUE"""),3.0)</f>
        <v>3</v>
      </c>
      <c r="T826" s="447">
        <f>IFERROR(__xludf.DUMMYFUNCTION("""COMPUTED_VALUE"""),1.0)</f>
        <v>1</v>
      </c>
      <c r="U826" s="447">
        <f>IFERROR(__xludf.DUMMYFUNCTION("""COMPUTED_VALUE"""),0.0)</f>
        <v>0</v>
      </c>
      <c r="V826" s="447">
        <f>IFERROR(__xludf.DUMMYFUNCTION("""COMPUTED_VALUE"""),3.0)</f>
        <v>3</v>
      </c>
      <c r="W826" s="447">
        <f>IFERROR(__xludf.DUMMYFUNCTION("""COMPUTED_VALUE"""),0.0)</f>
        <v>0</v>
      </c>
      <c r="X826" s="447">
        <f>IFERROR(__xludf.DUMMYFUNCTION("""COMPUTED_VALUE"""),1.0)</f>
        <v>1</v>
      </c>
      <c r="Y826" s="447">
        <f>IFERROR(__xludf.DUMMYFUNCTION("""COMPUTED_VALUE"""),0.0)</f>
        <v>0</v>
      </c>
      <c r="Z826" s="447">
        <f>IFERROR(__xludf.DUMMYFUNCTION("""COMPUTED_VALUE"""),0.0)</f>
        <v>0</v>
      </c>
      <c r="AA826" s="447">
        <f>IFERROR(__xludf.DUMMYFUNCTION("""COMPUTED_VALUE"""),0.0)</f>
        <v>0</v>
      </c>
      <c r="AB826" s="447">
        <f>IFERROR(__xludf.DUMMYFUNCTION("""COMPUTED_VALUE"""),0.0)</f>
        <v>0</v>
      </c>
      <c r="AC826" s="447">
        <f>IFERROR(__xludf.DUMMYFUNCTION("""COMPUTED_VALUE"""),0.0)</f>
        <v>0</v>
      </c>
      <c r="AD826" s="447">
        <f>IFERROR(__xludf.DUMMYFUNCTION("""COMPUTED_VALUE"""),45.0)</f>
        <v>45</v>
      </c>
      <c r="AE826" s="447">
        <f>IFERROR(__xludf.DUMMYFUNCTION("""COMPUTED_VALUE"""),9.0)</f>
        <v>9</v>
      </c>
      <c r="AF826" s="447">
        <f>IFERROR(__xludf.DUMMYFUNCTION("""COMPUTED_VALUE"""),0.0)</f>
        <v>0</v>
      </c>
      <c r="AG826" s="443" t="s">
        <v>106</v>
      </c>
      <c r="AH826" s="443" t="s">
        <v>291</v>
      </c>
      <c r="AI826" s="443"/>
      <c r="AJ826" s="443"/>
      <c r="AK826" s="443"/>
      <c r="AL826" s="443"/>
      <c r="AM826" s="443"/>
      <c r="AN826" s="443"/>
      <c r="AO826" s="443"/>
      <c r="AP826" s="443"/>
      <c r="AQ826" s="443"/>
      <c r="AR826" s="443"/>
      <c r="AS826" s="443"/>
      <c r="AT826" s="443"/>
      <c r="AU826" s="443"/>
      <c r="AV826" s="443"/>
      <c r="AW826" s="443"/>
      <c r="AX826" s="443"/>
      <c r="AY826" s="443"/>
      <c r="AZ826" s="443"/>
      <c r="BA826" s="443"/>
      <c r="BB826" s="443"/>
      <c r="BC826" s="443"/>
      <c r="BD826" s="443"/>
      <c r="BE826" s="443"/>
    </row>
    <row r="827" hidden="1">
      <c r="A827" s="445">
        <f t="shared" si="5"/>
        <v>46117</v>
      </c>
      <c r="B827" s="449">
        <v>0.0</v>
      </c>
      <c r="C827" s="443"/>
      <c r="D827" s="462"/>
      <c r="E827" s="436" t="str">
        <f t="array" ref="E827">IF(B827=0,"",(J827+K827)/60)</f>
        <v/>
      </c>
      <c r="F827" s="437" t="str">
        <f t="shared" si="1"/>
        <v/>
      </c>
      <c r="G827" s="438" t="str">
        <f t="shared" si="9"/>
        <v>#DIV/0!</v>
      </c>
      <c r="H827" s="438" t="str">
        <f t="shared" si="3"/>
        <v/>
      </c>
      <c r="I827" s="436" t="str">
        <f t="shared" si="10"/>
        <v/>
      </c>
      <c r="J827" s="464"/>
      <c r="K827" s="464"/>
      <c r="L827" s="443"/>
      <c r="M827" s="447">
        <f>IFERROR(__xludf.DUMMYFUNCTION("""COMPUTED_VALUE"""),57.0)</f>
        <v>57</v>
      </c>
      <c r="N827" s="447">
        <f>IFERROR(__xludf.DUMMYFUNCTION("""COMPUTED_VALUE"""),57.0)</f>
        <v>57</v>
      </c>
      <c r="O827" s="447">
        <f>IFERROR(__xludf.DUMMYFUNCTION("""COMPUTED_VALUE"""),0.0)</f>
        <v>0</v>
      </c>
      <c r="P827" s="447">
        <f>IFERROR(__xludf.DUMMYFUNCTION("""COMPUTED_VALUE"""),0.0)</f>
        <v>0</v>
      </c>
      <c r="Q827" s="447">
        <f>IFERROR(__xludf.DUMMYFUNCTION("""COMPUTED_VALUE"""),0.0)</f>
        <v>0</v>
      </c>
      <c r="R827" s="447">
        <f>IFERROR(__xludf.DUMMYFUNCTION("""COMPUTED_VALUE"""),0.0)</f>
        <v>0</v>
      </c>
      <c r="S827" s="447">
        <f>IFERROR(__xludf.DUMMYFUNCTION("""COMPUTED_VALUE"""),0.0)</f>
        <v>0</v>
      </c>
      <c r="T827" s="447">
        <f>IFERROR(__xludf.DUMMYFUNCTION("""COMPUTED_VALUE"""),0.0)</f>
        <v>0</v>
      </c>
      <c r="U827" s="447">
        <f>IFERROR(__xludf.DUMMYFUNCTION("""COMPUTED_VALUE"""),0.0)</f>
        <v>0</v>
      </c>
      <c r="V827" s="447">
        <f>IFERROR(__xludf.DUMMYFUNCTION("""COMPUTED_VALUE"""),0.0)</f>
        <v>0</v>
      </c>
      <c r="W827" s="447">
        <f>IFERROR(__xludf.DUMMYFUNCTION("""COMPUTED_VALUE"""),0.0)</f>
        <v>0</v>
      </c>
      <c r="X827" s="447">
        <f>IFERROR(__xludf.DUMMYFUNCTION("""COMPUTED_VALUE"""),0.0)</f>
        <v>0</v>
      </c>
      <c r="Y827" s="447">
        <f>IFERROR(__xludf.DUMMYFUNCTION("""COMPUTED_VALUE"""),0.0)</f>
        <v>0</v>
      </c>
      <c r="Z827" s="447">
        <f>IFERROR(__xludf.DUMMYFUNCTION("""COMPUTED_VALUE"""),0.0)</f>
        <v>0</v>
      </c>
      <c r="AA827" s="447">
        <f>IFERROR(__xludf.DUMMYFUNCTION("""COMPUTED_VALUE"""),0.0)</f>
        <v>0</v>
      </c>
      <c r="AB827" s="447">
        <f>IFERROR(__xludf.DUMMYFUNCTION("""COMPUTED_VALUE"""),0.0)</f>
        <v>0</v>
      </c>
      <c r="AC827" s="447">
        <f>IFERROR(__xludf.DUMMYFUNCTION("""COMPUTED_VALUE"""),0.0)</f>
        <v>0</v>
      </c>
      <c r="AD827" s="447">
        <f>IFERROR(__xludf.DUMMYFUNCTION("""COMPUTED_VALUE"""),0.0)</f>
        <v>0</v>
      </c>
      <c r="AE827" s="447">
        <f>IFERROR(__xludf.DUMMYFUNCTION("""COMPUTED_VALUE"""),0.0)</f>
        <v>0</v>
      </c>
      <c r="AF827" s="447">
        <f>IFERROR(__xludf.DUMMYFUNCTION("""COMPUTED_VALUE"""),0.0)</f>
        <v>0</v>
      </c>
      <c r="AG827" s="443" t="s">
        <v>106</v>
      </c>
      <c r="AH827" s="443" t="s">
        <v>291</v>
      </c>
      <c r="AI827" s="443"/>
      <c r="AJ827" s="443"/>
      <c r="AK827" s="443"/>
      <c r="AL827" s="443"/>
      <c r="AM827" s="443"/>
      <c r="AN827" s="443"/>
      <c r="AO827" s="443"/>
      <c r="AP827" s="443"/>
      <c r="AQ827" s="443"/>
      <c r="AR827" s="443"/>
      <c r="AS827" s="443"/>
      <c r="AT827" s="443"/>
      <c r="AU827" s="443"/>
      <c r="AV827" s="443"/>
      <c r="AW827" s="443"/>
      <c r="AX827" s="443"/>
      <c r="AY827" s="443"/>
      <c r="AZ827" s="443"/>
      <c r="BA827" s="443"/>
      <c r="BB827" s="443"/>
      <c r="BC827" s="443"/>
      <c r="BD827" s="443"/>
      <c r="BE827" s="443"/>
    </row>
    <row r="828" hidden="1">
      <c r="A828" s="445">
        <f t="shared" si="5"/>
        <v>46118</v>
      </c>
      <c r="B828" s="449">
        <v>679.0</v>
      </c>
      <c r="C828" s="462">
        <v>0.5833333333333334</v>
      </c>
      <c r="D828" s="462">
        <v>1.0673611111111112</v>
      </c>
      <c r="E828" s="436">
        <f t="array" ref="E828">IF(B828=0,"",(J828+K828)/60)</f>
        <v>1.75</v>
      </c>
      <c r="F828" s="437">
        <f t="shared" si="1"/>
        <v>11.61666667</v>
      </c>
      <c r="G828" s="438">
        <f t="shared" si="9"/>
        <v>58.45050215</v>
      </c>
      <c r="H828" s="438">
        <f t="shared" si="3"/>
        <v>68.81756757</v>
      </c>
      <c r="I828" s="436">
        <f t="shared" si="10"/>
        <v>1.243627705</v>
      </c>
      <c r="J828" s="460">
        <v>60.0</v>
      </c>
      <c r="K828" s="464">
        <f>7+18+7+13</f>
        <v>45</v>
      </c>
      <c r="L828" s="449" t="s">
        <v>1012</v>
      </c>
      <c r="M828" s="447">
        <f>IFERROR(__xludf.DUMMYFUNCTION("""COMPUTED_VALUE"""),57.0)</f>
        <v>57</v>
      </c>
      <c r="N828" s="447">
        <f>IFERROR(__xludf.DUMMYFUNCTION("""COMPUTED_VALUE"""),57.0)</f>
        <v>57</v>
      </c>
      <c r="O828" s="447">
        <f>IFERROR(__xludf.DUMMYFUNCTION("""COMPUTED_VALUE"""),1.0)</f>
        <v>1</v>
      </c>
      <c r="P828" s="447">
        <f>IFERROR(__xludf.DUMMYFUNCTION("""COMPUTED_VALUE"""),0.0)</f>
        <v>0</v>
      </c>
      <c r="Q828" s="447">
        <f>IFERROR(__xludf.DUMMYFUNCTION("""COMPUTED_VALUE"""),0.0)</f>
        <v>0</v>
      </c>
      <c r="R828" s="447">
        <f>IFERROR(__xludf.DUMMYFUNCTION("""COMPUTED_VALUE"""),0.0)</f>
        <v>0</v>
      </c>
      <c r="S828" s="447">
        <f>IFERROR(__xludf.DUMMYFUNCTION("""COMPUTED_VALUE"""),1.0)</f>
        <v>1</v>
      </c>
      <c r="T828" s="447">
        <f>IFERROR(__xludf.DUMMYFUNCTION("""COMPUTED_VALUE"""),1.0)</f>
        <v>1</v>
      </c>
      <c r="U828" s="447">
        <f>IFERROR(__xludf.DUMMYFUNCTION("""COMPUTED_VALUE"""),0.0)</f>
        <v>0</v>
      </c>
      <c r="V828" s="447">
        <f>IFERROR(__xludf.DUMMYFUNCTION("""COMPUTED_VALUE"""),3.0)</f>
        <v>3</v>
      </c>
      <c r="W828" s="447">
        <f>IFERROR(__xludf.DUMMYFUNCTION("""COMPUTED_VALUE"""),0.0)</f>
        <v>0</v>
      </c>
      <c r="X828" s="447">
        <f>IFERROR(__xludf.DUMMYFUNCTION("""COMPUTED_VALUE"""),1.0)</f>
        <v>1</v>
      </c>
      <c r="Y828" s="447">
        <f>IFERROR(__xludf.DUMMYFUNCTION("""COMPUTED_VALUE"""),0.0)</f>
        <v>0</v>
      </c>
      <c r="Z828" s="447">
        <f>IFERROR(__xludf.DUMMYFUNCTION("""COMPUTED_VALUE"""),0.0)</f>
        <v>0</v>
      </c>
      <c r="AA828" s="447">
        <f>IFERROR(__xludf.DUMMYFUNCTION("""COMPUTED_VALUE"""),0.0)</f>
        <v>0</v>
      </c>
      <c r="AB828" s="447">
        <f>IFERROR(__xludf.DUMMYFUNCTION("""COMPUTED_VALUE"""),0.0)</f>
        <v>0</v>
      </c>
      <c r="AC828" s="447">
        <f>IFERROR(__xludf.DUMMYFUNCTION("""COMPUTED_VALUE"""),0.0)</f>
        <v>0</v>
      </c>
      <c r="AD828" s="447">
        <f>IFERROR(__xludf.DUMMYFUNCTION("""COMPUTED_VALUE"""),47.0)</f>
        <v>47</v>
      </c>
      <c r="AE828" s="447">
        <f>IFERROR(__xludf.DUMMYFUNCTION("""COMPUTED_VALUE"""),7.0)</f>
        <v>7</v>
      </c>
      <c r="AF828" s="447">
        <f>IFERROR(__xludf.DUMMYFUNCTION("""COMPUTED_VALUE"""),0.0)</f>
        <v>0</v>
      </c>
      <c r="AG828" s="443" t="s">
        <v>106</v>
      </c>
      <c r="AH828" s="443" t="s">
        <v>291</v>
      </c>
      <c r="AI828" s="443"/>
      <c r="AJ828" s="443"/>
      <c r="AK828" s="443"/>
      <c r="AL828" s="443"/>
      <c r="AM828" s="443"/>
      <c r="AN828" s="443"/>
      <c r="AO828" s="443"/>
      <c r="AP828" s="443"/>
      <c r="AQ828" s="443"/>
      <c r="AR828" s="443"/>
      <c r="AS828" s="443"/>
      <c r="AT828" s="443"/>
      <c r="AU828" s="443"/>
      <c r="AV828" s="443"/>
      <c r="AW828" s="443"/>
      <c r="AX828" s="443"/>
      <c r="AY828" s="443"/>
      <c r="AZ828" s="443"/>
      <c r="BA828" s="443"/>
      <c r="BB828" s="443"/>
      <c r="BC828" s="443"/>
      <c r="BD828" s="443"/>
      <c r="BE828" s="443"/>
    </row>
    <row r="829" hidden="1">
      <c r="A829" s="445">
        <f t="shared" si="5"/>
        <v>46119</v>
      </c>
      <c r="B829" s="449">
        <v>445.0</v>
      </c>
      <c r="C829" s="462">
        <v>0.5833333333333334</v>
      </c>
      <c r="D829" s="462">
        <v>0.9291666666666667</v>
      </c>
      <c r="E829" s="436">
        <f t="array" ref="E829">IF(B829=0,"",(J829+K829)/60)</f>
        <v>1.083333333</v>
      </c>
      <c r="F829" s="437">
        <f t="shared" si="1"/>
        <v>8.3</v>
      </c>
      <c r="G829" s="438">
        <f t="shared" si="9"/>
        <v>53.61445783</v>
      </c>
      <c r="H829" s="438">
        <f t="shared" si="3"/>
        <v>61.66281755</v>
      </c>
      <c r="I829" s="436">
        <f t="shared" si="10"/>
        <v>1.140733145</v>
      </c>
      <c r="J829" s="460">
        <v>35.0</v>
      </c>
      <c r="K829" s="464">
        <f>2+7+9+12</f>
        <v>30</v>
      </c>
      <c r="L829" s="449" t="s">
        <v>1013</v>
      </c>
      <c r="M829" s="447">
        <f>IFERROR(__xludf.DUMMYFUNCTION("""COMPUTED_VALUE"""),57.0)</f>
        <v>57</v>
      </c>
      <c r="N829" s="447">
        <f>IFERROR(__xludf.DUMMYFUNCTION("""COMPUTED_VALUE"""),57.0)</f>
        <v>57</v>
      </c>
      <c r="O829" s="447">
        <f>IFERROR(__xludf.DUMMYFUNCTION("""COMPUTED_VALUE"""),0.0)</f>
        <v>0</v>
      </c>
      <c r="P829" s="447">
        <f>IFERROR(__xludf.DUMMYFUNCTION("""COMPUTED_VALUE"""),0.0)</f>
        <v>0</v>
      </c>
      <c r="Q829" s="447">
        <f>IFERROR(__xludf.DUMMYFUNCTION("""COMPUTED_VALUE"""),0.0)</f>
        <v>0</v>
      </c>
      <c r="R829" s="447">
        <f>IFERROR(__xludf.DUMMYFUNCTION("""COMPUTED_VALUE"""),0.0)</f>
        <v>0</v>
      </c>
      <c r="S829" s="447">
        <f>IFERROR(__xludf.DUMMYFUNCTION("""COMPUTED_VALUE"""),2.0)</f>
        <v>2</v>
      </c>
      <c r="T829" s="447">
        <f>IFERROR(__xludf.DUMMYFUNCTION("""COMPUTED_VALUE"""),0.0)</f>
        <v>0</v>
      </c>
      <c r="U829" s="447">
        <f>IFERROR(__xludf.DUMMYFUNCTION("""COMPUTED_VALUE"""),0.0)</f>
        <v>0</v>
      </c>
      <c r="V829" s="447">
        <f>IFERROR(__xludf.DUMMYFUNCTION("""COMPUTED_VALUE"""),3.0)</f>
        <v>3</v>
      </c>
      <c r="W829" s="447">
        <f>IFERROR(__xludf.DUMMYFUNCTION("""COMPUTED_VALUE"""),0.0)</f>
        <v>0</v>
      </c>
      <c r="X829" s="447">
        <f>IFERROR(__xludf.DUMMYFUNCTION("""COMPUTED_VALUE"""),1.0)</f>
        <v>1</v>
      </c>
      <c r="Y829" s="447">
        <f>IFERROR(__xludf.DUMMYFUNCTION("""COMPUTED_VALUE"""),0.0)</f>
        <v>0</v>
      </c>
      <c r="Z829" s="447">
        <f>IFERROR(__xludf.DUMMYFUNCTION("""COMPUTED_VALUE"""),0.0)</f>
        <v>0</v>
      </c>
      <c r="AA829" s="447">
        <f>IFERROR(__xludf.DUMMYFUNCTION("""COMPUTED_VALUE"""),0.0)</f>
        <v>0</v>
      </c>
      <c r="AB829" s="447">
        <f>IFERROR(__xludf.DUMMYFUNCTION("""COMPUTED_VALUE"""),0.0)</f>
        <v>0</v>
      </c>
      <c r="AC829" s="447">
        <f>IFERROR(__xludf.DUMMYFUNCTION("""COMPUTED_VALUE"""),1.0)</f>
        <v>1</v>
      </c>
      <c r="AD829" s="447">
        <f>IFERROR(__xludf.DUMMYFUNCTION("""COMPUTED_VALUE"""),47.0)</f>
        <v>47</v>
      </c>
      <c r="AE829" s="447">
        <f>IFERROR(__xludf.DUMMYFUNCTION("""COMPUTED_VALUE"""),7.0)</f>
        <v>7</v>
      </c>
      <c r="AF829" s="447">
        <f>IFERROR(__xludf.DUMMYFUNCTION("""COMPUTED_VALUE"""),0.0)</f>
        <v>0</v>
      </c>
      <c r="AG829" s="443" t="s">
        <v>106</v>
      </c>
      <c r="AH829" s="443" t="s">
        <v>291</v>
      </c>
      <c r="AI829" s="443"/>
      <c r="AJ829" s="443"/>
      <c r="AK829" s="443"/>
      <c r="AL829" s="443"/>
      <c r="AM829" s="443"/>
      <c r="AN829" s="443"/>
      <c r="AO829" s="443"/>
      <c r="AP829" s="443"/>
      <c r="AQ829" s="443"/>
      <c r="AR829" s="443"/>
      <c r="AS829" s="443"/>
      <c r="AT829" s="443"/>
      <c r="AU829" s="443"/>
      <c r="AV829" s="443"/>
      <c r="AW829" s="443"/>
      <c r="AX829" s="443"/>
      <c r="AY829" s="443"/>
      <c r="AZ829" s="443"/>
      <c r="BA829" s="443"/>
      <c r="BB829" s="443"/>
      <c r="BC829" s="443"/>
      <c r="BD829" s="443"/>
      <c r="BE829" s="443"/>
    </row>
    <row r="830" hidden="1">
      <c r="A830" s="445">
        <f t="shared" si="5"/>
        <v>46120</v>
      </c>
      <c r="B830" s="449">
        <v>489.0</v>
      </c>
      <c r="C830" s="462">
        <v>0.5833333333333334</v>
      </c>
      <c r="D830" s="462">
        <v>0.94375</v>
      </c>
      <c r="E830" s="436">
        <f t="array" ref="E830">IF(B830=0,"",(J830+K830)/60)</f>
        <v>1.666666667</v>
      </c>
      <c r="F830" s="437">
        <f t="shared" si="1"/>
        <v>8.65</v>
      </c>
      <c r="G830" s="438">
        <f t="shared" si="9"/>
        <v>56.53179191</v>
      </c>
      <c r="H830" s="438">
        <f t="shared" si="3"/>
        <v>70.02386635</v>
      </c>
      <c r="I830" s="436">
        <f t="shared" si="10"/>
        <v>1.177745665</v>
      </c>
      <c r="J830" s="460">
        <v>30.0</v>
      </c>
      <c r="K830" s="460">
        <v>70.0</v>
      </c>
      <c r="L830" s="443"/>
      <c r="M830" s="447">
        <f>IFERROR(__xludf.DUMMYFUNCTION("""COMPUTED_VALUE"""),57.0)</f>
        <v>57</v>
      </c>
      <c r="N830" s="447">
        <f>IFERROR(__xludf.DUMMYFUNCTION("""COMPUTED_VALUE"""),57.0)</f>
        <v>57</v>
      </c>
      <c r="O830" s="447">
        <f>IFERROR(__xludf.DUMMYFUNCTION("""COMPUTED_VALUE"""),0.0)</f>
        <v>0</v>
      </c>
      <c r="P830" s="447">
        <f>IFERROR(__xludf.DUMMYFUNCTION("""COMPUTED_VALUE"""),0.0)</f>
        <v>0</v>
      </c>
      <c r="Q830" s="447">
        <f>IFERROR(__xludf.DUMMYFUNCTION("""COMPUTED_VALUE"""),0.0)</f>
        <v>0</v>
      </c>
      <c r="R830" s="447">
        <f>IFERROR(__xludf.DUMMYFUNCTION("""COMPUTED_VALUE"""),0.0)</f>
        <v>0</v>
      </c>
      <c r="S830" s="447">
        <f>IFERROR(__xludf.DUMMYFUNCTION("""COMPUTED_VALUE"""),2.0)</f>
        <v>2</v>
      </c>
      <c r="T830" s="447">
        <f>IFERROR(__xludf.DUMMYFUNCTION("""COMPUTED_VALUE"""),0.0)</f>
        <v>0</v>
      </c>
      <c r="U830" s="447">
        <f>IFERROR(__xludf.DUMMYFUNCTION("""COMPUTED_VALUE"""),0.0)</f>
        <v>0</v>
      </c>
      <c r="V830" s="447">
        <f>IFERROR(__xludf.DUMMYFUNCTION("""COMPUTED_VALUE"""),3.0)</f>
        <v>3</v>
      </c>
      <c r="W830" s="447">
        <f>IFERROR(__xludf.DUMMYFUNCTION("""COMPUTED_VALUE"""),0.0)</f>
        <v>0</v>
      </c>
      <c r="X830" s="447">
        <f>IFERROR(__xludf.DUMMYFUNCTION("""COMPUTED_VALUE"""),1.0)</f>
        <v>1</v>
      </c>
      <c r="Y830" s="447">
        <f>IFERROR(__xludf.DUMMYFUNCTION("""COMPUTED_VALUE"""),0.0)</f>
        <v>0</v>
      </c>
      <c r="Z830" s="447">
        <f>IFERROR(__xludf.DUMMYFUNCTION("""COMPUTED_VALUE"""),0.0)</f>
        <v>0</v>
      </c>
      <c r="AA830" s="447">
        <f>IFERROR(__xludf.DUMMYFUNCTION("""COMPUTED_VALUE"""),0.0)</f>
        <v>0</v>
      </c>
      <c r="AB830" s="447">
        <f>IFERROR(__xludf.DUMMYFUNCTION("""COMPUTED_VALUE"""),0.0)</f>
        <v>0</v>
      </c>
      <c r="AC830" s="447">
        <f>IFERROR(__xludf.DUMMYFUNCTION("""COMPUTED_VALUE"""),0.0)</f>
        <v>0</v>
      </c>
      <c r="AD830" s="447">
        <f>IFERROR(__xludf.DUMMYFUNCTION("""COMPUTED_VALUE"""),48.0)</f>
        <v>48</v>
      </c>
      <c r="AE830" s="447">
        <f>IFERROR(__xludf.DUMMYFUNCTION("""COMPUTED_VALUE"""),6.0)</f>
        <v>6</v>
      </c>
      <c r="AF830" s="447">
        <f>IFERROR(__xludf.DUMMYFUNCTION("""COMPUTED_VALUE"""),0.0)</f>
        <v>0</v>
      </c>
      <c r="AG830" s="443" t="s">
        <v>106</v>
      </c>
      <c r="AH830" s="443" t="s">
        <v>291</v>
      </c>
      <c r="AI830" s="443"/>
      <c r="AJ830" s="443"/>
      <c r="AK830" s="443"/>
      <c r="AL830" s="443"/>
      <c r="AM830" s="443"/>
      <c r="AN830" s="443"/>
      <c r="AO830" s="443"/>
      <c r="AP830" s="443"/>
      <c r="AQ830" s="443"/>
      <c r="AR830" s="443"/>
      <c r="AS830" s="443"/>
      <c r="AT830" s="443"/>
      <c r="AU830" s="443"/>
      <c r="AV830" s="443"/>
      <c r="AW830" s="443"/>
      <c r="AX830" s="443"/>
      <c r="AY830" s="443"/>
      <c r="AZ830" s="443"/>
      <c r="BA830" s="443"/>
      <c r="BB830" s="443"/>
      <c r="BC830" s="443"/>
      <c r="BD830" s="443"/>
      <c r="BE830" s="443"/>
    </row>
    <row r="831" hidden="1">
      <c r="A831" s="445">
        <f t="shared" si="5"/>
        <v>46121</v>
      </c>
      <c r="B831" s="449">
        <v>564.0</v>
      </c>
      <c r="C831" s="462">
        <v>0.5833333333333334</v>
      </c>
      <c r="D831" s="462">
        <v>0.9479166666666666</v>
      </c>
      <c r="E831" s="436">
        <f t="array" ref="E831">IF(B831=0,"",(J831+K831)/60)</f>
        <v>0.8</v>
      </c>
      <c r="F831" s="437">
        <f t="shared" si="1"/>
        <v>8.75</v>
      </c>
      <c r="G831" s="438">
        <f t="shared" si="9"/>
        <v>64.45714286</v>
      </c>
      <c r="H831" s="438">
        <f t="shared" si="3"/>
        <v>70.94339623</v>
      </c>
      <c r="I831" s="436">
        <f t="shared" si="10"/>
        <v>1.371428571</v>
      </c>
      <c r="J831" s="460">
        <v>30.0</v>
      </c>
      <c r="K831" s="464">
        <f>2+16</f>
        <v>18</v>
      </c>
      <c r="L831" s="443"/>
      <c r="M831" s="447">
        <f>IFERROR(__xludf.DUMMYFUNCTION("""COMPUTED_VALUE"""),57.0)</f>
        <v>57</v>
      </c>
      <c r="N831" s="447">
        <f>IFERROR(__xludf.DUMMYFUNCTION("""COMPUTED_VALUE"""),57.0)</f>
        <v>57</v>
      </c>
      <c r="O831" s="447">
        <f>IFERROR(__xludf.DUMMYFUNCTION("""COMPUTED_VALUE"""),0.0)</f>
        <v>0</v>
      </c>
      <c r="P831" s="447">
        <f>IFERROR(__xludf.DUMMYFUNCTION("""COMPUTED_VALUE"""),0.0)</f>
        <v>0</v>
      </c>
      <c r="Q831" s="447">
        <f>IFERROR(__xludf.DUMMYFUNCTION("""COMPUTED_VALUE"""),0.0)</f>
        <v>0</v>
      </c>
      <c r="R831" s="447">
        <f>IFERROR(__xludf.DUMMYFUNCTION("""COMPUTED_VALUE"""),0.0)</f>
        <v>0</v>
      </c>
      <c r="S831" s="447">
        <f>IFERROR(__xludf.DUMMYFUNCTION("""COMPUTED_VALUE"""),2.0)</f>
        <v>2</v>
      </c>
      <c r="T831" s="447">
        <f>IFERROR(__xludf.DUMMYFUNCTION("""COMPUTED_VALUE"""),0.0)</f>
        <v>0</v>
      </c>
      <c r="U831" s="447">
        <f>IFERROR(__xludf.DUMMYFUNCTION("""COMPUTED_VALUE"""),0.0)</f>
        <v>0</v>
      </c>
      <c r="V831" s="447">
        <f>IFERROR(__xludf.DUMMYFUNCTION("""COMPUTED_VALUE"""),1.0)</f>
        <v>1</v>
      </c>
      <c r="W831" s="447">
        <f>IFERROR(__xludf.DUMMYFUNCTION("""COMPUTED_VALUE"""),0.0)</f>
        <v>0</v>
      </c>
      <c r="X831" s="447">
        <f>IFERROR(__xludf.DUMMYFUNCTION("""COMPUTED_VALUE"""),1.0)</f>
        <v>1</v>
      </c>
      <c r="Y831" s="447">
        <f>IFERROR(__xludf.DUMMYFUNCTION("""COMPUTED_VALUE"""),0.0)</f>
        <v>0</v>
      </c>
      <c r="Z831" s="447">
        <f>IFERROR(__xludf.DUMMYFUNCTION("""COMPUTED_VALUE"""),0.0)</f>
        <v>0</v>
      </c>
      <c r="AA831" s="447">
        <f>IFERROR(__xludf.DUMMYFUNCTION("""COMPUTED_VALUE"""),1.0)</f>
        <v>1</v>
      </c>
      <c r="AB831" s="447">
        <f>IFERROR(__xludf.DUMMYFUNCTION("""COMPUTED_VALUE"""),0.0)</f>
        <v>0</v>
      </c>
      <c r="AC831" s="447">
        <f>IFERROR(__xludf.DUMMYFUNCTION("""COMPUTED_VALUE"""),2.0)</f>
        <v>2</v>
      </c>
      <c r="AD831" s="447">
        <f>IFERROR(__xludf.DUMMYFUNCTION("""COMPUTED_VALUE"""),47.0)</f>
        <v>47</v>
      </c>
      <c r="AE831" s="447">
        <f>IFERROR(__xludf.DUMMYFUNCTION("""COMPUTED_VALUE"""),7.0)</f>
        <v>7</v>
      </c>
      <c r="AF831" s="447">
        <f>IFERROR(__xludf.DUMMYFUNCTION("""COMPUTED_VALUE"""),0.0)</f>
        <v>0</v>
      </c>
      <c r="AG831" s="443" t="s">
        <v>106</v>
      </c>
      <c r="AH831" s="443" t="s">
        <v>291</v>
      </c>
      <c r="AI831" s="443"/>
      <c r="AJ831" s="443"/>
      <c r="AK831" s="443"/>
      <c r="AL831" s="443"/>
      <c r="AM831" s="443"/>
      <c r="AN831" s="443"/>
      <c r="AO831" s="443"/>
      <c r="AP831" s="443"/>
      <c r="AQ831" s="443"/>
      <c r="AR831" s="443"/>
      <c r="AS831" s="443"/>
      <c r="AT831" s="443"/>
      <c r="AU831" s="443"/>
      <c r="AV831" s="443"/>
      <c r="AW831" s="443"/>
      <c r="AX831" s="443"/>
      <c r="AY831" s="443"/>
      <c r="AZ831" s="443"/>
      <c r="BA831" s="443"/>
      <c r="BB831" s="443"/>
      <c r="BC831" s="443"/>
      <c r="BD831" s="443"/>
      <c r="BE831" s="443"/>
    </row>
    <row r="832" hidden="1">
      <c r="A832" s="445">
        <f t="shared" si="5"/>
        <v>46122</v>
      </c>
      <c r="B832" s="449">
        <v>240.0</v>
      </c>
      <c r="C832" s="462">
        <v>0.625</v>
      </c>
      <c r="D832" s="462">
        <v>0.8152777777777778</v>
      </c>
      <c r="E832" s="436">
        <f t="array" ref="E832">IF(B832=0,"",(J832+K832)/60)</f>
        <v>0.6833333333</v>
      </c>
      <c r="F832" s="437">
        <f t="shared" si="1"/>
        <v>4.566666667</v>
      </c>
      <c r="G832" s="438">
        <f t="shared" si="9"/>
        <v>52.55474453</v>
      </c>
      <c r="H832" s="438">
        <f t="shared" si="3"/>
        <v>61.80257511</v>
      </c>
      <c r="I832" s="436">
        <f t="shared" si="10"/>
        <v>1.167883212</v>
      </c>
      <c r="J832" s="460">
        <v>35.0</v>
      </c>
      <c r="K832" s="460">
        <v>6.0</v>
      </c>
      <c r="L832" s="449" t="s">
        <v>1014</v>
      </c>
      <c r="M832" s="447">
        <f>IFERROR(__xludf.DUMMYFUNCTION("""COMPUTED_VALUE"""),57.0)</f>
        <v>57</v>
      </c>
      <c r="N832" s="447">
        <f>IFERROR(__xludf.DUMMYFUNCTION("""COMPUTED_VALUE"""),57.0)</f>
        <v>57</v>
      </c>
      <c r="O832" s="447">
        <f>IFERROR(__xludf.DUMMYFUNCTION("""COMPUTED_VALUE"""),0.0)</f>
        <v>0</v>
      </c>
      <c r="P832" s="447">
        <f>IFERROR(__xludf.DUMMYFUNCTION("""COMPUTED_VALUE"""),1.0)</f>
        <v>1</v>
      </c>
      <c r="Q832" s="447">
        <f>IFERROR(__xludf.DUMMYFUNCTION("""COMPUTED_VALUE"""),0.0)</f>
        <v>0</v>
      </c>
      <c r="R832" s="447">
        <f>IFERROR(__xludf.DUMMYFUNCTION("""COMPUTED_VALUE"""),0.0)</f>
        <v>0</v>
      </c>
      <c r="S832" s="447">
        <f>IFERROR(__xludf.DUMMYFUNCTION("""COMPUTED_VALUE"""),3.0)</f>
        <v>3</v>
      </c>
      <c r="T832" s="447">
        <f>IFERROR(__xludf.DUMMYFUNCTION("""COMPUTED_VALUE"""),0.0)</f>
        <v>0</v>
      </c>
      <c r="U832" s="447">
        <f>IFERROR(__xludf.DUMMYFUNCTION("""COMPUTED_VALUE"""),0.0)</f>
        <v>0</v>
      </c>
      <c r="V832" s="447">
        <f>IFERROR(__xludf.DUMMYFUNCTION("""COMPUTED_VALUE"""),3.0)</f>
        <v>3</v>
      </c>
      <c r="W832" s="447">
        <f>IFERROR(__xludf.DUMMYFUNCTION("""COMPUTED_VALUE"""),0.0)</f>
        <v>0</v>
      </c>
      <c r="X832" s="447">
        <f>IFERROR(__xludf.DUMMYFUNCTION("""COMPUTED_VALUE"""),1.0)</f>
        <v>1</v>
      </c>
      <c r="Y832" s="447">
        <f>IFERROR(__xludf.DUMMYFUNCTION("""COMPUTED_VALUE"""),0.0)</f>
        <v>0</v>
      </c>
      <c r="Z832" s="447">
        <f>IFERROR(__xludf.DUMMYFUNCTION("""COMPUTED_VALUE"""),0.0)</f>
        <v>0</v>
      </c>
      <c r="AA832" s="447">
        <f>IFERROR(__xludf.DUMMYFUNCTION("""COMPUTED_VALUE"""),1.0)</f>
        <v>1</v>
      </c>
      <c r="AB832" s="447">
        <f>IFERROR(__xludf.DUMMYFUNCTION("""COMPUTED_VALUE"""),0.0)</f>
        <v>0</v>
      </c>
      <c r="AC832" s="447">
        <f>IFERROR(__xludf.DUMMYFUNCTION("""COMPUTED_VALUE"""),0.0)</f>
        <v>0</v>
      </c>
      <c r="AD832" s="447">
        <f>IFERROR(__xludf.DUMMYFUNCTION("""COMPUTED_VALUE"""),45.0)</f>
        <v>45</v>
      </c>
      <c r="AE832" s="447">
        <f>IFERROR(__xludf.DUMMYFUNCTION("""COMPUTED_VALUE"""),9.0)</f>
        <v>9</v>
      </c>
      <c r="AF832" s="447">
        <f>IFERROR(__xludf.DUMMYFUNCTION("""COMPUTED_VALUE"""),0.0)</f>
        <v>0</v>
      </c>
      <c r="AG832" s="443" t="s">
        <v>106</v>
      </c>
      <c r="AH832" s="443" t="s">
        <v>291</v>
      </c>
      <c r="AI832" s="443"/>
      <c r="AJ832" s="443"/>
      <c r="AK832" s="443"/>
      <c r="AL832" s="443"/>
      <c r="AM832" s="443"/>
      <c r="AN832" s="443"/>
      <c r="AO832" s="443"/>
      <c r="AP832" s="443"/>
      <c r="AQ832" s="443"/>
      <c r="AR832" s="443"/>
      <c r="AS832" s="443"/>
      <c r="AT832" s="443"/>
      <c r="AU832" s="443"/>
      <c r="AV832" s="443"/>
      <c r="AW832" s="443"/>
      <c r="AX832" s="443"/>
      <c r="AY832" s="443"/>
      <c r="AZ832" s="443"/>
      <c r="BA832" s="443"/>
      <c r="BB832" s="443"/>
      <c r="BC832" s="443"/>
      <c r="BD832" s="443"/>
      <c r="BE832" s="443"/>
    </row>
    <row r="833" hidden="1">
      <c r="A833" s="445">
        <f t="shared" si="5"/>
        <v>46123</v>
      </c>
      <c r="B833" s="449">
        <v>233.0</v>
      </c>
      <c r="C833" s="462">
        <v>0.625</v>
      </c>
      <c r="D833" s="462">
        <v>0.7979166666666667</v>
      </c>
      <c r="E833" s="436">
        <f t="array" ref="E833">IF(B833=0,"",(J833+K833)/60)</f>
        <v>0.2333333333</v>
      </c>
      <c r="F833" s="437">
        <f t="shared" si="1"/>
        <v>4.15</v>
      </c>
      <c r="G833" s="438">
        <f t="shared" si="9"/>
        <v>56.14457831</v>
      </c>
      <c r="H833" s="438">
        <f t="shared" si="3"/>
        <v>59.4893617</v>
      </c>
      <c r="I833" s="436">
        <f t="shared" si="10"/>
        <v>1.247657296</v>
      </c>
      <c r="J833" s="460">
        <v>14.0</v>
      </c>
      <c r="K833" s="464"/>
      <c r="L833" s="443"/>
      <c r="M833" s="447">
        <f>IFERROR(__xludf.DUMMYFUNCTION("""COMPUTED_VALUE"""),57.0)</f>
        <v>57</v>
      </c>
      <c r="N833" s="447">
        <f>IFERROR(__xludf.DUMMYFUNCTION("""COMPUTED_VALUE"""),57.0)</f>
        <v>57</v>
      </c>
      <c r="O833" s="447">
        <f>IFERROR(__xludf.DUMMYFUNCTION("""COMPUTED_VALUE"""),0.0)</f>
        <v>0</v>
      </c>
      <c r="P833" s="447">
        <f>IFERROR(__xludf.DUMMYFUNCTION("""COMPUTED_VALUE"""),1.0)</f>
        <v>1</v>
      </c>
      <c r="Q833" s="447">
        <f>IFERROR(__xludf.DUMMYFUNCTION("""COMPUTED_VALUE"""),0.0)</f>
        <v>0</v>
      </c>
      <c r="R833" s="447">
        <f>IFERROR(__xludf.DUMMYFUNCTION("""COMPUTED_VALUE"""),0.0)</f>
        <v>0</v>
      </c>
      <c r="S833" s="447">
        <f>IFERROR(__xludf.DUMMYFUNCTION("""COMPUTED_VALUE"""),3.0)</f>
        <v>3</v>
      </c>
      <c r="T833" s="447">
        <f>IFERROR(__xludf.DUMMYFUNCTION("""COMPUTED_VALUE"""),0.0)</f>
        <v>0</v>
      </c>
      <c r="U833" s="447">
        <f>IFERROR(__xludf.DUMMYFUNCTION("""COMPUTED_VALUE"""),0.0)</f>
        <v>0</v>
      </c>
      <c r="V833" s="447">
        <f>IFERROR(__xludf.DUMMYFUNCTION("""COMPUTED_VALUE"""),3.0)</f>
        <v>3</v>
      </c>
      <c r="W833" s="447">
        <f>IFERROR(__xludf.DUMMYFUNCTION("""COMPUTED_VALUE"""),0.0)</f>
        <v>0</v>
      </c>
      <c r="X833" s="447">
        <f>IFERROR(__xludf.DUMMYFUNCTION("""COMPUTED_VALUE"""),1.0)</f>
        <v>1</v>
      </c>
      <c r="Y833" s="447">
        <f>IFERROR(__xludf.DUMMYFUNCTION("""COMPUTED_VALUE"""),0.0)</f>
        <v>0</v>
      </c>
      <c r="Z833" s="447">
        <f>IFERROR(__xludf.DUMMYFUNCTION("""COMPUTED_VALUE"""),0.0)</f>
        <v>0</v>
      </c>
      <c r="AA833" s="447">
        <f>IFERROR(__xludf.DUMMYFUNCTION("""COMPUTED_VALUE"""),0.0)</f>
        <v>0</v>
      </c>
      <c r="AB833" s="447">
        <f>IFERROR(__xludf.DUMMYFUNCTION("""COMPUTED_VALUE"""),0.0)</f>
        <v>0</v>
      </c>
      <c r="AC833" s="447">
        <f>IFERROR(__xludf.DUMMYFUNCTION("""COMPUTED_VALUE"""),1.0)</f>
        <v>1</v>
      </c>
      <c r="AD833" s="447">
        <f>IFERROR(__xludf.DUMMYFUNCTION("""COMPUTED_VALUE"""),45.0)</f>
        <v>45</v>
      </c>
      <c r="AE833" s="447">
        <f>IFERROR(__xludf.DUMMYFUNCTION("""COMPUTED_VALUE"""),9.0)</f>
        <v>9</v>
      </c>
      <c r="AF833" s="447">
        <f>IFERROR(__xludf.DUMMYFUNCTION("""COMPUTED_VALUE"""),0.0)</f>
        <v>0</v>
      </c>
      <c r="AG833" s="443" t="s">
        <v>106</v>
      </c>
      <c r="AH833" s="443" t="s">
        <v>291</v>
      </c>
      <c r="AI833" s="443"/>
      <c r="AJ833" s="443"/>
      <c r="AK833" s="443"/>
      <c r="AL833" s="443"/>
      <c r="AM833" s="443"/>
      <c r="AN833" s="443"/>
      <c r="AO833" s="443"/>
      <c r="AP833" s="443"/>
      <c r="AQ833" s="443"/>
      <c r="AR833" s="443"/>
      <c r="AS833" s="443"/>
      <c r="AT833" s="443"/>
      <c r="AU833" s="443"/>
      <c r="AV833" s="443"/>
      <c r="AW833" s="443"/>
      <c r="AX833" s="443"/>
      <c r="AY833" s="443"/>
      <c r="AZ833" s="443"/>
      <c r="BA833" s="443"/>
      <c r="BB833" s="443"/>
      <c r="BC833" s="443"/>
      <c r="BD833" s="443"/>
      <c r="BE833" s="443"/>
    </row>
    <row r="834" hidden="1">
      <c r="A834" s="445">
        <f t="shared" si="5"/>
        <v>46124</v>
      </c>
      <c r="B834" s="449">
        <v>0.0</v>
      </c>
      <c r="C834" s="443"/>
      <c r="D834" s="462"/>
      <c r="E834" s="436" t="str">
        <f t="array" ref="E834">IF(B834=0,"",(J834+K834)/60)</f>
        <v/>
      </c>
      <c r="F834" s="437" t="str">
        <f t="shared" si="1"/>
        <v/>
      </c>
      <c r="G834" s="438" t="str">
        <f t="shared" si="9"/>
        <v>#DIV/0!</v>
      </c>
      <c r="H834" s="438" t="str">
        <f t="shared" si="3"/>
        <v/>
      </c>
      <c r="I834" s="436" t="str">
        <f t="shared" si="10"/>
        <v/>
      </c>
      <c r="J834" s="464"/>
      <c r="K834" s="464"/>
      <c r="L834" s="443"/>
      <c r="M834" s="447">
        <f>IFERROR(__xludf.DUMMYFUNCTION("""COMPUTED_VALUE"""),57.0)</f>
        <v>57</v>
      </c>
      <c r="N834" s="447">
        <f>IFERROR(__xludf.DUMMYFUNCTION("""COMPUTED_VALUE"""),57.0)</f>
        <v>57</v>
      </c>
      <c r="O834" s="447">
        <f>IFERROR(__xludf.DUMMYFUNCTION("""COMPUTED_VALUE"""),0.0)</f>
        <v>0</v>
      </c>
      <c r="P834" s="447">
        <f>IFERROR(__xludf.DUMMYFUNCTION("""COMPUTED_VALUE"""),0.0)</f>
        <v>0</v>
      </c>
      <c r="Q834" s="447">
        <f>IFERROR(__xludf.DUMMYFUNCTION("""COMPUTED_VALUE"""),0.0)</f>
        <v>0</v>
      </c>
      <c r="R834" s="447">
        <f>IFERROR(__xludf.DUMMYFUNCTION("""COMPUTED_VALUE"""),0.0)</f>
        <v>0</v>
      </c>
      <c r="S834" s="447">
        <f>IFERROR(__xludf.DUMMYFUNCTION("""COMPUTED_VALUE"""),0.0)</f>
        <v>0</v>
      </c>
      <c r="T834" s="447">
        <f>IFERROR(__xludf.DUMMYFUNCTION("""COMPUTED_VALUE"""),0.0)</f>
        <v>0</v>
      </c>
      <c r="U834" s="447">
        <f>IFERROR(__xludf.DUMMYFUNCTION("""COMPUTED_VALUE"""),0.0)</f>
        <v>0</v>
      </c>
      <c r="V834" s="447">
        <f>IFERROR(__xludf.DUMMYFUNCTION("""COMPUTED_VALUE"""),0.0)</f>
        <v>0</v>
      </c>
      <c r="W834" s="447">
        <f>IFERROR(__xludf.DUMMYFUNCTION("""COMPUTED_VALUE"""),0.0)</f>
        <v>0</v>
      </c>
      <c r="X834" s="447">
        <f>IFERROR(__xludf.DUMMYFUNCTION("""COMPUTED_VALUE"""),0.0)</f>
        <v>0</v>
      </c>
      <c r="Y834" s="447">
        <f>IFERROR(__xludf.DUMMYFUNCTION("""COMPUTED_VALUE"""),0.0)</f>
        <v>0</v>
      </c>
      <c r="Z834" s="447">
        <f>IFERROR(__xludf.DUMMYFUNCTION("""COMPUTED_VALUE"""),0.0)</f>
        <v>0</v>
      </c>
      <c r="AA834" s="447">
        <f>IFERROR(__xludf.DUMMYFUNCTION("""COMPUTED_VALUE"""),0.0)</f>
        <v>0</v>
      </c>
      <c r="AB834" s="447">
        <f>IFERROR(__xludf.DUMMYFUNCTION("""COMPUTED_VALUE"""),0.0)</f>
        <v>0</v>
      </c>
      <c r="AC834" s="447">
        <f>IFERROR(__xludf.DUMMYFUNCTION("""COMPUTED_VALUE"""),0.0)</f>
        <v>0</v>
      </c>
      <c r="AD834" s="447">
        <f>IFERROR(__xludf.DUMMYFUNCTION("""COMPUTED_VALUE"""),0.0)</f>
        <v>0</v>
      </c>
      <c r="AE834" s="447">
        <f>IFERROR(__xludf.DUMMYFUNCTION("""COMPUTED_VALUE"""),0.0)</f>
        <v>0</v>
      </c>
      <c r="AF834" s="447">
        <f>IFERROR(__xludf.DUMMYFUNCTION("""COMPUTED_VALUE"""),0.0)</f>
        <v>0</v>
      </c>
      <c r="AG834" s="443" t="s">
        <v>106</v>
      </c>
      <c r="AH834" s="443" t="s">
        <v>291</v>
      </c>
      <c r="AI834" s="443"/>
      <c r="AJ834" s="443"/>
      <c r="AK834" s="443"/>
      <c r="AL834" s="443"/>
      <c r="AM834" s="443"/>
      <c r="AN834" s="443"/>
      <c r="AO834" s="443"/>
      <c r="AP834" s="443"/>
      <c r="AQ834" s="443"/>
      <c r="AR834" s="443"/>
      <c r="AS834" s="443"/>
      <c r="AT834" s="443"/>
      <c r="AU834" s="443"/>
      <c r="AV834" s="443"/>
      <c r="AW834" s="443"/>
      <c r="AX834" s="443"/>
      <c r="AY834" s="443"/>
      <c r="AZ834" s="443"/>
      <c r="BA834" s="443"/>
      <c r="BB834" s="443"/>
      <c r="BC834" s="443"/>
      <c r="BD834" s="443"/>
      <c r="BE834" s="443"/>
    </row>
    <row r="835" hidden="1">
      <c r="A835" s="445">
        <f t="shared" si="5"/>
        <v>46125</v>
      </c>
      <c r="B835" s="449">
        <v>593.0</v>
      </c>
      <c r="C835" s="462">
        <v>0.5833333333333334</v>
      </c>
      <c r="D835" s="462">
        <v>1.0638888888888889</v>
      </c>
      <c r="E835" s="436">
        <f t="array" ref="E835">IF(B835=0,"",(J835+K835)/60)</f>
        <v>2.166666667</v>
      </c>
      <c r="F835" s="437">
        <f t="shared" si="1"/>
        <v>11.53333333</v>
      </c>
      <c r="G835" s="438">
        <f t="shared" si="9"/>
        <v>51.41618497</v>
      </c>
      <c r="H835" s="438">
        <f t="shared" si="3"/>
        <v>63.30960854</v>
      </c>
      <c r="I835" s="436">
        <f t="shared" si="10"/>
        <v>1.142581888</v>
      </c>
      <c r="J835" s="460">
        <v>60.0</v>
      </c>
      <c r="K835" s="460">
        <v>70.0</v>
      </c>
      <c r="L835" s="443"/>
      <c r="M835" s="447">
        <f>IFERROR(__xludf.DUMMYFUNCTION("""COMPUTED_VALUE"""),57.0)</f>
        <v>57</v>
      </c>
      <c r="N835" s="447">
        <f>IFERROR(__xludf.DUMMYFUNCTION("""COMPUTED_VALUE"""),57.0)</f>
        <v>57</v>
      </c>
      <c r="O835" s="447">
        <f>IFERROR(__xludf.DUMMYFUNCTION("""COMPUTED_VALUE"""),1.0)</f>
        <v>1</v>
      </c>
      <c r="P835" s="447">
        <f>IFERROR(__xludf.DUMMYFUNCTION("""COMPUTED_VALUE"""),2.0)</f>
        <v>2</v>
      </c>
      <c r="Q835" s="447">
        <f>IFERROR(__xludf.DUMMYFUNCTION("""COMPUTED_VALUE"""),0.0)</f>
        <v>0</v>
      </c>
      <c r="R835" s="447">
        <f>IFERROR(__xludf.DUMMYFUNCTION("""COMPUTED_VALUE"""),0.0)</f>
        <v>0</v>
      </c>
      <c r="S835" s="447">
        <f>IFERROR(__xludf.DUMMYFUNCTION("""COMPUTED_VALUE"""),2.0)</f>
        <v>2</v>
      </c>
      <c r="T835" s="447">
        <f>IFERROR(__xludf.DUMMYFUNCTION("""COMPUTED_VALUE"""),0.0)</f>
        <v>0</v>
      </c>
      <c r="U835" s="447">
        <f>IFERROR(__xludf.DUMMYFUNCTION("""COMPUTED_VALUE"""),0.0)</f>
        <v>0</v>
      </c>
      <c r="V835" s="447">
        <f>IFERROR(__xludf.DUMMYFUNCTION("""COMPUTED_VALUE"""),3.0)</f>
        <v>3</v>
      </c>
      <c r="W835" s="447">
        <f>IFERROR(__xludf.DUMMYFUNCTION("""COMPUTED_VALUE"""),0.0)</f>
        <v>0</v>
      </c>
      <c r="X835" s="447">
        <f>IFERROR(__xludf.DUMMYFUNCTION("""COMPUTED_VALUE"""),1.0)</f>
        <v>1</v>
      </c>
      <c r="Y835" s="447">
        <f>IFERROR(__xludf.DUMMYFUNCTION("""COMPUTED_VALUE"""),0.0)</f>
        <v>0</v>
      </c>
      <c r="Z835" s="447">
        <f>IFERROR(__xludf.DUMMYFUNCTION("""COMPUTED_VALUE"""),0.0)</f>
        <v>0</v>
      </c>
      <c r="AA835" s="447">
        <f>IFERROR(__xludf.DUMMYFUNCTION("""COMPUTED_VALUE"""),0.0)</f>
        <v>0</v>
      </c>
      <c r="AB835" s="447">
        <f>IFERROR(__xludf.DUMMYFUNCTION("""COMPUTED_VALUE"""),0.0)</f>
        <v>0</v>
      </c>
      <c r="AC835" s="447">
        <f>IFERROR(__xludf.DUMMYFUNCTION("""COMPUTED_VALUE"""),0.0)</f>
        <v>0</v>
      </c>
      <c r="AD835" s="447">
        <f>IFERROR(__xludf.DUMMYFUNCTION("""COMPUTED_VALUE"""),45.0)</f>
        <v>45</v>
      </c>
      <c r="AE835" s="447">
        <f>IFERROR(__xludf.DUMMYFUNCTION("""COMPUTED_VALUE"""),9.0)</f>
        <v>9</v>
      </c>
      <c r="AF835" s="447">
        <f>IFERROR(__xludf.DUMMYFUNCTION("""COMPUTED_VALUE"""),0.0)</f>
        <v>0</v>
      </c>
      <c r="AG835" s="443" t="s">
        <v>106</v>
      </c>
      <c r="AH835" s="443" t="s">
        <v>291</v>
      </c>
      <c r="AI835" s="443"/>
      <c r="AJ835" s="443"/>
      <c r="AK835" s="443"/>
      <c r="AL835" s="443"/>
      <c r="AM835" s="443"/>
      <c r="AN835" s="443"/>
      <c r="AO835" s="443"/>
      <c r="AP835" s="443"/>
      <c r="AQ835" s="443"/>
      <c r="AR835" s="443"/>
      <c r="AS835" s="443"/>
      <c r="AT835" s="443"/>
      <c r="AU835" s="443"/>
      <c r="AV835" s="443"/>
      <c r="AW835" s="443"/>
      <c r="AX835" s="443"/>
      <c r="AY835" s="443"/>
      <c r="AZ835" s="443"/>
      <c r="BA835" s="443"/>
      <c r="BB835" s="443"/>
      <c r="BC835" s="443"/>
      <c r="BD835" s="443"/>
      <c r="BE835" s="443"/>
    </row>
    <row r="836" hidden="1">
      <c r="A836" s="445">
        <f t="shared" si="5"/>
        <v>46126</v>
      </c>
      <c r="B836" s="449">
        <v>290.0</v>
      </c>
      <c r="C836" s="462">
        <v>0.5833333333333334</v>
      </c>
      <c r="D836" s="462">
        <v>0.8131944444444444</v>
      </c>
      <c r="E836" s="436">
        <f t="array" ref="E836">IF(B836=0,"",(J836+K836)/60)</f>
        <v>0.9833333333</v>
      </c>
      <c r="F836" s="437">
        <f t="shared" si="1"/>
        <v>5.516666667</v>
      </c>
      <c r="G836" s="438">
        <f t="shared" si="9"/>
        <v>52.56797583</v>
      </c>
      <c r="H836" s="438">
        <f t="shared" si="3"/>
        <v>63.97058824</v>
      </c>
      <c r="I836" s="436">
        <f t="shared" si="10"/>
        <v>1.142782083</v>
      </c>
      <c r="J836" s="460">
        <v>30.0</v>
      </c>
      <c r="K836" s="460">
        <v>29.0</v>
      </c>
      <c r="L836" s="443"/>
      <c r="M836" s="447">
        <f>IFERROR(__xludf.DUMMYFUNCTION("""COMPUTED_VALUE"""),57.0)</f>
        <v>57</v>
      </c>
      <c r="N836" s="447">
        <f>IFERROR(__xludf.DUMMYFUNCTION("""COMPUTED_VALUE"""),56.0)</f>
        <v>56</v>
      </c>
      <c r="O836" s="447">
        <f>IFERROR(__xludf.DUMMYFUNCTION("""COMPUTED_VALUE"""),0.0)</f>
        <v>0</v>
      </c>
      <c r="P836" s="447">
        <f>IFERROR(__xludf.DUMMYFUNCTION("""COMPUTED_VALUE"""),1.0)</f>
        <v>1</v>
      </c>
      <c r="Q836" s="447">
        <f>IFERROR(__xludf.DUMMYFUNCTION("""COMPUTED_VALUE"""),0.0)</f>
        <v>0</v>
      </c>
      <c r="R836" s="447">
        <f>IFERROR(__xludf.DUMMYFUNCTION("""COMPUTED_VALUE"""),0.0)</f>
        <v>0</v>
      </c>
      <c r="S836" s="447">
        <f>IFERROR(__xludf.DUMMYFUNCTION("""COMPUTED_VALUE"""),2.0)</f>
        <v>2</v>
      </c>
      <c r="T836" s="447">
        <f>IFERROR(__xludf.DUMMYFUNCTION("""COMPUTED_VALUE"""),0.0)</f>
        <v>0</v>
      </c>
      <c r="U836" s="447">
        <f>IFERROR(__xludf.DUMMYFUNCTION("""COMPUTED_VALUE"""),1.0)</f>
        <v>1</v>
      </c>
      <c r="V836" s="447">
        <f>IFERROR(__xludf.DUMMYFUNCTION("""COMPUTED_VALUE"""),3.0)</f>
        <v>3</v>
      </c>
      <c r="W836" s="447">
        <f>IFERROR(__xludf.DUMMYFUNCTION("""COMPUTED_VALUE"""),0.0)</f>
        <v>0</v>
      </c>
      <c r="X836" s="447">
        <f>IFERROR(__xludf.DUMMYFUNCTION("""COMPUTED_VALUE"""),1.0)</f>
        <v>1</v>
      </c>
      <c r="Y836" s="447">
        <f>IFERROR(__xludf.DUMMYFUNCTION("""COMPUTED_VALUE"""),0.0)</f>
        <v>0</v>
      </c>
      <c r="Z836" s="447">
        <f>IFERROR(__xludf.DUMMYFUNCTION("""COMPUTED_VALUE"""),0.0)</f>
        <v>0</v>
      </c>
      <c r="AA836" s="447">
        <f>IFERROR(__xludf.DUMMYFUNCTION("""COMPUTED_VALUE"""),0.0)</f>
        <v>0</v>
      </c>
      <c r="AB836" s="447">
        <f>IFERROR(__xludf.DUMMYFUNCTION("""COMPUTED_VALUE"""),0.0)</f>
        <v>0</v>
      </c>
      <c r="AC836" s="447">
        <f>IFERROR(__xludf.DUMMYFUNCTION("""COMPUTED_VALUE"""),0.0)</f>
        <v>0</v>
      </c>
      <c r="AD836" s="447">
        <f>IFERROR(__xludf.DUMMYFUNCTION("""COMPUTED_VALUE"""),46.0)</f>
        <v>46</v>
      </c>
      <c r="AE836" s="447">
        <f>IFERROR(__xludf.DUMMYFUNCTION("""COMPUTED_VALUE"""),8.0)</f>
        <v>8</v>
      </c>
      <c r="AF836" s="447">
        <f>IFERROR(__xludf.DUMMYFUNCTION("""COMPUTED_VALUE"""),1.0)</f>
        <v>1</v>
      </c>
      <c r="AG836" s="443" t="s">
        <v>106</v>
      </c>
      <c r="AH836" s="443" t="s">
        <v>291</v>
      </c>
      <c r="AI836" s="443"/>
      <c r="AJ836" s="443"/>
      <c r="AK836" s="443"/>
      <c r="AL836" s="443"/>
      <c r="AM836" s="443"/>
      <c r="AN836" s="443"/>
      <c r="AO836" s="443"/>
      <c r="AP836" s="443"/>
      <c r="AQ836" s="443"/>
      <c r="AR836" s="443"/>
      <c r="AS836" s="443"/>
      <c r="AT836" s="443"/>
      <c r="AU836" s="443"/>
      <c r="AV836" s="443"/>
      <c r="AW836" s="443"/>
      <c r="AX836" s="443"/>
      <c r="AY836" s="443"/>
      <c r="AZ836" s="443"/>
      <c r="BA836" s="443"/>
      <c r="BB836" s="443"/>
      <c r="BC836" s="443"/>
      <c r="BD836" s="443"/>
      <c r="BE836" s="443"/>
    </row>
    <row r="837" hidden="1">
      <c r="A837" s="445">
        <f t="shared" si="5"/>
        <v>46127</v>
      </c>
      <c r="B837" s="449">
        <v>483.0</v>
      </c>
      <c r="C837" s="462">
        <v>0.625</v>
      </c>
      <c r="D837" s="462">
        <v>0.9416666666666667</v>
      </c>
      <c r="E837" s="436">
        <f t="array" ref="E837">IF(B837=0,"",(J837+K837)/60)</f>
        <v>1.2</v>
      </c>
      <c r="F837" s="437">
        <f t="shared" si="1"/>
        <v>7.6</v>
      </c>
      <c r="G837" s="438">
        <f t="shared" si="9"/>
        <v>63.55263158</v>
      </c>
      <c r="H837" s="438">
        <f t="shared" si="3"/>
        <v>75.46875</v>
      </c>
      <c r="I837" s="436">
        <f t="shared" si="10"/>
        <v>1.324013158</v>
      </c>
      <c r="J837" s="460">
        <v>30.0</v>
      </c>
      <c r="K837" s="460">
        <v>42.0</v>
      </c>
      <c r="L837" s="449" t="s">
        <v>1015</v>
      </c>
      <c r="M837" s="447">
        <f>IFERROR(__xludf.DUMMYFUNCTION("""COMPUTED_VALUE"""),57.0)</f>
        <v>57</v>
      </c>
      <c r="N837" s="447">
        <f>IFERROR(__xludf.DUMMYFUNCTION("""COMPUTED_VALUE"""),56.0)</f>
        <v>56</v>
      </c>
      <c r="O837" s="447">
        <f>IFERROR(__xludf.DUMMYFUNCTION("""COMPUTED_VALUE"""),1.0)</f>
        <v>1</v>
      </c>
      <c r="P837" s="447">
        <f>IFERROR(__xludf.DUMMYFUNCTION("""COMPUTED_VALUE"""),0.0)</f>
        <v>0</v>
      </c>
      <c r="Q837" s="447">
        <f>IFERROR(__xludf.DUMMYFUNCTION("""COMPUTED_VALUE"""),0.0)</f>
        <v>0</v>
      </c>
      <c r="R837" s="447">
        <f>IFERROR(__xludf.DUMMYFUNCTION("""COMPUTED_VALUE"""),0.0)</f>
        <v>0</v>
      </c>
      <c r="S837" s="447">
        <f>IFERROR(__xludf.DUMMYFUNCTION("""COMPUTED_VALUE"""),0.0)</f>
        <v>0</v>
      </c>
      <c r="T837" s="447">
        <f>IFERROR(__xludf.DUMMYFUNCTION("""COMPUTED_VALUE"""),0.0)</f>
        <v>0</v>
      </c>
      <c r="U837" s="447">
        <f>IFERROR(__xludf.DUMMYFUNCTION("""COMPUTED_VALUE"""),1.0)</f>
        <v>1</v>
      </c>
      <c r="V837" s="447">
        <f>IFERROR(__xludf.DUMMYFUNCTION("""COMPUTED_VALUE"""),3.0)</f>
        <v>3</v>
      </c>
      <c r="W837" s="447">
        <f>IFERROR(__xludf.DUMMYFUNCTION("""COMPUTED_VALUE"""),0.0)</f>
        <v>0</v>
      </c>
      <c r="X837" s="447">
        <f>IFERROR(__xludf.DUMMYFUNCTION("""COMPUTED_VALUE"""),1.0)</f>
        <v>1</v>
      </c>
      <c r="Y837" s="447">
        <f>IFERROR(__xludf.DUMMYFUNCTION("""COMPUTED_VALUE"""),0.0)</f>
        <v>0</v>
      </c>
      <c r="Z837" s="447">
        <f>IFERROR(__xludf.DUMMYFUNCTION("""COMPUTED_VALUE"""),0.0)</f>
        <v>0</v>
      </c>
      <c r="AA837" s="447">
        <f>IFERROR(__xludf.DUMMYFUNCTION("""COMPUTED_VALUE"""),0.0)</f>
        <v>0</v>
      </c>
      <c r="AB837" s="447">
        <f>IFERROR(__xludf.DUMMYFUNCTION("""COMPUTED_VALUE"""),0.0)</f>
        <v>0</v>
      </c>
      <c r="AC837" s="447">
        <f>IFERROR(__xludf.DUMMYFUNCTION("""COMPUTED_VALUE"""),0.0)</f>
        <v>0</v>
      </c>
      <c r="AD837" s="447">
        <f>IFERROR(__xludf.DUMMYFUNCTION("""COMPUTED_VALUE"""),48.0)</f>
        <v>48</v>
      </c>
      <c r="AE837" s="447">
        <f>IFERROR(__xludf.DUMMYFUNCTION("""COMPUTED_VALUE"""),6.0)</f>
        <v>6</v>
      </c>
      <c r="AF837" s="447">
        <f>IFERROR(__xludf.DUMMYFUNCTION("""COMPUTED_VALUE"""),1.0)</f>
        <v>1</v>
      </c>
      <c r="AG837" s="443" t="s">
        <v>106</v>
      </c>
      <c r="AH837" s="443" t="s">
        <v>291</v>
      </c>
      <c r="AI837" s="443"/>
      <c r="AJ837" s="443"/>
      <c r="AK837" s="443"/>
      <c r="AL837" s="443"/>
      <c r="AM837" s="443"/>
      <c r="AN837" s="443"/>
      <c r="AO837" s="443"/>
      <c r="AP837" s="443"/>
      <c r="AQ837" s="443"/>
      <c r="AR837" s="443"/>
      <c r="AS837" s="443"/>
      <c r="AT837" s="443"/>
      <c r="AU837" s="443"/>
      <c r="AV837" s="443"/>
      <c r="AW837" s="443"/>
      <c r="AX837" s="443"/>
      <c r="AY837" s="443"/>
      <c r="AZ837" s="443"/>
      <c r="BA837" s="443"/>
      <c r="BB837" s="443"/>
      <c r="BC837" s="443"/>
      <c r="BD837" s="443"/>
      <c r="BE837" s="443"/>
    </row>
    <row r="838" hidden="1">
      <c r="A838" s="445">
        <f t="shared" si="5"/>
        <v>46128</v>
      </c>
      <c r="B838" s="449">
        <v>688.0</v>
      </c>
      <c r="C838" s="462">
        <v>0.5833333333333334</v>
      </c>
      <c r="D838" s="462">
        <v>1.08125</v>
      </c>
      <c r="E838" s="436">
        <f t="array" ref="E838">IF(B838=0,"",(J838+K838)/60)</f>
        <v>2.733333333</v>
      </c>
      <c r="F838" s="437">
        <f t="shared" si="1"/>
        <v>11.95</v>
      </c>
      <c r="G838" s="438">
        <f t="shared" si="9"/>
        <v>57.57322176</v>
      </c>
      <c r="H838" s="438">
        <f t="shared" si="3"/>
        <v>74.64737794</v>
      </c>
      <c r="I838" s="436">
        <f t="shared" si="10"/>
        <v>1.19944212</v>
      </c>
      <c r="J838" s="460">
        <v>65.0</v>
      </c>
      <c r="K838" s="460">
        <v>99.0</v>
      </c>
      <c r="L838" s="443"/>
      <c r="M838" s="447">
        <f>IFERROR(__xludf.DUMMYFUNCTION("""COMPUTED_VALUE"""),57.0)</f>
        <v>57</v>
      </c>
      <c r="N838" s="447">
        <f>IFERROR(__xludf.DUMMYFUNCTION("""COMPUTED_VALUE"""),56.0)</f>
        <v>56</v>
      </c>
      <c r="O838" s="447">
        <f>IFERROR(__xludf.DUMMYFUNCTION("""COMPUTED_VALUE"""),0.0)</f>
        <v>0</v>
      </c>
      <c r="P838" s="447">
        <f>IFERROR(__xludf.DUMMYFUNCTION("""COMPUTED_VALUE"""),1.0)</f>
        <v>1</v>
      </c>
      <c r="Q838" s="447">
        <f>IFERROR(__xludf.DUMMYFUNCTION("""COMPUTED_VALUE"""),0.0)</f>
        <v>0</v>
      </c>
      <c r="R838" s="447">
        <f>IFERROR(__xludf.DUMMYFUNCTION("""COMPUTED_VALUE"""),0.0)</f>
        <v>0</v>
      </c>
      <c r="S838" s="447">
        <f>IFERROR(__xludf.DUMMYFUNCTION("""COMPUTED_VALUE"""),0.0)</f>
        <v>0</v>
      </c>
      <c r="T838" s="447">
        <f>IFERROR(__xludf.DUMMYFUNCTION("""COMPUTED_VALUE"""),0.0)</f>
        <v>0</v>
      </c>
      <c r="U838" s="447">
        <f>IFERROR(__xludf.DUMMYFUNCTION("""COMPUTED_VALUE"""),1.0)</f>
        <v>1</v>
      </c>
      <c r="V838" s="447">
        <f>IFERROR(__xludf.DUMMYFUNCTION("""COMPUTED_VALUE"""),3.0)</f>
        <v>3</v>
      </c>
      <c r="W838" s="447">
        <f>IFERROR(__xludf.DUMMYFUNCTION("""COMPUTED_VALUE"""),0.0)</f>
        <v>0</v>
      </c>
      <c r="X838" s="447">
        <f>IFERROR(__xludf.DUMMYFUNCTION("""COMPUTED_VALUE"""),1.0)</f>
        <v>1</v>
      </c>
      <c r="Y838" s="447">
        <f>IFERROR(__xludf.DUMMYFUNCTION("""COMPUTED_VALUE"""),0.0)</f>
        <v>0</v>
      </c>
      <c r="Z838" s="447">
        <f>IFERROR(__xludf.DUMMYFUNCTION("""COMPUTED_VALUE"""),0.0)</f>
        <v>0</v>
      </c>
      <c r="AA838" s="447">
        <f>IFERROR(__xludf.DUMMYFUNCTION("""COMPUTED_VALUE"""),0.0)</f>
        <v>0</v>
      </c>
      <c r="AB838" s="447">
        <f>IFERROR(__xludf.DUMMYFUNCTION("""COMPUTED_VALUE"""),0.0)</f>
        <v>0</v>
      </c>
      <c r="AC838" s="447">
        <f>IFERROR(__xludf.DUMMYFUNCTION("""COMPUTED_VALUE"""),0.0)</f>
        <v>0</v>
      </c>
      <c r="AD838" s="447">
        <f>IFERROR(__xludf.DUMMYFUNCTION("""COMPUTED_VALUE"""),48.0)</f>
        <v>48</v>
      </c>
      <c r="AE838" s="447">
        <f>IFERROR(__xludf.DUMMYFUNCTION("""COMPUTED_VALUE"""),6.0)</f>
        <v>6</v>
      </c>
      <c r="AF838" s="447">
        <f>IFERROR(__xludf.DUMMYFUNCTION("""COMPUTED_VALUE"""),1.0)</f>
        <v>1</v>
      </c>
      <c r="AG838" s="443" t="s">
        <v>106</v>
      </c>
      <c r="AH838" s="443" t="s">
        <v>291</v>
      </c>
      <c r="AI838" s="443"/>
      <c r="AJ838" s="443"/>
      <c r="AK838" s="443"/>
      <c r="AL838" s="443"/>
      <c r="AM838" s="443"/>
      <c r="AN838" s="443"/>
      <c r="AO838" s="443"/>
      <c r="AP838" s="443"/>
      <c r="AQ838" s="443"/>
      <c r="AR838" s="443"/>
      <c r="AS838" s="443"/>
      <c r="AT838" s="443"/>
      <c r="AU838" s="443"/>
      <c r="AV838" s="443"/>
      <c r="AW838" s="443"/>
      <c r="AX838" s="443"/>
      <c r="AY838" s="443"/>
      <c r="AZ838" s="443"/>
      <c r="BA838" s="443"/>
      <c r="BB838" s="443"/>
      <c r="BC838" s="443"/>
      <c r="BD838" s="443"/>
      <c r="BE838" s="443"/>
    </row>
    <row r="839" hidden="1">
      <c r="A839" s="445">
        <f t="shared" si="5"/>
        <v>46129</v>
      </c>
      <c r="B839" s="449">
        <v>573.0</v>
      </c>
      <c r="C839" s="462">
        <v>0.5833333333333334</v>
      </c>
      <c r="D839" s="462">
        <v>0.9715277777777778</v>
      </c>
      <c r="E839" s="436">
        <f t="array" ref="E839">IF(B839=0,"",(J839+K839)/60)</f>
        <v>1.4</v>
      </c>
      <c r="F839" s="437">
        <f t="shared" si="1"/>
        <v>9.316666667</v>
      </c>
      <c r="G839" s="438">
        <f t="shared" si="9"/>
        <v>61.50268336</v>
      </c>
      <c r="H839" s="438">
        <f t="shared" si="3"/>
        <v>72.37894737</v>
      </c>
      <c r="I839" s="436">
        <f t="shared" si="10"/>
        <v>1.281305903</v>
      </c>
      <c r="J839" s="460">
        <v>30.0</v>
      </c>
      <c r="K839" s="460">
        <v>54.0</v>
      </c>
      <c r="L839" s="449" t="s">
        <v>1016</v>
      </c>
      <c r="M839" s="447">
        <f>IFERROR(__xludf.DUMMYFUNCTION("""COMPUTED_VALUE"""),57.0)</f>
        <v>57</v>
      </c>
      <c r="N839" s="447">
        <f>IFERROR(__xludf.DUMMYFUNCTION("""COMPUTED_VALUE"""),55.0)</f>
        <v>55</v>
      </c>
      <c r="O839" s="447">
        <f>IFERROR(__xludf.DUMMYFUNCTION("""COMPUTED_VALUE"""),0.0)</f>
        <v>0</v>
      </c>
      <c r="P839" s="447">
        <f>IFERROR(__xludf.DUMMYFUNCTION("""COMPUTED_VALUE"""),0.0)</f>
        <v>0</v>
      </c>
      <c r="Q839" s="447">
        <f>IFERROR(__xludf.DUMMYFUNCTION("""COMPUTED_VALUE"""),0.0)</f>
        <v>0</v>
      </c>
      <c r="R839" s="447">
        <f>IFERROR(__xludf.DUMMYFUNCTION("""COMPUTED_VALUE"""),0.0)</f>
        <v>0</v>
      </c>
      <c r="S839" s="447">
        <f>IFERROR(__xludf.DUMMYFUNCTION("""COMPUTED_VALUE"""),0.0)</f>
        <v>0</v>
      </c>
      <c r="T839" s="447">
        <f>IFERROR(__xludf.DUMMYFUNCTION("""COMPUTED_VALUE"""),0.0)</f>
        <v>0</v>
      </c>
      <c r="U839" s="447">
        <f>IFERROR(__xludf.DUMMYFUNCTION("""COMPUTED_VALUE"""),2.0)</f>
        <v>2</v>
      </c>
      <c r="V839" s="447">
        <f>IFERROR(__xludf.DUMMYFUNCTION("""COMPUTED_VALUE"""),3.0)</f>
        <v>3</v>
      </c>
      <c r="W839" s="447">
        <f>IFERROR(__xludf.DUMMYFUNCTION("""COMPUTED_VALUE"""),0.0)</f>
        <v>0</v>
      </c>
      <c r="X839" s="447">
        <f>IFERROR(__xludf.DUMMYFUNCTION("""COMPUTED_VALUE"""),1.0)</f>
        <v>1</v>
      </c>
      <c r="Y839" s="447">
        <f>IFERROR(__xludf.DUMMYFUNCTION("""COMPUTED_VALUE"""),0.0)</f>
        <v>0</v>
      </c>
      <c r="Z839" s="447">
        <f>IFERROR(__xludf.DUMMYFUNCTION("""COMPUTED_VALUE"""),0.0)</f>
        <v>0</v>
      </c>
      <c r="AA839" s="447">
        <f>IFERROR(__xludf.DUMMYFUNCTION("""COMPUTED_VALUE"""),0.0)</f>
        <v>0</v>
      </c>
      <c r="AB839" s="447">
        <f>IFERROR(__xludf.DUMMYFUNCTION("""COMPUTED_VALUE"""),0.0)</f>
        <v>0</v>
      </c>
      <c r="AC839" s="447">
        <f>IFERROR(__xludf.DUMMYFUNCTION("""COMPUTED_VALUE"""),0.0)</f>
        <v>0</v>
      </c>
      <c r="AD839" s="447">
        <f>IFERROR(__xludf.DUMMYFUNCTION("""COMPUTED_VALUE"""),48.0)</f>
        <v>48</v>
      </c>
      <c r="AE839" s="447">
        <f>IFERROR(__xludf.DUMMYFUNCTION("""COMPUTED_VALUE"""),6.0)</f>
        <v>6</v>
      </c>
      <c r="AF839" s="447">
        <f>IFERROR(__xludf.DUMMYFUNCTION("""COMPUTED_VALUE"""),2.0)</f>
        <v>2</v>
      </c>
      <c r="AG839" s="443" t="s">
        <v>106</v>
      </c>
      <c r="AH839" s="443" t="s">
        <v>291</v>
      </c>
      <c r="AI839" s="443"/>
      <c r="AJ839" s="443"/>
      <c r="AK839" s="443"/>
      <c r="AL839" s="443"/>
      <c r="AM839" s="443"/>
      <c r="AN839" s="443"/>
      <c r="AO839" s="443"/>
      <c r="AP839" s="443"/>
      <c r="AQ839" s="443"/>
      <c r="AR839" s="443"/>
      <c r="AS839" s="443"/>
      <c r="AT839" s="443"/>
      <c r="AU839" s="443"/>
      <c r="AV839" s="443"/>
      <c r="AW839" s="443"/>
      <c r="AX839" s="443"/>
      <c r="AY839" s="443"/>
      <c r="AZ839" s="443"/>
      <c r="BA839" s="443"/>
      <c r="BB839" s="443"/>
      <c r="BC839" s="443"/>
      <c r="BD839" s="443"/>
      <c r="BE839" s="443"/>
    </row>
    <row r="840" hidden="1">
      <c r="A840" s="445">
        <f t="shared" si="5"/>
        <v>46130</v>
      </c>
      <c r="B840" s="449">
        <v>292.0</v>
      </c>
      <c r="C840" s="462">
        <v>0.625</v>
      </c>
      <c r="D840" s="462">
        <v>0.8229166666666666</v>
      </c>
      <c r="E840" s="436">
        <f t="array" ref="E840">IF(B840=0,"",(J840+K840)/60)</f>
        <v>0.3833333333</v>
      </c>
      <c r="F840" s="437">
        <f t="shared" si="1"/>
        <v>4.75</v>
      </c>
      <c r="G840" s="438">
        <f t="shared" si="9"/>
        <v>61.47368421</v>
      </c>
      <c r="H840" s="438">
        <f t="shared" si="3"/>
        <v>66.87022901</v>
      </c>
      <c r="I840" s="436">
        <f t="shared" si="10"/>
        <v>1.307950728</v>
      </c>
      <c r="J840" s="460">
        <v>0.0</v>
      </c>
      <c r="K840" s="460">
        <v>23.0</v>
      </c>
      <c r="L840" s="443"/>
      <c r="M840" s="447">
        <f>IFERROR(__xludf.DUMMYFUNCTION("""COMPUTED_VALUE"""),57.0)</f>
        <v>57</v>
      </c>
      <c r="N840" s="447">
        <f>IFERROR(__xludf.DUMMYFUNCTION("""COMPUTED_VALUE"""),55.0)</f>
        <v>55</v>
      </c>
      <c r="O840" s="447">
        <f>IFERROR(__xludf.DUMMYFUNCTION("""COMPUTED_VALUE"""),0.0)</f>
        <v>0</v>
      </c>
      <c r="P840" s="447">
        <f>IFERROR(__xludf.DUMMYFUNCTION("""COMPUTED_VALUE"""),0.0)</f>
        <v>0</v>
      </c>
      <c r="Q840" s="447">
        <f>IFERROR(__xludf.DUMMYFUNCTION("""COMPUTED_VALUE"""),0.0)</f>
        <v>0</v>
      </c>
      <c r="R840" s="447">
        <f>IFERROR(__xludf.DUMMYFUNCTION("""COMPUTED_VALUE"""),0.0)</f>
        <v>0</v>
      </c>
      <c r="S840" s="447">
        <f>IFERROR(__xludf.DUMMYFUNCTION("""COMPUTED_VALUE"""),0.0)</f>
        <v>0</v>
      </c>
      <c r="T840" s="447">
        <f>IFERROR(__xludf.DUMMYFUNCTION("""COMPUTED_VALUE"""),0.0)</f>
        <v>0</v>
      </c>
      <c r="U840" s="447">
        <f>IFERROR(__xludf.DUMMYFUNCTION("""COMPUTED_VALUE"""),2.0)</f>
        <v>2</v>
      </c>
      <c r="V840" s="447">
        <f>IFERROR(__xludf.DUMMYFUNCTION("""COMPUTED_VALUE"""),3.0)</f>
        <v>3</v>
      </c>
      <c r="W840" s="447">
        <f>IFERROR(__xludf.DUMMYFUNCTION("""COMPUTED_VALUE"""),0.0)</f>
        <v>0</v>
      </c>
      <c r="X840" s="447">
        <f>IFERROR(__xludf.DUMMYFUNCTION("""COMPUTED_VALUE"""),1.0)</f>
        <v>1</v>
      </c>
      <c r="Y840" s="447">
        <f>IFERROR(__xludf.DUMMYFUNCTION("""COMPUTED_VALUE"""),0.0)</f>
        <v>0</v>
      </c>
      <c r="Z840" s="447">
        <f>IFERROR(__xludf.DUMMYFUNCTION("""COMPUTED_VALUE"""),0.0)</f>
        <v>0</v>
      </c>
      <c r="AA840" s="447">
        <f>IFERROR(__xludf.DUMMYFUNCTION("""COMPUTED_VALUE"""),0.0)</f>
        <v>0</v>
      </c>
      <c r="AB840" s="447">
        <f>IFERROR(__xludf.DUMMYFUNCTION("""COMPUTED_VALUE"""),0.0)</f>
        <v>0</v>
      </c>
      <c r="AC840" s="447">
        <f>IFERROR(__xludf.DUMMYFUNCTION("""COMPUTED_VALUE"""),1.0)</f>
        <v>1</v>
      </c>
      <c r="AD840" s="447">
        <f>IFERROR(__xludf.DUMMYFUNCTION("""COMPUTED_VALUE"""),47.0)</f>
        <v>47</v>
      </c>
      <c r="AE840" s="447">
        <f>IFERROR(__xludf.DUMMYFUNCTION("""COMPUTED_VALUE"""),7.0)</f>
        <v>7</v>
      </c>
      <c r="AF840" s="447">
        <f>IFERROR(__xludf.DUMMYFUNCTION("""COMPUTED_VALUE"""),2.0)</f>
        <v>2</v>
      </c>
      <c r="AG840" s="443" t="s">
        <v>106</v>
      </c>
      <c r="AH840" s="443" t="s">
        <v>291</v>
      </c>
      <c r="AI840" s="443"/>
      <c r="AJ840" s="443"/>
      <c r="AK840" s="443"/>
      <c r="AL840" s="443"/>
      <c r="AM840" s="443"/>
      <c r="AN840" s="443"/>
      <c r="AO840" s="443"/>
      <c r="AP840" s="443"/>
      <c r="AQ840" s="443"/>
      <c r="AR840" s="443"/>
      <c r="AS840" s="443"/>
      <c r="AT840" s="443"/>
      <c r="AU840" s="443"/>
      <c r="AV840" s="443"/>
      <c r="AW840" s="443"/>
      <c r="AX840" s="443"/>
      <c r="AY840" s="443"/>
      <c r="AZ840" s="443"/>
      <c r="BA840" s="443"/>
      <c r="BB840" s="443"/>
      <c r="BC840" s="443"/>
      <c r="BD840" s="443"/>
      <c r="BE840" s="443"/>
    </row>
    <row r="841" hidden="1">
      <c r="A841" s="445">
        <f t="shared" si="5"/>
        <v>46131</v>
      </c>
      <c r="B841" s="449">
        <v>0.0</v>
      </c>
      <c r="C841" s="462"/>
      <c r="D841" s="462"/>
      <c r="E841" s="436" t="str">
        <f t="array" ref="E841">IF(B841=0,"",(J841+K841)/60)</f>
        <v/>
      </c>
      <c r="F841" s="437" t="str">
        <f t="shared" si="1"/>
        <v/>
      </c>
      <c r="G841" s="438" t="str">
        <f t="shared" si="9"/>
        <v>#DIV/0!</v>
      </c>
      <c r="H841" s="438" t="str">
        <f t="shared" si="3"/>
        <v/>
      </c>
      <c r="I841" s="436" t="str">
        <f t="shared" si="10"/>
        <v/>
      </c>
      <c r="J841" s="460"/>
      <c r="K841" s="460"/>
      <c r="L841" s="449"/>
      <c r="M841" s="447">
        <f>IFERROR(__xludf.DUMMYFUNCTION("""COMPUTED_VALUE"""),57.0)</f>
        <v>57</v>
      </c>
      <c r="N841" s="447">
        <f>IFERROR(__xludf.DUMMYFUNCTION("""COMPUTED_VALUE"""),57.0)</f>
        <v>57</v>
      </c>
      <c r="O841" s="447">
        <f>IFERROR(__xludf.DUMMYFUNCTION("""COMPUTED_VALUE"""),0.0)</f>
        <v>0</v>
      </c>
      <c r="P841" s="447">
        <f>IFERROR(__xludf.DUMMYFUNCTION("""COMPUTED_VALUE"""),0.0)</f>
        <v>0</v>
      </c>
      <c r="Q841" s="447">
        <f>IFERROR(__xludf.DUMMYFUNCTION("""COMPUTED_VALUE"""),0.0)</f>
        <v>0</v>
      </c>
      <c r="R841" s="447">
        <f>IFERROR(__xludf.DUMMYFUNCTION("""COMPUTED_VALUE"""),0.0)</f>
        <v>0</v>
      </c>
      <c r="S841" s="447">
        <f>IFERROR(__xludf.DUMMYFUNCTION("""COMPUTED_VALUE"""),0.0)</f>
        <v>0</v>
      </c>
      <c r="T841" s="447">
        <f>IFERROR(__xludf.DUMMYFUNCTION("""COMPUTED_VALUE"""),0.0)</f>
        <v>0</v>
      </c>
      <c r="U841" s="447">
        <f>IFERROR(__xludf.DUMMYFUNCTION("""COMPUTED_VALUE"""),0.0)</f>
        <v>0</v>
      </c>
      <c r="V841" s="447">
        <f>IFERROR(__xludf.DUMMYFUNCTION("""COMPUTED_VALUE"""),0.0)</f>
        <v>0</v>
      </c>
      <c r="W841" s="447">
        <f>IFERROR(__xludf.DUMMYFUNCTION("""COMPUTED_VALUE"""),0.0)</f>
        <v>0</v>
      </c>
      <c r="X841" s="447">
        <f>IFERROR(__xludf.DUMMYFUNCTION("""COMPUTED_VALUE"""),0.0)</f>
        <v>0</v>
      </c>
      <c r="Y841" s="447">
        <f>IFERROR(__xludf.DUMMYFUNCTION("""COMPUTED_VALUE"""),0.0)</f>
        <v>0</v>
      </c>
      <c r="Z841" s="447">
        <f>IFERROR(__xludf.DUMMYFUNCTION("""COMPUTED_VALUE"""),0.0)</f>
        <v>0</v>
      </c>
      <c r="AA841" s="447">
        <f>IFERROR(__xludf.DUMMYFUNCTION("""COMPUTED_VALUE"""),0.0)</f>
        <v>0</v>
      </c>
      <c r="AB841" s="447">
        <f>IFERROR(__xludf.DUMMYFUNCTION("""COMPUTED_VALUE"""),0.0)</f>
        <v>0</v>
      </c>
      <c r="AC841" s="447">
        <f>IFERROR(__xludf.DUMMYFUNCTION("""COMPUTED_VALUE"""),0.0)</f>
        <v>0</v>
      </c>
      <c r="AD841" s="447">
        <f>IFERROR(__xludf.DUMMYFUNCTION("""COMPUTED_VALUE"""),0.0)</f>
        <v>0</v>
      </c>
      <c r="AE841" s="447">
        <f>IFERROR(__xludf.DUMMYFUNCTION("""COMPUTED_VALUE"""),0.0)</f>
        <v>0</v>
      </c>
      <c r="AF841" s="447">
        <f>IFERROR(__xludf.DUMMYFUNCTION("""COMPUTED_VALUE"""),0.0)</f>
        <v>0</v>
      </c>
      <c r="AG841" s="443" t="s">
        <v>106</v>
      </c>
      <c r="AH841" s="443" t="s">
        <v>291</v>
      </c>
      <c r="AI841" s="443"/>
      <c r="AJ841" s="443"/>
      <c r="AK841" s="443"/>
      <c r="AL841" s="443"/>
      <c r="AM841" s="443"/>
      <c r="AN841" s="443"/>
      <c r="AO841" s="443"/>
      <c r="AP841" s="443"/>
      <c r="AQ841" s="443"/>
      <c r="AR841" s="443"/>
      <c r="AS841" s="443"/>
      <c r="AT841" s="443"/>
      <c r="AU841" s="443"/>
      <c r="AV841" s="443"/>
      <c r="AW841" s="443"/>
      <c r="AX841" s="443"/>
      <c r="AY841" s="443"/>
      <c r="AZ841" s="443"/>
      <c r="BA841" s="443"/>
      <c r="BB841" s="443"/>
      <c r="BC841" s="443"/>
      <c r="BD841" s="443"/>
      <c r="BE841" s="443"/>
    </row>
    <row r="842" hidden="1">
      <c r="A842" s="445">
        <f t="shared" si="5"/>
        <v>46132</v>
      </c>
      <c r="B842" s="449">
        <v>613.0</v>
      </c>
      <c r="C842" s="462">
        <v>0.625</v>
      </c>
      <c r="D842" s="462">
        <v>1.0618055555555554</v>
      </c>
      <c r="E842" s="436">
        <f t="array" ref="E842">IF(B842=0,"",(J842+K842)/60)</f>
        <v>1.9</v>
      </c>
      <c r="F842" s="437">
        <f t="shared" si="1"/>
        <v>10.48333333</v>
      </c>
      <c r="G842" s="438">
        <f t="shared" si="9"/>
        <v>58.47376789</v>
      </c>
      <c r="H842" s="438">
        <f t="shared" si="3"/>
        <v>71.41747573</v>
      </c>
      <c r="I842" s="436">
        <f t="shared" si="10"/>
        <v>1.271168867</v>
      </c>
      <c r="J842" s="460">
        <v>30.0</v>
      </c>
      <c r="K842" s="460">
        <v>84.0</v>
      </c>
      <c r="L842" s="449" t="s">
        <v>1017</v>
      </c>
      <c r="M842" s="447">
        <f>IFERROR(__xludf.DUMMYFUNCTION("""COMPUTED_VALUE"""),57.0)</f>
        <v>57</v>
      </c>
      <c r="N842" s="447">
        <f>IFERROR(__xludf.DUMMYFUNCTION("""COMPUTED_VALUE"""),55.0)</f>
        <v>55</v>
      </c>
      <c r="O842" s="447">
        <f>IFERROR(__xludf.DUMMYFUNCTION("""COMPUTED_VALUE"""),1.0)</f>
        <v>1</v>
      </c>
      <c r="P842" s="447">
        <f>IFERROR(__xludf.DUMMYFUNCTION("""COMPUTED_VALUE"""),0.0)</f>
        <v>0</v>
      </c>
      <c r="Q842" s="447">
        <f>IFERROR(__xludf.DUMMYFUNCTION("""COMPUTED_VALUE"""),0.0)</f>
        <v>0</v>
      </c>
      <c r="R842" s="447">
        <f>IFERROR(__xludf.DUMMYFUNCTION("""COMPUTED_VALUE"""),0.0)</f>
        <v>0</v>
      </c>
      <c r="S842" s="447">
        <f>IFERROR(__xludf.DUMMYFUNCTION("""COMPUTED_VALUE"""),1.0)</f>
        <v>1</v>
      </c>
      <c r="T842" s="447">
        <f>IFERROR(__xludf.DUMMYFUNCTION("""COMPUTED_VALUE"""),0.0)</f>
        <v>0</v>
      </c>
      <c r="U842" s="447">
        <f>IFERROR(__xludf.DUMMYFUNCTION("""COMPUTED_VALUE"""),2.0)</f>
        <v>2</v>
      </c>
      <c r="V842" s="447">
        <f>IFERROR(__xludf.DUMMYFUNCTION("""COMPUTED_VALUE"""),3.0)</f>
        <v>3</v>
      </c>
      <c r="W842" s="447">
        <f>IFERROR(__xludf.DUMMYFUNCTION("""COMPUTED_VALUE"""),0.0)</f>
        <v>0</v>
      </c>
      <c r="X842" s="447">
        <f>IFERROR(__xludf.DUMMYFUNCTION("""COMPUTED_VALUE"""),1.0)</f>
        <v>1</v>
      </c>
      <c r="Y842" s="447">
        <f>IFERROR(__xludf.DUMMYFUNCTION("""COMPUTED_VALUE"""),0.0)</f>
        <v>0</v>
      </c>
      <c r="Z842" s="447">
        <f>IFERROR(__xludf.DUMMYFUNCTION("""COMPUTED_VALUE"""),0.0)</f>
        <v>0</v>
      </c>
      <c r="AA842" s="447">
        <f>IFERROR(__xludf.DUMMYFUNCTION("""COMPUTED_VALUE"""),0.0)</f>
        <v>0</v>
      </c>
      <c r="AB842" s="447">
        <f>IFERROR(__xludf.DUMMYFUNCTION("""COMPUTED_VALUE"""),0.0)</f>
        <v>0</v>
      </c>
      <c r="AC842" s="447">
        <f>IFERROR(__xludf.DUMMYFUNCTION("""COMPUTED_VALUE"""),0.0)</f>
        <v>0</v>
      </c>
      <c r="AD842" s="447">
        <f>IFERROR(__xludf.DUMMYFUNCTION("""COMPUTED_VALUE"""),46.0)</f>
        <v>46</v>
      </c>
      <c r="AE842" s="447">
        <f>IFERROR(__xludf.DUMMYFUNCTION("""COMPUTED_VALUE"""),8.0)</f>
        <v>8</v>
      </c>
      <c r="AF842" s="447">
        <f>IFERROR(__xludf.DUMMYFUNCTION("""COMPUTED_VALUE"""),2.0)</f>
        <v>2</v>
      </c>
      <c r="AG842" s="443" t="s">
        <v>106</v>
      </c>
      <c r="AH842" s="443" t="s">
        <v>291</v>
      </c>
      <c r="AI842" s="443"/>
      <c r="AJ842" s="443"/>
      <c r="AK842" s="443"/>
      <c r="AL842" s="443"/>
      <c r="AM842" s="443"/>
      <c r="AN842" s="443"/>
      <c r="AO842" s="443"/>
      <c r="AP842" s="443"/>
      <c r="AQ842" s="443"/>
      <c r="AR842" s="443"/>
      <c r="AS842" s="443"/>
      <c r="AT842" s="443"/>
      <c r="AU842" s="443"/>
      <c r="AV842" s="443"/>
      <c r="AW842" s="443"/>
      <c r="AX842" s="443"/>
      <c r="AY842" s="443"/>
      <c r="AZ842" s="443"/>
      <c r="BA842" s="443"/>
      <c r="BB842" s="443"/>
      <c r="BC842" s="443"/>
      <c r="BD842" s="443"/>
      <c r="BE842" s="443"/>
    </row>
    <row r="843" hidden="1">
      <c r="A843" s="445">
        <f t="shared" si="5"/>
        <v>46133</v>
      </c>
      <c r="B843" s="449">
        <v>496.0</v>
      </c>
      <c r="C843" s="462">
        <v>0.5833333333333334</v>
      </c>
      <c r="D843" s="462">
        <v>0.9486111111111111</v>
      </c>
      <c r="E843" s="436">
        <f t="array" ref="E843">IF(B843=0,"",(J843+K843)/60)</f>
        <v>0.6166666667</v>
      </c>
      <c r="F843" s="437">
        <f t="shared" si="1"/>
        <v>8.766666667</v>
      </c>
      <c r="G843" s="438">
        <f t="shared" si="9"/>
        <v>56.57794677</v>
      </c>
      <c r="H843" s="438">
        <f t="shared" si="3"/>
        <v>60.85889571</v>
      </c>
      <c r="I843" s="436">
        <f t="shared" si="10"/>
        <v>1.229955365</v>
      </c>
      <c r="J843" s="460">
        <v>30.0</v>
      </c>
      <c r="K843" s="460">
        <v>7.0</v>
      </c>
      <c r="L843" s="449" t="s">
        <v>1018</v>
      </c>
      <c r="M843" s="447">
        <f>IFERROR(__xludf.DUMMYFUNCTION("""COMPUTED_VALUE"""),57.0)</f>
        <v>57</v>
      </c>
      <c r="N843" s="447">
        <f>IFERROR(__xludf.DUMMYFUNCTION("""COMPUTED_VALUE"""),55.0)</f>
        <v>55</v>
      </c>
      <c r="O843" s="447">
        <f>IFERROR(__xludf.DUMMYFUNCTION("""COMPUTED_VALUE"""),0.0)</f>
        <v>0</v>
      </c>
      <c r="P843" s="447">
        <f>IFERROR(__xludf.DUMMYFUNCTION("""COMPUTED_VALUE"""),0.0)</f>
        <v>0</v>
      </c>
      <c r="Q843" s="447">
        <f>IFERROR(__xludf.DUMMYFUNCTION("""COMPUTED_VALUE"""),0.0)</f>
        <v>0</v>
      </c>
      <c r="R843" s="447">
        <f>IFERROR(__xludf.DUMMYFUNCTION("""COMPUTED_VALUE"""),0.0)</f>
        <v>0</v>
      </c>
      <c r="S843" s="447">
        <f>IFERROR(__xludf.DUMMYFUNCTION("""COMPUTED_VALUE"""),2.0)</f>
        <v>2</v>
      </c>
      <c r="T843" s="447">
        <f>IFERROR(__xludf.DUMMYFUNCTION("""COMPUTED_VALUE"""),0.0)</f>
        <v>0</v>
      </c>
      <c r="U843" s="447">
        <f>IFERROR(__xludf.DUMMYFUNCTION("""COMPUTED_VALUE"""),2.0)</f>
        <v>2</v>
      </c>
      <c r="V843" s="447">
        <f>IFERROR(__xludf.DUMMYFUNCTION("""COMPUTED_VALUE"""),3.0)</f>
        <v>3</v>
      </c>
      <c r="W843" s="447">
        <f>IFERROR(__xludf.DUMMYFUNCTION("""COMPUTED_VALUE"""),0.0)</f>
        <v>0</v>
      </c>
      <c r="X843" s="447">
        <f>IFERROR(__xludf.DUMMYFUNCTION("""COMPUTED_VALUE"""),1.0)</f>
        <v>1</v>
      </c>
      <c r="Y843" s="447">
        <f>IFERROR(__xludf.DUMMYFUNCTION("""COMPUTED_VALUE"""),0.0)</f>
        <v>0</v>
      </c>
      <c r="Z843" s="447">
        <f>IFERROR(__xludf.DUMMYFUNCTION("""COMPUTED_VALUE"""),0.0)</f>
        <v>0</v>
      </c>
      <c r="AA843" s="447">
        <f>IFERROR(__xludf.DUMMYFUNCTION("""COMPUTED_VALUE"""),0.0)</f>
        <v>0</v>
      </c>
      <c r="AB843" s="447">
        <f>IFERROR(__xludf.DUMMYFUNCTION("""COMPUTED_VALUE"""),0.0)</f>
        <v>0</v>
      </c>
      <c r="AC843" s="447">
        <f>IFERROR(__xludf.DUMMYFUNCTION("""COMPUTED_VALUE"""),0.0)</f>
        <v>0</v>
      </c>
      <c r="AD843" s="447">
        <f>IFERROR(__xludf.DUMMYFUNCTION("""COMPUTED_VALUE"""),46.0)</f>
        <v>46</v>
      </c>
      <c r="AE843" s="447">
        <f>IFERROR(__xludf.DUMMYFUNCTION("""COMPUTED_VALUE"""),8.0)</f>
        <v>8</v>
      </c>
      <c r="AF843" s="447">
        <f>IFERROR(__xludf.DUMMYFUNCTION("""COMPUTED_VALUE"""),2.0)</f>
        <v>2</v>
      </c>
      <c r="AG843" s="443" t="s">
        <v>106</v>
      </c>
      <c r="AH843" s="443" t="s">
        <v>291</v>
      </c>
      <c r="AI843" s="443"/>
      <c r="AJ843" s="443"/>
      <c r="AK843" s="443"/>
      <c r="AL843" s="443"/>
      <c r="AM843" s="443"/>
      <c r="AN843" s="443"/>
      <c r="AO843" s="443"/>
      <c r="AP843" s="443"/>
      <c r="AQ843" s="443"/>
      <c r="AR843" s="443"/>
      <c r="AS843" s="443"/>
      <c r="AT843" s="443"/>
      <c r="AU843" s="443"/>
      <c r="AV843" s="443"/>
      <c r="AW843" s="443"/>
      <c r="AX843" s="443"/>
      <c r="AY843" s="443"/>
      <c r="AZ843" s="443"/>
      <c r="BA843" s="443"/>
      <c r="BB843" s="443"/>
      <c r="BC843" s="443"/>
      <c r="BD843" s="443"/>
      <c r="BE843" s="443"/>
    </row>
    <row r="844" hidden="1">
      <c r="A844" s="445">
        <f t="shared" si="5"/>
        <v>46134</v>
      </c>
      <c r="B844" s="449">
        <v>441.0</v>
      </c>
      <c r="C844" s="462">
        <v>0.625</v>
      </c>
      <c r="D844" s="462">
        <v>0.9326388888888889</v>
      </c>
      <c r="E844" s="436">
        <f t="array" ref="E844">IF(B844=0,"",(J844+K844)/60)</f>
        <v>1.1</v>
      </c>
      <c r="F844" s="437">
        <f t="shared" si="1"/>
        <v>7.383333333</v>
      </c>
      <c r="G844" s="438">
        <f t="shared" si="9"/>
        <v>59.72911964</v>
      </c>
      <c r="H844" s="438">
        <f t="shared" si="3"/>
        <v>70.18567639</v>
      </c>
      <c r="I844" s="436">
        <f t="shared" si="10"/>
        <v>1.270832333</v>
      </c>
      <c r="J844" s="460">
        <v>30.0</v>
      </c>
      <c r="K844" s="460">
        <v>36.0</v>
      </c>
      <c r="L844" s="443"/>
      <c r="M844" s="447">
        <f>IFERROR(__xludf.DUMMYFUNCTION("""COMPUTED_VALUE"""),57.0)</f>
        <v>57</v>
      </c>
      <c r="N844" s="447">
        <f>IFERROR(__xludf.DUMMYFUNCTION("""COMPUTED_VALUE"""),56.0)</f>
        <v>56</v>
      </c>
      <c r="O844" s="447">
        <f>IFERROR(__xludf.DUMMYFUNCTION("""COMPUTED_VALUE"""),0.0)</f>
        <v>0</v>
      </c>
      <c r="P844" s="447">
        <f>IFERROR(__xludf.DUMMYFUNCTION("""COMPUTED_VALUE"""),0.0)</f>
        <v>0</v>
      </c>
      <c r="Q844" s="447">
        <f>IFERROR(__xludf.DUMMYFUNCTION("""COMPUTED_VALUE"""),0.0)</f>
        <v>0</v>
      </c>
      <c r="R844" s="447">
        <f>IFERROR(__xludf.DUMMYFUNCTION("""COMPUTED_VALUE"""),0.0)</f>
        <v>0</v>
      </c>
      <c r="S844" s="447">
        <f>IFERROR(__xludf.DUMMYFUNCTION("""COMPUTED_VALUE"""),1.0)</f>
        <v>1</v>
      </c>
      <c r="T844" s="447">
        <f>IFERROR(__xludf.DUMMYFUNCTION("""COMPUTED_VALUE"""),0.0)</f>
        <v>0</v>
      </c>
      <c r="U844" s="447">
        <f>IFERROR(__xludf.DUMMYFUNCTION("""COMPUTED_VALUE"""),1.0)</f>
        <v>1</v>
      </c>
      <c r="V844" s="447">
        <f>IFERROR(__xludf.DUMMYFUNCTION("""COMPUTED_VALUE"""),3.0)</f>
        <v>3</v>
      </c>
      <c r="W844" s="447">
        <f>IFERROR(__xludf.DUMMYFUNCTION("""COMPUTED_VALUE"""),0.0)</f>
        <v>0</v>
      </c>
      <c r="X844" s="447">
        <f>IFERROR(__xludf.DUMMYFUNCTION("""COMPUTED_VALUE"""),1.0)</f>
        <v>1</v>
      </c>
      <c r="Y844" s="447">
        <f>IFERROR(__xludf.DUMMYFUNCTION("""COMPUTED_VALUE"""),0.0)</f>
        <v>0</v>
      </c>
      <c r="Z844" s="447">
        <f>IFERROR(__xludf.DUMMYFUNCTION("""COMPUTED_VALUE"""),0.0)</f>
        <v>0</v>
      </c>
      <c r="AA844" s="447">
        <f>IFERROR(__xludf.DUMMYFUNCTION("""COMPUTED_VALUE"""),0.0)</f>
        <v>0</v>
      </c>
      <c r="AB844" s="447">
        <f>IFERROR(__xludf.DUMMYFUNCTION("""COMPUTED_VALUE"""),0.0)</f>
        <v>0</v>
      </c>
      <c r="AC844" s="447">
        <f>IFERROR(__xludf.DUMMYFUNCTION("""COMPUTED_VALUE"""),1.0)</f>
        <v>1</v>
      </c>
      <c r="AD844" s="447">
        <f>IFERROR(__xludf.DUMMYFUNCTION("""COMPUTED_VALUE"""),47.0)</f>
        <v>47</v>
      </c>
      <c r="AE844" s="447">
        <f>IFERROR(__xludf.DUMMYFUNCTION("""COMPUTED_VALUE"""),7.0)</f>
        <v>7</v>
      </c>
      <c r="AF844" s="447">
        <f>IFERROR(__xludf.DUMMYFUNCTION("""COMPUTED_VALUE"""),1.0)</f>
        <v>1</v>
      </c>
      <c r="AG844" s="443" t="s">
        <v>106</v>
      </c>
      <c r="AH844" s="443" t="s">
        <v>291</v>
      </c>
      <c r="AI844" s="443"/>
      <c r="AJ844" s="443"/>
      <c r="AK844" s="443"/>
      <c r="AL844" s="443"/>
      <c r="AM844" s="443"/>
      <c r="AN844" s="443"/>
      <c r="AO844" s="443"/>
      <c r="AP844" s="443"/>
      <c r="AQ844" s="443"/>
      <c r="AR844" s="443"/>
      <c r="AS844" s="443"/>
      <c r="AT844" s="443"/>
      <c r="AU844" s="443"/>
      <c r="AV844" s="443"/>
      <c r="AW844" s="443"/>
      <c r="AX844" s="443"/>
      <c r="AY844" s="443"/>
      <c r="AZ844" s="443"/>
      <c r="BA844" s="443"/>
      <c r="BB844" s="443"/>
      <c r="BC844" s="443"/>
      <c r="BD844" s="443"/>
      <c r="BE844" s="443"/>
    </row>
    <row r="845" hidden="1">
      <c r="A845" s="445">
        <f t="shared" si="5"/>
        <v>46135</v>
      </c>
      <c r="B845" s="449">
        <v>496.0</v>
      </c>
      <c r="C845" s="462">
        <v>0.5833333333333334</v>
      </c>
      <c r="D845" s="462">
        <v>0.9118055555555555</v>
      </c>
      <c r="E845" s="436">
        <f t="array" ref="E845">IF(B845=0,"",(J845+K845)/60)</f>
        <v>0.6333333333</v>
      </c>
      <c r="F845" s="437">
        <f t="shared" si="1"/>
        <v>7.883333333</v>
      </c>
      <c r="G845" s="438">
        <f t="shared" si="9"/>
        <v>62.91754757</v>
      </c>
      <c r="H845" s="438">
        <f t="shared" si="3"/>
        <v>68.4137931</v>
      </c>
      <c r="I845" s="436">
        <f t="shared" si="10"/>
        <v>1.310782241</v>
      </c>
      <c r="J845" s="460">
        <v>30.0</v>
      </c>
      <c r="K845" s="460">
        <v>8.0</v>
      </c>
      <c r="L845" s="443"/>
      <c r="M845" s="447">
        <f>IFERROR(__xludf.DUMMYFUNCTION("""COMPUTED_VALUE"""),57.0)</f>
        <v>57</v>
      </c>
      <c r="N845" s="447">
        <f>IFERROR(__xludf.DUMMYFUNCTION("""COMPUTED_VALUE"""),56.0)</f>
        <v>56</v>
      </c>
      <c r="O845" s="447">
        <f>IFERROR(__xludf.DUMMYFUNCTION("""COMPUTED_VALUE"""),0.0)</f>
        <v>0</v>
      </c>
      <c r="P845" s="447">
        <f>IFERROR(__xludf.DUMMYFUNCTION("""COMPUTED_VALUE"""),0.0)</f>
        <v>0</v>
      </c>
      <c r="Q845" s="447">
        <f>IFERROR(__xludf.DUMMYFUNCTION("""COMPUTED_VALUE"""),0.0)</f>
        <v>0</v>
      </c>
      <c r="R845" s="447">
        <f>IFERROR(__xludf.DUMMYFUNCTION("""COMPUTED_VALUE"""),0.0)</f>
        <v>0</v>
      </c>
      <c r="S845" s="447">
        <f>IFERROR(__xludf.DUMMYFUNCTION("""COMPUTED_VALUE"""),1.0)</f>
        <v>1</v>
      </c>
      <c r="T845" s="447">
        <f>IFERROR(__xludf.DUMMYFUNCTION("""COMPUTED_VALUE"""),0.0)</f>
        <v>0</v>
      </c>
      <c r="U845" s="447">
        <f>IFERROR(__xludf.DUMMYFUNCTION("""COMPUTED_VALUE"""),1.0)</f>
        <v>1</v>
      </c>
      <c r="V845" s="447">
        <f>IFERROR(__xludf.DUMMYFUNCTION("""COMPUTED_VALUE"""),3.0)</f>
        <v>3</v>
      </c>
      <c r="W845" s="447">
        <f>IFERROR(__xludf.DUMMYFUNCTION("""COMPUTED_VALUE"""),0.0)</f>
        <v>0</v>
      </c>
      <c r="X845" s="447">
        <f>IFERROR(__xludf.DUMMYFUNCTION("""COMPUTED_VALUE"""),1.0)</f>
        <v>1</v>
      </c>
      <c r="Y845" s="447">
        <f>IFERROR(__xludf.DUMMYFUNCTION("""COMPUTED_VALUE"""),0.0)</f>
        <v>0</v>
      </c>
      <c r="Z845" s="447">
        <f>IFERROR(__xludf.DUMMYFUNCTION("""COMPUTED_VALUE"""),0.0)</f>
        <v>0</v>
      </c>
      <c r="AA845" s="447">
        <f>IFERROR(__xludf.DUMMYFUNCTION("""COMPUTED_VALUE"""),0.0)</f>
        <v>0</v>
      </c>
      <c r="AB845" s="447">
        <f>IFERROR(__xludf.DUMMYFUNCTION("""COMPUTED_VALUE"""),0.0)</f>
        <v>0</v>
      </c>
      <c r="AC845" s="447">
        <f>IFERROR(__xludf.DUMMYFUNCTION("""COMPUTED_VALUE"""),0.0)</f>
        <v>0</v>
      </c>
      <c r="AD845" s="447">
        <f>IFERROR(__xludf.DUMMYFUNCTION("""COMPUTED_VALUE"""),48.0)</f>
        <v>48</v>
      </c>
      <c r="AE845" s="447">
        <f>IFERROR(__xludf.DUMMYFUNCTION("""COMPUTED_VALUE"""),6.0)</f>
        <v>6</v>
      </c>
      <c r="AF845" s="447">
        <f>IFERROR(__xludf.DUMMYFUNCTION("""COMPUTED_VALUE"""),1.0)</f>
        <v>1</v>
      </c>
      <c r="AG845" s="443" t="s">
        <v>106</v>
      </c>
      <c r="AH845" s="443" t="s">
        <v>291</v>
      </c>
      <c r="AI845" s="443"/>
      <c r="AJ845" s="443"/>
      <c r="AK845" s="443"/>
      <c r="AL845" s="443"/>
      <c r="AM845" s="443"/>
      <c r="AN845" s="443"/>
      <c r="AO845" s="443"/>
      <c r="AP845" s="443"/>
      <c r="AQ845" s="443"/>
      <c r="AR845" s="443"/>
      <c r="AS845" s="443"/>
      <c r="AT845" s="443"/>
      <c r="AU845" s="443"/>
      <c r="AV845" s="443"/>
      <c r="AW845" s="443"/>
      <c r="AX845" s="443"/>
      <c r="AY845" s="443"/>
      <c r="AZ845" s="443"/>
      <c r="BA845" s="443"/>
      <c r="BB845" s="443"/>
      <c r="BC845" s="443"/>
      <c r="BD845" s="443"/>
      <c r="BE845" s="443"/>
    </row>
    <row r="846" hidden="1">
      <c r="A846" s="445">
        <f t="shared" si="5"/>
        <v>46136</v>
      </c>
      <c r="B846" s="449">
        <v>407.0</v>
      </c>
      <c r="C846" s="462">
        <v>0.625</v>
      </c>
      <c r="D846" s="462">
        <v>0.9138888888888889</v>
      </c>
      <c r="E846" s="436">
        <f t="array" ref="E846">IF(B846=0,"",(J846+K846)/60)</f>
        <v>0.7333333333</v>
      </c>
      <c r="F846" s="437">
        <f t="shared" si="1"/>
        <v>6.933333333</v>
      </c>
      <c r="G846" s="438">
        <f t="shared" si="9"/>
        <v>58.70192308</v>
      </c>
      <c r="H846" s="438">
        <f t="shared" si="3"/>
        <v>65.64516129</v>
      </c>
      <c r="I846" s="436">
        <f t="shared" si="10"/>
        <v>1.19799843</v>
      </c>
      <c r="J846" s="460">
        <v>30.0</v>
      </c>
      <c r="K846" s="460">
        <v>14.0</v>
      </c>
      <c r="L846" s="443"/>
      <c r="M846" s="447">
        <f>IFERROR(__xludf.DUMMYFUNCTION("""COMPUTED_VALUE"""),57.0)</f>
        <v>57</v>
      </c>
      <c r="N846" s="447">
        <f>IFERROR(__xludf.DUMMYFUNCTION("""COMPUTED_VALUE"""),56.0)</f>
        <v>56</v>
      </c>
      <c r="O846" s="447">
        <f>IFERROR(__xludf.DUMMYFUNCTION("""COMPUTED_VALUE"""),0.0)</f>
        <v>0</v>
      </c>
      <c r="P846" s="447">
        <f>IFERROR(__xludf.DUMMYFUNCTION("""COMPUTED_VALUE"""),0.0)</f>
        <v>0</v>
      </c>
      <c r="Q846" s="447">
        <f>IFERROR(__xludf.DUMMYFUNCTION("""COMPUTED_VALUE"""),0.0)</f>
        <v>0</v>
      </c>
      <c r="R846" s="447">
        <f>IFERROR(__xludf.DUMMYFUNCTION("""COMPUTED_VALUE"""),0.0)</f>
        <v>0</v>
      </c>
      <c r="S846" s="447">
        <f>IFERROR(__xludf.DUMMYFUNCTION("""COMPUTED_VALUE"""),0.0)</f>
        <v>0</v>
      </c>
      <c r="T846" s="447">
        <f>IFERROR(__xludf.DUMMYFUNCTION("""COMPUTED_VALUE"""),0.0)</f>
        <v>0</v>
      </c>
      <c r="U846" s="447">
        <f>IFERROR(__xludf.DUMMYFUNCTION("""COMPUTED_VALUE"""),1.0)</f>
        <v>1</v>
      </c>
      <c r="V846" s="447">
        <f>IFERROR(__xludf.DUMMYFUNCTION("""COMPUTED_VALUE"""),3.0)</f>
        <v>3</v>
      </c>
      <c r="W846" s="447">
        <f>IFERROR(__xludf.DUMMYFUNCTION("""COMPUTED_VALUE"""),0.0)</f>
        <v>0</v>
      </c>
      <c r="X846" s="447">
        <f>IFERROR(__xludf.DUMMYFUNCTION("""COMPUTED_VALUE"""),1.0)</f>
        <v>1</v>
      </c>
      <c r="Y846" s="447">
        <f>IFERROR(__xludf.DUMMYFUNCTION("""COMPUTED_VALUE"""),0.0)</f>
        <v>0</v>
      </c>
      <c r="Z846" s="447">
        <f>IFERROR(__xludf.DUMMYFUNCTION("""COMPUTED_VALUE"""),0.0)</f>
        <v>0</v>
      </c>
      <c r="AA846" s="447">
        <f>IFERROR(__xludf.DUMMYFUNCTION("""COMPUTED_VALUE"""),0.0)</f>
        <v>0</v>
      </c>
      <c r="AB846" s="447">
        <f>IFERROR(__xludf.DUMMYFUNCTION("""COMPUTED_VALUE"""),0.0)</f>
        <v>0</v>
      </c>
      <c r="AC846" s="447">
        <f>IFERROR(__xludf.DUMMYFUNCTION("""COMPUTED_VALUE"""),0.0)</f>
        <v>0</v>
      </c>
      <c r="AD846" s="447">
        <f>IFERROR(__xludf.DUMMYFUNCTION("""COMPUTED_VALUE"""),49.0)</f>
        <v>49</v>
      </c>
      <c r="AE846" s="447">
        <f>IFERROR(__xludf.DUMMYFUNCTION("""COMPUTED_VALUE"""),5.0)</f>
        <v>5</v>
      </c>
      <c r="AF846" s="447">
        <f>IFERROR(__xludf.DUMMYFUNCTION("""COMPUTED_VALUE"""),1.0)</f>
        <v>1</v>
      </c>
      <c r="AG846" s="443" t="s">
        <v>106</v>
      </c>
      <c r="AH846" s="443" t="s">
        <v>291</v>
      </c>
      <c r="AI846" s="443"/>
      <c r="AJ846" s="443"/>
      <c r="AK846" s="443"/>
      <c r="AL846" s="443"/>
      <c r="AM846" s="443"/>
      <c r="AN846" s="443"/>
      <c r="AO846" s="443"/>
      <c r="AP846" s="443"/>
      <c r="AQ846" s="443"/>
      <c r="AR846" s="443"/>
      <c r="AS846" s="443"/>
      <c r="AT846" s="443"/>
      <c r="AU846" s="443"/>
      <c r="AV846" s="443"/>
      <c r="AW846" s="443"/>
      <c r="AX846" s="443"/>
      <c r="AY846" s="443"/>
      <c r="AZ846" s="443"/>
      <c r="BA846" s="443"/>
      <c r="BB846" s="443"/>
      <c r="BC846" s="443"/>
      <c r="BD846" s="443"/>
      <c r="BE846" s="443"/>
    </row>
    <row r="847" hidden="1">
      <c r="A847" s="445">
        <f t="shared" si="5"/>
        <v>46137</v>
      </c>
      <c r="B847" s="449">
        <v>307.0</v>
      </c>
      <c r="C847" s="462">
        <v>0.625</v>
      </c>
      <c r="D847" s="462">
        <v>0.8361111111111111</v>
      </c>
      <c r="E847" s="436">
        <f t="array" ref="E847">IF(B847=0,"",(J847+K847)/60)</f>
        <v>0</v>
      </c>
      <c r="F847" s="437">
        <f t="shared" si="1"/>
        <v>5.066666667</v>
      </c>
      <c r="G847" s="438">
        <f t="shared" si="9"/>
        <v>60.59210526</v>
      </c>
      <c r="H847" s="438">
        <f t="shared" si="3"/>
        <v>60.59210526</v>
      </c>
      <c r="I847" s="436">
        <f t="shared" si="10"/>
        <v>1.262335526</v>
      </c>
      <c r="J847" s="460">
        <v>0.0</v>
      </c>
      <c r="K847" s="460">
        <v>0.0</v>
      </c>
      <c r="L847" s="449"/>
      <c r="M847" s="447">
        <f>IFERROR(__xludf.DUMMYFUNCTION("""COMPUTED_VALUE"""),57.0)</f>
        <v>57</v>
      </c>
      <c r="N847" s="447">
        <f>IFERROR(__xludf.DUMMYFUNCTION("""COMPUTED_VALUE"""),55.0)</f>
        <v>55</v>
      </c>
      <c r="O847" s="447">
        <f>IFERROR(__xludf.DUMMYFUNCTION("""COMPUTED_VALUE"""),0.0)</f>
        <v>0</v>
      </c>
      <c r="P847" s="447">
        <f>IFERROR(__xludf.DUMMYFUNCTION("""COMPUTED_VALUE"""),0.0)</f>
        <v>0</v>
      </c>
      <c r="Q847" s="447">
        <f>IFERROR(__xludf.DUMMYFUNCTION("""COMPUTED_VALUE"""),0.0)</f>
        <v>0</v>
      </c>
      <c r="R847" s="447">
        <f>IFERROR(__xludf.DUMMYFUNCTION("""COMPUTED_VALUE"""),1.0)</f>
        <v>1</v>
      </c>
      <c r="S847" s="447">
        <f>IFERROR(__xludf.DUMMYFUNCTION("""COMPUTED_VALUE"""),1.0)</f>
        <v>1</v>
      </c>
      <c r="T847" s="447">
        <f>IFERROR(__xludf.DUMMYFUNCTION("""COMPUTED_VALUE"""),0.0)</f>
        <v>0</v>
      </c>
      <c r="U847" s="447">
        <f>IFERROR(__xludf.DUMMYFUNCTION("""COMPUTED_VALUE"""),1.0)</f>
        <v>1</v>
      </c>
      <c r="V847" s="447">
        <f>IFERROR(__xludf.DUMMYFUNCTION("""COMPUTED_VALUE"""),3.0)</f>
        <v>3</v>
      </c>
      <c r="W847" s="447">
        <f>IFERROR(__xludf.DUMMYFUNCTION("""COMPUTED_VALUE"""),0.0)</f>
        <v>0</v>
      </c>
      <c r="X847" s="447">
        <f>IFERROR(__xludf.DUMMYFUNCTION("""COMPUTED_VALUE"""),1.0)</f>
        <v>1</v>
      </c>
      <c r="Y847" s="447">
        <f>IFERROR(__xludf.DUMMYFUNCTION("""COMPUTED_VALUE"""),0.0)</f>
        <v>0</v>
      </c>
      <c r="Z847" s="447">
        <f>IFERROR(__xludf.DUMMYFUNCTION("""COMPUTED_VALUE"""),0.0)</f>
        <v>0</v>
      </c>
      <c r="AA847" s="447">
        <f>IFERROR(__xludf.DUMMYFUNCTION("""COMPUTED_VALUE"""),0.0)</f>
        <v>0</v>
      </c>
      <c r="AB847" s="447">
        <f>IFERROR(__xludf.DUMMYFUNCTION("""COMPUTED_VALUE"""),0.0)</f>
        <v>0</v>
      </c>
      <c r="AC847" s="447">
        <f>IFERROR(__xludf.DUMMYFUNCTION("""COMPUTED_VALUE"""),0.0)</f>
        <v>0</v>
      </c>
      <c r="AD847" s="447">
        <f>IFERROR(__xludf.DUMMYFUNCTION("""COMPUTED_VALUE"""),48.0)</f>
        <v>48</v>
      </c>
      <c r="AE847" s="447">
        <f>IFERROR(__xludf.DUMMYFUNCTION("""COMPUTED_VALUE"""),6.0)</f>
        <v>6</v>
      </c>
      <c r="AF847" s="447">
        <f>IFERROR(__xludf.DUMMYFUNCTION("""COMPUTED_VALUE"""),2.0)</f>
        <v>2</v>
      </c>
      <c r="AG847" s="443" t="s">
        <v>106</v>
      </c>
      <c r="AH847" s="443" t="s">
        <v>291</v>
      </c>
      <c r="AI847" s="443"/>
      <c r="AJ847" s="443"/>
      <c r="AK847" s="443"/>
      <c r="AL847" s="443"/>
      <c r="AM847" s="443"/>
      <c r="AN847" s="443"/>
      <c r="AO847" s="443"/>
      <c r="AP847" s="443"/>
      <c r="AQ847" s="443"/>
      <c r="AR847" s="443"/>
      <c r="AS847" s="443"/>
      <c r="AT847" s="443"/>
      <c r="AU847" s="443"/>
      <c r="AV847" s="443"/>
      <c r="AW847" s="443"/>
      <c r="AX847" s="443"/>
      <c r="AY847" s="443"/>
      <c r="AZ847" s="443"/>
      <c r="BA847" s="443"/>
      <c r="BB847" s="443"/>
      <c r="BC847" s="443"/>
      <c r="BD847" s="443"/>
      <c r="BE847" s="443"/>
    </row>
    <row r="848" hidden="1">
      <c r="A848" s="445">
        <f t="shared" si="5"/>
        <v>46138</v>
      </c>
      <c r="B848" s="449">
        <v>0.0</v>
      </c>
      <c r="C848" s="443"/>
      <c r="D848" s="462"/>
      <c r="E848" s="436" t="str">
        <f t="array" ref="E848">IF(B848=0,"",(J848+K848)/60)</f>
        <v/>
      </c>
      <c r="F848" s="437" t="str">
        <f t="shared" si="1"/>
        <v/>
      </c>
      <c r="G848" s="438" t="str">
        <f t="shared" si="9"/>
        <v>#DIV/0!</v>
      </c>
      <c r="H848" s="438" t="str">
        <f t="shared" si="3"/>
        <v/>
      </c>
      <c r="I848" s="436" t="str">
        <f t="shared" si="10"/>
        <v/>
      </c>
      <c r="J848" s="464"/>
      <c r="K848" s="464"/>
      <c r="L848" s="443"/>
      <c r="M848" s="447">
        <f>IFERROR(__xludf.DUMMYFUNCTION("""COMPUTED_VALUE"""),57.0)</f>
        <v>57</v>
      </c>
      <c r="N848" s="447">
        <f>IFERROR(__xludf.DUMMYFUNCTION("""COMPUTED_VALUE"""),57.0)</f>
        <v>57</v>
      </c>
      <c r="O848" s="447">
        <f>IFERROR(__xludf.DUMMYFUNCTION("""COMPUTED_VALUE"""),0.0)</f>
        <v>0</v>
      </c>
      <c r="P848" s="447">
        <f>IFERROR(__xludf.DUMMYFUNCTION("""COMPUTED_VALUE"""),0.0)</f>
        <v>0</v>
      </c>
      <c r="Q848" s="447">
        <f>IFERROR(__xludf.DUMMYFUNCTION("""COMPUTED_VALUE"""),0.0)</f>
        <v>0</v>
      </c>
      <c r="R848" s="447">
        <f>IFERROR(__xludf.DUMMYFUNCTION("""COMPUTED_VALUE"""),0.0)</f>
        <v>0</v>
      </c>
      <c r="S848" s="447">
        <f>IFERROR(__xludf.DUMMYFUNCTION("""COMPUTED_VALUE"""),0.0)</f>
        <v>0</v>
      </c>
      <c r="T848" s="447">
        <f>IFERROR(__xludf.DUMMYFUNCTION("""COMPUTED_VALUE"""),0.0)</f>
        <v>0</v>
      </c>
      <c r="U848" s="447">
        <f>IFERROR(__xludf.DUMMYFUNCTION("""COMPUTED_VALUE"""),0.0)</f>
        <v>0</v>
      </c>
      <c r="V848" s="447">
        <f>IFERROR(__xludf.DUMMYFUNCTION("""COMPUTED_VALUE"""),0.0)</f>
        <v>0</v>
      </c>
      <c r="W848" s="447">
        <f>IFERROR(__xludf.DUMMYFUNCTION("""COMPUTED_VALUE"""),0.0)</f>
        <v>0</v>
      </c>
      <c r="X848" s="447">
        <f>IFERROR(__xludf.DUMMYFUNCTION("""COMPUTED_VALUE"""),0.0)</f>
        <v>0</v>
      </c>
      <c r="Y848" s="447">
        <f>IFERROR(__xludf.DUMMYFUNCTION("""COMPUTED_VALUE"""),0.0)</f>
        <v>0</v>
      </c>
      <c r="Z848" s="447">
        <f>IFERROR(__xludf.DUMMYFUNCTION("""COMPUTED_VALUE"""),0.0)</f>
        <v>0</v>
      </c>
      <c r="AA848" s="447">
        <f>IFERROR(__xludf.DUMMYFUNCTION("""COMPUTED_VALUE"""),0.0)</f>
        <v>0</v>
      </c>
      <c r="AB848" s="447">
        <f>IFERROR(__xludf.DUMMYFUNCTION("""COMPUTED_VALUE"""),0.0)</f>
        <v>0</v>
      </c>
      <c r="AC848" s="447">
        <f>IFERROR(__xludf.DUMMYFUNCTION("""COMPUTED_VALUE"""),0.0)</f>
        <v>0</v>
      </c>
      <c r="AD848" s="447">
        <f>IFERROR(__xludf.DUMMYFUNCTION("""COMPUTED_VALUE"""),0.0)</f>
        <v>0</v>
      </c>
      <c r="AE848" s="447">
        <f>IFERROR(__xludf.DUMMYFUNCTION("""COMPUTED_VALUE"""),0.0)</f>
        <v>0</v>
      </c>
      <c r="AF848" s="447">
        <f>IFERROR(__xludf.DUMMYFUNCTION("""COMPUTED_VALUE"""),0.0)</f>
        <v>0</v>
      </c>
      <c r="AG848" s="443" t="s">
        <v>106</v>
      </c>
      <c r="AH848" s="443" t="s">
        <v>291</v>
      </c>
      <c r="AI848" s="443"/>
      <c r="AJ848" s="443"/>
      <c r="AK848" s="443"/>
      <c r="AL848" s="443"/>
      <c r="AM848" s="443"/>
      <c r="AN848" s="443"/>
      <c r="AO848" s="443"/>
      <c r="AP848" s="443"/>
      <c r="AQ848" s="443"/>
      <c r="AR848" s="443"/>
      <c r="AS848" s="443"/>
      <c r="AT848" s="443"/>
      <c r="AU848" s="443"/>
      <c r="AV848" s="443"/>
      <c r="AW848" s="443"/>
      <c r="AX848" s="443"/>
      <c r="AY848" s="443"/>
      <c r="AZ848" s="443"/>
      <c r="BA848" s="443"/>
      <c r="BB848" s="443"/>
      <c r="BC848" s="443"/>
      <c r="BD848" s="443"/>
      <c r="BE848" s="443"/>
    </row>
    <row r="849" hidden="1">
      <c r="A849" s="445">
        <f t="shared" si="5"/>
        <v>46139</v>
      </c>
      <c r="B849" s="449">
        <v>452.0</v>
      </c>
      <c r="C849" s="462">
        <v>0.5833333333333334</v>
      </c>
      <c r="D849" s="462">
        <v>0.8833333333333333</v>
      </c>
      <c r="E849" s="436">
        <f t="array" ref="E849">IF(B849=0,"",(J849+K849)/60)</f>
        <v>0.6333333333</v>
      </c>
      <c r="F849" s="437">
        <f t="shared" si="1"/>
        <v>7.2</v>
      </c>
      <c r="G849" s="438">
        <f t="shared" si="9"/>
        <v>62.77777778</v>
      </c>
      <c r="H849" s="438">
        <f t="shared" si="3"/>
        <v>68.83248731</v>
      </c>
      <c r="I849" s="436">
        <f t="shared" si="10"/>
        <v>1.3356974</v>
      </c>
      <c r="J849" s="460">
        <v>30.0</v>
      </c>
      <c r="K849" s="460">
        <v>8.0</v>
      </c>
      <c r="L849" s="449" t="s">
        <v>1019</v>
      </c>
      <c r="M849" s="447">
        <f>IFERROR(__xludf.DUMMYFUNCTION("""COMPUTED_VALUE"""),57.0)</f>
        <v>57</v>
      </c>
      <c r="N849" s="447">
        <f>IFERROR(__xludf.DUMMYFUNCTION("""COMPUTED_VALUE"""),55.0)</f>
        <v>55</v>
      </c>
      <c r="O849" s="447">
        <f>IFERROR(__xludf.DUMMYFUNCTION("""COMPUTED_VALUE"""),0.0)</f>
        <v>0</v>
      </c>
      <c r="P849" s="447">
        <f>IFERROR(__xludf.DUMMYFUNCTION("""COMPUTED_VALUE"""),0.0)</f>
        <v>0</v>
      </c>
      <c r="Q849" s="447">
        <f>IFERROR(__xludf.DUMMYFUNCTION("""COMPUTED_VALUE"""),0.0)</f>
        <v>0</v>
      </c>
      <c r="R849" s="447">
        <f>IFERROR(__xludf.DUMMYFUNCTION("""COMPUTED_VALUE"""),0.0)</f>
        <v>0</v>
      </c>
      <c r="S849" s="447">
        <f>IFERROR(__xludf.DUMMYFUNCTION("""COMPUTED_VALUE"""),1.0)</f>
        <v>1</v>
      </c>
      <c r="T849" s="447">
        <f>IFERROR(__xludf.DUMMYFUNCTION("""COMPUTED_VALUE"""),0.0)</f>
        <v>0</v>
      </c>
      <c r="U849" s="447">
        <f>IFERROR(__xludf.DUMMYFUNCTION("""COMPUTED_VALUE"""),2.0)</f>
        <v>2</v>
      </c>
      <c r="V849" s="447">
        <f>IFERROR(__xludf.DUMMYFUNCTION("""COMPUTED_VALUE"""),3.0)</f>
        <v>3</v>
      </c>
      <c r="W849" s="447">
        <f>IFERROR(__xludf.DUMMYFUNCTION("""COMPUTED_VALUE"""),0.0)</f>
        <v>0</v>
      </c>
      <c r="X849" s="447">
        <f>IFERROR(__xludf.DUMMYFUNCTION("""COMPUTED_VALUE"""),1.0)</f>
        <v>1</v>
      </c>
      <c r="Y849" s="447">
        <f>IFERROR(__xludf.DUMMYFUNCTION("""COMPUTED_VALUE"""),0.0)</f>
        <v>0</v>
      </c>
      <c r="Z849" s="447">
        <f>IFERROR(__xludf.DUMMYFUNCTION("""COMPUTED_VALUE"""),0.0)</f>
        <v>0</v>
      </c>
      <c r="AA849" s="447">
        <f>IFERROR(__xludf.DUMMYFUNCTION("""COMPUTED_VALUE"""),0.0)</f>
        <v>0</v>
      </c>
      <c r="AB849" s="447">
        <f>IFERROR(__xludf.DUMMYFUNCTION("""COMPUTED_VALUE"""),0.0)</f>
        <v>0</v>
      </c>
      <c r="AC849" s="447">
        <f>IFERROR(__xludf.DUMMYFUNCTION("""COMPUTED_VALUE"""),0.0)</f>
        <v>0</v>
      </c>
      <c r="AD849" s="447">
        <f>IFERROR(__xludf.DUMMYFUNCTION("""COMPUTED_VALUE"""),47.0)</f>
        <v>47</v>
      </c>
      <c r="AE849" s="447">
        <f>IFERROR(__xludf.DUMMYFUNCTION("""COMPUTED_VALUE"""),7.0)</f>
        <v>7</v>
      </c>
      <c r="AF849" s="447">
        <f>IFERROR(__xludf.DUMMYFUNCTION("""COMPUTED_VALUE"""),2.0)</f>
        <v>2</v>
      </c>
      <c r="AG849" s="443" t="s">
        <v>106</v>
      </c>
      <c r="AH849" s="443" t="s">
        <v>291</v>
      </c>
      <c r="AI849" s="443"/>
      <c r="AJ849" s="443"/>
      <c r="AK849" s="443"/>
      <c r="AL849" s="443"/>
      <c r="AM849" s="443"/>
      <c r="AN849" s="443"/>
      <c r="AO849" s="443"/>
      <c r="AP849" s="443"/>
      <c r="AQ849" s="443"/>
      <c r="AR849" s="443"/>
      <c r="AS849" s="443"/>
      <c r="AT849" s="443"/>
      <c r="AU849" s="443"/>
      <c r="AV849" s="443"/>
      <c r="AW849" s="443"/>
      <c r="AX849" s="443"/>
      <c r="AY849" s="443"/>
      <c r="AZ849" s="443"/>
      <c r="BA849" s="443"/>
      <c r="BB849" s="443"/>
      <c r="BC849" s="443"/>
      <c r="BD849" s="443"/>
      <c r="BE849" s="443"/>
    </row>
    <row r="850" hidden="1">
      <c r="A850" s="445">
        <f t="shared" si="5"/>
        <v>46140</v>
      </c>
      <c r="B850" s="449">
        <v>557.0</v>
      </c>
      <c r="C850" s="462">
        <v>0.5833333333333334</v>
      </c>
      <c r="D850" s="462">
        <v>0.9583333333333334</v>
      </c>
      <c r="E850" s="436">
        <f t="array" ref="E850">IF(B850=0,"",(J850+K850)/60)</f>
        <v>0.6333333333</v>
      </c>
      <c r="F850" s="437">
        <f t="shared" si="1"/>
        <v>9</v>
      </c>
      <c r="G850" s="438">
        <f t="shared" si="9"/>
        <v>61.88888889</v>
      </c>
      <c r="H850" s="438">
        <f t="shared" si="3"/>
        <v>66.57370518</v>
      </c>
      <c r="I850" s="436">
        <f t="shared" si="10"/>
        <v>1.31678487</v>
      </c>
      <c r="J850" s="460">
        <v>30.0</v>
      </c>
      <c r="K850" s="460">
        <v>8.0</v>
      </c>
      <c r="L850" s="443"/>
      <c r="M850" s="447">
        <f>IFERROR(__xludf.DUMMYFUNCTION("""COMPUTED_VALUE"""),57.0)</f>
        <v>57</v>
      </c>
      <c r="N850" s="447">
        <f>IFERROR(__xludf.DUMMYFUNCTION("""COMPUTED_VALUE"""),55.0)</f>
        <v>55</v>
      </c>
      <c r="O850" s="447">
        <f>IFERROR(__xludf.DUMMYFUNCTION("""COMPUTED_VALUE"""),0.0)</f>
        <v>0</v>
      </c>
      <c r="P850" s="447">
        <f>IFERROR(__xludf.DUMMYFUNCTION("""COMPUTED_VALUE"""),2.0)</f>
        <v>2</v>
      </c>
      <c r="Q850" s="447">
        <f>IFERROR(__xludf.DUMMYFUNCTION("""COMPUTED_VALUE"""),0.0)</f>
        <v>0</v>
      </c>
      <c r="R850" s="447">
        <f>IFERROR(__xludf.DUMMYFUNCTION("""COMPUTED_VALUE"""),0.0)</f>
        <v>0</v>
      </c>
      <c r="S850" s="447">
        <f>IFERROR(__xludf.DUMMYFUNCTION("""COMPUTED_VALUE"""),1.0)</f>
        <v>1</v>
      </c>
      <c r="T850" s="447">
        <f>IFERROR(__xludf.DUMMYFUNCTION("""COMPUTED_VALUE"""),0.0)</f>
        <v>0</v>
      </c>
      <c r="U850" s="447">
        <f>IFERROR(__xludf.DUMMYFUNCTION("""COMPUTED_VALUE"""),2.0)</f>
        <v>2</v>
      </c>
      <c r="V850" s="447">
        <f>IFERROR(__xludf.DUMMYFUNCTION("""COMPUTED_VALUE"""),0.0)</f>
        <v>0</v>
      </c>
      <c r="W850" s="447">
        <f>IFERROR(__xludf.DUMMYFUNCTION("""COMPUTED_VALUE"""),0.0)</f>
        <v>0</v>
      </c>
      <c r="X850" s="447">
        <f>IFERROR(__xludf.DUMMYFUNCTION("""COMPUTED_VALUE"""),1.0)</f>
        <v>1</v>
      </c>
      <c r="Y850" s="447">
        <f>IFERROR(__xludf.DUMMYFUNCTION("""COMPUTED_VALUE"""),0.0)</f>
        <v>0</v>
      </c>
      <c r="Z850" s="447">
        <f>IFERROR(__xludf.DUMMYFUNCTION("""COMPUTED_VALUE"""),0.0)</f>
        <v>0</v>
      </c>
      <c r="AA850" s="447">
        <f>IFERROR(__xludf.DUMMYFUNCTION("""COMPUTED_VALUE"""),1.0)</f>
        <v>1</v>
      </c>
      <c r="AB850" s="447">
        <f>IFERROR(__xludf.DUMMYFUNCTION("""COMPUTED_VALUE"""),0.0)</f>
        <v>0</v>
      </c>
      <c r="AC850" s="447">
        <f>IFERROR(__xludf.DUMMYFUNCTION("""COMPUTED_VALUE"""),0.0)</f>
        <v>0</v>
      </c>
      <c r="AD850" s="447">
        <f>IFERROR(__xludf.DUMMYFUNCTION("""COMPUTED_VALUE"""),47.0)</f>
        <v>47</v>
      </c>
      <c r="AE850" s="447">
        <f>IFERROR(__xludf.DUMMYFUNCTION("""COMPUTED_VALUE"""),7.0)</f>
        <v>7</v>
      </c>
      <c r="AF850" s="447">
        <f>IFERROR(__xludf.DUMMYFUNCTION("""COMPUTED_VALUE"""),2.0)</f>
        <v>2</v>
      </c>
      <c r="AG850" s="443" t="s">
        <v>106</v>
      </c>
      <c r="AH850" s="443" t="s">
        <v>291</v>
      </c>
      <c r="AI850" s="443"/>
      <c r="AJ850" s="443"/>
      <c r="AK850" s="443"/>
      <c r="AL850" s="443"/>
      <c r="AM850" s="443"/>
      <c r="AN850" s="443"/>
      <c r="AO850" s="443"/>
      <c r="AP850" s="443"/>
      <c r="AQ850" s="443"/>
      <c r="AR850" s="443"/>
      <c r="AS850" s="443"/>
      <c r="AT850" s="443"/>
      <c r="AU850" s="443"/>
      <c r="AV850" s="443"/>
      <c r="AW850" s="443"/>
      <c r="AX850" s="443"/>
      <c r="AY850" s="443"/>
      <c r="AZ850" s="443"/>
      <c r="BA850" s="443"/>
      <c r="BB850" s="443"/>
      <c r="BC850" s="443"/>
      <c r="BD850" s="443"/>
      <c r="BE850" s="443"/>
    </row>
    <row r="851" hidden="1">
      <c r="A851" s="445">
        <f t="shared" si="5"/>
        <v>46141</v>
      </c>
      <c r="B851" s="449">
        <v>454.0</v>
      </c>
      <c r="C851" s="462">
        <v>0.5833333333333334</v>
      </c>
      <c r="D851" s="462">
        <v>0.90625</v>
      </c>
      <c r="E851" s="436">
        <f t="array" ref="E851">IF(B851=0,"",(J851+K851)/60)</f>
        <v>0.8833333333</v>
      </c>
      <c r="F851" s="437">
        <f t="shared" si="1"/>
        <v>7.75</v>
      </c>
      <c r="G851" s="438">
        <f t="shared" si="9"/>
        <v>58.58064516</v>
      </c>
      <c r="H851" s="438">
        <f t="shared" si="3"/>
        <v>66.11650485</v>
      </c>
      <c r="I851" s="436">
        <f t="shared" si="10"/>
        <v>1.195523371</v>
      </c>
      <c r="J851" s="460">
        <v>30.0</v>
      </c>
      <c r="K851" s="460">
        <v>23.0</v>
      </c>
      <c r="L851" s="449" t="s">
        <v>1020</v>
      </c>
      <c r="M851" s="447">
        <f>IFERROR(__xludf.DUMMYFUNCTION("""COMPUTED_VALUE"""),57.0)</f>
        <v>57</v>
      </c>
      <c r="N851" s="447">
        <f>IFERROR(__xludf.DUMMYFUNCTION("""COMPUTED_VALUE"""),56.0)</f>
        <v>56</v>
      </c>
      <c r="O851" s="447">
        <f>IFERROR(__xludf.DUMMYFUNCTION("""COMPUTED_VALUE"""),0.0)</f>
        <v>0</v>
      </c>
      <c r="P851" s="447">
        <f>IFERROR(__xludf.DUMMYFUNCTION("""COMPUTED_VALUE"""),0.0)</f>
        <v>0</v>
      </c>
      <c r="Q851" s="447">
        <f>IFERROR(__xludf.DUMMYFUNCTION("""COMPUTED_VALUE"""),0.0)</f>
        <v>0</v>
      </c>
      <c r="R851" s="447">
        <f>IFERROR(__xludf.DUMMYFUNCTION("""COMPUTED_VALUE"""),0.0)</f>
        <v>0</v>
      </c>
      <c r="S851" s="447">
        <f>IFERROR(__xludf.DUMMYFUNCTION("""COMPUTED_VALUE"""),2.0)</f>
        <v>2</v>
      </c>
      <c r="T851" s="447">
        <f>IFERROR(__xludf.DUMMYFUNCTION("""COMPUTED_VALUE"""),0.0)</f>
        <v>0</v>
      </c>
      <c r="U851" s="447">
        <f>IFERROR(__xludf.DUMMYFUNCTION("""COMPUTED_VALUE"""),1.0)</f>
        <v>1</v>
      </c>
      <c r="V851" s="447">
        <f>IFERROR(__xludf.DUMMYFUNCTION("""COMPUTED_VALUE"""),1.0)</f>
        <v>1</v>
      </c>
      <c r="W851" s="447">
        <f>IFERROR(__xludf.DUMMYFUNCTION("""COMPUTED_VALUE"""),0.0)</f>
        <v>0</v>
      </c>
      <c r="X851" s="447">
        <f>IFERROR(__xludf.DUMMYFUNCTION("""COMPUTED_VALUE"""),1.0)</f>
        <v>1</v>
      </c>
      <c r="Y851" s="447">
        <f>IFERROR(__xludf.DUMMYFUNCTION("""COMPUTED_VALUE"""),0.0)</f>
        <v>0</v>
      </c>
      <c r="Z851" s="447">
        <f>IFERROR(__xludf.DUMMYFUNCTION("""COMPUTED_VALUE"""),0.0)</f>
        <v>0</v>
      </c>
      <c r="AA851" s="447">
        <f>IFERROR(__xludf.DUMMYFUNCTION("""COMPUTED_VALUE"""),0.0)</f>
        <v>0</v>
      </c>
      <c r="AB851" s="447">
        <f>IFERROR(__xludf.DUMMYFUNCTION("""COMPUTED_VALUE"""),0.0)</f>
        <v>0</v>
      </c>
      <c r="AC851" s="447">
        <f>IFERROR(__xludf.DUMMYFUNCTION("""COMPUTED_VALUE"""),0.0)</f>
        <v>0</v>
      </c>
      <c r="AD851" s="447">
        <f>IFERROR(__xludf.DUMMYFUNCTION("""COMPUTED_VALUE"""),49.0)</f>
        <v>49</v>
      </c>
      <c r="AE851" s="447">
        <f>IFERROR(__xludf.DUMMYFUNCTION("""COMPUTED_VALUE"""),5.0)</f>
        <v>5</v>
      </c>
      <c r="AF851" s="447">
        <f>IFERROR(__xludf.DUMMYFUNCTION("""COMPUTED_VALUE"""),1.0)</f>
        <v>1</v>
      </c>
      <c r="AG851" s="443" t="s">
        <v>106</v>
      </c>
      <c r="AH851" s="443" t="s">
        <v>291</v>
      </c>
      <c r="AI851" s="443"/>
      <c r="AJ851" s="443"/>
      <c r="AK851" s="443"/>
      <c r="AL851" s="443"/>
      <c r="AM851" s="443"/>
      <c r="AN851" s="443"/>
      <c r="AO851" s="443"/>
      <c r="AP851" s="443"/>
      <c r="AQ851" s="443"/>
      <c r="AR851" s="443"/>
      <c r="AS851" s="443"/>
      <c r="AT851" s="443"/>
      <c r="AU851" s="443"/>
      <c r="AV851" s="443"/>
      <c r="AW851" s="443"/>
      <c r="AX851" s="443"/>
      <c r="AY851" s="443"/>
      <c r="AZ851" s="443"/>
      <c r="BA851" s="443"/>
      <c r="BB851" s="443"/>
      <c r="BC851" s="443"/>
      <c r="BD851" s="443"/>
      <c r="BE851" s="443"/>
    </row>
    <row r="852" hidden="1">
      <c r="A852" s="445">
        <f t="shared" si="5"/>
        <v>46142</v>
      </c>
      <c r="B852" s="449">
        <v>418.0</v>
      </c>
      <c r="C852" s="462">
        <v>0.5833333333333334</v>
      </c>
      <c r="D852" s="462">
        <v>0.8833333333333333</v>
      </c>
      <c r="E852" s="436">
        <f t="array" ref="E852">IF(B852=0,"",(J852+K852)/60)</f>
        <v>1.233333333</v>
      </c>
      <c r="F852" s="437">
        <f t="shared" si="1"/>
        <v>7.2</v>
      </c>
      <c r="G852" s="438">
        <f t="shared" si="9"/>
        <v>58.05555556</v>
      </c>
      <c r="H852" s="438">
        <f t="shared" si="3"/>
        <v>70.05586592</v>
      </c>
      <c r="I852" s="436">
        <f t="shared" si="10"/>
        <v>1.184807256</v>
      </c>
      <c r="J852" s="460">
        <v>30.0</v>
      </c>
      <c r="K852" s="460">
        <v>44.0</v>
      </c>
      <c r="L852" s="449" t="s">
        <v>1021</v>
      </c>
      <c r="M852" s="447">
        <f>IFERROR(__xludf.DUMMYFUNCTION("""COMPUTED_VALUE"""),57.0)</f>
        <v>57</v>
      </c>
      <c r="N852" s="447">
        <f>IFERROR(__xludf.DUMMYFUNCTION("""COMPUTED_VALUE"""),56.0)</f>
        <v>56</v>
      </c>
      <c r="O852" s="447">
        <f>IFERROR(__xludf.DUMMYFUNCTION("""COMPUTED_VALUE"""),0.0)</f>
        <v>0</v>
      </c>
      <c r="P852" s="447">
        <f>IFERROR(__xludf.DUMMYFUNCTION("""COMPUTED_VALUE"""),0.0)</f>
        <v>0</v>
      </c>
      <c r="Q852" s="447">
        <f>IFERROR(__xludf.DUMMYFUNCTION("""COMPUTED_VALUE"""),1.0)</f>
        <v>1</v>
      </c>
      <c r="R852" s="447">
        <f>IFERROR(__xludf.DUMMYFUNCTION("""COMPUTED_VALUE"""),0.0)</f>
        <v>0</v>
      </c>
      <c r="S852" s="447">
        <f>IFERROR(__xludf.DUMMYFUNCTION("""COMPUTED_VALUE"""),1.0)</f>
        <v>1</v>
      </c>
      <c r="T852" s="447">
        <f>IFERROR(__xludf.DUMMYFUNCTION("""COMPUTED_VALUE"""),0.0)</f>
        <v>0</v>
      </c>
      <c r="U852" s="447">
        <f>IFERROR(__xludf.DUMMYFUNCTION("""COMPUTED_VALUE"""),1.0)</f>
        <v>1</v>
      </c>
      <c r="V852" s="447">
        <f>IFERROR(__xludf.DUMMYFUNCTION("""COMPUTED_VALUE"""),1.0)</f>
        <v>1</v>
      </c>
      <c r="W852" s="447">
        <f>IFERROR(__xludf.DUMMYFUNCTION("""COMPUTED_VALUE"""),0.0)</f>
        <v>0</v>
      </c>
      <c r="X852" s="447">
        <f>IFERROR(__xludf.DUMMYFUNCTION("""COMPUTED_VALUE"""),1.0)</f>
        <v>1</v>
      </c>
      <c r="Y852" s="447">
        <f>IFERROR(__xludf.DUMMYFUNCTION("""COMPUTED_VALUE"""),0.0)</f>
        <v>0</v>
      </c>
      <c r="Z852" s="447">
        <f>IFERROR(__xludf.DUMMYFUNCTION("""COMPUTED_VALUE"""),0.0)</f>
        <v>0</v>
      </c>
      <c r="AA852" s="447">
        <f>IFERROR(__xludf.DUMMYFUNCTION("""COMPUTED_VALUE"""),0.0)</f>
        <v>0</v>
      </c>
      <c r="AB852" s="447">
        <f>IFERROR(__xludf.DUMMYFUNCTION("""COMPUTED_VALUE"""),0.0)</f>
        <v>0</v>
      </c>
      <c r="AC852" s="447">
        <f>IFERROR(__xludf.DUMMYFUNCTION("""COMPUTED_VALUE"""),0.0)</f>
        <v>0</v>
      </c>
      <c r="AD852" s="447">
        <f>IFERROR(__xludf.DUMMYFUNCTION("""COMPUTED_VALUE"""),49.0)</f>
        <v>49</v>
      </c>
      <c r="AE852" s="447">
        <f>IFERROR(__xludf.DUMMYFUNCTION("""COMPUTED_VALUE"""),5.0)</f>
        <v>5</v>
      </c>
      <c r="AF852" s="447">
        <f>IFERROR(__xludf.DUMMYFUNCTION("""COMPUTED_VALUE"""),1.0)</f>
        <v>1</v>
      </c>
      <c r="AG852" s="443" t="s">
        <v>106</v>
      </c>
      <c r="AH852" s="443" t="s">
        <v>291</v>
      </c>
      <c r="AI852" s="443"/>
      <c r="AJ852" s="443"/>
      <c r="AK852" s="443"/>
      <c r="AL852" s="443"/>
      <c r="AM852" s="443"/>
      <c r="AN852" s="443"/>
      <c r="AO852" s="443"/>
      <c r="AP852" s="443"/>
      <c r="AQ852" s="443"/>
      <c r="AR852" s="443"/>
      <c r="AS852" s="443"/>
      <c r="AT852" s="443"/>
      <c r="AU852" s="443"/>
      <c r="AV852" s="443"/>
      <c r="AW852" s="443"/>
      <c r="AX852" s="443"/>
      <c r="AY852" s="443"/>
      <c r="AZ852" s="443"/>
      <c r="BA852" s="443"/>
      <c r="BB852" s="443"/>
      <c r="BC852" s="443"/>
      <c r="BD852" s="443"/>
      <c r="BE852" s="443"/>
    </row>
    <row r="853" hidden="1">
      <c r="A853" s="445">
        <f t="shared" si="5"/>
        <v>46143</v>
      </c>
      <c r="B853" s="449">
        <v>325.0</v>
      </c>
      <c r="C853" s="462">
        <v>0.625</v>
      </c>
      <c r="D853" s="462">
        <v>0.8548611111111111</v>
      </c>
      <c r="E853" s="436">
        <f t="array" ref="E853">IF(B853=0,"",(J853+K853)/60)</f>
        <v>0.75</v>
      </c>
      <c r="F853" s="437">
        <f t="shared" si="1"/>
        <v>5.516666667</v>
      </c>
      <c r="G853" s="438">
        <f t="shared" si="9"/>
        <v>58.91238671</v>
      </c>
      <c r="H853" s="438">
        <f t="shared" si="3"/>
        <v>68.18181818</v>
      </c>
      <c r="I853" s="436">
        <f t="shared" si="10"/>
        <v>1.33891788</v>
      </c>
      <c r="J853" s="460">
        <v>0.0</v>
      </c>
      <c r="K853" s="460">
        <v>45.0</v>
      </c>
      <c r="L853" s="443"/>
      <c r="M853" s="447">
        <f>IFERROR(__xludf.DUMMYFUNCTION("TRANSPOSE(IMPORTRANGE(""https://docs.google.com/spreadsheets/d/1CNeKSHTeNNJnfn5EymHwGg5Mkuk6EcepW7_9QkJxalc/edit#gid=1218471306"",""MAYO 2026!F2:AJ21""))"),57.0)</f>
        <v>57</v>
      </c>
      <c r="N853" s="447">
        <f>IFERROR(__xludf.DUMMYFUNCTION("""COMPUTED_VALUE"""),56.0)</f>
        <v>56</v>
      </c>
      <c r="O853" s="447">
        <f>IFERROR(__xludf.DUMMYFUNCTION("""COMPUTED_VALUE"""),0.0)</f>
        <v>0</v>
      </c>
      <c r="P853" s="447">
        <f>IFERROR(__xludf.DUMMYFUNCTION("""COMPUTED_VALUE"""),0.0)</f>
        <v>0</v>
      </c>
      <c r="Q853" s="447">
        <f>IFERROR(__xludf.DUMMYFUNCTION("""COMPUTED_VALUE"""),1.0)</f>
        <v>1</v>
      </c>
      <c r="R853" s="447">
        <f>IFERROR(__xludf.DUMMYFUNCTION("""COMPUTED_VALUE"""),0.0)</f>
        <v>0</v>
      </c>
      <c r="S853" s="447">
        <f>IFERROR(__xludf.DUMMYFUNCTION("""COMPUTED_VALUE"""),1.0)</f>
        <v>1</v>
      </c>
      <c r="T853" s="447">
        <f>IFERROR(__xludf.DUMMYFUNCTION("""COMPUTED_VALUE"""),0.0)</f>
        <v>0</v>
      </c>
      <c r="U853" s="447">
        <f>IFERROR(__xludf.DUMMYFUNCTION("""COMPUTED_VALUE"""),1.0)</f>
        <v>1</v>
      </c>
      <c r="V853" s="447">
        <f>IFERROR(__xludf.DUMMYFUNCTION("""COMPUTED_VALUE"""),2.0)</f>
        <v>2</v>
      </c>
      <c r="W853" s="447">
        <f>IFERROR(__xludf.DUMMYFUNCTION("""COMPUTED_VALUE"""),0.0)</f>
        <v>0</v>
      </c>
      <c r="X853" s="447">
        <f>IFERROR(__xludf.DUMMYFUNCTION("""COMPUTED_VALUE"""),1.0)</f>
        <v>1</v>
      </c>
      <c r="Y853" s="447">
        <f>IFERROR(__xludf.DUMMYFUNCTION("""COMPUTED_VALUE"""),0.0)</f>
        <v>0</v>
      </c>
      <c r="Z853" s="447">
        <f>IFERROR(__xludf.DUMMYFUNCTION("""COMPUTED_VALUE"""),0.0)</f>
        <v>0</v>
      </c>
      <c r="AA853" s="447">
        <f>IFERROR(__xludf.DUMMYFUNCTION("""COMPUTED_VALUE"""),0.0)</f>
        <v>0</v>
      </c>
      <c r="AB853" s="447">
        <f>IFERROR(__xludf.DUMMYFUNCTION("""COMPUTED_VALUE"""),0.0)</f>
        <v>0</v>
      </c>
      <c r="AC853" s="447">
        <f>IFERROR(__xludf.DUMMYFUNCTION("""COMPUTED_VALUE"""),0.0)</f>
        <v>0</v>
      </c>
      <c r="AD853" s="447">
        <f>IFERROR(__xludf.DUMMYFUNCTION("""COMPUTED_VALUE"""),44.0)</f>
        <v>44</v>
      </c>
      <c r="AE853" s="447">
        <f>IFERROR(__xludf.DUMMYFUNCTION("""COMPUTED_VALUE"""),6.0)</f>
        <v>6</v>
      </c>
      <c r="AF853" s="447">
        <f>IFERROR(__xludf.DUMMYFUNCTION("""COMPUTED_VALUE"""),1.0)</f>
        <v>1</v>
      </c>
      <c r="AG853" s="443" t="s">
        <v>117</v>
      </c>
      <c r="AH853" s="443" t="s">
        <v>291</v>
      </c>
      <c r="AI853" s="443"/>
      <c r="AJ853" s="443"/>
      <c r="AK853" s="443"/>
      <c r="AL853" s="443"/>
      <c r="AM853" s="443"/>
      <c r="AN853" s="443"/>
      <c r="AO853" s="443"/>
      <c r="AP853" s="443"/>
      <c r="AQ853" s="443"/>
      <c r="AR853" s="443"/>
      <c r="AS853" s="443"/>
      <c r="AT853" s="443"/>
      <c r="AU853" s="443"/>
      <c r="AV853" s="443"/>
      <c r="AW853" s="443"/>
      <c r="AX853" s="443"/>
      <c r="AY853" s="443"/>
      <c r="AZ853" s="443"/>
      <c r="BA853" s="443"/>
      <c r="BB853" s="443"/>
      <c r="BC853" s="443"/>
      <c r="BD853" s="443"/>
      <c r="BE853" s="443"/>
    </row>
    <row r="854" hidden="1">
      <c r="A854" s="445">
        <f t="shared" si="5"/>
        <v>46144</v>
      </c>
      <c r="B854" s="449">
        <v>328.0</v>
      </c>
      <c r="C854" s="462">
        <v>0.625</v>
      </c>
      <c r="D854" s="462">
        <v>0.8333333333333334</v>
      </c>
      <c r="E854" s="436">
        <f t="array" ref="E854">IF(B854=0,"",(J854+K854)/60)</f>
        <v>0</v>
      </c>
      <c r="F854" s="437">
        <f t="shared" si="1"/>
        <v>5</v>
      </c>
      <c r="G854" s="438">
        <f t="shared" si="9"/>
        <v>65.6</v>
      </c>
      <c r="H854" s="438">
        <f t="shared" si="3"/>
        <v>65.6</v>
      </c>
      <c r="I854" s="436">
        <f t="shared" si="10"/>
        <v>1.561904762</v>
      </c>
      <c r="J854" s="460">
        <v>0.0</v>
      </c>
      <c r="K854" s="460">
        <v>0.0</v>
      </c>
      <c r="L854" s="443"/>
      <c r="M854" s="447">
        <f>IFERROR(__xludf.DUMMYFUNCTION("""COMPUTED_VALUE"""),57.0)</f>
        <v>57</v>
      </c>
      <c r="N854" s="447">
        <f>IFERROR(__xludf.DUMMYFUNCTION("""COMPUTED_VALUE"""),56.0)</f>
        <v>56</v>
      </c>
      <c r="O854" s="447">
        <f>IFERROR(__xludf.DUMMYFUNCTION("""COMPUTED_VALUE"""),0.0)</f>
        <v>0</v>
      </c>
      <c r="P854" s="447">
        <f>IFERROR(__xludf.DUMMYFUNCTION("""COMPUTED_VALUE"""),1.0)</f>
        <v>1</v>
      </c>
      <c r="Q854" s="447">
        <f>IFERROR(__xludf.DUMMYFUNCTION("""COMPUTED_VALUE"""),2.0)</f>
        <v>2</v>
      </c>
      <c r="R854" s="447">
        <f>IFERROR(__xludf.DUMMYFUNCTION("""COMPUTED_VALUE"""),0.0)</f>
        <v>0</v>
      </c>
      <c r="S854" s="447">
        <f>IFERROR(__xludf.DUMMYFUNCTION("""COMPUTED_VALUE"""),1.0)</f>
        <v>1</v>
      </c>
      <c r="T854" s="447">
        <f>IFERROR(__xludf.DUMMYFUNCTION("""COMPUTED_VALUE"""),0.0)</f>
        <v>0</v>
      </c>
      <c r="U854" s="447">
        <f>IFERROR(__xludf.DUMMYFUNCTION("""COMPUTED_VALUE"""),1.0)</f>
        <v>1</v>
      </c>
      <c r="V854" s="447">
        <f>IFERROR(__xludf.DUMMYFUNCTION("""COMPUTED_VALUE"""),2.0)</f>
        <v>2</v>
      </c>
      <c r="W854" s="447">
        <f>IFERROR(__xludf.DUMMYFUNCTION("""COMPUTED_VALUE"""),0.0)</f>
        <v>0</v>
      </c>
      <c r="X854" s="447">
        <f>IFERROR(__xludf.DUMMYFUNCTION("""COMPUTED_VALUE"""),1.0)</f>
        <v>1</v>
      </c>
      <c r="Y854" s="447">
        <f>IFERROR(__xludf.DUMMYFUNCTION("""COMPUTED_VALUE"""),0.0)</f>
        <v>0</v>
      </c>
      <c r="Z854" s="447">
        <f>IFERROR(__xludf.DUMMYFUNCTION("""COMPUTED_VALUE"""),0.0)</f>
        <v>0</v>
      </c>
      <c r="AA854" s="447">
        <f>IFERROR(__xludf.DUMMYFUNCTION("""COMPUTED_VALUE"""),0.0)</f>
        <v>0</v>
      </c>
      <c r="AB854" s="447">
        <f>IFERROR(__xludf.DUMMYFUNCTION("""COMPUTED_VALUE"""),0.0)</f>
        <v>0</v>
      </c>
      <c r="AC854" s="447">
        <f>IFERROR(__xludf.DUMMYFUNCTION("""COMPUTED_VALUE"""),1.0)</f>
        <v>1</v>
      </c>
      <c r="AD854" s="447">
        <f>IFERROR(__xludf.DUMMYFUNCTION("""COMPUTED_VALUE"""),42.0)</f>
        <v>42</v>
      </c>
      <c r="AE854" s="447">
        <f>IFERROR(__xludf.DUMMYFUNCTION("""COMPUTED_VALUE"""),9.0)</f>
        <v>9</v>
      </c>
      <c r="AF854" s="447">
        <f>IFERROR(__xludf.DUMMYFUNCTION("""COMPUTED_VALUE"""),1.0)</f>
        <v>1</v>
      </c>
      <c r="AG854" s="443" t="s">
        <v>117</v>
      </c>
      <c r="AH854" s="443" t="s">
        <v>291</v>
      </c>
      <c r="AI854" s="443"/>
      <c r="AJ854" s="443"/>
      <c r="AK854" s="443"/>
      <c r="AL854" s="443"/>
      <c r="AM854" s="443"/>
      <c r="AN854" s="443"/>
      <c r="AO854" s="443"/>
      <c r="AP854" s="443"/>
      <c r="AQ854" s="443"/>
      <c r="AR854" s="443"/>
      <c r="AS854" s="443"/>
      <c r="AT854" s="443"/>
      <c r="AU854" s="443"/>
      <c r="AV854" s="443"/>
      <c r="AW854" s="443"/>
      <c r="AX854" s="443"/>
      <c r="AY854" s="443"/>
      <c r="AZ854" s="443"/>
      <c r="BA854" s="443"/>
      <c r="BB854" s="443"/>
      <c r="BC854" s="443"/>
      <c r="BD854" s="443"/>
      <c r="BE854" s="443"/>
    </row>
    <row r="855" hidden="1">
      <c r="A855" s="445">
        <f t="shared" si="5"/>
        <v>46145</v>
      </c>
      <c r="B855" s="449">
        <v>0.0</v>
      </c>
      <c r="C855" s="443"/>
      <c r="D855" s="462"/>
      <c r="E855" s="436" t="str">
        <f t="array" ref="E855">IF(B855=0,"",(J855+K855)/60)</f>
        <v/>
      </c>
      <c r="F855" s="437" t="str">
        <f t="shared" si="1"/>
        <v/>
      </c>
      <c r="G855" s="438" t="str">
        <f t="shared" si="9"/>
        <v>#DIV/0!</v>
      </c>
      <c r="H855" s="438" t="str">
        <f t="shared" si="3"/>
        <v/>
      </c>
      <c r="I855" s="436" t="str">
        <f t="shared" si="10"/>
        <v/>
      </c>
      <c r="J855" s="464"/>
      <c r="K855" s="464"/>
      <c r="L855" s="443"/>
      <c r="M855" s="447">
        <f>IFERROR(__xludf.DUMMYFUNCTION("""COMPUTED_VALUE"""),57.0)</f>
        <v>57</v>
      </c>
      <c r="N855" s="447">
        <f>IFERROR(__xludf.DUMMYFUNCTION("""COMPUTED_VALUE"""),57.0)</f>
        <v>57</v>
      </c>
      <c r="O855" s="447">
        <f>IFERROR(__xludf.DUMMYFUNCTION("""COMPUTED_VALUE"""),0.0)</f>
        <v>0</v>
      </c>
      <c r="P855" s="447">
        <f>IFERROR(__xludf.DUMMYFUNCTION("""COMPUTED_VALUE"""),0.0)</f>
        <v>0</v>
      </c>
      <c r="Q855" s="447">
        <f>IFERROR(__xludf.DUMMYFUNCTION("""COMPUTED_VALUE"""),0.0)</f>
        <v>0</v>
      </c>
      <c r="R855" s="447">
        <f>IFERROR(__xludf.DUMMYFUNCTION("""COMPUTED_VALUE"""),0.0)</f>
        <v>0</v>
      </c>
      <c r="S855" s="447">
        <f>IFERROR(__xludf.DUMMYFUNCTION("""COMPUTED_VALUE"""),0.0)</f>
        <v>0</v>
      </c>
      <c r="T855" s="447">
        <f>IFERROR(__xludf.DUMMYFUNCTION("""COMPUTED_VALUE"""),0.0)</f>
        <v>0</v>
      </c>
      <c r="U855" s="447">
        <f>IFERROR(__xludf.DUMMYFUNCTION("""COMPUTED_VALUE"""),0.0)</f>
        <v>0</v>
      </c>
      <c r="V855" s="447">
        <f>IFERROR(__xludf.DUMMYFUNCTION("""COMPUTED_VALUE"""),0.0)</f>
        <v>0</v>
      </c>
      <c r="W855" s="447">
        <f>IFERROR(__xludf.DUMMYFUNCTION("""COMPUTED_VALUE"""),0.0)</f>
        <v>0</v>
      </c>
      <c r="X855" s="447">
        <f>IFERROR(__xludf.DUMMYFUNCTION("""COMPUTED_VALUE"""),0.0)</f>
        <v>0</v>
      </c>
      <c r="Y855" s="447">
        <f>IFERROR(__xludf.DUMMYFUNCTION("""COMPUTED_VALUE"""),0.0)</f>
        <v>0</v>
      </c>
      <c r="Z855" s="447">
        <f>IFERROR(__xludf.DUMMYFUNCTION("""COMPUTED_VALUE"""),0.0)</f>
        <v>0</v>
      </c>
      <c r="AA855" s="447">
        <f>IFERROR(__xludf.DUMMYFUNCTION("""COMPUTED_VALUE"""),0.0)</f>
        <v>0</v>
      </c>
      <c r="AB855" s="447">
        <f>IFERROR(__xludf.DUMMYFUNCTION("""COMPUTED_VALUE"""),0.0)</f>
        <v>0</v>
      </c>
      <c r="AC855" s="447">
        <f>IFERROR(__xludf.DUMMYFUNCTION("""COMPUTED_VALUE"""),0.0)</f>
        <v>0</v>
      </c>
      <c r="AD855" s="447">
        <f>IFERROR(__xludf.DUMMYFUNCTION("""COMPUTED_VALUE"""),0.0)</f>
        <v>0</v>
      </c>
      <c r="AE855" s="447">
        <f>IFERROR(__xludf.DUMMYFUNCTION("""COMPUTED_VALUE"""),0.0)</f>
        <v>0</v>
      </c>
      <c r="AF855" s="447">
        <f>IFERROR(__xludf.DUMMYFUNCTION("""COMPUTED_VALUE"""),0.0)</f>
        <v>0</v>
      </c>
      <c r="AG855" s="443" t="s">
        <v>117</v>
      </c>
      <c r="AH855" s="443" t="s">
        <v>291</v>
      </c>
      <c r="AI855" s="443"/>
      <c r="AJ855" s="443"/>
      <c r="AK855" s="443"/>
      <c r="AL855" s="443"/>
      <c r="AM855" s="443"/>
      <c r="AN855" s="443"/>
      <c r="AO855" s="443"/>
      <c r="AP855" s="443"/>
      <c r="AQ855" s="443"/>
      <c r="AR855" s="443"/>
      <c r="AS855" s="443"/>
      <c r="AT855" s="443"/>
      <c r="AU855" s="443"/>
      <c r="AV855" s="443"/>
      <c r="AW855" s="443"/>
      <c r="AX855" s="443"/>
      <c r="AY855" s="443"/>
      <c r="AZ855" s="443"/>
      <c r="BA855" s="443"/>
      <c r="BB855" s="443"/>
      <c r="BC855" s="443"/>
      <c r="BD855" s="443"/>
      <c r="BE855" s="443"/>
    </row>
    <row r="856" hidden="1">
      <c r="A856" s="445">
        <f t="shared" si="5"/>
        <v>46146</v>
      </c>
      <c r="B856" s="449">
        <v>617.0</v>
      </c>
      <c r="C856" s="462">
        <v>0.5833333333333334</v>
      </c>
      <c r="D856" s="462">
        <v>1.0083333333333333</v>
      </c>
      <c r="E856" s="436">
        <f t="array" ref="E856">IF(B856=0,"",(J856+K856)/60)</f>
        <v>1.15</v>
      </c>
      <c r="F856" s="437">
        <f t="shared" si="1"/>
        <v>10.2</v>
      </c>
      <c r="G856" s="438">
        <f t="shared" si="9"/>
        <v>60.49019608</v>
      </c>
      <c r="H856" s="438">
        <f t="shared" si="3"/>
        <v>68.17679558</v>
      </c>
      <c r="I856" s="436">
        <f t="shared" si="10"/>
        <v>1.374777184</v>
      </c>
      <c r="J856" s="460">
        <v>30.0</v>
      </c>
      <c r="K856" s="460">
        <v>39.0</v>
      </c>
      <c r="L856" s="443"/>
      <c r="M856" s="447">
        <f>IFERROR(__xludf.DUMMYFUNCTION("""COMPUTED_VALUE"""),57.0)</f>
        <v>57</v>
      </c>
      <c r="N856" s="447">
        <f>IFERROR(__xludf.DUMMYFUNCTION("""COMPUTED_VALUE"""),55.0)</f>
        <v>55</v>
      </c>
      <c r="O856" s="447">
        <f>IFERROR(__xludf.DUMMYFUNCTION("""COMPUTED_VALUE"""),0.0)</f>
        <v>0</v>
      </c>
      <c r="P856" s="447">
        <f>IFERROR(__xludf.DUMMYFUNCTION("""COMPUTED_VALUE"""),0.0)</f>
        <v>0</v>
      </c>
      <c r="Q856" s="447">
        <f>IFERROR(__xludf.DUMMYFUNCTION("""COMPUTED_VALUE"""),0.0)</f>
        <v>0</v>
      </c>
      <c r="R856" s="447">
        <f>IFERROR(__xludf.DUMMYFUNCTION("""COMPUTED_VALUE"""),0.0)</f>
        <v>0</v>
      </c>
      <c r="S856" s="447">
        <f>IFERROR(__xludf.DUMMYFUNCTION("""COMPUTED_VALUE"""),2.0)</f>
        <v>2</v>
      </c>
      <c r="T856" s="447">
        <f>IFERROR(__xludf.DUMMYFUNCTION("""COMPUTED_VALUE"""),0.0)</f>
        <v>0</v>
      </c>
      <c r="U856" s="447">
        <f>IFERROR(__xludf.DUMMYFUNCTION("""COMPUTED_VALUE"""),2.0)</f>
        <v>2</v>
      </c>
      <c r="V856" s="447">
        <f>IFERROR(__xludf.DUMMYFUNCTION("""COMPUTED_VALUE"""),2.0)</f>
        <v>2</v>
      </c>
      <c r="W856" s="447">
        <f>IFERROR(__xludf.DUMMYFUNCTION("""COMPUTED_VALUE"""),0.0)</f>
        <v>0</v>
      </c>
      <c r="X856" s="447">
        <f>IFERROR(__xludf.DUMMYFUNCTION("""COMPUTED_VALUE"""),1.0)</f>
        <v>1</v>
      </c>
      <c r="Y856" s="447">
        <f>IFERROR(__xludf.DUMMYFUNCTION("""COMPUTED_VALUE"""),0.0)</f>
        <v>0</v>
      </c>
      <c r="Z856" s="447">
        <f>IFERROR(__xludf.DUMMYFUNCTION("""COMPUTED_VALUE"""),0.0)</f>
        <v>0</v>
      </c>
      <c r="AA856" s="447">
        <f>IFERROR(__xludf.DUMMYFUNCTION("""COMPUTED_VALUE"""),0.0)</f>
        <v>0</v>
      </c>
      <c r="AB856" s="447">
        <f>IFERROR(__xludf.DUMMYFUNCTION("""COMPUTED_VALUE"""),0.0)</f>
        <v>0</v>
      </c>
      <c r="AC856" s="447">
        <f>IFERROR(__xludf.DUMMYFUNCTION("""COMPUTED_VALUE"""),0.0)</f>
        <v>0</v>
      </c>
      <c r="AD856" s="447">
        <f>IFERROR(__xludf.DUMMYFUNCTION("""COMPUTED_VALUE"""),44.0)</f>
        <v>44</v>
      </c>
      <c r="AE856" s="447">
        <f>IFERROR(__xludf.DUMMYFUNCTION("""COMPUTED_VALUE"""),7.0)</f>
        <v>7</v>
      </c>
      <c r="AF856" s="447">
        <f>IFERROR(__xludf.DUMMYFUNCTION("""COMPUTED_VALUE"""),2.0)</f>
        <v>2</v>
      </c>
      <c r="AG856" s="443" t="s">
        <v>117</v>
      </c>
      <c r="AH856" s="443" t="s">
        <v>291</v>
      </c>
      <c r="AI856" s="443"/>
      <c r="AJ856" s="443"/>
      <c r="AK856" s="443"/>
      <c r="AL856" s="443"/>
      <c r="AM856" s="443"/>
      <c r="AN856" s="443"/>
      <c r="AO856" s="443"/>
      <c r="AP856" s="443"/>
      <c r="AQ856" s="443"/>
      <c r="AR856" s="443"/>
      <c r="AS856" s="443"/>
      <c r="AT856" s="443"/>
      <c r="AU856" s="443"/>
      <c r="AV856" s="443"/>
      <c r="AW856" s="443"/>
      <c r="AX856" s="443"/>
      <c r="AY856" s="443"/>
      <c r="AZ856" s="443"/>
      <c r="BA856" s="443"/>
      <c r="BB856" s="443"/>
      <c r="BC856" s="443"/>
      <c r="BD856" s="443"/>
      <c r="BE856" s="443"/>
    </row>
    <row r="857" hidden="1">
      <c r="A857" s="445">
        <f t="shared" si="5"/>
        <v>46147</v>
      </c>
      <c r="B857" s="449">
        <v>533.0</v>
      </c>
      <c r="C857" s="462">
        <v>0.5833333333333334</v>
      </c>
      <c r="D857" s="462">
        <v>0.9736111111111111</v>
      </c>
      <c r="E857" s="436">
        <f t="array" ref="E857">IF(B857=0,"",(J857+K857)/60)</f>
        <v>1.1</v>
      </c>
      <c r="F857" s="437">
        <f t="shared" si="1"/>
        <v>9.366666667</v>
      </c>
      <c r="G857" s="438">
        <f t="shared" si="9"/>
        <v>56.90391459</v>
      </c>
      <c r="H857" s="438">
        <f t="shared" si="3"/>
        <v>64.47580645</v>
      </c>
      <c r="I857" s="436">
        <f t="shared" si="10"/>
        <v>1.354855109</v>
      </c>
      <c r="J857" s="460">
        <v>6.0</v>
      </c>
      <c r="K857" s="460">
        <v>60.0</v>
      </c>
      <c r="L857" s="443"/>
      <c r="M857" s="447">
        <f>IFERROR(__xludf.DUMMYFUNCTION("""COMPUTED_VALUE"""),57.0)</f>
        <v>57</v>
      </c>
      <c r="N857" s="447">
        <f>IFERROR(__xludf.DUMMYFUNCTION("""COMPUTED_VALUE"""),55.0)</f>
        <v>55</v>
      </c>
      <c r="O857" s="447">
        <f>IFERROR(__xludf.DUMMYFUNCTION("""COMPUTED_VALUE"""),0.0)</f>
        <v>0</v>
      </c>
      <c r="P857" s="447">
        <f>IFERROR(__xludf.DUMMYFUNCTION("""COMPUTED_VALUE"""),1.0)</f>
        <v>1</v>
      </c>
      <c r="Q857" s="447">
        <f>IFERROR(__xludf.DUMMYFUNCTION("""COMPUTED_VALUE"""),1.0)</f>
        <v>1</v>
      </c>
      <c r="R857" s="447">
        <f>IFERROR(__xludf.DUMMYFUNCTION("""COMPUTED_VALUE"""),0.0)</f>
        <v>0</v>
      </c>
      <c r="S857" s="447">
        <f>IFERROR(__xludf.DUMMYFUNCTION("""COMPUTED_VALUE"""),2.0)</f>
        <v>2</v>
      </c>
      <c r="T857" s="447">
        <f>IFERROR(__xludf.DUMMYFUNCTION("""COMPUTED_VALUE"""),0.0)</f>
        <v>0</v>
      </c>
      <c r="U857" s="447">
        <f>IFERROR(__xludf.DUMMYFUNCTION("""COMPUTED_VALUE"""),2.0)</f>
        <v>2</v>
      </c>
      <c r="V857" s="447">
        <f>IFERROR(__xludf.DUMMYFUNCTION("""COMPUTED_VALUE"""),2.0)</f>
        <v>2</v>
      </c>
      <c r="W857" s="447">
        <f>IFERROR(__xludf.DUMMYFUNCTION("""COMPUTED_VALUE"""),0.0)</f>
        <v>0</v>
      </c>
      <c r="X857" s="447">
        <f>IFERROR(__xludf.DUMMYFUNCTION("""COMPUTED_VALUE"""),1.0)</f>
        <v>1</v>
      </c>
      <c r="Y857" s="447">
        <f>IFERROR(__xludf.DUMMYFUNCTION("""COMPUTED_VALUE"""),0.0)</f>
        <v>0</v>
      </c>
      <c r="Z857" s="447">
        <f>IFERROR(__xludf.DUMMYFUNCTION("""COMPUTED_VALUE"""),0.0)</f>
        <v>0</v>
      </c>
      <c r="AA857" s="447">
        <f>IFERROR(__xludf.DUMMYFUNCTION("""COMPUTED_VALUE"""),0.0)</f>
        <v>0</v>
      </c>
      <c r="AB857" s="447">
        <f>IFERROR(__xludf.DUMMYFUNCTION("""COMPUTED_VALUE"""),0.0)</f>
        <v>0</v>
      </c>
      <c r="AC857" s="447">
        <f>IFERROR(__xludf.DUMMYFUNCTION("""COMPUTED_VALUE"""),0.0)</f>
        <v>0</v>
      </c>
      <c r="AD857" s="447">
        <f>IFERROR(__xludf.DUMMYFUNCTION("""COMPUTED_VALUE"""),42.0)</f>
        <v>42</v>
      </c>
      <c r="AE857" s="447">
        <f>IFERROR(__xludf.DUMMYFUNCTION("""COMPUTED_VALUE"""),9.0)</f>
        <v>9</v>
      </c>
      <c r="AF857" s="447">
        <f>IFERROR(__xludf.DUMMYFUNCTION("""COMPUTED_VALUE"""),2.0)</f>
        <v>2</v>
      </c>
      <c r="AG857" s="443" t="s">
        <v>117</v>
      </c>
      <c r="AH857" s="443" t="s">
        <v>291</v>
      </c>
      <c r="AI857" s="443"/>
      <c r="AJ857" s="443"/>
      <c r="AK857" s="443"/>
      <c r="AL857" s="443"/>
      <c r="AM857" s="443"/>
      <c r="AN857" s="443"/>
      <c r="AO857" s="443"/>
      <c r="AP857" s="443"/>
      <c r="AQ857" s="443"/>
      <c r="AR857" s="443"/>
      <c r="AS857" s="443"/>
      <c r="AT857" s="443"/>
      <c r="AU857" s="443"/>
      <c r="AV857" s="443"/>
      <c r="AW857" s="443"/>
      <c r="AX857" s="443"/>
      <c r="AY857" s="443"/>
      <c r="AZ857" s="443"/>
      <c r="BA857" s="443"/>
      <c r="BB857" s="443"/>
      <c r="BC857" s="443"/>
      <c r="BD857" s="443"/>
      <c r="BE857" s="443"/>
    </row>
    <row r="858" hidden="1">
      <c r="A858" s="445">
        <f t="shared" si="5"/>
        <v>46148</v>
      </c>
      <c r="B858" s="449">
        <v>362.0</v>
      </c>
      <c r="C858" s="462">
        <v>0.6763888888888889</v>
      </c>
      <c r="D858" s="462">
        <v>0.9277777777777778</v>
      </c>
      <c r="E858" s="436">
        <f t="array" ref="E858">IF(B858=0,"",(J858+K858)/60)</f>
        <v>0.5</v>
      </c>
      <c r="F858" s="437">
        <f t="shared" si="1"/>
        <v>6.033333333</v>
      </c>
      <c r="G858" s="438">
        <f t="shared" si="9"/>
        <v>60</v>
      </c>
      <c r="H858" s="438">
        <f t="shared" si="3"/>
        <v>65.42168675</v>
      </c>
      <c r="I858" s="436">
        <f t="shared" si="10"/>
        <v>1.363636364</v>
      </c>
      <c r="J858" s="460">
        <v>0.0</v>
      </c>
      <c r="K858" s="460">
        <v>30.0</v>
      </c>
      <c r="L858" s="449" t="s">
        <v>1022</v>
      </c>
      <c r="M858" s="447">
        <f>IFERROR(__xludf.DUMMYFUNCTION("""COMPUTED_VALUE"""),57.0)</f>
        <v>57</v>
      </c>
      <c r="N858" s="447">
        <f>IFERROR(__xludf.DUMMYFUNCTION("""COMPUTED_VALUE"""),55.0)</f>
        <v>55</v>
      </c>
      <c r="O858" s="447">
        <f>IFERROR(__xludf.DUMMYFUNCTION("""COMPUTED_VALUE"""),0.0)</f>
        <v>0</v>
      </c>
      <c r="P858" s="447">
        <f>IFERROR(__xludf.DUMMYFUNCTION("""COMPUTED_VALUE"""),0.0)</f>
        <v>0</v>
      </c>
      <c r="Q858" s="447">
        <f>IFERROR(__xludf.DUMMYFUNCTION("""COMPUTED_VALUE"""),0.0)</f>
        <v>0</v>
      </c>
      <c r="R858" s="447">
        <f>IFERROR(__xludf.DUMMYFUNCTION("""COMPUTED_VALUE"""),1.0)</f>
        <v>1</v>
      </c>
      <c r="S858" s="447">
        <f>IFERROR(__xludf.DUMMYFUNCTION("""COMPUTED_VALUE"""),1.0)</f>
        <v>1</v>
      </c>
      <c r="T858" s="447">
        <f>IFERROR(__xludf.DUMMYFUNCTION("""COMPUTED_VALUE"""),1.0)</f>
        <v>1</v>
      </c>
      <c r="U858" s="447">
        <f>IFERROR(__xludf.DUMMYFUNCTION("""COMPUTED_VALUE"""),1.0)</f>
        <v>1</v>
      </c>
      <c r="V858" s="447">
        <f>IFERROR(__xludf.DUMMYFUNCTION("""COMPUTED_VALUE"""),2.0)</f>
        <v>2</v>
      </c>
      <c r="W858" s="447">
        <f>IFERROR(__xludf.DUMMYFUNCTION("""COMPUTED_VALUE"""),0.0)</f>
        <v>0</v>
      </c>
      <c r="X858" s="447">
        <f>IFERROR(__xludf.DUMMYFUNCTION("""COMPUTED_VALUE"""),1.0)</f>
        <v>1</v>
      </c>
      <c r="Y858" s="447">
        <f>IFERROR(__xludf.DUMMYFUNCTION("""COMPUTED_VALUE"""),0.0)</f>
        <v>0</v>
      </c>
      <c r="Z858" s="447">
        <f>IFERROR(__xludf.DUMMYFUNCTION("""COMPUTED_VALUE"""),0.0)</f>
        <v>0</v>
      </c>
      <c r="AA858" s="447">
        <f>IFERROR(__xludf.DUMMYFUNCTION("""COMPUTED_VALUE"""),0.0)</f>
        <v>0</v>
      </c>
      <c r="AB858" s="447">
        <f>IFERROR(__xludf.DUMMYFUNCTION("""COMPUTED_VALUE"""),0.0)</f>
        <v>0</v>
      </c>
      <c r="AC858" s="447">
        <f>IFERROR(__xludf.DUMMYFUNCTION("""COMPUTED_VALUE"""),0.0)</f>
        <v>0</v>
      </c>
      <c r="AD858" s="447">
        <f>IFERROR(__xludf.DUMMYFUNCTION("""COMPUTED_VALUE"""),44.0)</f>
        <v>44</v>
      </c>
      <c r="AE858" s="447">
        <f>IFERROR(__xludf.DUMMYFUNCTION("""COMPUTED_VALUE"""),6.0)</f>
        <v>6</v>
      </c>
      <c r="AF858" s="447">
        <f>IFERROR(__xludf.DUMMYFUNCTION("""COMPUTED_VALUE"""),2.0)</f>
        <v>2</v>
      </c>
      <c r="AG858" s="443" t="s">
        <v>117</v>
      </c>
      <c r="AH858" s="443" t="s">
        <v>291</v>
      </c>
      <c r="AI858" s="443"/>
      <c r="AJ858" s="443"/>
      <c r="AK858" s="443"/>
      <c r="AL858" s="443"/>
      <c r="AM858" s="443"/>
      <c r="AN858" s="443"/>
      <c r="AO858" s="443"/>
      <c r="AP858" s="443"/>
      <c r="AQ858" s="443"/>
      <c r="AR858" s="443"/>
      <c r="AS858" s="443"/>
      <c r="AT858" s="443"/>
      <c r="AU858" s="443"/>
      <c r="AV858" s="443"/>
      <c r="AW858" s="443"/>
      <c r="AX858" s="443"/>
      <c r="AY858" s="443"/>
      <c r="AZ858" s="443"/>
      <c r="BA858" s="443"/>
      <c r="BB858" s="443"/>
      <c r="BC858" s="443"/>
      <c r="BD858" s="443"/>
      <c r="BE858" s="443"/>
    </row>
    <row r="859" hidden="1">
      <c r="A859" s="445">
        <f t="shared" si="5"/>
        <v>46149</v>
      </c>
      <c r="B859" s="449">
        <v>563.0</v>
      </c>
      <c r="C859" s="462">
        <v>0.625</v>
      </c>
      <c r="D859" s="462">
        <v>0.9819444444444444</v>
      </c>
      <c r="E859" s="436">
        <f t="array" ref="E859">IF(B859=0,"",(J859+K859)/60)</f>
        <v>0.75</v>
      </c>
      <c r="F859" s="437">
        <f t="shared" si="1"/>
        <v>8.566666667</v>
      </c>
      <c r="G859" s="438">
        <f t="shared" si="9"/>
        <v>65.71984436</v>
      </c>
      <c r="H859" s="438">
        <f t="shared" si="3"/>
        <v>72.02558635</v>
      </c>
      <c r="I859" s="436">
        <f t="shared" si="10"/>
        <v>1.460440986</v>
      </c>
      <c r="J859" s="460">
        <v>35.0</v>
      </c>
      <c r="K859" s="460">
        <v>10.0</v>
      </c>
      <c r="L859" s="443"/>
      <c r="M859" s="447">
        <f>IFERROR(__xludf.DUMMYFUNCTION("""COMPUTED_VALUE"""),57.0)</f>
        <v>57</v>
      </c>
      <c r="N859" s="447">
        <f>IFERROR(__xludf.DUMMYFUNCTION("""COMPUTED_VALUE"""),55.0)</f>
        <v>55</v>
      </c>
      <c r="O859" s="447">
        <f>IFERROR(__xludf.DUMMYFUNCTION("""COMPUTED_VALUE"""),0.0)</f>
        <v>0</v>
      </c>
      <c r="P859" s="447">
        <f>IFERROR(__xludf.DUMMYFUNCTION("""COMPUTED_VALUE"""),0.0)</f>
        <v>0</v>
      </c>
      <c r="Q859" s="447">
        <f>IFERROR(__xludf.DUMMYFUNCTION("""COMPUTED_VALUE"""),0.0)</f>
        <v>0</v>
      </c>
      <c r="R859" s="447">
        <f>IFERROR(__xludf.DUMMYFUNCTION("""COMPUTED_VALUE"""),0.0)</f>
        <v>0</v>
      </c>
      <c r="S859" s="447">
        <f>IFERROR(__xludf.DUMMYFUNCTION("""COMPUTED_VALUE"""),1.0)</f>
        <v>1</v>
      </c>
      <c r="T859" s="447">
        <f>IFERROR(__xludf.DUMMYFUNCTION("""COMPUTED_VALUE"""),0.0)</f>
        <v>0</v>
      </c>
      <c r="U859" s="447">
        <f>IFERROR(__xludf.DUMMYFUNCTION("""COMPUTED_VALUE"""),2.0)</f>
        <v>2</v>
      </c>
      <c r="V859" s="447">
        <f>IFERROR(__xludf.DUMMYFUNCTION("""COMPUTED_VALUE"""),2.0)</f>
        <v>2</v>
      </c>
      <c r="W859" s="447">
        <f>IFERROR(__xludf.DUMMYFUNCTION("""COMPUTED_VALUE"""),0.0)</f>
        <v>0</v>
      </c>
      <c r="X859" s="447">
        <f>IFERROR(__xludf.DUMMYFUNCTION("""COMPUTED_VALUE"""),1.0)</f>
        <v>1</v>
      </c>
      <c r="Y859" s="447">
        <f>IFERROR(__xludf.DUMMYFUNCTION("""COMPUTED_VALUE"""),0.0)</f>
        <v>0</v>
      </c>
      <c r="Z859" s="447">
        <f>IFERROR(__xludf.DUMMYFUNCTION("""COMPUTED_VALUE"""),0.0)</f>
        <v>0</v>
      </c>
      <c r="AA859" s="447">
        <f>IFERROR(__xludf.DUMMYFUNCTION("""COMPUTED_VALUE"""),0.0)</f>
        <v>0</v>
      </c>
      <c r="AB859" s="447">
        <f>IFERROR(__xludf.DUMMYFUNCTION("""COMPUTED_VALUE"""),0.0)</f>
        <v>0</v>
      </c>
      <c r="AC859" s="447">
        <f>IFERROR(__xludf.DUMMYFUNCTION("""COMPUTED_VALUE"""),0.0)</f>
        <v>0</v>
      </c>
      <c r="AD859" s="447">
        <f>IFERROR(__xludf.DUMMYFUNCTION("""COMPUTED_VALUE"""),45.0)</f>
        <v>45</v>
      </c>
      <c r="AE859" s="447">
        <f>IFERROR(__xludf.DUMMYFUNCTION("""COMPUTED_VALUE"""),6.0)</f>
        <v>6</v>
      </c>
      <c r="AF859" s="447">
        <f>IFERROR(__xludf.DUMMYFUNCTION("""COMPUTED_VALUE"""),2.0)</f>
        <v>2</v>
      </c>
      <c r="AG859" s="443" t="s">
        <v>117</v>
      </c>
      <c r="AH859" s="443" t="s">
        <v>291</v>
      </c>
      <c r="AI859" s="443"/>
      <c r="AJ859" s="443"/>
      <c r="AK859" s="443"/>
      <c r="AL859" s="443"/>
      <c r="AM859" s="443"/>
      <c r="AN859" s="443"/>
      <c r="AO859" s="443"/>
      <c r="AP859" s="443"/>
      <c r="AQ859" s="443"/>
      <c r="AR859" s="443"/>
      <c r="AS859" s="443"/>
      <c r="AT859" s="443"/>
      <c r="AU859" s="443"/>
      <c r="AV859" s="443"/>
      <c r="AW859" s="443"/>
      <c r="AX859" s="443"/>
      <c r="AY859" s="443"/>
      <c r="AZ859" s="443"/>
      <c r="BA859" s="443"/>
      <c r="BB859" s="443"/>
      <c r="BC859" s="443"/>
      <c r="BD859" s="443"/>
      <c r="BE859" s="443"/>
    </row>
    <row r="860" hidden="1">
      <c r="A860" s="445">
        <f t="shared" si="5"/>
        <v>46150</v>
      </c>
      <c r="B860" s="449">
        <v>485.0</v>
      </c>
      <c r="C860" s="462">
        <v>0.6701388888888888</v>
      </c>
      <c r="D860" s="462">
        <v>1.0291666666666666</v>
      </c>
      <c r="E860" s="436">
        <f t="array" ref="E860">IF(B860=0,"",(J860+K860)/60)</f>
        <v>1.633333333</v>
      </c>
      <c r="F860" s="437">
        <f t="shared" si="1"/>
        <v>8.616666667</v>
      </c>
      <c r="G860" s="438">
        <f t="shared" si="9"/>
        <v>56.28626692</v>
      </c>
      <c r="H860" s="438">
        <f t="shared" si="3"/>
        <v>69.45107399</v>
      </c>
      <c r="I860" s="436">
        <f t="shared" si="10"/>
        <v>1.250805932</v>
      </c>
      <c r="J860" s="460">
        <v>30.0</v>
      </c>
      <c r="K860" s="460">
        <v>68.0</v>
      </c>
      <c r="L860" s="443"/>
      <c r="M860" s="447">
        <f>IFERROR(__xludf.DUMMYFUNCTION("""COMPUTED_VALUE"""),57.0)</f>
        <v>57</v>
      </c>
      <c r="N860" s="447">
        <f>IFERROR(__xludf.DUMMYFUNCTION("""COMPUTED_VALUE"""),55.0)</f>
        <v>55</v>
      </c>
      <c r="O860" s="447">
        <f>IFERROR(__xludf.DUMMYFUNCTION("""COMPUTED_VALUE"""),0.0)</f>
        <v>0</v>
      </c>
      <c r="P860" s="447">
        <f>IFERROR(__xludf.DUMMYFUNCTION("""COMPUTED_VALUE"""),1.0)</f>
        <v>1</v>
      </c>
      <c r="Q860" s="447">
        <f>IFERROR(__xludf.DUMMYFUNCTION("""COMPUTED_VALUE"""),0.0)</f>
        <v>0</v>
      </c>
      <c r="R860" s="447">
        <f>IFERROR(__xludf.DUMMYFUNCTION("""COMPUTED_VALUE"""),0.0)</f>
        <v>0</v>
      </c>
      <c r="S860" s="447">
        <f>IFERROR(__xludf.DUMMYFUNCTION("""COMPUTED_VALUE"""),0.0)</f>
        <v>0</v>
      </c>
      <c r="T860" s="447">
        <f>IFERROR(__xludf.DUMMYFUNCTION("""COMPUTED_VALUE"""),0.0)</f>
        <v>0</v>
      </c>
      <c r="U860" s="447">
        <f>IFERROR(__xludf.DUMMYFUNCTION("""COMPUTED_VALUE"""),2.0)</f>
        <v>2</v>
      </c>
      <c r="V860" s="447">
        <f>IFERROR(__xludf.DUMMYFUNCTION("""COMPUTED_VALUE"""),2.0)</f>
        <v>2</v>
      </c>
      <c r="W860" s="447">
        <f>IFERROR(__xludf.DUMMYFUNCTION("""COMPUTED_VALUE"""),0.0)</f>
        <v>0</v>
      </c>
      <c r="X860" s="447">
        <f>IFERROR(__xludf.DUMMYFUNCTION("""COMPUTED_VALUE"""),1.0)</f>
        <v>1</v>
      </c>
      <c r="Y860" s="447">
        <f>IFERROR(__xludf.DUMMYFUNCTION("""COMPUTED_VALUE"""),0.0)</f>
        <v>0</v>
      </c>
      <c r="Z860" s="447">
        <f>IFERROR(__xludf.DUMMYFUNCTION("""COMPUTED_VALUE"""),0.0)</f>
        <v>0</v>
      </c>
      <c r="AA860" s="447">
        <f>IFERROR(__xludf.DUMMYFUNCTION("""COMPUTED_VALUE"""),0.0)</f>
        <v>0</v>
      </c>
      <c r="AB860" s="447">
        <f>IFERROR(__xludf.DUMMYFUNCTION("""COMPUTED_VALUE"""),0.0)</f>
        <v>0</v>
      </c>
      <c r="AC860" s="447">
        <f>IFERROR(__xludf.DUMMYFUNCTION("""COMPUTED_VALUE"""),0.0)</f>
        <v>0</v>
      </c>
      <c r="AD860" s="447">
        <f>IFERROR(__xludf.DUMMYFUNCTION("""COMPUTED_VALUE"""),45.0)</f>
        <v>45</v>
      </c>
      <c r="AE860" s="447">
        <f>IFERROR(__xludf.DUMMYFUNCTION("""COMPUTED_VALUE"""),6.0)</f>
        <v>6</v>
      </c>
      <c r="AF860" s="447">
        <f>IFERROR(__xludf.DUMMYFUNCTION("""COMPUTED_VALUE"""),2.0)</f>
        <v>2</v>
      </c>
      <c r="AG860" s="443" t="s">
        <v>117</v>
      </c>
      <c r="AH860" s="443" t="s">
        <v>291</v>
      </c>
      <c r="AI860" s="443"/>
      <c r="AJ860" s="443"/>
      <c r="AK860" s="443"/>
      <c r="AL860" s="443"/>
      <c r="AM860" s="443"/>
      <c r="AN860" s="443"/>
      <c r="AO860" s="443"/>
      <c r="AP860" s="443"/>
      <c r="AQ860" s="443"/>
      <c r="AR860" s="443"/>
      <c r="AS860" s="443"/>
      <c r="AT860" s="443"/>
      <c r="AU860" s="443"/>
      <c r="AV860" s="443"/>
      <c r="AW860" s="443"/>
      <c r="AX860" s="443"/>
      <c r="AY860" s="443"/>
      <c r="AZ860" s="443"/>
      <c r="BA860" s="443"/>
      <c r="BB860" s="443"/>
      <c r="BC860" s="443"/>
      <c r="BD860" s="443"/>
      <c r="BE860" s="443"/>
    </row>
    <row r="861" hidden="1">
      <c r="A861" s="445">
        <f t="shared" si="5"/>
        <v>46151</v>
      </c>
      <c r="B861" s="449">
        <v>377.0</v>
      </c>
      <c r="C861" s="462">
        <v>0.625</v>
      </c>
      <c r="D861" s="462">
        <v>0.9013888888888889</v>
      </c>
      <c r="E861" s="436">
        <f t="array" ref="E861">IF(B861=0,"",(J861+K861)/60)</f>
        <v>0.7333333333</v>
      </c>
      <c r="F861" s="437">
        <f t="shared" si="1"/>
        <v>6.633333333</v>
      </c>
      <c r="G861" s="438">
        <f t="shared" si="9"/>
        <v>56.83417085</v>
      </c>
      <c r="H861" s="438">
        <f t="shared" si="3"/>
        <v>63.89830508</v>
      </c>
      <c r="I861" s="436">
        <f t="shared" si="10"/>
        <v>1.291685701</v>
      </c>
      <c r="J861" s="460">
        <v>14.0</v>
      </c>
      <c r="K861" s="460">
        <v>30.0</v>
      </c>
      <c r="L861" s="443"/>
      <c r="M861" s="447">
        <f>IFERROR(__xludf.DUMMYFUNCTION("""COMPUTED_VALUE"""),57.0)</f>
        <v>57</v>
      </c>
      <c r="N861" s="447">
        <f>IFERROR(__xludf.DUMMYFUNCTION("""COMPUTED_VALUE"""),55.0)</f>
        <v>55</v>
      </c>
      <c r="O861" s="447">
        <f>IFERROR(__xludf.DUMMYFUNCTION("""COMPUTED_VALUE"""),0.0)</f>
        <v>0</v>
      </c>
      <c r="P861" s="447">
        <f>IFERROR(__xludf.DUMMYFUNCTION("""COMPUTED_VALUE"""),0.0)</f>
        <v>0</v>
      </c>
      <c r="Q861" s="447">
        <f>IFERROR(__xludf.DUMMYFUNCTION("""COMPUTED_VALUE"""),0.0)</f>
        <v>0</v>
      </c>
      <c r="R861" s="447">
        <f>IFERROR(__xludf.DUMMYFUNCTION("""COMPUTED_VALUE"""),0.0)</f>
        <v>0</v>
      </c>
      <c r="S861" s="447">
        <f>IFERROR(__xludf.DUMMYFUNCTION("""COMPUTED_VALUE"""),2.0)</f>
        <v>2</v>
      </c>
      <c r="T861" s="447">
        <f>IFERROR(__xludf.DUMMYFUNCTION("""COMPUTED_VALUE"""),0.0)</f>
        <v>0</v>
      </c>
      <c r="U861" s="447">
        <f>IFERROR(__xludf.DUMMYFUNCTION("""COMPUTED_VALUE"""),2.0)</f>
        <v>2</v>
      </c>
      <c r="V861" s="447">
        <f>IFERROR(__xludf.DUMMYFUNCTION("""COMPUTED_VALUE"""),2.0)</f>
        <v>2</v>
      </c>
      <c r="W861" s="447">
        <f>IFERROR(__xludf.DUMMYFUNCTION("""COMPUTED_VALUE"""),0.0)</f>
        <v>0</v>
      </c>
      <c r="X861" s="447">
        <f>IFERROR(__xludf.DUMMYFUNCTION("""COMPUTED_VALUE"""),1.0)</f>
        <v>1</v>
      </c>
      <c r="Y861" s="447">
        <f>IFERROR(__xludf.DUMMYFUNCTION("""COMPUTED_VALUE"""),0.0)</f>
        <v>0</v>
      </c>
      <c r="Z861" s="447">
        <f>IFERROR(__xludf.DUMMYFUNCTION("""COMPUTED_VALUE"""),0.0)</f>
        <v>0</v>
      </c>
      <c r="AA861" s="447">
        <f>IFERROR(__xludf.DUMMYFUNCTION("""COMPUTED_VALUE"""),0.0)</f>
        <v>0</v>
      </c>
      <c r="AB861" s="447">
        <f>IFERROR(__xludf.DUMMYFUNCTION("""COMPUTED_VALUE"""),0.0)</f>
        <v>0</v>
      </c>
      <c r="AC861" s="447">
        <f>IFERROR(__xludf.DUMMYFUNCTION("""COMPUTED_VALUE"""),0.0)</f>
        <v>0</v>
      </c>
      <c r="AD861" s="447">
        <f>IFERROR(__xludf.DUMMYFUNCTION("""COMPUTED_VALUE"""),44.0)</f>
        <v>44</v>
      </c>
      <c r="AE861" s="447">
        <f>IFERROR(__xludf.DUMMYFUNCTION("""COMPUTED_VALUE"""),7.0)</f>
        <v>7</v>
      </c>
      <c r="AF861" s="447">
        <f>IFERROR(__xludf.DUMMYFUNCTION("""COMPUTED_VALUE"""),2.0)</f>
        <v>2</v>
      </c>
      <c r="AG861" s="443" t="s">
        <v>117</v>
      </c>
      <c r="AH861" s="443" t="s">
        <v>291</v>
      </c>
      <c r="AI861" s="443"/>
      <c r="AJ861" s="443"/>
      <c r="AK861" s="443"/>
      <c r="AL861" s="443"/>
      <c r="AM861" s="443"/>
      <c r="AN861" s="443"/>
      <c r="AO861" s="443"/>
      <c r="AP861" s="443"/>
      <c r="AQ861" s="443"/>
      <c r="AR861" s="443"/>
      <c r="AS861" s="443"/>
      <c r="AT861" s="443"/>
      <c r="AU861" s="443"/>
      <c r="AV861" s="443"/>
      <c r="AW861" s="443"/>
      <c r="AX861" s="443"/>
      <c r="AY861" s="443"/>
      <c r="AZ861" s="443"/>
      <c r="BA861" s="443"/>
      <c r="BB861" s="443"/>
      <c r="BC861" s="443"/>
      <c r="BD861" s="443"/>
      <c r="BE861" s="443"/>
    </row>
    <row r="862" hidden="1">
      <c r="A862" s="445">
        <f t="shared" si="5"/>
        <v>46152</v>
      </c>
      <c r="B862" s="449">
        <v>0.0</v>
      </c>
      <c r="C862" s="443"/>
      <c r="D862" s="462"/>
      <c r="E862" s="436" t="str">
        <f t="array" ref="E862">IF(B862=0,"",(J862+K862)/60)</f>
        <v/>
      </c>
      <c r="F862" s="437" t="str">
        <f t="shared" si="1"/>
        <v/>
      </c>
      <c r="G862" s="438" t="str">
        <f t="shared" si="9"/>
        <v>#DIV/0!</v>
      </c>
      <c r="H862" s="438" t="str">
        <f t="shared" si="3"/>
        <v/>
      </c>
      <c r="I862" s="436" t="str">
        <f t="shared" si="10"/>
        <v/>
      </c>
      <c r="J862" s="464"/>
      <c r="K862" s="464"/>
      <c r="L862" s="443"/>
      <c r="M862" s="447">
        <f>IFERROR(__xludf.DUMMYFUNCTION("""COMPUTED_VALUE"""),57.0)</f>
        <v>57</v>
      </c>
      <c r="N862" s="447">
        <f>IFERROR(__xludf.DUMMYFUNCTION("""COMPUTED_VALUE"""),57.0)</f>
        <v>57</v>
      </c>
      <c r="O862" s="447">
        <f>IFERROR(__xludf.DUMMYFUNCTION("""COMPUTED_VALUE"""),0.0)</f>
        <v>0</v>
      </c>
      <c r="P862" s="447">
        <f>IFERROR(__xludf.DUMMYFUNCTION("""COMPUTED_VALUE"""),0.0)</f>
        <v>0</v>
      </c>
      <c r="Q862" s="447">
        <f>IFERROR(__xludf.DUMMYFUNCTION("""COMPUTED_VALUE"""),0.0)</f>
        <v>0</v>
      </c>
      <c r="R862" s="447">
        <f>IFERROR(__xludf.DUMMYFUNCTION("""COMPUTED_VALUE"""),0.0)</f>
        <v>0</v>
      </c>
      <c r="S862" s="447">
        <f>IFERROR(__xludf.DUMMYFUNCTION("""COMPUTED_VALUE"""),0.0)</f>
        <v>0</v>
      </c>
      <c r="T862" s="447">
        <f>IFERROR(__xludf.DUMMYFUNCTION("""COMPUTED_VALUE"""),0.0)</f>
        <v>0</v>
      </c>
      <c r="U862" s="447">
        <f>IFERROR(__xludf.DUMMYFUNCTION("""COMPUTED_VALUE"""),0.0)</f>
        <v>0</v>
      </c>
      <c r="V862" s="447">
        <f>IFERROR(__xludf.DUMMYFUNCTION("""COMPUTED_VALUE"""),0.0)</f>
        <v>0</v>
      </c>
      <c r="W862" s="447">
        <f>IFERROR(__xludf.DUMMYFUNCTION("""COMPUTED_VALUE"""),0.0)</f>
        <v>0</v>
      </c>
      <c r="X862" s="447">
        <f>IFERROR(__xludf.DUMMYFUNCTION("""COMPUTED_VALUE"""),0.0)</f>
        <v>0</v>
      </c>
      <c r="Y862" s="447">
        <f>IFERROR(__xludf.DUMMYFUNCTION("""COMPUTED_VALUE"""),0.0)</f>
        <v>0</v>
      </c>
      <c r="Z862" s="447">
        <f>IFERROR(__xludf.DUMMYFUNCTION("""COMPUTED_VALUE"""),0.0)</f>
        <v>0</v>
      </c>
      <c r="AA862" s="447">
        <f>IFERROR(__xludf.DUMMYFUNCTION("""COMPUTED_VALUE"""),0.0)</f>
        <v>0</v>
      </c>
      <c r="AB862" s="447">
        <f>IFERROR(__xludf.DUMMYFUNCTION("""COMPUTED_VALUE"""),0.0)</f>
        <v>0</v>
      </c>
      <c r="AC862" s="447">
        <f>IFERROR(__xludf.DUMMYFUNCTION("""COMPUTED_VALUE"""),0.0)</f>
        <v>0</v>
      </c>
      <c r="AD862" s="447">
        <f>IFERROR(__xludf.DUMMYFUNCTION("""COMPUTED_VALUE"""),0.0)</f>
        <v>0</v>
      </c>
      <c r="AE862" s="447">
        <f>IFERROR(__xludf.DUMMYFUNCTION("""COMPUTED_VALUE"""),0.0)</f>
        <v>0</v>
      </c>
      <c r="AF862" s="447">
        <f>IFERROR(__xludf.DUMMYFUNCTION("""COMPUTED_VALUE"""),0.0)</f>
        <v>0</v>
      </c>
      <c r="AG862" s="443" t="s">
        <v>117</v>
      </c>
      <c r="AH862" s="443" t="s">
        <v>291</v>
      </c>
      <c r="AI862" s="443"/>
      <c r="AJ862" s="443"/>
      <c r="AK862" s="443"/>
      <c r="AL862" s="443"/>
      <c r="AM862" s="443"/>
      <c r="AN862" s="443"/>
      <c r="AO862" s="443"/>
      <c r="AP862" s="443"/>
      <c r="AQ862" s="443"/>
      <c r="AR862" s="443"/>
      <c r="AS862" s="443"/>
      <c r="AT862" s="443"/>
      <c r="AU862" s="443"/>
      <c r="AV862" s="443"/>
      <c r="AW862" s="443"/>
      <c r="AX862" s="443"/>
      <c r="AY862" s="443"/>
      <c r="AZ862" s="443"/>
      <c r="BA862" s="443"/>
      <c r="BB862" s="443"/>
      <c r="BC862" s="443"/>
      <c r="BD862" s="443"/>
      <c r="BE862" s="443"/>
    </row>
    <row r="863" hidden="1">
      <c r="A863" s="445">
        <f t="shared" si="5"/>
        <v>46153</v>
      </c>
      <c r="B863" s="449">
        <v>688.0</v>
      </c>
      <c r="C863" s="462">
        <v>0.5833333333333334</v>
      </c>
      <c r="D863" s="462">
        <v>1.0277777777777777</v>
      </c>
      <c r="E863" s="436">
        <f t="array" ref="E863">IF(B863=0,"",(J863+K863)/60)</f>
        <v>1.516666667</v>
      </c>
      <c r="F863" s="437">
        <f t="shared" si="1"/>
        <v>10.66666667</v>
      </c>
      <c r="G863" s="438">
        <f t="shared" si="9"/>
        <v>64.5</v>
      </c>
      <c r="H863" s="438">
        <f t="shared" si="3"/>
        <v>75.19125683</v>
      </c>
      <c r="I863" s="436">
        <f t="shared" si="10"/>
        <v>1.535714286</v>
      </c>
      <c r="J863" s="460">
        <v>60.0</v>
      </c>
      <c r="K863" s="460">
        <v>31.0</v>
      </c>
      <c r="L863" s="443"/>
      <c r="M863" s="447">
        <f>IFERROR(__xludf.DUMMYFUNCTION("""COMPUTED_VALUE"""),57.0)</f>
        <v>57</v>
      </c>
      <c r="N863" s="447">
        <f>IFERROR(__xludf.DUMMYFUNCTION("""COMPUTED_VALUE"""),55.0)</f>
        <v>55</v>
      </c>
      <c r="O863" s="447">
        <f>IFERROR(__xludf.DUMMYFUNCTION("""COMPUTED_VALUE"""),0.0)</f>
        <v>0</v>
      </c>
      <c r="P863" s="447">
        <f>IFERROR(__xludf.DUMMYFUNCTION("""COMPUTED_VALUE"""),0.0)</f>
        <v>0</v>
      </c>
      <c r="Q863" s="447">
        <f>IFERROR(__xludf.DUMMYFUNCTION("""COMPUTED_VALUE"""),0.0)</f>
        <v>0</v>
      </c>
      <c r="R863" s="447">
        <f>IFERROR(__xludf.DUMMYFUNCTION("""COMPUTED_VALUE"""),0.0)</f>
        <v>0</v>
      </c>
      <c r="S863" s="447">
        <f>IFERROR(__xludf.DUMMYFUNCTION("""COMPUTED_VALUE"""),2.0)</f>
        <v>2</v>
      </c>
      <c r="T863" s="447">
        <f>IFERROR(__xludf.DUMMYFUNCTION("""COMPUTED_VALUE"""),0.0)</f>
        <v>0</v>
      </c>
      <c r="U863" s="447">
        <f>IFERROR(__xludf.DUMMYFUNCTION("""COMPUTED_VALUE"""),2.0)</f>
        <v>2</v>
      </c>
      <c r="V863" s="447">
        <f>IFERROR(__xludf.DUMMYFUNCTION("""COMPUTED_VALUE"""),2.0)</f>
        <v>2</v>
      </c>
      <c r="W863" s="447">
        <f>IFERROR(__xludf.DUMMYFUNCTION("""COMPUTED_VALUE"""),0.0)</f>
        <v>0</v>
      </c>
      <c r="X863" s="447">
        <f>IFERROR(__xludf.DUMMYFUNCTION("""COMPUTED_VALUE"""),1.0)</f>
        <v>1</v>
      </c>
      <c r="Y863" s="447">
        <f>IFERROR(__xludf.DUMMYFUNCTION("""COMPUTED_VALUE"""),0.0)</f>
        <v>0</v>
      </c>
      <c r="Z863" s="447">
        <f>IFERROR(__xludf.DUMMYFUNCTION("""COMPUTED_VALUE"""),2.0)</f>
        <v>2</v>
      </c>
      <c r="AA863" s="447">
        <f>IFERROR(__xludf.DUMMYFUNCTION("""COMPUTED_VALUE"""),0.0)</f>
        <v>0</v>
      </c>
      <c r="AB863" s="447">
        <f>IFERROR(__xludf.DUMMYFUNCTION("""COMPUTED_VALUE"""),0.0)</f>
        <v>0</v>
      </c>
      <c r="AC863" s="447">
        <f>IFERROR(__xludf.DUMMYFUNCTION("""COMPUTED_VALUE"""),0.0)</f>
        <v>0</v>
      </c>
      <c r="AD863" s="447">
        <f>IFERROR(__xludf.DUMMYFUNCTION("""COMPUTED_VALUE"""),42.0)</f>
        <v>42</v>
      </c>
      <c r="AE863" s="447">
        <f>IFERROR(__xludf.DUMMYFUNCTION("""COMPUTED_VALUE"""),9.0)</f>
        <v>9</v>
      </c>
      <c r="AF863" s="447">
        <f>IFERROR(__xludf.DUMMYFUNCTION("""COMPUTED_VALUE"""),2.0)</f>
        <v>2</v>
      </c>
      <c r="AG863" s="443" t="s">
        <v>117</v>
      </c>
      <c r="AH863" s="443" t="s">
        <v>291</v>
      </c>
      <c r="AI863" s="443"/>
      <c r="AJ863" s="443"/>
      <c r="AK863" s="443"/>
      <c r="AL863" s="443"/>
      <c r="AM863" s="443"/>
      <c r="AN863" s="443"/>
      <c r="AO863" s="443"/>
      <c r="AP863" s="443"/>
      <c r="AQ863" s="443"/>
      <c r="AR863" s="443"/>
      <c r="AS863" s="443"/>
      <c r="AT863" s="443"/>
      <c r="AU863" s="443"/>
      <c r="AV863" s="443"/>
      <c r="AW863" s="443"/>
      <c r="AX863" s="443"/>
      <c r="AY863" s="443"/>
      <c r="AZ863" s="443"/>
      <c r="BA863" s="443"/>
      <c r="BB863" s="443"/>
      <c r="BC863" s="443"/>
      <c r="BD863" s="443"/>
      <c r="BE863" s="443"/>
    </row>
    <row r="864" hidden="1">
      <c r="A864" s="445">
        <f t="shared" si="5"/>
        <v>46154</v>
      </c>
      <c r="B864" s="449">
        <v>623.0</v>
      </c>
      <c r="C864" s="462">
        <v>0.5833333333333334</v>
      </c>
      <c r="D864" s="462">
        <v>1.0166666666666666</v>
      </c>
      <c r="E864" s="436">
        <f t="array" ref="E864">IF(B864=0,"",(J864+K864)/60)</f>
        <v>2</v>
      </c>
      <c r="F864" s="437">
        <f t="shared" si="1"/>
        <v>10.4</v>
      </c>
      <c r="G864" s="438">
        <f t="shared" si="9"/>
        <v>59.90384615</v>
      </c>
      <c r="H864" s="438">
        <f t="shared" si="3"/>
        <v>74.16666667</v>
      </c>
      <c r="I864" s="436">
        <f t="shared" si="10"/>
        <v>1.393112701</v>
      </c>
      <c r="J864" s="460">
        <v>60.0</v>
      </c>
      <c r="K864" s="460">
        <v>60.0</v>
      </c>
      <c r="L864" s="443"/>
      <c r="M864" s="447">
        <f>IFERROR(__xludf.DUMMYFUNCTION("""COMPUTED_VALUE"""),57.0)</f>
        <v>57</v>
      </c>
      <c r="N864" s="447">
        <f>IFERROR(__xludf.DUMMYFUNCTION("""COMPUTED_VALUE"""),55.0)</f>
        <v>55</v>
      </c>
      <c r="O864" s="447">
        <f>IFERROR(__xludf.DUMMYFUNCTION("""COMPUTED_VALUE"""),0.0)</f>
        <v>0</v>
      </c>
      <c r="P864" s="447">
        <f>IFERROR(__xludf.DUMMYFUNCTION("""COMPUTED_VALUE"""),0.0)</f>
        <v>0</v>
      </c>
      <c r="Q864" s="447">
        <f>IFERROR(__xludf.DUMMYFUNCTION("""COMPUTED_VALUE"""),0.0)</f>
        <v>0</v>
      </c>
      <c r="R864" s="447">
        <f>IFERROR(__xludf.DUMMYFUNCTION("""COMPUTED_VALUE"""),0.0)</f>
        <v>0</v>
      </c>
      <c r="S864" s="447">
        <f>IFERROR(__xludf.DUMMYFUNCTION("""COMPUTED_VALUE"""),3.0)</f>
        <v>3</v>
      </c>
      <c r="T864" s="447">
        <f>IFERROR(__xludf.DUMMYFUNCTION("""COMPUTED_VALUE"""),0.0)</f>
        <v>0</v>
      </c>
      <c r="U864" s="447">
        <f>IFERROR(__xludf.DUMMYFUNCTION("""COMPUTED_VALUE"""),2.0)</f>
        <v>2</v>
      </c>
      <c r="V864" s="447">
        <f>IFERROR(__xludf.DUMMYFUNCTION("""COMPUTED_VALUE"""),2.0)</f>
        <v>2</v>
      </c>
      <c r="W864" s="447">
        <f>IFERROR(__xludf.DUMMYFUNCTION("""COMPUTED_VALUE"""),0.0)</f>
        <v>0</v>
      </c>
      <c r="X864" s="447">
        <f>IFERROR(__xludf.DUMMYFUNCTION("""COMPUTED_VALUE"""),1.0)</f>
        <v>1</v>
      </c>
      <c r="Y864" s="447">
        <f>IFERROR(__xludf.DUMMYFUNCTION("""COMPUTED_VALUE"""),0.0)</f>
        <v>0</v>
      </c>
      <c r="Z864" s="447">
        <f>IFERROR(__xludf.DUMMYFUNCTION("""COMPUTED_VALUE"""),0.0)</f>
        <v>0</v>
      </c>
      <c r="AA864" s="447">
        <f>IFERROR(__xludf.DUMMYFUNCTION("""COMPUTED_VALUE"""),0.0)</f>
        <v>0</v>
      </c>
      <c r="AB864" s="447">
        <f>IFERROR(__xludf.DUMMYFUNCTION("""COMPUTED_VALUE"""),0.0)</f>
        <v>0</v>
      </c>
      <c r="AC864" s="447">
        <f>IFERROR(__xludf.DUMMYFUNCTION("""COMPUTED_VALUE"""),0.0)</f>
        <v>0</v>
      </c>
      <c r="AD864" s="447">
        <f>IFERROR(__xludf.DUMMYFUNCTION("""COMPUTED_VALUE"""),43.0)</f>
        <v>43</v>
      </c>
      <c r="AE864" s="447">
        <f>IFERROR(__xludf.DUMMYFUNCTION("""COMPUTED_VALUE"""),8.0)</f>
        <v>8</v>
      </c>
      <c r="AF864" s="447">
        <f>IFERROR(__xludf.DUMMYFUNCTION("""COMPUTED_VALUE"""),2.0)</f>
        <v>2</v>
      </c>
      <c r="AG864" s="443" t="s">
        <v>117</v>
      </c>
      <c r="AH864" s="443" t="s">
        <v>291</v>
      </c>
      <c r="AI864" s="443"/>
      <c r="AJ864" s="443"/>
      <c r="AK864" s="443"/>
      <c r="AL864" s="443"/>
      <c r="AM864" s="443"/>
      <c r="AN864" s="443"/>
      <c r="AO864" s="443"/>
      <c r="AP864" s="443"/>
      <c r="AQ864" s="443"/>
      <c r="AR864" s="443"/>
      <c r="AS864" s="443"/>
      <c r="AT864" s="443"/>
      <c r="AU864" s="443"/>
      <c r="AV864" s="443"/>
      <c r="AW864" s="443"/>
      <c r="AX864" s="443"/>
      <c r="AY864" s="443"/>
      <c r="AZ864" s="443"/>
      <c r="BA864" s="443"/>
      <c r="BB864" s="443"/>
      <c r="BC864" s="443"/>
      <c r="BD864" s="443"/>
      <c r="BE864" s="443"/>
    </row>
    <row r="865" hidden="1">
      <c r="A865" s="445">
        <f t="shared" si="5"/>
        <v>46155</v>
      </c>
      <c r="B865" s="449">
        <v>368.0</v>
      </c>
      <c r="C865" s="462">
        <v>0.625</v>
      </c>
      <c r="D865" s="462">
        <v>0.9076388888888889</v>
      </c>
      <c r="E865" s="436">
        <f t="array" ref="E865">IF(B865=0,"",(J865+K865)/60)</f>
        <v>0.6</v>
      </c>
      <c r="F865" s="437">
        <f t="shared" si="1"/>
        <v>6.783333333</v>
      </c>
      <c r="G865" s="438">
        <f t="shared" si="9"/>
        <v>54.25061425</v>
      </c>
      <c r="H865" s="438">
        <f t="shared" si="3"/>
        <v>59.5148248</v>
      </c>
      <c r="I865" s="436">
        <f t="shared" si="10"/>
        <v>1.291681292</v>
      </c>
      <c r="J865" s="460">
        <v>30.0</v>
      </c>
      <c r="K865" s="460">
        <v>6.0</v>
      </c>
      <c r="L865" s="443"/>
      <c r="M865" s="447">
        <f>IFERROR(__xludf.DUMMYFUNCTION("""COMPUTED_VALUE"""),57.0)</f>
        <v>57</v>
      </c>
      <c r="N865" s="447">
        <f>IFERROR(__xludf.DUMMYFUNCTION("""COMPUTED_VALUE"""),55.0)</f>
        <v>55</v>
      </c>
      <c r="O865" s="447">
        <f>IFERROR(__xludf.DUMMYFUNCTION("""COMPUTED_VALUE"""),0.0)</f>
        <v>0</v>
      </c>
      <c r="P865" s="447">
        <f>IFERROR(__xludf.DUMMYFUNCTION("""COMPUTED_VALUE"""),0.0)</f>
        <v>0</v>
      </c>
      <c r="Q865" s="447">
        <f>IFERROR(__xludf.DUMMYFUNCTION("""COMPUTED_VALUE"""),1.0)</f>
        <v>1</v>
      </c>
      <c r="R865" s="447">
        <f>IFERROR(__xludf.DUMMYFUNCTION("""COMPUTED_VALUE"""),0.0)</f>
        <v>0</v>
      </c>
      <c r="S865" s="447">
        <f>IFERROR(__xludf.DUMMYFUNCTION("""COMPUTED_VALUE"""),3.0)</f>
        <v>3</v>
      </c>
      <c r="T865" s="447">
        <f>IFERROR(__xludf.DUMMYFUNCTION("""COMPUTED_VALUE"""),0.0)</f>
        <v>0</v>
      </c>
      <c r="U865" s="447">
        <f>IFERROR(__xludf.DUMMYFUNCTION("""COMPUTED_VALUE"""),2.0)</f>
        <v>2</v>
      </c>
      <c r="V865" s="447">
        <f>IFERROR(__xludf.DUMMYFUNCTION("""COMPUTED_VALUE"""),2.0)</f>
        <v>2</v>
      </c>
      <c r="W865" s="447">
        <f>IFERROR(__xludf.DUMMYFUNCTION("""COMPUTED_VALUE"""),0.0)</f>
        <v>0</v>
      </c>
      <c r="X865" s="447">
        <f>IFERROR(__xludf.DUMMYFUNCTION("""COMPUTED_VALUE"""),1.0)</f>
        <v>1</v>
      </c>
      <c r="Y865" s="447">
        <f>IFERROR(__xludf.DUMMYFUNCTION("""COMPUTED_VALUE"""),0.0)</f>
        <v>0</v>
      </c>
      <c r="Z865" s="447">
        <f>IFERROR(__xludf.DUMMYFUNCTION("""COMPUTED_VALUE"""),0.0)</f>
        <v>0</v>
      </c>
      <c r="AA865" s="447">
        <f>IFERROR(__xludf.DUMMYFUNCTION("""COMPUTED_VALUE"""),0.0)</f>
        <v>0</v>
      </c>
      <c r="AB865" s="447">
        <f>IFERROR(__xludf.DUMMYFUNCTION("""COMPUTED_VALUE"""),0.0)</f>
        <v>0</v>
      </c>
      <c r="AC865" s="447">
        <f>IFERROR(__xludf.DUMMYFUNCTION("""COMPUTED_VALUE"""),0.0)</f>
        <v>0</v>
      </c>
      <c r="AD865" s="447">
        <f>IFERROR(__xludf.DUMMYFUNCTION("""COMPUTED_VALUE"""),42.0)</f>
        <v>42</v>
      </c>
      <c r="AE865" s="447">
        <f>IFERROR(__xludf.DUMMYFUNCTION("""COMPUTED_VALUE"""),9.0)</f>
        <v>9</v>
      </c>
      <c r="AF865" s="447">
        <f>IFERROR(__xludf.DUMMYFUNCTION("""COMPUTED_VALUE"""),2.0)</f>
        <v>2</v>
      </c>
      <c r="AG865" s="443" t="s">
        <v>117</v>
      </c>
      <c r="AH865" s="443" t="s">
        <v>291</v>
      </c>
      <c r="AI865" s="443"/>
      <c r="AJ865" s="443"/>
      <c r="AK865" s="443"/>
      <c r="AL865" s="443"/>
      <c r="AM865" s="443"/>
      <c r="AN865" s="443"/>
      <c r="AO865" s="443"/>
      <c r="AP865" s="443"/>
      <c r="AQ865" s="443"/>
      <c r="AR865" s="443"/>
      <c r="AS865" s="443"/>
      <c r="AT865" s="443"/>
      <c r="AU865" s="443"/>
      <c r="AV865" s="443"/>
      <c r="AW865" s="443"/>
      <c r="AX865" s="443"/>
      <c r="AY865" s="443"/>
      <c r="AZ865" s="443"/>
      <c r="BA865" s="443"/>
      <c r="BB865" s="443"/>
      <c r="BC865" s="443"/>
      <c r="BD865" s="443"/>
      <c r="BE865" s="443"/>
    </row>
    <row r="866" hidden="1">
      <c r="A866" s="445">
        <f t="shared" si="5"/>
        <v>46156</v>
      </c>
      <c r="B866" s="449">
        <v>543.0</v>
      </c>
      <c r="C866" s="462">
        <v>0.5833333333333334</v>
      </c>
      <c r="D866" s="462">
        <v>0.9305555555555556</v>
      </c>
      <c r="E866" s="436">
        <f t="array" ref="E866">IF(B866=0,"",(J866+K866)/60)</f>
        <v>0.8333333333</v>
      </c>
      <c r="F866" s="437">
        <f t="shared" si="1"/>
        <v>8.333333333</v>
      </c>
      <c r="G866" s="438">
        <f t="shared" si="9"/>
        <v>65.16</v>
      </c>
      <c r="H866" s="438">
        <f t="shared" si="3"/>
        <v>72.4</v>
      </c>
      <c r="I866" s="436">
        <f t="shared" si="10"/>
        <v>1.515348837</v>
      </c>
      <c r="J866" s="460">
        <v>30.0</v>
      </c>
      <c r="K866" s="460">
        <v>20.0</v>
      </c>
      <c r="L866" s="443"/>
      <c r="M866" s="447">
        <f>IFERROR(__xludf.DUMMYFUNCTION("""COMPUTED_VALUE"""),57.0)</f>
        <v>57</v>
      </c>
      <c r="N866" s="447">
        <f>IFERROR(__xludf.DUMMYFUNCTION("""COMPUTED_VALUE"""),54.0)</f>
        <v>54</v>
      </c>
      <c r="O866" s="447">
        <f>IFERROR(__xludf.DUMMYFUNCTION("""COMPUTED_VALUE"""),0.0)</f>
        <v>0</v>
      </c>
      <c r="P866" s="447">
        <f>IFERROR(__xludf.DUMMYFUNCTION("""COMPUTED_VALUE"""),0.0)</f>
        <v>0</v>
      </c>
      <c r="Q866" s="447">
        <f>IFERROR(__xludf.DUMMYFUNCTION("""COMPUTED_VALUE"""),0.0)</f>
        <v>0</v>
      </c>
      <c r="R866" s="447">
        <f>IFERROR(__xludf.DUMMYFUNCTION("""COMPUTED_VALUE"""),0.0)</f>
        <v>0</v>
      </c>
      <c r="S866" s="447">
        <f>IFERROR(__xludf.DUMMYFUNCTION("""COMPUTED_VALUE"""),2.0)</f>
        <v>2</v>
      </c>
      <c r="T866" s="447">
        <f>IFERROR(__xludf.DUMMYFUNCTION("""COMPUTED_VALUE"""),0.0)</f>
        <v>0</v>
      </c>
      <c r="U866" s="447">
        <f>IFERROR(__xludf.DUMMYFUNCTION("""COMPUTED_VALUE"""),3.0)</f>
        <v>3</v>
      </c>
      <c r="V866" s="447">
        <f>IFERROR(__xludf.DUMMYFUNCTION("""COMPUTED_VALUE"""),2.0)</f>
        <v>2</v>
      </c>
      <c r="W866" s="447">
        <f>IFERROR(__xludf.DUMMYFUNCTION("""COMPUTED_VALUE"""),0.0)</f>
        <v>0</v>
      </c>
      <c r="X866" s="447">
        <f>IFERROR(__xludf.DUMMYFUNCTION("""COMPUTED_VALUE"""),1.0)</f>
        <v>1</v>
      </c>
      <c r="Y866" s="447">
        <f>IFERROR(__xludf.DUMMYFUNCTION("""COMPUTED_VALUE"""),0.0)</f>
        <v>0</v>
      </c>
      <c r="Z866" s="447">
        <f>IFERROR(__xludf.DUMMYFUNCTION("""COMPUTED_VALUE"""),0.0)</f>
        <v>0</v>
      </c>
      <c r="AA866" s="447">
        <f>IFERROR(__xludf.DUMMYFUNCTION("""COMPUTED_VALUE"""),0.0)</f>
        <v>0</v>
      </c>
      <c r="AB866" s="447">
        <f>IFERROR(__xludf.DUMMYFUNCTION("""COMPUTED_VALUE"""),0.0)</f>
        <v>0</v>
      </c>
      <c r="AC866" s="447">
        <f>IFERROR(__xludf.DUMMYFUNCTION("""COMPUTED_VALUE"""),0.0)</f>
        <v>0</v>
      </c>
      <c r="AD866" s="447">
        <f>IFERROR(__xludf.DUMMYFUNCTION("""COMPUTED_VALUE"""),43.0)</f>
        <v>43</v>
      </c>
      <c r="AE866" s="447">
        <f>IFERROR(__xludf.DUMMYFUNCTION("""COMPUTED_VALUE"""),8.0)</f>
        <v>8</v>
      </c>
      <c r="AF866" s="447">
        <f>IFERROR(__xludf.DUMMYFUNCTION("""COMPUTED_VALUE"""),3.0)</f>
        <v>3</v>
      </c>
      <c r="AG866" s="443" t="s">
        <v>117</v>
      </c>
      <c r="AH866" s="443" t="s">
        <v>291</v>
      </c>
      <c r="AI866" s="443"/>
      <c r="AJ866" s="443"/>
      <c r="AK866" s="443"/>
      <c r="AL866" s="443"/>
      <c r="AM866" s="443"/>
      <c r="AN866" s="443"/>
      <c r="AO866" s="443"/>
      <c r="AP866" s="443"/>
      <c r="AQ866" s="443"/>
      <c r="AR866" s="443"/>
      <c r="AS866" s="443"/>
      <c r="AT866" s="443"/>
      <c r="AU866" s="443"/>
      <c r="AV866" s="443"/>
      <c r="AW866" s="443"/>
      <c r="AX866" s="443"/>
      <c r="AY866" s="443"/>
      <c r="AZ866" s="443"/>
      <c r="BA866" s="443"/>
      <c r="BB866" s="443"/>
      <c r="BC866" s="443"/>
      <c r="BD866" s="443"/>
      <c r="BE866" s="443"/>
    </row>
    <row r="867" hidden="1">
      <c r="A867" s="445">
        <f t="shared" si="5"/>
        <v>46157</v>
      </c>
      <c r="B867" s="449">
        <v>583.0</v>
      </c>
      <c r="C867" s="462">
        <v>0.5833333333333334</v>
      </c>
      <c r="D867" s="462">
        <v>1.0479166666666666</v>
      </c>
      <c r="E867" s="436">
        <f t="array" ref="E867">IF(B867=0,"",(J867+K867)/60)</f>
        <v>2.716666667</v>
      </c>
      <c r="F867" s="437">
        <f t="shared" si="1"/>
        <v>11.15</v>
      </c>
      <c r="G867" s="438">
        <f t="shared" si="9"/>
        <v>52.28699552</v>
      </c>
      <c r="H867" s="438">
        <f t="shared" si="3"/>
        <v>69.13043478</v>
      </c>
      <c r="I867" s="436">
        <f t="shared" si="10"/>
        <v>1.244928465</v>
      </c>
      <c r="J867" s="460">
        <v>30.0</v>
      </c>
      <c r="K867" s="460">
        <v>133.0</v>
      </c>
      <c r="L867" s="443"/>
      <c r="M867" s="447">
        <f>IFERROR(__xludf.DUMMYFUNCTION("""COMPUTED_VALUE"""),57.0)</f>
        <v>57</v>
      </c>
      <c r="N867" s="447">
        <f>IFERROR(__xludf.DUMMYFUNCTION("""COMPUTED_VALUE"""),54.0)</f>
        <v>54</v>
      </c>
      <c r="O867" s="447">
        <f>IFERROR(__xludf.DUMMYFUNCTION("""COMPUTED_VALUE"""),0.0)</f>
        <v>0</v>
      </c>
      <c r="P867" s="447">
        <f>IFERROR(__xludf.DUMMYFUNCTION("""COMPUTED_VALUE"""),0.0)</f>
        <v>0</v>
      </c>
      <c r="Q867" s="447">
        <f>IFERROR(__xludf.DUMMYFUNCTION("""COMPUTED_VALUE"""),0.0)</f>
        <v>0</v>
      </c>
      <c r="R867" s="447">
        <f>IFERROR(__xludf.DUMMYFUNCTION("""COMPUTED_VALUE"""),0.0)</f>
        <v>0</v>
      </c>
      <c r="S867" s="447">
        <f>IFERROR(__xludf.DUMMYFUNCTION("""COMPUTED_VALUE"""),3.0)</f>
        <v>3</v>
      </c>
      <c r="T867" s="447">
        <f>IFERROR(__xludf.DUMMYFUNCTION("""COMPUTED_VALUE"""),0.0)</f>
        <v>0</v>
      </c>
      <c r="U867" s="447">
        <f>IFERROR(__xludf.DUMMYFUNCTION("""COMPUTED_VALUE"""),3.0)</f>
        <v>3</v>
      </c>
      <c r="V867" s="447">
        <f>IFERROR(__xludf.DUMMYFUNCTION("""COMPUTED_VALUE"""),2.0)</f>
        <v>2</v>
      </c>
      <c r="W867" s="447">
        <f>IFERROR(__xludf.DUMMYFUNCTION("""COMPUTED_VALUE"""),0.0)</f>
        <v>0</v>
      </c>
      <c r="X867" s="447">
        <f>IFERROR(__xludf.DUMMYFUNCTION("""COMPUTED_VALUE"""),1.0)</f>
        <v>1</v>
      </c>
      <c r="Y867" s="447">
        <f>IFERROR(__xludf.DUMMYFUNCTION("""COMPUTED_VALUE"""),0.0)</f>
        <v>0</v>
      </c>
      <c r="Z867" s="447">
        <f>IFERROR(__xludf.DUMMYFUNCTION("""COMPUTED_VALUE"""),0.0)</f>
        <v>0</v>
      </c>
      <c r="AA867" s="447">
        <f>IFERROR(__xludf.DUMMYFUNCTION("""COMPUTED_VALUE"""),0.0)</f>
        <v>0</v>
      </c>
      <c r="AB867" s="447">
        <f>IFERROR(__xludf.DUMMYFUNCTION("""COMPUTED_VALUE"""),0.0)</f>
        <v>0</v>
      </c>
      <c r="AC867" s="447">
        <f>IFERROR(__xludf.DUMMYFUNCTION("""COMPUTED_VALUE"""),0.0)</f>
        <v>0</v>
      </c>
      <c r="AD867" s="447">
        <f>IFERROR(__xludf.DUMMYFUNCTION("""COMPUTED_VALUE"""),42.0)</f>
        <v>42</v>
      </c>
      <c r="AE867" s="447">
        <f>IFERROR(__xludf.DUMMYFUNCTION("""COMPUTED_VALUE"""),9.0)</f>
        <v>9</v>
      </c>
      <c r="AF867" s="447">
        <f>IFERROR(__xludf.DUMMYFUNCTION("""COMPUTED_VALUE"""),3.0)</f>
        <v>3</v>
      </c>
      <c r="AG867" s="443" t="s">
        <v>117</v>
      </c>
      <c r="AH867" s="443" t="s">
        <v>291</v>
      </c>
      <c r="AI867" s="443"/>
      <c r="AJ867" s="443"/>
      <c r="AK867" s="443"/>
      <c r="AL867" s="443"/>
      <c r="AM867" s="443"/>
      <c r="AN867" s="443"/>
      <c r="AO867" s="443"/>
      <c r="AP867" s="443"/>
      <c r="AQ867" s="443"/>
      <c r="AR867" s="443"/>
      <c r="AS867" s="443"/>
      <c r="AT867" s="443"/>
      <c r="AU867" s="443"/>
      <c r="AV867" s="443"/>
      <c r="AW867" s="443"/>
      <c r="AX867" s="443"/>
      <c r="AY867" s="443"/>
      <c r="AZ867" s="443"/>
      <c r="BA867" s="443"/>
      <c r="BB867" s="443"/>
      <c r="BC867" s="443"/>
      <c r="BD867" s="443"/>
      <c r="BE867" s="443"/>
    </row>
    <row r="868" hidden="1">
      <c r="A868" s="445">
        <f t="shared" si="5"/>
        <v>46158</v>
      </c>
      <c r="B868" s="449">
        <v>386.0</v>
      </c>
      <c r="C868" s="462">
        <v>0.625</v>
      </c>
      <c r="D868" s="462">
        <v>0.9125</v>
      </c>
      <c r="E868" s="436">
        <f t="array" ref="E868">IF(B868=0,"",(J868+K868)/60)</f>
        <v>0.5</v>
      </c>
      <c r="F868" s="437">
        <f t="shared" si="1"/>
        <v>6.9</v>
      </c>
      <c r="G868" s="438">
        <f t="shared" si="9"/>
        <v>55.94202899</v>
      </c>
      <c r="H868" s="438">
        <f t="shared" si="3"/>
        <v>60.3125</v>
      </c>
      <c r="I868" s="436">
        <f t="shared" si="10"/>
        <v>1.398550725</v>
      </c>
      <c r="J868" s="460">
        <v>30.0</v>
      </c>
      <c r="K868" s="460">
        <v>0.0</v>
      </c>
      <c r="L868" s="443"/>
      <c r="M868" s="447">
        <f>IFERROR(__xludf.DUMMYFUNCTION("""COMPUTED_VALUE"""),57.0)</f>
        <v>57</v>
      </c>
      <c r="N868" s="447">
        <f>IFERROR(__xludf.DUMMYFUNCTION("""COMPUTED_VALUE"""),54.0)</f>
        <v>54</v>
      </c>
      <c r="O868" s="447">
        <f>IFERROR(__xludf.DUMMYFUNCTION("""COMPUTED_VALUE"""),0.0)</f>
        <v>0</v>
      </c>
      <c r="P868" s="447">
        <f>IFERROR(__xludf.DUMMYFUNCTION("""COMPUTED_VALUE"""),0.0)</f>
        <v>0</v>
      </c>
      <c r="Q868" s="447">
        <f>IFERROR(__xludf.DUMMYFUNCTION("""COMPUTED_VALUE"""),2.0)</f>
        <v>2</v>
      </c>
      <c r="R868" s="447">
        <f>IFERROR(__xludf.DUMMYFUNCTION("""COMPUTED_VALUE"""),0.0)</f>
        <v>0</v>
      </c>
      <c r="S868" s="447">
        <f>IFERROR(__xludf.DUMMYFUNCTION("""COMPUTED_VALUE"""),3.0)</f>
        <v>3</v>
      </c>
      <c r="T868" s="447">
        <f>IFERROR(__xludf.DUMMYFUNCTION("""COMPUTED_VALUE"""),0.0)</f>
        <v>0</v>
      </c>
      <c r="U868" s="447">
        <f>IFERROR(__xludf.DUMMYFUNCTION("""COMPUTED_VALUE"""),3.0)</f>
        <v>3</v>
      </c>
      <c r="V868" s="447">
        <f>IFERROR(__xludf.DUMMYFUNCTION("""COMPUTED_VALUE"""),2.0)</f>
        <v>2</v>
      </c>
      <c r="W868" s="447">
        <f>IFERROR(__xludf.DUMMYFUNCTION("""COMPUTED_VALUE"""),0.0)</f>
        <v>0</v>
      </c>
      <c r="X868" s="447">
        <f>IFERROR(__xludf.DUMMYFUNCTION("""COMPUTED_VALUE"""),1.0)</f>
        <v>1</v>
      </c>
      <c r="Y868" s="447">
        <f>IFERROR(__xludf.DUMMYFUNCTION("""COMPUTED_VALUE"""),0.0)</f>
        <v>0</v>
      </c>
      <c r="Z868" s="447">
        <f>IFERROR(__xludf.DUMMYFUNCTION("""COMPUTED_VALUE"""),0.0)</f>
        <v>0</v>
      </c>
      <c r="AA868" s="447">
        <f>IFERROR(__xludf.DUMMYFUNCTION("""COMPUTED_VALUE"""),0.0)</f>
        <v>0</v>
      </c>
      <c r="AB868" s="447">
        <f>IFERROR(__xludf.DUMMYFUNCTION("""COMPUTED_VALUE"""),0.0)</f>
        <v>0</v>
      </c>
      <c r="AC868" s="447">
        <f>IFERROR(__xludf.DUMMYFUNCTION("""COMPUTED_VALUE"""),0.0)</f>
        <v>0</v>
      </c>
      <c r="AD868" s="447">
        <f>IFERROR(__xludf.DUMMYFUNCTION("""COMPUTED_VALUE"""),40.0)</f>
        <v>40</v>
      </c>
      <c r="AE868" s="447">
        <f>IFERROR(__xludf.DUMMYFUNCTION("""COMPUTED_VALUE"""),11.0)</f>
        <v>11</v>
      </c>
      <c r="AF868" s="447">
        <f>IFERROR(__xludf.DUMMYFUNCTION("""COMPUTED_VALUE"""),3.0)</f>
        <v>3</v>
      </c>
      <c r="AG868" s="443" t="s">
        <v>117</v>
      </c>
      <c r="AH868" s="443" t="s">
        <v>291</v>
      </c>
      <c r="AI868" s="443"/>
      <c r="AJ868" s="443"/>
      <c r="AK868" s="443"/>
      <c r="AL868" s="443"/>
      <c r="AM868" s="443"/>
      <c r="AN868" s="443"/>
      <c r="AO868" s="443"/>
      <c r="AP868" s="443"/>
      <c r="AQ868" s="443"/>
      <c r="AR868" s="443"/>
      <c r="AS868" s="443"/>
      <c r="AT868" s="443"/>
      <c r="AU868" s="443"/>
      <c r="AV868" s="443"/>
      <c r="AW868" s="443"/>
      <c r="AX868" s="443"/>
      <c r="AY868" s="443"/>
      <c r="AZ868" s="443"/>
      <c r="BA868" s="443"/>
      <c r="BB868" s="443"/>
      <c r="BC868" s="443"/>
      <c r="BD868" s="443"/>
      <c r="BE868" s="443"/>
    </row>
    <row r="869" hidden="1">
      <c r="A869" s="445">
        <f t="shared" si="5"/>
        <v>46159</v>
      </c>
      <c r="B869" s="449">
        <v>0.0</v>
      </c>
      <c r="C869" s="443"/>
      <c r="D869" s="462"/>
      <c r="E869" s="436" t="str">
        <f t="array" ref="E869">IF(B869=0,"",(J869+K869)/60)</f>
        <v/>
      </c>
      <c r="F869" s="437" t="str">
        <f t="shared" si="1"/>
        <v/>
      </c>
      <c r="G869" s="438" t="str">
        <f t="shared" si="9"/>
        <v>#DIV/0!</v>
      </c>
      <c r="H869" s="438" t="str">
        <f t="shared" si="3"/>
        <v/>
      </c>
      <c r="I869" s="436" t="str">
        <f t="shared" si="10"/>
        <v/>
      </c>
      <c r="J869" s="464"/>
      <c r="K869" s="464"/>
      <c r="L869" s="443"/>
      <c r="M869" s="447">
        <f>IFERROR(__xludf.DUMMYFUNCTION("""COMPUTED_VALUE"""),57.0)</f>
        <v>57</v>
      </c>
      <c r="N869" s="447">
        <f>IFERROR(__xludf.DUMMYFUNCTION("""COMPUTED_VALUE"""),57.0)</f>
        <v>57</v>
      </c>
      <c r="O869" s="447">
        <f>IFERROR(__xludf.DUMMYFUNCTION("""COMPUTED_VALUE"""),0.0)</f>
        <v>0</v>
      </c>
      <c r="P869" s="447">
        <f>IFERROR(__xludf.DUMMYFUNCTION("""COMPUTED_VALUE"""),0.0)</f>
        <v>0</v>
      </c>
      <c r="Q869" s="447">
        <f>IFERROR(__xludf.DUMMYFUNCTION("""COMPUTED_VALUE"""),0.0)</f>
        <v>0</v>
      </c>
      <c r="R869" s="447">
        <f>IFERROR(__xludf.DUMMYFUNCTION("""COMPUTED_VALUE"""),0.0)</f>
        <v>0</v>
      </c>
      <c r="S869" s="447">
        <f>IFERROR(__xludf.DUMMYFUNCTION("""COMPUTED_VALUE"""),0.0)</f>
        <v>0</v>
      </c>
      <c r="T869" s="447">
        <f>IFERROR(__xludf.DUMMYFUNCTION("""COMPUTED_VALUE"""),0.0)</f>
        <v>0</v>
      </c>
      <c r="U869" s="447">
        <f>IFERROR(__xludf.DUMMYFUNCTION("""COMPUTED_VALUE"""),0.0)</f>
        <v>0</v>
      </c>
      <c r="V869" s="447">
        <f>IFERROR(__xludf.DUMMYFUNCTION("""COMPUTED_VALUE"""),0.0)</f>
        <v>0</v>
      </c>
      <c r="W869" s="447">
        <f>IFERROR(__xludf.DUMMYFUNCTION("""COMPUTED_VALUE"""),0.0)</f>
        <v>0</v>
      </c>
      <c r="X869" s="447">
        <f>IFERROR(__xludf.DUMMYFUNCTION("""COMPUTED_VALUE"""),0.0)</f>
        <v>0</v>
      </c>
      <c r="Y869" s="447">
        <f>IFERROR(__xludf.DUMMYFUNCTION("""COMPUTED_VALUE"""),0.0)</f>
        <v>0</v>
      </c>
      <c r="Z869" s="447">
        <f>IFERROR(__xludf.DUMMYFUNCTION("""COMPUTED_VALUE"""),0.0)</f>
        <v>0</v>
      </c>
      <c r="AA869" s="447">
        <f>IFERROR(__xludf.DUMMYFUNCTION("""COMPUTED_VALUE"""),0.0)</f>
        <v>0</v>
      </c>
      <c r="AB869" s="447">
        <f>IFERROR(__xludf.DUMMYFUNCTION("""COMPUTED_VALUE"""),0.0)</f>
        <v>0</v>
      </c>
      <c r="AC869" s="447">
        <f>IFERROR(__xludf.DUMMYFUNCTION("""COMPUTED_VALUE"""),0.0)</f>
        <v>0</v>
      </c>
      <c r="AD869" s="447">
        <f>IFERROR(__xludf.DUMMYFUNCTION("""COMPUTED_VALUE"""),0.0)</f>
        <v>0</v>
      </c>
      <c r="AE869" s="447">
        <f>IFERROR(__xludf.DUMMYFUNCTION("""COMPUTED_VALUE"""),0.0)</f>
        <v>0</v>
      </c>
      <c r="AF869" s="447">
        <f>IFERROR(__xludf.DUMMYFUNCTION("""COMPUTED_VALUE"""),0.0)</f>
        <v>0</v>
      </c>
      <c r="AG869" s="443" t="s">
        <v>117</v>
      </c>
      <c r="AH869" s="443" t="s">
        <v>291</v>
      </c>
      <c r="AI869" s="443"/>
      <c r="AJ869" s="443"/>
      <c r="AK869" s="443"/>
      <c r="AL869" s="443"/>
      <c r="AM869" s="443"/>
      <c r="AN869" s="443"/>
      <c r="AO869" s="443"/>
      <c r="AP869" s="443"/>
      <c r="AQ869" s="443"/>
      <c r="AR869" s="443"/>
      <c r="AS869" s="443"/>
      <c r="AT869" s="443"/>
      <c r="AU869" s="443"/>
      <c r="AV869" s="443"/>
      <c r="AW869" s="443"/>
      <c r="AX869" s="443"/>
      <c r="AY869" s="443"/>
      <c r="AZ869" s="443"/>
      <c r="BA869" s="443"/>
      <c r="BB869" s="443"/>
      <c r="BC869" s="443"/>
      <c r="BD869" s="443"/>
      <c r="BE869" s="443"/>
    </row>
    <row r="870" hidden="1">
      <c r="A870" s="445">
        <f t="shared" si="5"/>
        <v>46160</v>
      </c>
      <c r="B870" s="449">
        <v>710.0</v>
      </c>
      <c r="C870" s="462">
        <v>0.5416666666666666</v>
      </c>
      <c r="D870" s="462">
        <v>1.0138888888888888</v>
      </c>
      <c r="E870" s="436">
        <f t="array" ref="E870">IF(B870=0,"",(J870+K870)/60)</f>
        <v>1.266666667</v>
      </c>
      <c r="F870" s="437">
        <f t="shared" si="1"/>
        <v>11.33333333</v>
      </c>
      <c r="G870" s="438">
        <f t="shared" si="9"/>
        <v>62.64705882</v>
      </c>
      <c r="H870" s="438">
        <f t="shared" si="3"/>
        <v>70.52980132</v>
      </c>
      <c r="I870" s="436">
        <f t="shared" si="10"/>
        <v>1.491596639</v>
      </c>
      <c r="J870" s="460">
        <v>60.0</v>
      </c>
      <c r="K870" s="460">
        <v>16.0</v>
      </c>
      <c r="L870" s="443"/>
      <c r="M870" s="447">
        <f>IFERROR(__xludf.DUMMYFUNCTION("""COMPUTED_VALUE"""),57.0)</f>
        <v>57</v>
      </c>
      <c r="N870" s="447">
        <f>IFERROR(__xludf.DUMMYFUNCTION("""COMPUTED_VALUE"""),54.0)</f>
        <v>54</v>
      </c>
      <c r="O870" s="447">
        <f>IFERROR(__xludf.DUMMYFUNCTION("""COMPUTED_VALUE"""),0.0)</f>
        <v>0</v>
      </c>
      <c r="P870" s="447">
        <f>IFERROR(__xludf.DUMMYFUNCTION("""COMPUTED_VALUE"""),1.0)</f>
        <v>1</v>
      </c>
      <c r="Q870" s="447">
        <f>IFERROR(__xludf.DUMMYFUNCTION("""COMPUTED_VALUE"""),0.0)</f>
        <v>0</v>
      </c>
      <c r="R870" s="447">
        <f>IFERROR(__xludf.DUMMYFUNCTION("""COMPUTED_VALUE"""),0.0)</f>
        <v>0</v>
      </c>
      <c r="S870" s="447">
        <f>IFERROR(__xludf.DUMMYFUNCTION("""COMPUTED_VALUE"""),0.0)</f>
        <v>0</v>
      </c>
      <c r="T870" s="447">
        <f>IFERROR(__xludf.DUMMYFUNCTION("""COMPUTED_VALUE"""),0.0)</f>
        <v>0</v>
      </c>
      <c r="U870" s="447">
        <f>IFERROR(__xludf.DUMMYFUNCTION("""COMPUTED_VALUE"""),3.0)</f>
        <v>3</v>
      </c>
      <c r="V870" s="447">
        <f>IFERROR(__xludf.DUMMYFUNCTION("""COMPUTED_VALUE"""),1.0)</f>
        <v>1</v>
      </c>
      <c r="W870" s="447">
        <f>IFERROR(__xludf.DUMMYFUNCTION("""COMPUTED_VALUE"""),0.0)</f>
        <v>0</v>
      </c>
      <c r="X870" s="447">
        <f>IFERROR(__xludf.DUMMYFUNCTION("""COMPUTED_VALUE"""),1.0)</f>
        <v>1</v>
      </c>
      <c r="Y870" s="447">
        <f>IFERROR(__xludf.DUMMYFUNCTION("""COMPUTED_VALUE"""),0.0)</f>
        <v>0</v>
      </c>
      <c r="Z870" s="447">
        <f>IFERROR(__xludf.DUMMYFUNCTION("""COMPUTED_VALUE"""),0.0)</f>
        <v>0</v>
      </c>
      <c r="AA870" s="447">
        <f>IFERROR(__xludf.DUMMYFUNCTION("""COMPUTED_VALUE"""),0.0)</f>
        <v>0</v>
      </c>
      <c r="AB870" s="447">
        <f>IFERROR(__xludf.DUMMYFUNCTION("""COMPUTED_VALUE"""),0.0)</f>
        <v>0</v>
      </c>
      <c r="AC870" s="447">
        <f>IFERROR(__xludf.DUMMYFUNCTION("""COMPUTED_VALUE"""),0.0)</f>
        <v>0</v>
      </c>
      <c r="AD870" s="447">
        <f>IFERROR(__xludf.DUMMYFUNCTION("""COMPUTED_VALUE"""),42.0)</f>
        <v>42</v>
      </c>
      <c r="AE870" s="447">
        <f>IFERROR(__xludf.DUMMYFUNCTION("""COMPUTED_VALUE"""),6.0)</f>
        <v>6</v>
      </c>
      <c r="AF870" s="447">
        <f>IFERROR(__xludf.DUMMYFUNCTION("""COMPUTED_VALUE"""),3.0)</f>
        <v>3</v>
      </c>
      <c r="AG870" s="443" t="s">
        <v>117</v>
      </c>
      <c r="AH870" s="443" t="s">
        <v>291</v>
      </c>
      <c r="AI870" s="443"/>
      <c r="AJ870" s="443"/>
      <c r="AK870" s="443"/>
      <c r="AL870" s="443"/>
      <c r="AM870" s="443"/>
      <c r="AN870" s="443"/>
      <c r="AO870" s="443"/>
      <c r="AP870" s="443"/>
      <c r="AQ870" s="443"/>
      <c r="AR870" s="443"/>
      <c r="AS870" s="443"/>
      <c r="AT870" s="443"/>
      <c r="AU870" s="443"/>
      <c r="AV870" s="443"/>
      <c r="AW870" s="443"/>
      <c r="AX870" s="443"/>
      <c r="AY870" s="443"/>
      <c r="AZ870" s="443"/>
      <c r="BA870" s="443"/>
      <c r="BB870" s="443"/>
      <c r="BC870" s="443"/>
      <c r="BD870" s="443"/>
      <c r="BE870" s="443"/>
    </row>
    <row r="871" hidden="1">
      <c r="A871" s="445">
        <f t="shared" si="5"/>
        <v>46161</v>
      </c>
      <c r="B871" s="449">
        <v>441.0</v>
      </c>
      <c r="C871" s="462">
        <v>0.625</v>
      </c>
      <c r="D871" s="462">
        <v>0.9381944444444444</v>
      </c>
      <c r="E871" s="436">
        <f t="array" ref="E871">IF(B871=0,"",(J871+K871)/60)</f>
        <v>1.133333333</v>
      </c>
      <c r="F871" s="437">
        <f t="shared" si="1"/>
        <v>7.516666667</v>
      </c>
      <c r="G871" s="438">
        <f t="shared" si="9"/>
        <v>58.66962306</v>
      </c>
      <c r="H871" s="438">
        <f t="shared" si="3"/>
        <v>69.08616188</v>
      </c>
      <c r="I871" s="436">
        <f t="shared" si="10"/>
        <v>1.364409839</v>
      </c>
      <c r="J871" s="460">
        <v>30.0</v>
      </c>
      <c r="K871" s="460">
        <v>38.0</v>
      </c>
      <c r="L871" s="443"/>
      <c r="M871" s="447">
        <f>IFERROR(__xludf.DUMMYFUNCTION("""COMPUTED_VALUE"""),57.0)</f>
        <v>57</v>
      </c>
      <c r="N871" s="447">
        <f>IFERROR(__xludf.DUMMYFUNCTION("""COMPUTED_VALUE"""),54.0)</f>
        <v>54</v>
      </c>
      <c r="O871" s="447">
        <f>IFERROR(__xludf.DUMMYFUNCTION("""COMPUTED_VALUE"""),0.0)</f>
        <v>0</v>
      </c>
      <c r="P871" s="447">
        <f>IFERROR(__xludf.DUMMYFUNCTION("""COMPUTED_VALUE"""),1.0)</f>
        <v>1</v>
      </c>
      <c r="Q871" s="447">
        <f>IFERROR(__xludf.DUMMYFUNCTION("""COMPUTED_VALUE"""),0.0)</f>
        <v>0</v>
      </c>
      <c r="R871" s="447">
        <f>IFERROR(__xludf.DUMMYFUNCTION("""COMPUTED_VALUE"""),0.0)</f>
        <v>0</v>
      </c>
      <c r="S871" s="447">
        <f>IFERROR(__xludf.DUMMYFUNCTION("""COMPUTED_VALUE"""),2.0)</f>
        <v>2</v>
      </c>
      <c r="T871" s="447">
        <f>IFERROR(__xludf.DUMMYFUNCTION("""COMPUTED_VALUE"""),0.0)</f>
        <v>0</v>
      </c>
      <c r="U871" s="447">
        <f>IFERROR(__xludf.DUMMYFUNCTION("""COMPUTED_VALUE"""),3.0)</f>
        <v>3</v>
      </c>
      <c r="V871" s="447">
        <f>IFERROR(__xludf.DUMMYFUNCTION("""COMPUTED_VALUE"""),1.0)</f>
        <v>1</v>
      </c>
      <c r="W871" s="447">
        <f>IFERROR(__xludf.DUMMYFUNCTION("""COMPUTED_VALUE"""),0.0)</f>
        <v>0</v>
      </c>
      <c r="X871" s="447">
        <f>IFERROR(__xludf.DUMMYFUNCTION("""COMPUTED_VALUE"""),1.0)</f>
        <v>1</v>
      </c>
      <c r="Y871" s="447">
        <f>IFERROR(__xludf.DUMMYFUNCTION("""COMPUTED_VALUE"""),0.0)</f>
        <v>0</v>
      </c>
      <c r="Z871" s="447">
        <f>IFERROR(__xludf.DUMMYFUNCTION("""COMPUTED_VALUE"""),0.0)</f>
        <v>0</v>
      </c>
      <c r="AA871" s="447">
        <f>IFERROR(__xludf.DUMMYFUNCTION("""COMPUTED_VALUE"""),0.0)</f>
        <v>0</v>
      </c>
      <c r="AB871" s="447">
        <f>IFERROR(__xludf.DUMMYFUNCTION("""COMPUTED_VALUE"""),0.0)</f>
        <v>0</v>
      </c>
      <c r="AC871" s="447">
        <f>IFERROR(__xludf.DUMMYFUNCTION("""COMPUTED_VALUE"""),0.0)</f>
        <v>0</v>
      </c>
      <c r="AD871" s="447">
        <f>IFERROR(__xludf.DUMMYFUNCTION("""COMPUTED_VALUE"""),43.0)</f>
        <v>43</v>
      </c>
      <c r="AE871" s="447">
        <f>IFERROR(__xludf.DUMMYFUNCTION("""COMPUTED_VALUE"""),8.0)</f>
        <v>8</v>
      </c>
      <c r="AF871" s="447">
        <f>IFERROR(__xludf.DUMMYFUNCTION("""COMPUTED_VALUE"""),3.0)</f>
        <v>3</v>
      </c>
      <c r="AG871" s="443" t="s">
        <v>117</v>
      </c>
      <c r="AH871" s="443" t="s">
        <v>291</v>
      </c>
      <c r="AI871" s="443"/>
      <c r="AJ871" s="443"/>
      <c r="AK871" s="443"/>
      <c r="AL871" s="443"/>
      <c r="AM871" s="443"/>
      <c r="AN871" s="443"/>
      <c r="AO871" s="443"/>
      <c r="AP871" s="443"/>
      <c r="AQ871" s="443"/>
      <c r="AR871" s="443"/>
      <c r="AS871" s="443"/>
      <c r="AT871" s="443"/>
      <c r="AU871" s="443"/>
      <c r="AV871" s="443"/>
      <c r="AW871" s="443"/>
      <c r="AX871" s="443"/>
      <c r="AY871" s="443"/>
      <c r="AZ871" s="443"/>
      <c r="BA871" s="443"/>
      <c r="BB871" s="443"/>
      <c r="BC871" s="443"/>
      <c r="BD871" s="443"/>
      <c r="BE871" s="443"/>
    </row>
    <row r="872" hidden="1">
      <c r="A872" s="445">
        <f t="shared" si="5"/>
        <v>46162</v>
      </c>
      <c r="B872" s="449">
        <v>477.0</v>
      </c>
      <c r="C872" s="462">
        <v>0.625</v>
      </c>
      <c r="D872" s="462">
        <v>0.9638888888888889</v>
      </c>
      <c r="E872" s="436">
        <f t="array" ref="E872">IF(B872=0,"",(J872+K872)/60)</f>
        <v>0.8833333333</v>
      </c>
      <c r="F872" s="437">
        <f t="shared" si="1"/>
        <v>8.133333333</v>
      </c>
      <c r="G872" s="438">
        <f t="shared" si="9"/>
        <v>58.64754098</v>
      </c>
      <c r="H872" s="438">
        <f t="shared" si="3"/>
        <v>65.79310345</v>
      </c>
      <c r="I872" s="436">
        <f t="shared" si="10"/>
        <v>1.396370023</v>
      </c>
      <c r="J872" s="460">
        <v>30.0</v>
      </c>
      <c r="K872" s="460">
        <v>23.0</v>
      </c>
      <c r="L872" s="449" t="s">
        <v>1023</v>
      </c>
      <c r="M872" s="447">
        <f>IFERROR(__xludf.DUMMYFUNCTION("""COMPUTED_VALUE"""),57.0)</f>
        <v>57</v>
      </c>
      <c r="N872" s="447">
        <f>IFERROR(__xludf.DUMMYFUNCTION("""COMPUTED_VALUE"""),53.0)</f>
        <v>53</v>
      </c>
      <c r="O872" s="447">
        <f>IFERROR(__xludf.DUMMYFUNCTION("""COMPUTED_VALUE"""),0.0)</f>
        <v>0</v>
      </c>
      <c r="P872" s="447">
        <f>IFERROR(__xludf.DUMMYFUNCTION("""COMPUTED_VALUE"""),0.0)</f>
        <v>0</v>
      </c>
      <c r="Q872" s="447">
        <f>IFERROR(__xludf.DUMMYFUNCTION("""COMPUTED_VALUE"""),0.0)</f>
        <v>0</v>
      </c>
      <c r="R872" s="447">
        <f>IFERROR(__xludf.DUMMYFUNCTION("""COMPUTED_VALUE"""),1.0)</f>
        <v>1</v>
      </c>
      <c r="S872" s="447">
        <f>IFERROR(__xludf.DUMMYFUNCTION("""COMPUTED_VALUE"""),1.0)</f>
        <v>1</v>
      </c>
      <c r="T872" s="447">
        <f>IFERROR(__xludf.DUMMYFUNCTION("""COMPUTED_VALUE"""),0.0)</f>
        <v>0</v>
      </c>
      <c r="U872" s="447">
        <f>IFERROR(__xludf.DUMMYFUNCTION("""COMPUTED_VALUE"""),3.0)</f>
        <v>3</v>
      </c>
      <c r="V872" s="447">
        <f>IFERROR(__xludf.DUMMYFUNCTION("""COMPUTED_VALUE"""),3.0)</f>
        <v>3</v>
      </c>
      <c r="W872" s="447">
        <f>IFERROR(__xludf.DUMMYFUNCTION("""COMPUTED_VALUE"""),0.0)</f>
        <v>0</v>
      </c>
      <c r="X872" s="447">
        <f>IFERROR(__xludf.DUMMYFUNCTION("""COMPUTED_VALUE"""),1.0)</f>
        <v>1</v>
      </c>
      <c r="Y872" s="447">
        <f>IFERROR(__xludf.DUMMYFUNCTION("""COMPUTED_VALUE"""),0.0)</f>
        <v>0</v>
      </c>
      <c r="Z872" s="447">
        <f>IFERROR(__xludf.DUMMYFUNCTION("""COMPUTED_VALUE"""),0.0)</f>
        <v>0</v>
      </c>
      <c r="AA872" s="447">
        <f>IFERROR(__xludf.DUMMYFUNCTION("""COMPUTED_VALUE"""),0.0)</f>
        <v>0</v>
      </c>
      <c r="AB872" s="447">
        <f>IFERROR(__xludf.DUMMYFUNCTION("""COMPUTED_VALUE"""),0.0)</f>
        <v>0</v>
      </c>
      <c r="AC872" s="447">
        <f>IFERROR(__xludf.DUMMYFUNCTION("""COMPUTED_VALUE"""),0.0)</f>
        <v>0</v>
      </c>
      <c r="AD872" s="447">
        <f>IFERROR(__xludf.DUMMYFUNCTION("""COMPUTED_VALUE"""),42.0)</f>
        <v>42</v>
      </c>
      <c r="AE872" s="447">
        <f>IFERROR(__xludf.DUMMYFUNCTION("""COMPUTED_VALUE"""),8.0)</f>
        <v>8</v>
      </c>
      <c r="AF872" s="447">
        <f>IFERROR(__xludf.DUMMYFUNCTION("""COMPUTED_VALUE"""),4.0)</f>
        <v>4</v>
      </c>
      <c r="AG872" s="443" t="s">
        <v>117</v>
      </c>
      <c r="AH872" s="443" t="s">
        <v>291</v>
      </c>
      <c r="AI872" s="443"/>
      <c r="AJ872" s="443"/>
      <c r="AK872" s="443"/>
      <c r="AL872" s="443"/>
      <c r="AM872" s="443"/>
      <c r="AN872" s="443"/>
      <c r="AO872" s="443"/>
      <c r="AP872" s="443"/>
      <c r="AQ872" s="443"/>
      <c r="AR872" s="443"/>
      <c r="AS872" s="443"/>
      <c r="AT872" s="443"/>
      <c r="AU872" s="443"/>
      <c r="AV872" s="443"/>
      <c r="AW872" s="443"/>
      <c r="AX872" s="443"/>
      <c r="AY872" s="443"/>
      <c r="AZ872" s="443"/>
      <c r="BA872" s="443"/>
      <c r="BB872" s="443"/>
      <c r="BC872" s="443"/>
      <c r="BD872" s="443"/>
      <c r="BE872" s="443"/>
    </row>
    <row r="873" hidden="1">
      <c r="A873" s="445">
        <f t="shared" si="5"/>
        <v>46163</v>
      </c>
      <c r="B873" s="449">
        <v>484.0</v>
      </c>
      <c r="C873" s="462">
        <v>0.5833333333333334</v>
      </c>
      <c r="D873" s="462">
        <v>0.9194444444444444</v>
      </c>
      <c r="E873" s="436">
        <f t="array" ref="E873">IF(B873=0,"",(J873+K873)/60)</f>
        <v>1.033333333</v>
      </c>
      <c r="F873" s="437">
        <f t="shared" si="1"/>
        <v>8.066666667</v>
      </c>
      <c r="G873" s="438">
        <f t="shared" si="9"/>
        <v>60</v>
      </c>
      <c r="H873" s="438">
        <f t="shared" si="3"/>
        <v>68.81516588</v>
      </c>
      <c r="I873" s="436">
        <f t="shared" si="10"/>
        <v>1.395348837</v>
      </c>
      <c r="J873" s="460">
        <v>30.0</v>
      </c>
      <c r="K873" s="460">
        <v>32.0</v>
      </c>
      <c r="L873" s="449" t="s">
        <v>1024</v>
      </c>
      <c r="M873" s="447">
        <f>IFERROR(__xludf.DUMMYFUNCTION("""COMPUTED_VALUE"""),57.0)</f>
        <v>57</v>
      </c>
      <c r="N873" s="447">
        <f>IFERROR(__xludf.DUMMYFUNCTION("""COMPUTED_VALUE"""),54.0)</f>
        <v>54</v>
      </c>
      <c r="O873" s="447">
        <f>IFERROR(__xludf.DUMMYFUNCTION("""COMPUTED_VALUE"""),0.0)</f>
        <v>0</v>
      </c>
      <c r="P873" s="447">
        <f>IFERROR(__xludf.DUMMYFUNCTION("""COMPUTED_VALUE"""),0.0)</f>
        <v>0</v>
      </c>
      <c r="Q873" s="447">
        <f>IFERROR(__xludf.DUMMYFUNCTION("""COMPUTED_VALUE"""),0.0)</f>
        <v>0</v>
      </c>
      <c r="R873" s="447">
        <f>IFERROR(__xludf.DUMMYFUNCTION("""COMPUTED_VALUE"""),0.0)</f>
        <v>0</v>
      </c>
      <c r="S873" s="447">
        <f>IFERROR(__xludf.DUMMYFUNCTION("""COMPUTED_VALUE"""),2.0)</f>
        <v>2</v>
      </c>
      <c r="T873" s="447">
        <f>IFERROR(__xludf.DUMMYFUNCTION("""COMPUTED_VALUE"""),0.0)</f>
        <v>0</v>
      </c>
      <c r="U873" s="447">
        <f>IFERROR(__xludf.DUMMYFUNCTION("""COMPUTED_VALUE"""),3.0)</f>
        <v>3</v>
      </c>
      <c r="V873" s="447">
        <f>IFERROR(__xludf.DUMMYFUNCTION("""COMPUTED_VALUE"""),2.0)</f>
        <v>2</v>
      </c>
      <c r="W873" s="447">
        <f>IFERROR(__xludf.DUMMYFUNCTION("""COMPUTED_VALUE"""),0.0)</f>
        <v>0</v>
      </c>
      <c r="X873" s="447">
        <f>IFERROR(__xludf.DUMMYFUNCTION("""COMPUTED_VALUE"""),1.0)</f>
        <v>1</v>
      </c>
      <c r="Y873" s="447">
        <f>IFERROR(__xludf.DUMMYFUNCTION("""COMPUTED_VALUE"""),0.0)</f>
        <v>0</v>
      </c>
      <c r="Z873" s="447">
        <f>IFERROR(__xludf.DUMMYFUNCTION("""COMPUTED_VALUE"""),0.0)</f>
        <v>0</v>
      </c>
      <c r="AA873" s="447">
        <f>IFERROR(__xludf.DUMMYFUNCTION("""COMPUTED_VALUE"""),0.0)</f>
        <v>0</v>
      </c>
      <c r="AB873" s="447">
        <f>IFERROR(__xludf.DUMMYFUNCTION("""COMPUTED_VALUE"""),0.0)</f>
        <v>0</v>
      </c>
      <c r="AC873" s="447">
        <f>IFERROR(__xludf.DUMMYFUNCTION("""COMPUTED_VALUE"""),0.0)</f>
        <v>0</v>
      </c>
      <c r="AD873" s="447">
        <f>IFERROR(__xludf.DUMMYFUNCTION("""COMPUTED_VALUE"""),43.0)</f>
        <v>43</v>
      </c>
      <c r="AE873" s="447">
        <f>IFERROR(__xludf.DUMMYFUNCTION("""COMPUTED_VALUE"""),8.0)</f>
        <v>8</v>
      </c>
      <c r="AF873" s="447">
        <f>IFERROR(__xludf.DUMMYFUNCTION("""COMPUTED_VALUE"""),3.0)</f>
        <v>3</v>
      </c>
      <c r="AG873" s="443" t="s">
        <v>117</v>
      </c>
      <c r="AH873" s="443" t="s">
        <v>291</v>
      </c>
      <c r="AI873" s="443"/>
      <c r="AJ873" s="443"/>
      <c r="AK873" s="443"/>
      <c r="AL873" s="443"/>
      <c r="AM873" s="443"/>
      <c r="AN873" s="443"/>
      <c r="AO873" s="443"/>
      <c r="AP873" s="443"/>
      <c r="AQ873" s="443"/>
      <c r="AR873" s="443"/>
      <c r="AS873" s="443"/>
      <c r="AT873" s="443"/>
      <c r="AU873" s="443"/>
      <c r="AV873" s="443"/>
      <c r="AW873" s="443"/>
      <c r="AX873" s="443"/>
      <c r="AY873" s="443"/>
      <c r="AZ873" s="443"/>
      <c r="BA873" s="443"/>
      <c r="BB873" s="443"/>
      <c r="BC873" s="443"/>
      <c r="BD873" s="443"/>
      <c r="BE873" s="443"/>
    </row>
    <row r="874" hidden="1">
      <c r="A874" s="445">
        <f t="shared" si="5"/>
        <v>46164</v>
      </c>
      <c r="B874" s="449">
        <v>549.0</v>
      </c>
      <c r="C874" s="462">
        <v>0.5833333333333334</v>
      </c>
      <c r="D874" s="462">
        <v>0.9583333333333334</v>
      </c>
      <c r="E874" s="436">
        <f t="array" ref="E874">IF(B874=0,"",(J874+K874)/60)</f>
        <v>1.716666667</v>
      </c>
      <c r="F874" s="437">
        <f t="shared" si="1"/>
        <v>9</v>
      </c>
      <c r="G874" s="438">
        <f t="shared" si="9"/>
        <v>61</v>
      </c>
      <c r="H874" s="438">
        <f t="shared" si="3"/>
        <v>75.37757437</v>
      </c>
      <c r="I874" s="436">
        <f t="shared" si="10"/>
        <v>1.452380952</v>
      </c>
      <c r="J874" s="460">
        <v>30.0</v>
      </c>
      <c r="K874" s="460">
        <v>73.0</v>
      </c>
      <c r="L874" s="443"/>
      <c r="M874" s="447">
        <f>IFERROR(__xludf.DUMMYFUNCTION("""COMPUTED_VALUE"""),57.0)</f>
        <v>57</v>
      </c>
      <c r="N874" s="447">
        <f>IFERROR(__xludf.DUMMYFUNCTION("""COMPUTED_VALUE"""),53.0)</f>
        <v>53</v>
      </c>
      <c r="O874" s="447">
        <f>IFERROR(__xludf.DUMMYFUNCTION("""COMPUTED_VALUE"""),0.0)</f>
        <v>0</v>
      </c>
      <c r="P874" s="447">
        <f>IFERROR(__xludf.DUMMYFUNCTION("""COMPUTED_VALUE"""),0.0)</f>
        <v>0</v>
      </c>
      <c r="Q874" s="447">
        <f>IFERROR(__xludf.DUMMYFUNCTION("""COMPUTED_VALUE"""),0.0)</f>
        <v>0</v>
      </c>
      <c r="R874" s="447">
        <f>IFERROR(__xludf.DUMMYFUNCTION("""COMPUTED_VALUE"""),0.0)</f>
        <v>0</v>
      </c>
      <c r="S874" s="447">
        <f>IFERROR(__xludf.DUMMYFUNCTION("""COMPUTED_VALUE"""),1.0)</f>
        <v>1</v>
      </c>
      <c r="T874" s="447">
        <f>IFERROR(__xludf.DUMMYFUNCTION("""COMPUTED_VALUE"""),1.0)</f>
        <v>1</v>
      </c>
      <c r="U874" s="447">
        <f>IFERROR(__xludf.DUMMYFUNCTION("""COMPUTED_VALUE"""),4.0)</f>
        <v>4</v>
      </c>
      <c r="V874" s="447">
        <f>IFERROR(__xludf.DUMMYFUNCTION("""COMPUTED_VALUE"""),2.0)</f>
        <v>2</v>
      </c>
      <c r="W874" s="447">
        <f>IFERROR(__xludf.DUMMYFUNCTION("""COMPUTED_VALUE"""),0.0)</f>
        <v>0</v>
      </c>
      <c r="X874" s="447">
        <f>IFERROR(__xludf.DUMMYFUNCTION("""COMPUTED_VALUE"""),1.0)</f>
        <v>1</v>
      </c>
      <c r="Y874" s="447">
        <f>IFERROR(__xludf.DUMMYFUNCTION("""COMPUTED_VALUE"""),0.0)</f>
        <v>0</v>
      </c>
      <c r="Z874" s="447">
        <f>IFERROR(__xludf.DUMMYFUNCTION("""COMPUTED_VALUE"""),0.0)</f>
        <v>0</v>
      </c>
      <c r="AA874" s="447">
        <f>IFERROR(__xludf.DUMMYFUNCTION("""COMPUTED_VALUE"""),0.0)</f>
        <v>0</v>
      </c>
      <c r="AB874" s="447">
        <f>IFERROR(__xludf.DUMMYFUNCTION("""COMPUTED_VALUE"""),0.0)</f>
        <v>0</v>
      </c>
      <c r="AC874" s="447">
        <f>IFERROR(__xludf.DUMMYFUNCTION("""COMPUTED_VALUE"""),0.0)</f>
        <v>0</v>
      </c>
      <c r="AD874" s="447">
        <f>IFERROR(__xludf.DUMMYFUNCTION("""COMPUTED_VALUE"""),42.0)</f>
        <v>42</v>
      </c>
      <c r="AE874" s="447">
        <f>IFERROR(__xludf.DUMMYFUNCTION("""COMPUTED_VALUE"""),9.0)</f>
        <v>9</v>
      </c>
      <c r="AF874" s="447">
        <f>IFERROR(__xludf.DUMMYFUNCTION("""COMPUTED_VALUE"""),4.0)</f>
        <v>4</v>
      </c>
      <c r="AG874" s="443" t="s">
        <v>117</v>
      </c>
      <c r="AH874" s="443" t="s">
        <v>291</v>
      </c>
      <c r="AI874" s="443"/>
      <c r="AJ874" s="443"/>
      <c r="AK874" s="443"/>
      <c r="AL874" s="443"/>
      <c r="AM874" s="443"/>
      <c r="AN874" s="443"/>
      <c r="AO874" s="443"/>
      <c r="AP874" s="443"/>
      <c r="AQ874" s="443"/>
      <c r="AR874" s="443"/>
      <c r="AS874" s="443"/>
      <c r="AT874" s="443"/>
      <c r="AU874" s="443"/>
      <c r="AV874" s="443"/>
      <c r="AW874" s="443"/>
      <c r="AX874" s="443"/>
      <c r="AY874" s="443"/>
      <c r="AZ874" s="443"/>
      <c r="BA874" s="443"/>
      <c r="BB874" s="443"/>
      <c r="BC874" s="443"/>
      <c r="BD874" s="443"/>
      <c r="BE874" s="443"/>
    </row>
    <row r="875" hidden="1">
      <c r="A875" s="445">
        <f t="shared" si="5"/>
        <v>46165</v>
      </c>
      <c r="B875" s="449">
        <v>345.0</v>
      </c>
      <c r="C875" s="462">
        <v>0.625</v>
      </c>
      <c r="D875" s="462">
        <v>0.8722222222222222</v>
      </c>
      <c r="E875" s="436">
        <f t="array" ref="E875">IF(B875=0,"",(J875+K875)/60)</f>
        <v>0.6166666667</v>
      </c>
      <c r="F875" s="437">
        <f t="shared" si="1"/>
        <v>5.933333333</v>
      </c>
      <c r="G875" s="438">
        <f t="shared" si="9"/>
        <v>58.14606742</v>
      </c>
      <c r="H875" s="438">
        <f t="shared" si="3"/>
        <v>64.89028213</v>
      </c>
      <c r="I875" s="436">
        <f t="shared" si="10"/>
        <v>1.321501532</v>
      </c>
      <c r="J875" s="460">
        <v>30.0</v>
      </c>
      <c r="K875" s="460">
        <v>7.0</v>
      </c>
      <c r="L875" s="443"/>
      <c r="M875" s="447">
        <f>IFERROR(__xludf.DUMMYFUNCTION("""COMPUTED_VALUE"""),57.0)</f>
        <v>57</v>
      </c>
      <c r="N875" s="447">
        <f>IFERROR(__xludf.DUMMYFUNCTION("""COMPUTED_VALUE"""),54.0)</f>
        <v>54</v>
      </c>
      <c r="O875" s="447">
        <f>IFERROR(__xludf.DUMMYFUNCTION("""COMPUTED_VALUE"""),0.0)</f>
        <v>0</v>
      </c>
      <c r="P875" s="447">
        <f>IFERROR(__xludf.DUMMYFUNCTION("""COMPUTED_VALUE"""),0.0)</f>
        <v>0</v>
      </c>
      <c r="Q875" s="447">
        <f>IFERROR(__xludf.DUMMYFUNCTION("""COMPUTED_VALUE"""),0.0)</f>
        <v>0</v>
      </c>
      <c r="R875" s="447">
        <f>IFERROR(__xludf.DUMMYFUNCTION("""COMPUTED_VALUE"""),0.0)</f>
        <v>0</v>
      </c>
      <c r="S875" s="447">
        <f>IFERROR(__xludf.DUMMYFUNCTION("""COMPUTED_VALUE"""),1.0)</f>
        <v>1</v>
      </c>
      <c r="T875" s="447">
        <f>IFERROR(__xludf.DUMMYFUNCTION("""COMPUTED_VALUE"""),0.0)</f>
        <v>0</v>
      </c>
      <c r="U875" s="447">
        <f>IFERROR(__xludf.DUMMYFUNCTION("""COMPUTED_VALUE"""),3.0)</f>
        <v>3</v>
      </c>
      <c r="V875" s="447">
        <f>IFERROR(__xludf.DUMMYFUNCTION("""COMPUTED_VALUE"""),2.0)</f>
        <v>2</v>
      </c>
      <c r="W875" s="447">
        <f>IFERROR(__xludf.DUMMYFUNCTION("""COMPUTED_VALUE"""),0.0)</f>
        <v>0</v>
      </c>
      <c r="X875" s="447">
        <f>IFERROR(__xludf.DUMMYFUNCTION("""COMPUTED_VALUE"""),1.0)</f>
        <v>1</v>
      </c>
      <c r="Y875" s="447">
        <f>IFERROR(__xludf.DUMMYFUNCTION("""COMPUTED_VALUE"""),0.0)</f>
        <v>0</v>
      </c>
      <c r="Z875" s="447">
        <f>IFERROR(__xludf.DUMMYFUNCTION("""COMPUTED_VALUE"""),0.0)</f>
        <v>0</v>
      </c>
      <c r="AA875" s="447">
        <f>IFERROR(__xludf.DUMMYFUNCTION("""COMPUTED_VALUE"""),0.0)</f>
        <v>0</v>
      </c>
      <c r="AB875" s="447">
        <f>IFERROR(__xludf.DUMMYFUNCTION("""COMPUTED_VALUE"""),0.0)</f>
        <v>0</v>
      </c>
      <c r="AC875" s="447">
        <f>IFERROR(__xludf.DUMMYFUNCTION("""COMPUTED_VALUE"""),0.0)</f>
        <v>0</v>
      </c>
      <c r="AD875" s="447">
        <f>IFERROR(__xludf.DUMMYFUNCTION("""COMPUTED_VALUE"""),44.0)</f>
        <v>44</v>
      </c>
      <c r="AE875" s="447">
        <f>IFERROR(__xludf.DUMMYFUNCTION("""COMPUTED_VALUE"""),7.0)</f>
        <v>7</v>
      </c>
      <c r="AF875" s="447">
        <f>IFERROR(__xludf.DUMMYFUNCTION("""COMPUTED_VALUE"""),3.0)</f>
        <v>3</v>
      </c>
      <c r="AG875" s="443" t="s">
        <v>117</v>
      </c>
      <c r="AH875" s="443" t="s">
        <v>291</v>
      </c>
      <c r="AI875" s="443"/>
      <c r="AJ875" s="443"/>
      <c r="AK875" s="443"/>
      <c r="AL875" s="443"/>
      <c r="AM875" s="443"/>
      <c r="AN875" s="443"/>
      <c r="AO875" s="443"/>
      <c r="AP875" s="443"/>
      <c r="AQ875" s="443"/>
      <c r="AR875" s="443"/>
      <c r="AS875" s="443"/>
      <c r="AT875" s="443"/>
      <c r="AU875" s="443"/>
      <c r="AV875" s="443"/>
      <c r="AW875" s="443"/>
      <c r="AX875" s="443"/>
      <c r="AY875" s="443"/>
      <c r="AZ875" s="443"/>
      <c r="BA875" s="443"/>
      <c r="BB875" s="443"/>
      <c r="BC875" s="443"/>
      <c r="BD875" s="443"/>
      <c r="BE875" s="443"/>
    </row>
    <row r="876" hidden="1">
      <c r="A876" s="445">
        <f t="shared" si="5"/>
        <v>46166</v>
      </c>
      <c r="B876" s="449">
        <v>0.0</v>
      </c>
      <c r="C876" s="443"/>
      <c r="D876" s="462"/>
      <c r="E876" s="436" t="str">
        <f t="array" ref="E876">IF(B876=0,"",(J876+K876)/60)</f>
        <v/>
      </c>
      <c r="F876" s="437" t="str">
        <f t="shared" si="1"/>
        <v/>
      </c>
      <c r="G876" s="438" t="str">
        <f t="shared" si="9"/>
        <v>#DIV/0!</v>
      </c>
      <c r="H876" s="438" t="str">
        <f t="shared" si="3"/>
        <v/>
      </c>
      <c r="I876" s="436" t="str">
        <f t="shared" si="10"/>
        <v/>
      </c>
      <c r="J876" s="464"/>
      <c r="K876" s="464"/>
      <c r="L876" s="443"/>
      <c r="M876" s="447">
        <f>IFERROR(__xludf.DUMMYFUNCTION("""COMPUTED_VALUE"""),57.0)</f>
        <v>57</v>
      </c>
      <c r="N876" s="447">
        <f>IFERROR(__xludf.DUMMYFUNCTION("""COMPUTED_VALUE"""),57.0)</f>
        <v>57</v>
      </c>
      <c r="O876" s="447">
        <f>IFERROR(__xludf.DUMMYFUNCTION("""COMPUTED_VALUE"""),0.0)</f>
        <v>0</v>
      </c>
      <c r="P876" s="447">
        <f>IFERROR(__xludf.DUMMYFUNCTION("""COMPUTED_VALUE"""),0.0)</f>
        <v>0</v>
      </c>
      <c r="Q876" s="447">
        <f>IFERROR(__xludf.DUMMYFUNCTION("""COMPUTED_VALUE"""),0.0)</f>
        <v>0</v>
      </c>
      <c r="R876" s="447">
        <f>IFERROR(__xludf.DUMMYFUNCTION("""COMPUTED_VALUE"""),0.0)</f>
        <v>0</v>
      </c>
      <c r="S876" s="447">
        <f>IFERROR(__xludf.DUMMYFUNCTION("""COMPUTED_VALUE"""),0.0)</f>
        <v>0</v>
      </c>
      <c r="T876" s="447">
        <f>IFERROR(__xludf.DUMMYFUNCTION("""COMPUTED_VALUE"""),0.0)</f>
        <v>0</v>
      </c>
      <c r="U876" s="447">
        <f>IFERROR(__xludf.DUMMYFUNCTION("""COMPUTED_VALUE"""),0.0)</f>
        <v>0</v>
      </c>
      <c r="V876" s="447">
        <f>IFERROR(__xludf.DUMMYFUNCTION("""COMPUTED_VALUE"""),0.0)</f>
        <v>0</v>
      </c>
      <c r="W876" s="447">
        <f>IFERROR(__xludf.DUMMYFUNCTION("""COMPUTED_VALUE"""),0.0)</f>
        <v>0</v>
      </c>
      <c r="X876" s="447">
        <f>IFERROR(__xludf.DUMMYFUNCTION("""COMPUTED_VALUE"""),0.0)</f>
        <v>0</v>
      </c>
      <c r="Y876" s="447">
        <f>IFERROR(__xludf.DUMMYFUNCTION("""COMPUTED_VALUE"""),0.0)</f>
        <v>0</v>
      </c>
      <c r="Z876" s="447">
        <f>IFERROR(__xludf.DUMMYFUNCTION("""COMPUTED_VALUE"""),0.0)</f>
        <v>0</v>
      </c>
      <c r="AA876" s="447">
        <f>IFERROR(__xludf.DUMMYFUNCTION("""COMPUTED_VALUE"""),0.0)</f>
        <v>0</v>
      </c>
      <c r="AB876" s="447">
        <f>IFERROR(__xludf.DUMMYFUNCTION("""COMPUTED_VALUE"""),0.0)</f>
        <v>0</v>
      </c>
      <c r="AC876" s="447">
        <f>IFERROR(__xludf.DUMMYFUNCTION("""COMPUTED_VALUE"""),0.0)</f>
        <v>0</v>
      </c>
      <c r="AD876" s="447">
        <f>IFERROR(__xludf.DUMMYFUNCTION("""COMPUTED_VALUE"""),0.0)</f>
        <v>0</v>
      </c>
      <c r="AE876" s="447">
        <f>IFERROR(__xludf.DUMMYFUNCTION("""COMPUTED_VALUE"""),0.0)</f>
        <v>0</v>
      </c>
      <c r="AF876" s="447">
        <f>IFERROR(__xludf.DUMMYFUNCTION("""COMPUTED_VALUE"""),0.0)</f>
        <v>0</v>
      </c>
      <c r="AG876" s="443" t="s">
        <v>117</v>
      </c>
      <c r="AH876" s="443" t="s">
        <v>291</v>
      </c>
      <c r="AI876" s="443"/>
      <c r="AJ876" s="443"/>
      <c r="AK876" s="443"/>
      <c r="AL876" s="443"/>
      <c r="AM876" s="443"/>
      <c r="AN876" s="443"/>
      <c r="AO876" s="443"/>
      <c r="AP876" s="443"/>
      <c r="AQ876" s="443"/>
      <c r="AR876" s="443"/>
      <c r="AS876" s="443"/>
      <c r="AT876" s="443"/>
      <c r="AU876" s="443"/>
      <c r="AV876" s="443"/>
      <c r="AW876" s="443"/>
      <c r="AX876" s="443"/>
      <c r="AY876" s="443"/>
      <c r="AZ876" s="443"/>
      <c r="BA876" s="443"/>
      <c r="BB876" s="443"/>
      <c r="BC876" s="443"/>
      <c r="BD876" s="443"/>
      <c r="BE876" s="443"/>
    </row>
    <row r="877" hidden="1">
      <c r="A877" s="445">
        <f t="shared" si="5"/>
        <v>46167</v>
      </c>
      <c r="B877" s="449">
        <v>694.0</v>
      </c>
      <c r="C877" s="462">
        <v>0.5416666666666666</v>
      </c>
      <c r="D877" s="462">
        <v>1.0194444444444444</v>
      </c>
      <c r="E877" s="436">
        <f t="array" ref="E877">IF(B877=0,"",(J877+K877)/60)</f>
        <v>1.666666667</v>
      </c>
      <c r="F877" s="437">
        <f t="shared" si="1"/>
        <v>11.46666667</v>
      </c>
      <c r="G877" s="438">
        <f t="shared" si="9"/>
        <v>60.52325581</v>
      </c>
      <c r="H877" s="438">
        <f t="shared" si="3"/>
        <v>70.81632653</v>
      </c>
      <c r="I877" s="436">
        <f t="shared" si="10"/>
        <v>1.375528541</v>
      </c>
      <c r="J877" s="460">
        <v>60.0</v>
      </c>
      <c r="K877" s="460">
        <v>40.0</v>
      </c>
      <c r="L877" s="443"/>
      <c r="M877" s="447">
        <f>IFERROR(__xludf.DUMMYFUNCTION("""COMPUTED_VALUE"""),57.0)</f>
        <v>57</v>
      </c>
      <c r="N877" s="447">
        <f>IFERROR(__xludf.DUMMYFUNCTION("""COMPUTED_VALUE"""),56.0)</f>
        <v>56</v>
      </c>
      <c r="O877" s="447">
        <f>IFERROR(__xludf.DUMMYFUNCTION("""COMPUTED_VALUE"""),0.0)</f>
        <v>0</v>
      </c>
      <c r="P877" s="447">
        <f>IFERROR(__xludf.DUMMYFUNCTION("""COMPUTED_VALUE"""),0.0)</f>
        <v>0</v>
      </c>
      <c r="Q877" s="447">
        <f>IFERROR(__xludf.DUMMYFUNCTION("""COMPUTED_VALUE"""),0.0)</f>
        <v>0</v>
      </c>
      <c r="R877" s="447">
        <f>IFERROR(__xludf.DUMMYFUNCTION("""COMPUTED_VALUE"""),0.0)</f>
        <v>0</v>
      </c>
      <c r="S877" s="447">
        <f>IFERROR(__xludf.DUMMYFUNCTION("""COMPUTED_VALUE"""),1.0)</f>
        <v>1</v>
      </c>
      <c r="T877" s="447">
        <f>IFERROR(__xludf.DUMMYFUNCTION("""COMPUTED_VALUE"""),0.0)</f>
        <v>0</v>
      </c>
      <c r="U877" s="447">
        <f>IFERROR(__xludf.DUMMYFUNCTION("""COMPUTED_VALUE"""),1.0)</f>
        <v>1</v>
      </c>
      <c r="V877" s="447">
        <f>IFERROR(__xludf.DUMMYFUNCTION("""COMPUTED_VALUE"""),2.0)</f>
        <v>2</v>
      </c>
      <c r="W877" s="447">
        <f>IFERROR(__xludf.DUMMYFUNCTION("""COMPUTED_VALUE"""),0.0)</f>
        <v>0</v>
      </c>
      <c r="X877" s="447">
        <f>IFERROR(__xludf.DUMMYFUNCTION("""COMPUTED_VALUE"""),1.0)</f>
        <v>1</v>
      </c>
      <c r="Y877" s="447">
        <f>IFERROR(__xludf.DUMMYFUNCTION("""COMPUTED_VALUE"""),0.0)</f>
        <v>0</v>
      </c>
      <c r="Z877" s="447">
        <f>IFERROR(__xludf.DUMMYFUNCTION("""COMPUTED_VALUE"""),0.0)</f>
        <v>0</v>
      </c>
      <c r="AA877" s="447">
        <f>IFERROR(__xludf.DUMMYFUNCTION("""COMPUTED_VALUE"""),0.0)</f>
        <v>0</v>
      </c>
      <c r="AB877" s="447">
        <f>IFERROR(__xludf.DUMMYFUNCTION("""COMPUTED_VALUE"""),2.0)</f>
        <v>2</v>
      </c>
      <c r="AC877" s="447">
        <f>IFERROR(__xludf.DUMMYFUNCTION("""COMPUTED_VALUE"""),0.0)</f>
        <v>0</v>
      </c>
      <c r="AD877" s="447">
        <f>IFERROR(__xludf.DUMMYFUNCTION("""COMPUTED_VALUE"""),44.0)</f>
        <v>44</v>
      </c>
      <c r="AE877" s="447">
        <f>IFERROR(__xludf.DUMMYFUNCTION("""COMPUTED_VALUE"""),5.0)</f>
        <v>5</v>
      </c>
      <c r="AF877" s="447">
        <f>IFERROR(__xludf.DUMMYFUNCTION("""COMPUTED_VALUE"""),1.0)</f>
        <v>1</v>
      </c>
      <c r="AG877" s="443" t="s">
        <v>117</v>
      </c>
      <c r="AH877" s="443" t="s">
        <v>291</v>
      </c>
      <c r="AI877" s="443"/>
      <c r="AJ877" s="443"/>
      <c r="AK877" s="443"/>
      <c r="AL877" s="443"/>
      <c r="AM877" s="443"/>
      <c r="AN877" s="443"/>
      <c r="AO877" s="443"/>
      <c r="AP877" s="443"/>
      <c r="AQ877" s="443"/>
      <c r="AR877" s="443"/>
      <c r="AS877" s="443"/>
      <c r="AT877" s="443"/>
      <c r="AU877" s="443"/>
      <c r="AV877" s="443"/>
      <c r="AW877" s="443"/>
      <c r="AX877" s="443"/>
      <c r="AY877" s="443"/>
      <c r="AZ877" s="443"/>
      <c r="BA877" s="443"/>
      <c r="BB877" s="443"/>
      <c r="BC877" s="443"/>
      <c r="BD877" s="443"/>
      <c r="BE877" s="443"/>
    </row>
    <row r="878" hidden="1">
      <c r="A878" s="445">
        <f t="shared" si="5"/>
        <v>46168</v>
      </c>
      <c r="B878" s="449">
        <v>455.0</v>
      </c>
      <c r="C878" s="462">
        <v>0.5833333333333334</v>
      </c>
      <c r="D878" s="462">
        <v>0.9430555555555555</v>
      </c>
      <c r="E878" s="436">
        <f t="array" ref="E878">IF(B878=0,"",(J878+K878)/60)</f>
        <v>2.066666667</v>
      </c>
      <c r="F878" s="437">
        <f t="shared" si="1"/>
        <v>8.633333333</v>
      </c>
      <c r="G878" s="438">
        <f t="shared" si="9"/>
        <v>52.7027027</v>
      </c>
      <c r="H878" s="438">
        <f t="shared" si="3"/>
        <v>69.2893401</v>
      </c>
      <c r="I878" s="436">
        <f t="shared" si="10"/>
        <v>1.171171171</v>
      </c>
      <c r="J878" s="460">
        <v>35.0</v>
      </c>
      <c r="K878" s="460">
        <v>89.0</v>
      </c>
      <c r="L878" s="443"/>
      <c r="M878" s="447">
        <f>IFERROR(__xludf.DUMMYFUNCTION("""COMPUTED_VALUE"""),57.0)</f>
        <v>57</v>
      </c>
      <c r="N878" s="447">
        <f>IFERROR(__xludf.DUMMYFUNCTION("""COMPUTED_VALUE"""),56.0)</f>
        <v>56</v>
      </c>
      <c r="O878" s="447">
        <f>IFERROR(__xludf.DUMMYFUNCTION("""COMPUTED_VALUE"""),0.0)</f>
        <v>0</v>
      </c>
      <c r="P878" s="447">
        <f>IFERROR(__xludf.DUMMYFUNCTION("""COMPUTED_VALUE"""),1.0)</f>
        <v>1</v>
      </c>
      <c r="Q878" s="447">
        <f>IFERROR(__xludf.DUMMYFUNCTION("""COMPUTED_VALUE"""),0.0)</f>
        <v>0</v>
      </c>
      <c r="R878" s="447">
        <f>IFERROR(__xludf.DUMMYFUNCTION("""COMPUTED_VALUE"""),0.0)</f>
        <v>0</v>
      </c>
      <c r="S878" s="447">
        <f>IFERROR(__xludf.DUMMYFUNCTION("""COMPUTED_VALUE"""),1.0)</f>
        <v>1</v>
      </c>
      <c r="T878" s="447">
        <f>IFERROR(__xludf.DUMMYFUNCTION("""COMPUTED_VALUE"""),0.0)</f>
        <v>0</v>
      </c>
      <c r="U878" s="447">
        <f>IFERROR(__xludf.DUMMYFUNCTION("""COMPUTED_VALUE"""),1.0)</f>
        <v>1</v>
      </c>
      <c r="V878" s="447">
        <f>IFERROR(__xludf.DUMMYFUNCTION("""COMPUTED_VALUE"""),2.0)</f>
        <v>2</v>
      </c>
      <c r="W878" s="447">
        <f>IFERROR(__xludf.DUMMYFUNCTION("""COMPUTED_VALUE"""),0.0)</f>
        <v>0</v>
      </c>
      <c r="X878" s="447">
        <f>IFERROR(__xludf.DUMMYFUNCTION("""COMPUTED_VALUE"""),1.0)</f>
        <v>1</v>
      </c>
      <c r="Y878" s="447">
        <f>IFERROR(__xludf.DUMMYFUNCTION("""COMPUTED_VALUE"""),0.0)</f>
        <v>0</v>
      </c>
      <c r="Z878" s="447">
        <f>IFERROR(__xludf.DUMMYFUNCTION("""COMPUTED_VALUE"""),0.0)</f>
        <v>0</v>
      </c>
      <c r="AA878" s="447">
        <f>IFERROR(__xludf.DUMMYFUNCTION("""COMPUTED_VALUE"""),0.0)</f>
        <v>0</v>
      </c>
      <c r="AB878" s="447">
        <f>IFERROR(__xludf.DUMMYFUNCTION("""COMPUTED_VALUE"""),0.0)</f>
        <v>0</v>
      </c>
      <c r="AC878" s="447">
        <f>IFERROR(__xludf.DUMMYFUNCTION("""COMPUTED_VALUE"""),0.0)</f>
        <v>0</v>
      </c>
      <c r="AD878" s="447">
        <f>IFERROR(__xludf.DUMMYFUNCTION("""COMPUTED_VALUE"""),45.0)</f>
        <v>45</v>
      </c>
      <c r="AE878" s="447">
        <f>IFERROR(__xludf.DUMMYFUNCTION("""COMPUTED_VALUE"""),6.0)</f>
        <v>6</v>
      </c>
      <c r="AF878" s="447">
        <f>IFERROR(__xludf.DUMMYFUNCTION("""COMPUTED_VALUE"""),1.0)</f>
        <v>1</v>
      </c>
      <c r="AG878" s="443" t="s">
        <v>117</v>
      </c>
      <c r="AH878" s="443" t="s">
        <v>291</v>
      </c>
      <c r="AI878" s="443"/>
      <c r="AJ878" s="443"/>
      <c r="AK878" s="443"/>
      <c r="AL878" s="443"/>
      <c r="AM878" s="443"/>
      <c r="AN878" s="443"/>
      <c r="AO878" s="443"/>
      <c r="AP878" s="443"/>
      <c r="AQ878" s="443"/>
      <c r="AR878" s="443"/>
      <c r="AS878" s="443"/>
      <c r="AT878" s="443"/>
      <c r="AU878" s="443"/>
      <c r="AV878" s="443"/>
      <c r="AW878" s="443"/>
      <c r="AX878" s="443"/>
      <c r="AY878" s="443"/>
      <c r="AZ878" s="443"/>
      <c r="BA878" s="443"/>
      <c r="BB878" s="443"/>
      <c r="BC878" s="443"/>
      <c r="BD878" s="443"/>
      <c r="BE878" s="443"/>
    </row>
    <row r="879" hidden="1">
      <c r="A879" s="445">
        <f t="shared" si="5"/>
        <v>46169</v>
      </c>
      <c r="B879" s="449">
        <v>600.0</v>
      </c>
      <c r="C879" s="462">
        <v>0.5833333333333334</v>
      </c>
      <c r="D879" s="462">
        <v>1.0083333333333333</v>
      </c>
      <c r="E879" s="436">
        <f t="array" ref="E879">IF(B879=0,"",(J879+K879)/60)</f>
        <v>2.266666667</v>
      </c>
      <c r="F879" s="437">
        <f t="shared" si="1"/>
        <v>10.2</v>
      </c>
      <c r="G879" s="438">
        <f t="shared" si="9"/>
        <v>58.82352941</v>
      </c>
      <c r="H879" s="438">
        <f t="shared" si="3"/>
        <v>75.6302521</v>
      </c>
      <c r="I879" s="436">
        <f t="shared" si="10"/>
        <v>1.400560224</v>
      </c>
      <c r="J879" s="460">
        <v>60.0</v>
      </c>
      <c r="K879" s="460">
        <v>76.0</v>
      </c>
      <c r="L879" s="443"/>
      <c r="M879" s="447">
        <f>IFERROR(__xludf.DUMMYFUNCTION("""COMPUTED_VALUE"""),57.0)</f>
        <v>57</v>
      </c>
      <c r="N879" s="447">
        <f>IFERROR(__xludf.DUMMYFUNCTION("""COMPUTED_VALUE"""),56.0)</f>
        <v>56</v>
      </c>
      <c r="O879" s="447">
        <f>IFERROR(__xludf.DUMMYFUNCTION("""COMPUTED_VALUE"""),0.0)</f>
        <v>0</v>
      </c>
      <c r="P879" s="447">
        <f>IFERROR(__xludf.DUMMYFUNCTION("""COMPUTED_VALUE"""),1.0)</f>
        <v>1</v>
      </c>
      <c r="Q879" s="447">
        <f>IFERROR(__xludf.DUMMYFUNCTION("""COMPUTED_VALUE"""),0.0)</f>
        <v>0</v>
      </c>
      <c r="R879" s="447">
        <f>IFERROR(__xludf.DUMMYFUNCTION("""COMPUTED_VALUE"""),0.0)</f>
        <v>0</v>
      </c>
      <c r="S879" s="447">
        <f>IFERROR(__xludf.DUMMYFUNCTION("""COMPUTED_VALUE"""),2.0)</f>
        <v>2</v>
      </c>
      <c r="T879" s="447">
        <f>IFERROR(__xludf.DUMMYFUNCTION("""COMPUTED_VALUE"""),1.0)</f>
        <v>1</v>
      </c>
      <c r="U879" s="447">
        <f>IFERROR(__xludf.DUMMYFUNCTION("""COMPUTED_VALUE"""),1.0)</f>
        <v>1</v>
      </c>
      <c r="V879" s="447">
        <f>IFERROR(__xludf.DUMMYFUNCTION("""COMPUTED_VALUE"""),2.0)</f>
        <v>2</v>
      </c>
      <c r="W879" s="447">
        <f>IFERROR(__xludf.DUMMYFUNCTION("""COMPUTED_VALUE"""),0.0)</f>
        <v>0</v>
      </c>
      <c r="X879" s="447">
        <f>IFERROR(__xludf.DUMMYFUNCTION("""COMPUTED_VALUE"""),1.0)</f>
        <v>1</v>
      </c>
      <c r="Y879" s="447">
        <f>IFERROR(__xludf.DUMMYFUNCTION("""COMPUTED_VALUE"""),0.0)</f>
        <v>0</v>
      </c>
      <c r="Z879" s="447">
        <f>IFERROR(__xludf.DUMMYFUNCTION("""COMPUTED_VALUE"""),0.0)</f>
        <v>0</v>
      </c>
      <c r="AA879" s="447">
        <f>IFERROR(__xludf.DUMMYFUNCTION("""COMPUTED_VALUE"""),0.0)</f>
        <v>0</v>
      </c>
      <c r="AB879" s="447">
        <f>IFERROR(__xludf.DUMMYFUNCTION("""COMPUTED_VALUE"""),0.0)</f>
        <v>0</v>
      </c>
      <c r="AC879" s="447">
        <f>IFERROR(__xludf.DUMMYFUNCTION("""COMPUTED_VALUE"""),1.0)</f>
        <v>1</v>
      </c>
      <c r="AD879" s="447">
        <f>IFERROR(__xludf.DUMMYFUNCTION("""COMPUTED_VALUE"""),42.0)</f>
        <v>42</v>
      </c>
      <c r="AE879" s="447">
        <f>IFERROR(__xludf.DUMMYFUNCTION("""COMPUTED_VALUE"""),9.0)</f>
        <v>9</v>
      </c>
      <c r="AF879" s="447">
        <f>IFERROR(__xludf.DUMMYFUNCTION("""COMPUTED_VALUE"""),1.0)</f>
        <v>1</v>
      </c>
      <c r="AG879" s="443" t="s">
        <v>117</v>
      </c>
      <c r="AH879" s="443" t="s">
        <v>291</v>
      </c>
      <c r="AI879" s="443"/>
      <c r="AJ879" s="443"/>
      <c r="AK879" s="443"/>
      <c r="AL879" s="443"/>
      <c r="AM879" s="443"/>
      <c r="AN879" s="443"/>
      <c r="AO879" s="443"/>
      <c r="AP879" s="443"/>
      <c r="AQ879" s="443"/>
      <c r="AR879" s="443"/>
      <c r="AS879" s="443"/>
      <c r="AT879" s="443"/>
      <c r="AU879" s="443"/>
      <c r="AV879" s="443"/>
      <c r="AW879" s="443"/>
      <c r="AX879" s="443"/>
      <c r="AY879" s="443"/>
      <c r="AZ879" s="443"/>
      <c r="BA879" s="443"/>
      <c r="BB879" s="443"/>
      <c r="BC879" s="443"/>
      <c r="BD879" s="443"/>
      <c r="BE879" s="443"/>
    </row>
    <row r="880" hidden="1">
      <c r="A880" s="445">
        <f t="shared" si="5"/>
        <v>46170</v>
      </c>
      <c r="B880" s="449">
        <v>530.0</v>
      </c>
      <c r="C880" s="462">
        <v>0.7083333333333334</v>
      </c>
      <c r="D880" s="462">
        <v>1.10625</v>
      </c>
      <c r="E880" s="436">
        <f t="array" ref="E880">IF(B880=0,"",(J880+K880)/60)</f>
        <v>1.883333333</v>
      </c>
      <c r="F880" s="437">
        <f t="shared" si="1"/>
        <v>9.55</v>
      </c>
      <c r="G880" s="438">
        <f t="shared" si="9"/>
        <v>55.4973822</v>
      </c>
      <c r="H880" s="438">
        <f t="shared" si="3"/>
        <v>69.13043478</v>
      </c>
      <c r="I880" s="436">
        <f t="shared" si="10"/>
        <v>1.290636795</v>
      </c>
      <c r="J880" s="460">
        <v>60.0</v>
      </c>
      <c r="K880" s="460">
        <v>53.0</v>
      </c>
      <c r="L880" s="443"/>
      <c r="M880" s="447">
        <f>IFERROR(__xludf.DUMMYFUNCTION("""COMPUTED_VALUE"""),57.0)</f>
        <v>57</v>
      </c>
      <c r="N880" s="447">
        <f>IFERROR(__xludf.DUMMYFUNCTION("""COMPUTED_VALUE"""),56.0)</f>
        <v>56</v>
      </c>
      <c r="O880" s="447">
        <f>IFERROR(__xludf.DUMMYFUNCTION("""COMPUTED_VALUE"""),0.0)</f>
        <v>0</v>
      </c>
      <c r="P880" s="447">
        <f>IFERROR(__xludf.DUMMYFUNCTION("""COMPUTED_VALUE"""),1.0)</f>
        <v>1</v>
      </c>
      <c r="Q880" s="447">
        <f>IFERROR(__xludf.DUMMYFUNCTION("""COMPUTED_VALUE"""),0.0)</f>
        <v>0</v>
      </c>
      <c r="R880" s="447">
        <f>IFERROR(__xludf.DUMMYFUNCTION("""COMPUTED_VALUE"""),0.0)</f>
        <v>0</v>
      </c>
      <c r="S880" s="447">
        <f>IFERROR(__xludf.DUMMYFUNCTION("""COMPUTED_VALUE"""),3.0)</f>
        <v>3</v>
      </c>
      <c r="T880" s="447">
        <f>IFERROR(__xludf.DUMMYFUNCTION("""COMPUTED_VALUE"""),0.0)</f>
        <v>0</v>
      </c>
      <c r="U880" s="447">
        <f>IFERROR(__xludf.DUMMYFUNCTION("""COMPUTED_VALUE"""),1.0)</f>
        <v>1</v>
      </c>
      <c r="V880" s="447">
        <f>IFERROR(__xludf.DUMMYFUNCTION("""COMPUTED_VALUE"""),2.0)</f>
        <v>2</v>
      </c>
      <c r="W880" s="447">
        <f>IFERROR(__xludf.DUMMYFUNCTION("""COMPUTED_VALUE"""),0.0)</f>
        <v>0</v>
      </c>
      <c r="X880" s="447">
        <f>IFERROR(__xludf.DUMMYFUNCTION("""COMPUTED_VALUE"""),1.0)</f>
        <v>1</v>
      </c>
      <c r="Y880" s="447">
        <f>IFERROR(__xludf.DUMMYFUNCTION("""COMPUTED_VALUE"""),0.0)</f>
        <v>0</v>
      </c>
      <c r="Z880" s="447">
        <f>IFERROR(__xludf.DUMMYFUNCTION("""COMPUTED_VALUE"""),0.0)</f>
        <v>0</v>
      </c>
      <c r="AA880" s="447">
        <f>IFERROR(__xludf.DUMMYFUNCTION("""COMPUTED_VALUE"""),0.0)</f>
        <v>0</v>
      </c>
      <c r="AB880" s="447">
        <f>IFERROR(__xludf.DUMMYFUNCTION("""COMPUTED_VALUE"""),0.0)</f>
        <v>0</v>
      </c>
      <c r="AC880" s="447">
        <f>IFERROR(__xludf.DUMMYFUNCTION("""COMPUTED_VALUE"""),0.0)</f>
        <v>0</v>
      </c>
      <c r="AD880" s="447">
        <f>IFERROR(__xludf.DUMMYFUNCTION("""COMPUTED_VALUE"""),43.0)</f>
        <v>43</v>
      </c>
      <c r="AE880" s="447">
        <f>IFERROR(__xludf.DUMMYFUNCTION("""COMPUTED_VALUE"""),8.0)</f>
        <v>8</v>
      </c>
      <c r="AF880" s="447">
        <f>IFERROR(__xludf.DUMMYFUNCTION("""COMPUTED_VALUE"""),1.0)</f>
        <v>1</v>
      </c>
      <c r="AG880" s="443" t="s">
        <v>117</v>
      </c>
      <c r="AH880" s="443" t="s">
        <v>291</v>
      </c>
      <c r="AI880" s="443"/>
      <c r="AJ880" s="443"/>
      <c r="AK880" s="443"/>
      <c r="AL880" s="443"/>
      <c r="AM880" s="443"/>
      <c r="AN880" s="443"/>
      <c r="AO880" s="443"/>
      <c r="AP880" s="443"/>
      <c r="AQ880" s="443"/>
      <c r="AR880" s="443"/>
      <c r="AS880" s="443"/>
      <c r="AT880" s="443"/>
      <c r="AU880" s="443"/>
      <c r="AV880" s="443"/>
      <c r="AW880" s="443"/>
      <c r="AX880" s="443"/>
      <c r="AY880" s="443"/>
      <c r="AZ880" s="443"/>
      <c r="BA880" s="443"/>
      <c r="BB880" s="443"/>
      <c r="BC880" s="443"/>
      <c r="BD880" s="443"/>
      <c r="BE880" s="443"/>
    </row>
    <row r="881" hidden="1">
      <c r="A881" s="445">
        <f t="shared" si="5"/>
        <v>46171</v>
      </c>
      <c r="B881" s="449">
        <v>522.0</v>
      </c>
      <c r="C881" s="462">
        <v>0.7083333333333334</v>
      </c>
      <c r="D881" s="462">
        <v>1.1270833333333334</v>
      </c>
      <c r="E881" s="436">
        <f t="array" ref="E881">IF(B881=0,"",(J881+K881)/60)</f>
        <v>1.8</v>
      </c>
      <c r="F881" s="437">
        <f t="shared" si="1"/>
        <v>10.05</v>
      </c>
      <c r="G881" s="438">
        <f t="shared" si="9"/>
        <v>51.94029851</v>
      </c>
      <c r="H881" s="438">
        <f t="shared" si="3"/>
        <v>63.27272727</v>
      </c>
      <c r="I881" s="436">
        <f t="shared" si="10"/>
        <v>1.266836549</v>
      </c>
      <c r="J881" s="460">
        <v>70.0</v>
      </c>
      <c r="K881" s="460">
        <v>38.0</v>
      </c>
      <c r="L881" s="443"/>
      <c r="M881" s="447">
        <f>IFERROR(__xludf.DUMMYFUNCTION("""COMPUTED_VALUE"""),57.0)</f>
        <v>57</v>
      </c>
      <c r="N881" s="447">
        <f>IFERROR(__xludf.DUMMYFUNCTION("""COMPUTED_VALUE"""),56.0)</f>
        <v>56</v>
      </c>
      <c r="O881" s="447">
        <f>IFERROR(__xludf.DUMMYFUNCTION("""COMPUTED_VALUE"""),0.0)</f>
        <v>0</v>
      </c>
      <c r="P881" s="447">
        <f>IFERROR(__xludf.DUMMYFUNCTION("""COMPUTED_VALUE"""),1.0)</f>
        <v>1</v>
      </c>
      <c r="Q881" s="447">
        <f>IFERROR(__xludf.DUMMYFUNCTION("""COMPUTED_VALUE"""),0.0)</f>
        <v>0</v>
      </c>
      <c r="R881" s="447">
        <f>IFERROR(__xludf.DUMMYFUNCTION("""COMPUTED_VALUE"""),0.0)</f>
        <v>0</v>
      </c>
      <c r="S881" s="447">
        <f>IFERROR(__xludf.DUMMYFUNCTION("""COMPUTED_VALUE"""),5.0)</f>
        <v>5</v>
      </c>
      <c r="T881" s="447">
        <f>IFERROR(__xludf.DUMMYFUNCTION("""COMPUTED_VALUE"""),0.0)</f>
        <v>0</v>
      </c>
      <c r="U881" s="447">
        <f>IFERROR(__xludf.DUMMYFUNCTION("""COMPUTED_VALUE"""),1.0)</f>
        <v>1</v>
      </c>
      <c r="V881" s="447">
        <f>IFERROR(__xludf.DUMMYFUNCTION("""COMPUTED_VALUE"""),2.0)</f>
        <v>2</v>
      </c>
      <c r="W881" s="447">
        <f>IFERROR(__xludf.DUMMYFUNCTION("""COMPUTED_VALUE"""),0.0)</f>
        <v>0</v>
      </c>
      <c r="X881" s="447">
        <f>IFERROR(__xludf.DUMMYFUNCTION("""COMPUTED_VALUE"""),1.0)</f>
        <v>1</v>
      </c>
      <c r="Y881" s="447">
        <f>IFERROR(__xludf.DUMMYFUNCTION("""COMPUTED_VALUE"""),0.0)</f>
        <v>0</v>
      </c>
      <c r="Z881" s="447">
        <f>IFERROR(__xludf.DUMMYFUNCTION("""COMPUTED_VALUE"""),0.0)</f>
        <v>0</v>
      </c>
      <c r="AA881" s="447">
        <f>IFERROR(__xludf.DUMMYFUNCTION("""COMPUTED_VALUE"""),0.0)</f>
        <v>0</v>
      </c>
      <c r="AB881" s="447">
        <f>IFERROR(__xludf.DUMMYFUNCTION("""COMPUTED_VALUE"""),0.0)</f>
        <v>0</v>
      </c>
      <c r="AC881" s="447">
        <f>IFERROR(__xludf.DUMMYFUNCTION("""COMPUTED_VALUE"""),0.0)</f>
        <v>0</v>
      </c>
      <c r="AD881" s="447">
        <f>IFERROR(__xludf.DUMMYFUNCTION("""COMPUTED_VALUE"""),41.0)</f>
        <v>41</v>
      </c>
      <c r="AE881" s="447">
        <f>IFERROR(__xludf.DUMMYFUNCTION("""COMPUTED_VALUE"""),10.0)</f>
        <v>10</v>
      </c>
      <c r="AF881" s="447">
        <f>IFERROR(__xludf.DUMMYFUNCTION("""COMPUTED_VALUE"""),1.0)</f>
        <v>1</v>
      </c>
      <c r="AG881" s="443" t="s">
        <v>117</v>
      </c>
      <c r="AH881" s="443" t="s">
        <v>291</v>
      </c>
      <c r="AI881" s="443"/>
      <c r="AJ881" s="443"/>
      <c r="AK881" s="443"/>
      <c r="AL881" s="443"/>
      <c r="AM881" s="443"/>
      <c r="AN881" s="443"/>
      <c r="AO881" s="443"/>
      <c r="AP881" s="443"/>
      <c r="AQ881" s="443"/>
      <c r="AR881" s="443"/>
      <c r="AS881" s="443"/>
      <c r="AT881" s="443"/>
      <c r="AU881" s="443"/>
      <c r="AV881" s="443"/>
      <c r="AW881" s="443"/>
      <c r="AX881" s="443"/>
      <c r="AY881" s="443"/>
      <c r="AZ881" s="443"/>
      <c r="BA881" s="443"/>
      <c r="BB881" s="443"/>
      <c r="BC881" s="443"/>
      <c r="BD881" s="443"/>
      <c r="BE881" s="443"/>
    </row>
    <row r="882" hidden="1">
      <c r="A882" s="445">
        <f t="shared" si="5"/>
        <v>46172</v>
      </c>
      <c r="B882" s="449">
        <v>318.0</v>
      </c>
      <c r="C882" s="462">
        <v>0.7222222222222222</v>
      </c>
      <c r="D882" s="462">
        <v>0.9486111111111111</v>
      </c>
      <c r="E882" s="436">
        <f t="array" ref="E882">IF(B882=0,"",(J882+K882)/60)</f>
        <v>0</v>
      </c>
      <c r="F882" s="437">
        <f t="shared" si="1"/>
        <v>5.433333333</v>
      </c>
      <c r="G882" s="438">
        <f t="shared" si="9"/>
        <v>58.52760736</v>
      </c>
      <c r="H882" s="438">
        <f t="shared" si="3"/>
        <v>58.52760736</v>
      </c>
      <c r="I882" s="436">
        <f t="shared" si="10"/>
        <v>1.500707881</v>
      </c>
      <c r="J882" s="460">
        <v>0.0</v>
      </c>
      <c r="K882" s="460">
        <v>0.0</v>
      </c>
      <c r="L882" s="449" t="s">
        <v>1025</v>
      </c>
      <c r="M882" s="447">
        <f>IFERROR(__xludf.DUMMYFUNCTION("""COMPUTED_VALUE"""),57.0)</f>
        <v>57</v>
      </c>
      <c r="N882" s="447">
        <f>IFERROR(__xludf.DUMMYFUNCTION("""COMPUTED_VALUE"""),56.0)</f>
        <v>56</v>
      </c>
      <c r="O882" s="447">
        <f>IFERROR(__xludf.DUMMYFUNCTION("""COMPUTED_VALUE"""),0.0)</f>
        <v>0</v>
      </c>
      <c r="P882" s="447">
        <f>IFERROR(__xludf.DUMMYFUNCTION("""COMPUTED_VALUE"""),2.0)</f>
        <v>2</v>
      </c>
      <c r="Q882" s="447">
        <f>IFERROR(__xludf.DUMMYFUNCTION("""COMPUTED_VALUE"""),0.0)</f>
        <v>0</v>
      </c>
      <c r="R882" s="447">
        <f>IFERROR(__xludf.DUMMYFUNCTION("""COMPUTED_VALUE"""),0.0)</f>
        <v>0</v>
      </c>
      <c r="S882" s="447">
        <f>IFERROR(__xludf.DUMMYFUNCTION("""COMPUTED_VALUE"""),4.0)</f>
        <v>4</v>
      </c>
      <c r="T882" s="447">
        <f>IFERROR(__xludf.DUMMYFUNCTION("""COMPUTED_VALUE"""),0.0)</f>
        <v>0</v>
      </c>
      <c r="U882" s="447">
        <f>IFERROR(__xludf.DUMMYFUNCTION("""COMPUTED_VALUE"""),1.0)</f>
        <v>1</v>
      </c>
      <c r="V882" s="447">
        <f>IFERROR(__xludf.DUMMYFUNCTION("""COMPUTED_VALUE"""),2.0)</f>
        <v>2</v>
      </c>
      <c r="W882" s="447">
        <f>IFERROR(__xludf.DUMMYFUNCTION("""COMPUTED_VALUE"""),0.0)</f>
        <v>0</v>
      </c>
      <c r="X882" s="447">
        <f>IFERROR(__xludf.DUMMYFUNCTION("""COMPUTED_VALUE"""),1.0)</f>
        <v>1</v>
      </c>
      <c r="Y882" s="447">
        <f>IFERROR(__xludf.DUMMYFUNCTION("""COMPUTED_VALUE"""),0.0)</f>
        <v>0</v>
      </c>
      <c r="Z882" s="447">
        <f>IFERROR(__xludf.DUMMYFUNCTION("""COMPUTED_VALUE"""),0.0)</f>
        <v>0</v>
      </c>
      <c r="AA882" s="447">
        <f>IFERROR(__xludf.DUMMYFUNCTION("""COMPUTED_VALUE"""),0.0)</f>
        <v>0</v>
      </c>
      <c r="AB882" s="447">
        <f>IFERROR(__xludf.DUMMYFUNCTION("""COMPUTED_VALUE"""),0.0)</f>
        <v>0</v>
      </c>
      <c r="AC882" s="447">
        <f>IFERROR(__xludf.DUMMYFUNCTION("""COMPUTED_VALUE"""),2.0)</f>
        <v>2</v>
      </c>
      <c r="AD882" s="447">
        <f>IFERROR(__xludf.DUMMYFUNCTION("""COMPUTED_VALUE"""),39.0)</f>
        <v>39</v>
      </c>
      <c r="AE882" s="447">
        <f>IFERROR(__xludf.DUMMYFUNCTION("""COMPUTED_VALUE"""),12.0)</f>
        <v>12</v>
      </c>
      <c r="AF882" s="447">
        <f>IFERROR(__xludf.DUMMYFUNCTION("""COMPUTED_VALUE"""),1.0)</f>
        <v>1</v>
      </c>
      <c r="AG882" s="443" t="s">
        <v>117</v>
      </c>
      <c r="AH882" s="443" t="s">
        <v>291</v>
      </c>
      <c r="AI882" s="443"/>
      <c r="AJ882" s="443"/>
      <c r="AK882" s="443"/>
      <c r="AL882" s="443"/>
      <c r="AM882" s="443"/>
      <c r="AN882" s="443"/>
      <c r="AO882" s="443"/>
      <c r="AP882" s="443"/>
      <c r="AQ882" s="443"/>
      <c r="AR882" s="443"/>
      <c r="AS882" s="443"/>
      <c r="AT882" s="443"/>
      <c r="AU882" s="443"/>
      <c r="AV882" s="443"/>
      <c r="AW882" s="443"/>
      <c r="AX882" s="443"/>
      <c r="AY882" s="443"/>
      <c r="AZ882" s="443"/>
      <c r="BA882" s="443"/>
      <c r="BB882" s="443"/>
      <c r="BC882" s="443"/>
      <c r="BD882" s="443"/>
      <c r="BE882" s="443"/>
    </row>
    <row r="883" hidden="1">
      <c r="A883" s="445">
        <f t="shared" si="5"/>
        <v>46173</v>
      </c>
      <c r="B883" s="449">
        <v>0.0</v>
      </c>
      <c r="C883" s="443"/>
      <c r="D883" s="462"/>
      <c r="E883" s="436" t="str">
        <f t="array" ref="E883">IF(B883=0,"",(J883+K883)/60)</f>
        <v/>
      </c>
      <c r="F883" s="437" t="str">
        <f t="shared" si="1"/>
        <v/>
      </c>
      <c r="G883" s="438" t="str">
        <f t="shared" si="9"/>
        <v>#DIV/0!</v>
      </c>
      <c r="H883" s="438" t="str">
        <f t="shared" si="3"/>
        <v/>
      </c>
      <c r="I883" s="436" t="str">
        <f t="shared" si="10"/>
        <v/>
      </c>
      <c r="J883" s="464"/>
      <c r="K883" s="464"/>
      <c r="L883" s="443"/>
      <c r="M883" s="447">
        <f>IFERROR(__xludf.DUMMYFUNCTION("""COMPUTED_VALUE"""),57.0)</f>
        <v>57</v>
      </c>
      <c r="N883" s="447">
        <f>IFERROR(__xludf.DUMMYFUNCTION("""COMPUTED_VALUE"""),57.0)</f>
        <v>57</v>
      </c>
      <c r="O883" s="447">
        <f>IFERROR(__xludf.DUMMYFUNCTION("""COMPUTED_VALUE"""),0.0)</f>
        <v>0</v>
      </c>
      <c r="P883" s="447">
        <f>IFERROR(__xludf.DUMMYFUNCTION("""COMPUTED_VALUE"""),0.0)</f>
        <v>0</v>
      </c>
      <c r="Q883" s="447">
        <f>IFERROR(__xludf.DUMMYFUNCTION("""COMPUTED_VALUE"""),0.0)</f>
        <v>0</v>
      </c>
      <c r="R883" s="447">
        <f>IFERROR(__xludf.DUMMYFUNCTION("""COMPUTED_VALUE"""),0.0)</f>
        <v>0</v>
      </c>
      <c r="S883" s="447">
        <f>IFERROR(__xludf.DUMMYFUNCTION("""COMPUTED_VALUE"""),0.0)</f>
        <v>0</v>
      </c>
      <c r="T883" s="447">
        <f>IFERROR(__xludf.DUMMYFUNCTION("""COMPUTED_VALUE"""),0.0)</f>
        <v>0</v>
      </c>
      <c r="U883" s="447">
        <f>IFERROR(__xludf.DUMMYFUNCTION("""COMPUTED_VALUE"""),0.0)</f>
        <v>0</v>
      </c>
      <c r="V883" s="447">
        <f>IFERROR(__xludf.DUMMYFUNCTION("""COMPUTED_VALUE"""),0.0)</f>
        <v>0</v>
      </c>
      <c r="W883" s="447">
        <f>IFERROR(__xludf.DUMMYFUNCTION("""COMPUTED_VALUE"""),0.0)</f>
        <v>0</v>
      </c>
      <c r="X883" s="447">
        <f>IFERROR(__xludf.DUMMYFUNCTION("""COMPUTED_VALUE"""),0.0)</f>
        <v>0</v>
      </c>
      <c r="Y883" s="447">
        <f>IFERROR(__xludf.DUMMYFUNCTION("""COMPUTED_VALUE"""),0.0)</f>
        <v>0</v>
      </c>
      <c r="Z883" s="447">
        <f>IFERROR(__xludf.DUMMYFUNCTION("""COMPUTED_VALUE"""),0.0)</f>
        <v>0</v>
      </c>
      <c r="AA883" s="447">
        <f>IFERROR(__xludf.DUMMYFUNCTION("""COMPUTED_VALUE"""),0.0)</f>
        <v>0</v>
      </c>
      <c r="AB883" s="447">
        <f>IFERROR(__xludf.DUMMYFUNCTION("""COMPUTED_VALUE"""),0.0)</f>
        <v>0</v>
      </c>
      <c r="AC883" s="447">
        <f>IFERROR(__xludf.DUMMYFUNCTION("""COMPUTED_VALUE"""),0.0)</f>
        <v>0</v>
      </c>
      <c r="AD883" s="447">
        <f>IFERROR(__xludf.DUMMYFUNCTION("""COMPUTED_VALUE"""),0.0)</f>
        <v>0</v>
      </c>
      <c r="AE883" s="447">
        <f>IFERROR(__xludf.DUMMYFUNCTION("""COMPUTED_VALUE"""),0.0)</f>
        <v>0</v>
      </c>
      <c r="AF883" s="447">
        <f>IFERROR(__xludf.DUMMYFUNCTION("""COMPUTED_VALUE"""),0.0)</f>
        <v>0</v>
      </c>
      <c r="AG883" s="443" t="s">
        <v>117</v>
      </c>
      <c r="AH883" s="443" t="s">
        <v>291</v>
      </c>
      <c r="AI883" s="443"/>
      <c r="AJ883" s="443"/>
      <c r="AK883" s="443"/>
      <c r="AL883" s="443"/>
      <c r="AM883" s="443"/>
      <c r="AN883" s="443"/>
      <c r="AO883" s="443"/>
      <c r="AP883" s="443"/>
      <c r="AQ883" s="443"/>
      <c r="AR883" s="443"/>
      <c r="AS883" s="443"/>
      <c r="AT883" s="443"/>
      <c r="AU883" s="443"/>
      <c r="AV883" s="443"/>
      <c r="AW883" s="443"/>
      <c r="AX883" s="443"/>
      <c r="AY883" s="443"/>
      <c r="AZ883" s="443"/>
      <c r="BA883" s="443"/>
      <c r="BB883" s="443"/>
      <c r="BC883" s="443"/>
      <c r="BD883" s="443"/>
      <c r="BE883" s="443"/>
    </row>
    <row r="884" hidden="1">
      <c r="A884" s="445">
        <f t="shared" si="5"/>
        <v>46174</v>
      </c>
      <c r="B884" s="449">
        <v>555.0</v>
      </c>
      <c r="C884" s="462">
        <v>0.5833333333333334</v>
      </c>
      <c r="D884" s="462">
        <v>1.0083333333333333</v>
      </c>
      <c r="E884" s="436">
        <f t="array" ref="E884">IF(B884=0,"",(J884+K884)/60)</f>
        <v>2.183333333</v>
      </c>
      <c r="F884" s="437">
        <f t="shared" si="1"/>
        <v>10.2</v>
      </c>
      <c r="G884" s="438">
        <f t="shared" si="9"/>
        <v>54.41176471</v>
      </c>
      <c r="H884" s="438">
        <f t="shared" si="3"/>
        <v>69.23076923</v>
      </c>
      <c r="I884" s="436">
        <f t="shared" si="10"/>
        <v>1.18286445</v>
      </c>
      <c r="J884" s="460">
        <v>60.0</v>
      </c>
      <c r="K884" s="460">
        <v>71.0</v>
      </c>
      <c r="L884" s="443"/>
      <c r="M884" s="447">
        <f>IFERROR(__xludf.DUMMYFUNCTION("TRANSPOSE(IMPORTRANGE(""https://docs.google.com/spreadsheets/d/1CNeKSHTeNNJnfn5EymHwGg5Mkuk6EcepW7_9QkJxalc/edit#gid=1218471306"",""JUNIO 2026!F2:Ai21""))"),57.0)</f>
        <v>57</v>
      </c>
      <c r="N884" s="447">
        <f>IFERROR(__xludf.DUMMYFUNCTION("""COMPUTED_VALUE"""),56.0)</f>
        <v>56</v>
      </c>
      <c r="O884" s="447">
        <f>IFERROR(__xludf.DUMMYFUNCTION("""COMPUTED_VALUE"""),0.0)</f>
        <v>0</v>
      </c>
      <c r="P884" s="447">
        <f>IFERROR(__xludf.DUMMYFUNCTION("""COMPUTED_VALUE"""),0.0)</f>
        <v>0</v>
      </c>
      <c r="Q884" s="447">
        <f>IFERROR(__xludf.DUMMYFUNCTION("""COMPUTED_VALUE"""),1.0)</f>
        <v>1</v>
      </c>
      <c r="R884" s="447">
        <f>IFERROR(__xludf.DUMMYFUNCTION("""COMPUTED_VALUE"""),0.0)</f>
        <v>0</v>
      </c>
      <c r="S884" s="447">
        <f>IFERROR(__xludf.DUMMYFUNCTION("""COMPUTED_VALUE"""),0.0)</f>
        <v>0</v>
      </c>
      <c r="T884" s="447">
        <f>IFERROR(__xludf.DUMMYFUNCTION("""COMPUTED_VALUE"""),0.0)</f>
        <v>0</v>
      </c>
      <c r="U884" s="447">
        <f>IFERROR(__xludf.DUMMYFUNCTION("""COMPUTED_VALUE"""),1.0)</f>
        <v>1</v>
      </c>
      <c r="V884" s="447">
        <f>IFERROR(__xludf.DUMMYFUNCTION("""COMPUTED_VALUE"""),2.0)</f>
        <v>2</v>
      </c>
      <c r="W884" s="447">
        <f>IFERROR(__xludf.DUMMYFUNCTION("""COMPUTED_VALUE"""),0.0)</f>
        <v>0</v>
      </c>
      <c r="X884" s="447">
        <f>IFERROR(__xludf.DUMMYFUNCTION("""COMPUTED_VALUE"""),1.0)</f>
        <v>1</v>
      </c>
      <c r="Y884" s="447">
        <f>IFERROR(__xludf.DUMMYFUNCTION("""COMPUTED_VALUE"""),0.0)</f>
        <v>0</v>
      </c>
      <c r="Z884" s="447">
        <f>IFERROR(__xludf.DUMMYFUNCTION("""COMPUTED_VALUE"""),0.0)</f>
        <v>0</v>
      </c>
      <c r="AA884" s="447">
        <f>IFERROR(__xludf.DUMMYFUNCTION("""COMPUTED_VALUE"""),0.0)</f>
        <v>0</v>
      </c>
      <c r="AB884" s="447">
        <f>IFERROR(__xludf.DUMMYFUNCTION("""COMPUTED_VALUE"""),0.0)</f>
        <v>0</v>
      </c>
      <c r="AC884" s="447">
        <f>IFERROR(__xludf.DUMMYFUNCTION("""COMPUTED_VALUE"""),0.0)</f>
        <v>0</v>
      </c>
      <c r="AD884" s="447">
        <f>IFERROR(__xludf.DUMMYFUNCTION("""COMPUTED_VALUE"""),46.0)</f>
        <v>46</v>
      </c>
      <c r="AE884" s="447">
        <f>IFERROR(__xludf.DUMMYFUNCTION("""COMPUTED_VALUE"""),5.0)</f>
        <v>5</v>
      </c>
      <c r="AF884" s="447">
        <f>IFERROR(__xludf.DUMMYFUNCTION("""COMPUTED_VALUE"""),1.0)</f>
        <v>1</v>
      </c>
      <c r="AG884" s="443" t="s">
        <v>122</v>
      </c>
      <c r="AH884" s="443" t="s">
        <v>291</v>
      </c>
      <c r="AI884" s="443"/>
      <c r="AJ884" s="443"/>
      <c r="AK884" s="443"/>
      <c r="AL884" s="443"/>
      <c r="AM884" s="443"/>
      <c r="AN884" s="443"/>
      <c r="AO884" s="443"/>
      <c r="AP884" s="443"/>
      <c r="AQ884" s="443"/>
      <c r="AR884" s="443"/>
      <c r="AS884" s="443"/>
      <c r="AT884" s="443"/>
      <c r="AU884" s="443"/>
      <c r="AV884" s="443"/>
      <c r="AW884" s="443"/>
      <c r="AX884" s="443"/>
      <c r="AY884" s="443"/>
      <c r="AZ884" s="443"/>
      <c r="BA884" s="443"/>
      <c r="BB884" s="443"/>
      <c r="BC884" s="443"/>
      <c r="BD884" s="443"/>
      <c r="BE884" s="443"/>
    </row>
    <row r="885" hidden="1">
      <c r="A885" s="445">
        <f t="shared" si="5"/>
        <v>46175</v>
      </c>
      <c r="B885" s="449">
        <v>507.0</v>
      </c>
      <c r="C885" s="462">
        <v>0.5833333333333334</v>
      </c>
      <c r="D885" s="462">
        <v>1.00625</v>
      </c>
      <c r="E885" s="436">
        <f t="array" ref="E885">IF(B885=0,"",(J885+K885)/60)</f>
        <v>2.366666667</v>
      </c>
      <c r="F885" s="437">
        <f t="shared" si="1"/>
        <v>10.15</v>
      </c>
      <c r="G885" s="438">
        <f t="shared" si="9"/>
        <v>49.95073892</v>
      </c>
      <c r="H885" s="438">
        <f t="shared" si="3"/>
        <v>65.1391863</v>
      </c>
      <c r="I885" s="436">
        <f t="shared" si="10"/>
        <v>1.189303308</v>
      </c>
      <c r="J885" s="460">
        <v>30.0</v>
      </c>
      <c r="K885" s="460">
        <v>112.0</v>
      </c>
      <c r="L885" s="449" t="s">
        <v>1026</v>
      </c>
      <c r="M885" s="447">
        <f>IFERROR(__xludf.DUMMYFUNCTION("""COMPUTED_VALUE"""),57.0)</f>
        <v>57</v>
      </c>
      <c r="N885" s="447">
        <f>IFERROR(__xludf.DUMMYFUNCTION("""COMPUTED_VALUE"""),56.0)</f>
        <v>56</v>
      </c>
      <c r="O885" s="447">
        <f>IFERROR(__xludf.DUMMYFUNCTION("""COMPUTED_VALUE"""),1.0)</f>
        <v>1</v>
      </c>
      <c r="P885" s="447">
        <f>IFERROR(__xludf.DUMMYFUNCTION("""COMPUTED_VALUE"""),0.0)</f>
        <v>0</v>
      </c>
      <c r="Q885" s="447">
        <f>IFERROR(__xludf.DUMMYFUNCTION("""COMPUTED_VALUE"""),1.0)</f>
        <v>1</v>
      </c>
      <c r="R885" s="447">
        <f>IFERROR(__xludf.DUMMYFUNCTION("""COMPUTED_VALUE"""),0.0)</f>
        <v>0</v>
      </c>
      <c r="S885" s="447">
        <f>IFERROR(__xludf.DUMMYFUNCTION("""COMPUTED_VALUE"""),1.0)</f>
        <v>1</v>
      </c>
      <c r="T885" s="447">
        <f>IFERROR(__xludf.DUMMYFUNCTION("""COMPUTED_VALUE"""),2.0)</f>
        <v>2</v>
      </c>
      <c r="U885" s="447">
        <f>IFERROR(__xludf.DUMMYFUNCTION("""COMPUTED_VALUE"""),1.0)</f>
        <v>1</v>
      </c>
      <c r="V885" s="447">
        <f>IFERROR(__xludf.DUMMYFUNCTION("""COMPUTED_VALUE"""),2.0)</f>
        <v>2</v>
      </c>
      <c r="W885" s="447">
        <f>IFERROR(__xludf.DUMMYFUNCTION("""COMPUTED_VALUE"""),0.0)</f>
        <v>0</v>
      </c>
      <c r="X885" s="447">
        <f>IFERROR(__xludf.DUMMYFUNCTION("""COMPUTED_VALUE"""),1.0)</f>
        <v>1</v>
      </c>
      <c r="Y885" s="447">
        <f>IFERROR(__xludf.DUMMYFUNCTION("""COMPUTED_VALUE"""),0.0)</f>
        <v>0</v>
      </c>
      <c r="Z885" s="447">
        <f>IFERROR(__xludf.DUMMYFUNCTION("""COMPUTED_VALUE"""),0.0)</f>
        <v>0</v>
      </c>
      <c r="AA885" s="447">
        <f>IFERROR(__xludf.DUMMYFUNCTION("""COMPUTED_VALUE"""),0.0)</f>
        <v>0</v>
      </c>
      <c r="AB885" s="447">
        <f>IFERROR(__xludf.DUMMYFUNCTION("""COMPUTED_VALUE"""),0.0)</f>
        <v>0</v>
      </c>
      <c r="AC885" s="447">
        <f>IFERROR(__xludf.DUMMYFUNCTION("""COMPUTED_VALUE"""),0.0)</f>
        <v>0</v>
      </c>
      <c r="AD885" s="447">
        <f>IFERROR(__xludf.DUMMYFUNCTION("""COMPUTED_VALUE"""),42.0)</f>
        <v>42</v>
      </c>
      <c r="AE885" s="447">
        <f>IFERROR(__xludf.DUMMYFUNCTION("""COMPUTED_VALUE"""),9.0)</f>
        <v>9</v>
      </c>
      <c r="AF885" s="447">
        <f>IFERROR(__xludf.DUMMYFUNCTION("""COMPUTED_VALUE"""),1.0)</f>
        <v>1</v>
      </c>
      <c r="AG885" s="443" t="s">
        <v>122</v>
      </c>
      <c r="AH885" s="443" t="s">
        <v>291</v>
      </c>
      <c r="AI885" s="443"/>
      <c r="AJ885" s="443"/>
      <c r="AK885" s="443"/>
      <c r="AL885" s="443"/>
      <c r="AM885" s="443"/>
      <c r="AN885" s="443"/>
      <c r="AO885" s="443"/>
      <c r="AP885" s="443"/>
      <c r="AQ885" s="443"/>
      <c r="AR885" s="443"/>
      <c r="AS885" s="443"/>
      <c r="AT885" s="443"/>
      <c r="AU885" s="443"/>
      <c r="AV885" s="443"/>
      <c r="AW885" s="443"/>
      <c r="AX885" s="443"/>
      <c r="AY885" s="443"/>
      <c r="AZ885" s="443"/>
      <c r="BA885" s="443"/>
      <c r="BB885" s="443"/>
      <c r="BC885" s="443"/>
      <c r="BD885" s="443"/>
      <c r="BE885" s="443"/>
    </row>
    <row r="886" hidden="1">
      <c r="A886" s="445">
        <f t="shared" si="5"/>
        <v>46176</v>
      </c>
      <c r="B886" s="449">
        <v>561.0</v>
      </c>
      <c r="C886" s="462">
        <v>0.5833333333333334</v>
      </c>
      <c r="D886" s="462">
        <v>1.0229166666666667</v>
      </c>
      <c r="E886" s="436">
        <f t="array" ref="E886">IF(B886=0,"",(J886+K886)/60)</f>
        <v>0.6166666667</v>
      </c>
      <c r="F886" s="437">
        <f t="shared" si="1"/>
        <v>10.55</v>
      </c>
      <c r="G886" s="438">
        <f t="shared" si="9"/>
        <v>53.17535545</v>
      </c>
      <c r="H886" s="438">
        <f t="shared" si="3"/>
        <v>56.47651007</v>
      </c>
      <c r="I886" s="436">
        <f t="shared" si="10"/>
        <v>1.266079892</v>
      </c>
      <c r="J886" s="460">
        <v>30.0</v>
      </c>
      <c r="K886" s="460">
        <v>7.0</v>
      </c>
      <c r="L886" s="443"/>
      <c r="M886" s="447">
        <f>IFERROR(__xludf.DUMMYFUNCTION("""COMPUTED_VALUE"""),57.0)</f>
        <v>57</v>
      </c>
      <c r="N886" s="447">
        <f>IFERROR(__xludf.DUMMYFUNCTION("""COMPUTED_VALUE"""),56.0)</f>
        <v>56</v>
      </c>
      <c r="O886" s="447">
        <f>IFERROR(__xludf.DUMMYFUNCTION("""COMPUTED_VALUE"""),0.0)</f>
        <v>0</v>
      </c>
      <c r="P886" s="447">
        <f>IFERROR(__xludf.DUMMYFUNCTION("""COMPUTED_VALUE"""),0.0)</f>
        <v>0</v>
      </c>
      <c r="Q886" s="447">
        <f>IFERROR(__xludf.DUMMYFUNCTION("""COMPUTED_VALUE"""),1.0)</f>
        <v>1</v>
      </c>
      <c r="R886" s="447">
        <f>IFERROR(__xludf.DUMMYFUNCTION("""COMPUTED_VALUE"""),0.0)</f>
        <v>0</v>
      </c>
      <c r="S886" s="447">
        <f>IFERROR(__xludf.DUMMYFUNCTION("""COMPUTED_VALUE"""),4.0)</f>
        <v>4</v>
      </c>
      <c r="T886" s="447">
        <f>IFERROR(__xludf.DUMMYFUNCTION("""COMPUTED_VALUE"""),0.0)</f>
        <v>0</v>
      </c>
      <c r="U886" s="447">
        <f>IFERROR(__xludf.DUMMYFUNCTION("""COMPUTED_VALUE"""),1.0)</f>
        <v>1</v>
      </c>
      <c r="V886" s="447">
        <f>IFERROR(__xludf.DUMMYFUNCTION("""COMPUTED_VALUE"""),2.0)</f>
        <v>2</v>
      </c>
      <c r="W886" s="447">
        <f>IFERROR(__xludf.DUMMYFUNCTION("""COMPUTED_VALUE"""),0.0)</f>
        <v>0</v>
      </c>
      <c r="X886" s="447">
        <f>IFERROR(__xludf.DUMMYFUNCTION("""COMPUTED_VALUE"""),1.0)</f>
        <v>1</v>
      </c>
      <c r="Y886" s="447">
        <f>IFERROR(__xludf.DUMMYFUNCTION("""COMPUTED_VALUE"""),0.0)</f>
        <v>0</v>
      </c>
      <c r="Z886" s="447">
        <f>IFERROR(__xludf.DUMMYFUNCTION("""COMPUTED_VALUE"""),0.0)</f>
        <v>0</v>
      </c>
      <c r="AA886" s="447">
        <f>IFERROR(__xludf.DUMMYFUNCTION("""COMPUTED_VALUE"""),0.0)</f>
        <v>0</v>
      </c>
      <c r="AB886" s="447">
        <f>IFERROR(__xludf.DUMMYFUNCTION("""COMPUTED_VALUE"""),0.0)</f>
        <v>0</v>
      </c>
      <c r="AC886" s="447">
        <f>IFERROR(__xludf.DUMMYFUNCTION("""COMPUTED_VALUE"""),0.0)</f>
        <v>0</v>
      </c>
      <c r="AD886" s="447">
        <f>IFERROR(__xludf.DUMMYFUNCTION("""COMPUTED_VALUE"""),42.0)</f>
        <v>42</v>
      </c>
      <c r="AE886" s="447">
        <f>IFERROR(__xludf.DUMMYFUNCTION("""COMPUTED_VALUE"""),9.0)</f>
        <v>9</v>
      </c>
      <c r="AF886" s="447">
        <f>IFERROR(__xludf.DUMMYFUNCTION("""COMPUTED_VALUE"""),1.0)</f>
        <v>1</v>
      </c>
      <c r="AG886" s="443" t="s">
        <v>122</v>
      </c>
      <c r="AH886" s="443" t="s">
        <v>291</v>
      </c>
      <c r="AI886" s="443"/>
      <c r="AJ886" s="443"/>
      <c r="AK886" s="443"/>
      <c r="AL886" s="443"/>
      <c r="AM886" s="443"/>
      <c r="AN886" s="443"/>
      <c r="AO886" s="443"/>
      <c r="AP886" s="443"/>
      <c r="AQ886" s="443"/>
      <c r="AR886" s="443"/>
      <c r="AS886" s="443"/>
      <c r="AT886" s="443"/>
      <c r="AU886" s="443"/>
      <c r="AV886" s="443"/>
      <c r="AW886" s="443"/>
      <c r="AX886" s="443"/>
      <c r="AY886" s="443"/>
      <c r="AZ886" s="443"/>
      <c r="BA886" s="443"/>
      <c r="BB886" s="443"/>
      <c r="BC886" s="443"/>
      <c r="BD886" s="443"/>
      <c r="BE886" s="443"/>
    </row>
    <row r="887" hidden="1">
      <c r="A887" s="445">
        <f t="shared" si="5"/>
        <v>46177</v>
      </c>
      <c r="B887" s="449">
        <v>617.0</v>
      </c>
      <c r="C887" s="462">
        <v>0.5833333333333334</v>
      </c>
      <c r="D887" s="462">
        <v>1.0166666666666666</v>
      </c>
      <c r="E887" s="436">
        <f t="array" ref="E887">IF(B887=0,"",(J887+K887)/60)</f>
        <v>0.5</v>
      </c>
      <c r="F887" s="437">
        <f t="shared" si="1"/>
        <v>10.4</v>
      </c>
      <c r="G887" s="438">
        <f t="shared" si="9"/>
        <v>59.32692308</v>
      </c>
      <c r="H887" s="438">
        <f t="shared" si="3"/>
        <v>62.32323232</v>
      </c>
      <c r="I887" s="436">
        <f t="shared" si="10"/>
        <v>1.483173077</v>
      </c>
      <c r="J887" s="460">
        <v>30.0</v>
      </c>
      <c r="K887" s="460">
        <v>0.0</v>
      </c>
      <c r="L887" s="443"/>
      <c r="M887" s="447">
        <f>IFERROR(__xludf.DUMMYFUNCTION("""COMPUTED_VALUE"""),57.0)</f>
        <v>57</v>
      </c>
      <c r="N887" s="447">
        <f>IFERROR(__xludf.DUMMYFUNCTION("""COMPUTED_VALUE"""),56.0)</f>
        <v>56</v>
      </c>
      <c r="O887" s="447">
        <f>IFERROR(__xludf.DUMMYFUNCTION("""COMPUTED_VALUE"""),0.0)</f>
        <v>0</v>
      </c>
      <c r="P887" s="447">
        <f>IFERROR(__xludf.DUMMYFUNCTION("""COMPUTED_VALUE"""),1.0)</f>
        <v>1</v>
      </c>
      <c r="Q887" s="447">
        <f>IFERROR(__xludf.DUMMYFUNCTION("""COMPUTED_VALUE"""),0.0)</f>
        <v>0</v>
      </c>
      <c r="R887" s="447">
        <f>IFERROR(__xludf.DUMMYFUNCTION("""COMPUTED_VALUE"""),0.0)</f>
        <v>0</v>
      </c>
      <c r="S887" s="447">
        <f>IFERROR(__xludf.DUMMYFUNCTION("""COMPUTED_VALUE"""),6.0)</f>
        <v>6</v>
      </c>
      <c r="T887" s="447">
        <f>IFERROR(__xludf.DUMMYFUNCTION("""COMPUTED_VALUE"""),0.0)</f>
        <v>0</v>
      </c>
      <c r="U887" s="447">
        <f>IFERROR(__xludf.DUMMYFUNCTION("""COMPUTED_VALUE"""),1.0)</f>
        <v>1</v>
      </c>
      <c r="V887" s="447">
        <f>IFERROR(__xludf.DUMMYFUNCTION("""COMPUTED_VALUE"""),2.0)</f>
        <v>2</v>
      </c>
      <c r="W887" s="447">
        <f>IFERROR(__xludf.DUMMYFUNCTION("""COMPUTED_VALUE"""),0.0)</f>
        <v>0</v>
      </c>
      <c r="X887" s="447">
        <f>IFERROR(__xludf.DUMMYFUNCTION("""COMPUTED_VALUE"""),1.0)</f>
        <v>1</v>
      </c>
      <c r="Y887" s="447">
        <f>IFERROR(__xludf.DUMMYFUNCTION("""COMPUTED_VALUE"""),0.0)</f>
        <v>0</v>
      </c>
      <c r="Z887" s="447">
        <f>IFERROR(__xludf.DUMMYFUNCTION("""COMPUTED_VALUE"""),0.0)</f>
        <v>0</v>
      </c>
      <c r="AA887" s="447">
        <f>IFERROR(__xludf.DUMMYFUNCTION("""COMPUTED_VALUE"""),0.0)</f>
        <v>0</v>
      </c>
      <c r="AB887" s="447">
        <f>IFERROR(__xludf.DUMMYFUNCTION("""COMPUTED_VALUE"""),0.0)</f>
        <v>0</v>
      </c>
      <c r="AC887" s="447">
        <f>IFERROR(__xludf.DUMMYFUNCTION("""COMPUTED_VALUE"""),0.0)</f>
        <v>0</v>
      </c>
      <c r="AD887" s="447">
        <f>IFERROR(__xludf.DUMMYFUNCTION("""COMPUTED_VALUE"""),40.0)</f>
        <v>40</v>
      </c>
      <c r="AE887" s="447">
        <f>IFERROR(__xludf.DUMMYFUNCTION("""COMPUTED_VALUE"""),11.0)</f>
        <v>11</v>
      </c>
      <c r="AF887" s="447">
        <f>IFERROR(__xludf.DUMMYFUNCTION("""COMPUTED_VALUE"""),1.0)</f>
        <v>1</v>
      </c>
      <c r="AG887" s="443" t="s">
        <v>122</v>
      </c>
      <c r="AH887" s="443" t="s">
        <v>291</v>
      </c>
      <c r="AI887" s="443"/>
      <c r="AJ887" s="443"/>
      <c r="AK887" s="443"/>
      <c r="AL887" s="443"/>
      <c r="AM887" s="443"/>
      <c r="AN887" s="443"/>
      <c r="AO887" s="443"/>
      <c r="AP887" s="443"/>
      <c r="AQ887" s="443"/>
      <c r="AR887" s="443"/>
      <c r="AS887" s="443"/>
      <c r="AT887" s="443"/>
      <c r="AU887" s="443"/>
      <c r="AV887" s="443"/>
      <c r="AW887" s="443"/>
      <c r="AX887" s="443"/>
      <c r="AY887" s="443"/>
      <c r="AZ887" s="443"/>
      <c r="BA887" s="443"/>
      <c r="BB887" s="443"/>
      <c r="BC887" s="443"/>
      <c r="BD887" s="443"/>
      <c r="BE887" s="443"/>
    </row>
    <row r="888" hidden="1">
      <c r="A888" s="445">
        <f t="shared" si="5"/>
        <v>46178</v>
      </c>
      <c r="B888" s="449">
        <v>350.0</v>
      </c>
      <c r="C888" s="462">
        <v>0.625</v>
      </c>
      <c r="D888" s="462">
        <v>0.88125</v>
      </c>
      <c r="E888" s="436">
        <f t="array" ref="E888">IF(B888=0,"",(J888+K888)/60)</f>
        <v>1.016666667</v>
      </c>
      <c r="F888" s="437">
        <f t="shared" si="1"/>
        <v>6.15</v>
      </c>
      <c r="G888" s="438">
        <f t="shared" si="9"/>
        <v>56.91056911</v>
      </c>
      <c r="H888" s="438">
        <f t="shared" si="3"/>
        <v>68.18181818</v>
      </c>
      <c r="I888" s="436">
        <f t="shared" si="10"/>
        <v>1.422764228</v>
      </c>
      <c r="J888" s="460">
        <v>30.0</v>
      </c>
      <c r="K888" s="460">
        <v>31.0</v>
      </c>
      <c r="L888" s="443"/>
      <c r="M888" s="447">
        <f>IFERROR(__xludf.DUMMYFUNCTION("""COMPUTED_VALUE"""),57.0)</f>
        <v>57</v>
      </c>
      <c r="N888" s="447">
        <f>IFERROR(__xludf.DUMMYFUNCTION("""COMPUTED_VALUE"""),56.0)</f>
        <v>56</v>
      </c>
      <c r="O888" s="447">
        <f>IFERROR(__xludf.DUMMYFUNCTION("""COMPUTED_VALUE"""),0.0)</f>
        <v>0</v>
      </c>
      <c r="P888" s="447">
        <f>IFERROR(__xludf.DUMMYFUNCTION("""COMPUTED_VALUE"""),0.0)</f>
        <v>0</v>
      </c>
      <c r="Q888" s="447">
        <f>IFERROR(__xludf.DUMMYFUNCTION("""COMPUTED_VALUE"""),0.0)</f>
        <v>0</v>
      </c>
      <c r="R888" s="447">
        <f>IFERROR(__xludf.DUMMYFUNCTION("""COMPUTED_VALUE"""),0.0)</f>
        <v>0</v>
      </c>
      <c r="S888" s="447">
        <f>IFERROR(__xludf.DUMMYFUNCTION("""COMPUTED_VALUE"""),7.0)</f>
        <v>7</v>
      </c>
      <c r="T888" s="447">
        <f>IFERROR(__xludf.DUMMYFUNCTION("""COMPUTED_VALUE"""),0.0)</f>
        <v>0</v>
      </c>
      <c r="U888" s="447">
        <f>IFERROR(__xludf.DUMMYFUNCTION("""COMPUTED_VALUE"""),1.0)</f>
        <v>1</v>
      </c>
      <c r="V888" s="447">
        <f>IFERROR(__xludf.DUMMYFUNCTION("""COMPUTED_VALUE"""),2.0)</f>
        <v>2</v>
      </c>
      <c r="W888" s="447">
        <f>IFERROR(__xludf.DUMMYFUNCTION("""COMPUTED_VALUE"""),0.0)</f>
        <v>0</v>
      </c>
      <c r="X888" s="447">
        <f>IFERROR(__xludf.DUMMYFUNCTION("""COMPUTED_VALUE"""),1.0)</f>
        <v>1</v>
      </c>
      <c r="Y888" s="447">
        <f>IFERROR(__xludf.DUMMYFUNCTION("""COMPUTED_VALUE"""),0.0)</f>
        <v>0</v>
      </c>
      <c r="Z888" s="447">
        <f>IFERROR(__xludf.DUMMYFUNCTION("""COMPUTED_VALUE"""),0.0)</f>
        <v>0</v>
      </c>
      <c r="AA888" s="447">
        <f>IFERROR(__xludf.DUMMYFUNCTION("""COMPUTED_VALUE"""),0.0)</f>
        <v>0</v>
      </c>
      <c r="AB888" s="447">
        <f>IFERROR(__xludf.DUMMYFUNCTION("""COMPUTED_VALUE"""),0.0)</f>
        <v>0</v>
      </c>
      <c r="AC888" s="447">
        <f>IFERROR(__xludf.DUMMYFUNCTION("""COMPUTED_VALUE"""),0.0)</f>
        <v>0</v>
      </c>
      <c r="AD888" s="447">
        <f>IFERROR(__xludf.DUMMYFUNCTION("""COMPUTED_VALUE"""),40.0)</f>
        <v>40</v>
      </c>
      <c r="AE888" s="447">
        <f>IFERROR(__xludf.DUMMYFUNCTION("""COMPUTED_VALUE"""),11.0)</f>
        <v>11</v>
      </c>
      <c r="AF888" s="447">
        <f>IFERROR(__xludf.DUMMYFUNCTION("""COMPUTED_VALUE"""),1.0)</f>
        <v>1</v>
      </c>
      <c r="AG888" s="443" t="s">
        <v>122</v>
      </c>
      <c r="AH888" s="443" t="s">
        <v>291</v>
      </c>
      <c r="AI888" s="443"/>
      <c r="AJ888" s="443"/>
      <c r="AK888" s="443"/>
      <c r="AL888" s="443"/>
      <c r="AM888" s="443"/>
      <c r="AN888" s="443"/>
      <c r="AO888" s="443"/>
      <c r="AP888" s="443"/>
      <c r="AQ888" s="443"/>
      <c r="AR888" s="443"/>
      <c r="AS888" s="443"/>
      <c r="AT888" s="443"/>
      <c r="AU888" s="443"/>
      <c r="AV888" s="443"/>
      <c r="AW888" s="443"/>
      <c r="AX888" s="443"/>
      <c r="AY888" s="443"/>
      <c r="AZ888" s="443"/>
      <c r="BA888" s="443"/>
      <c r="BB888" s="443"/>
      <c r="BC888" s="443"/>
      <c r="BD888" s="443"/>
      <c r="BE888" s="443"/>
    </row>
    <row r="889" hidden="1">
      <c r="A889" s="445">
        <f t="shared" si="5"/>
        <v>46179</v>
      </c>
      <c r="B889" s="449">
        <v>393.0</v>
      </c>
      <c r="C889" s="462">
        <v>0.625</v>
      </c>
      <c r="D889" s="462">
        <v>0.8902777777777777</v>
      </c>
      <c r="E889" s="436">
        <f t="array" ref="E889">IF(B889=0,"",(J889+K889)/60)</f>
        <v>0.6</v>
      </c>
      <c r="F889" s="437">
        <f t="shared" si="1"/>
        <v>6.366666667</v>
      </c>
      <c r="G889" s="438">
        <f t="shared" si="9"/>
        <v>61.72774869</v>
      </c>
      <c r="H889" s="438">
        <f t="shared" si="3"/>
        <v>68.15028902</v>
      </c>
      <c r="I889" s="436">
        <f t="shared" si="10"/>
        <v>1.469708302</v>
      </c>
      <c r="J889" s="460">
        <v>30.0</v>
      </c>
      <c r="K889" s="460">
        <v>6.0</v>
      </c>
      <c r="L889" s="443"/>
      <c r="M889" s="447">
        <f>IFERROR(__xludf.DUMMYFUNCTION("""COMPUTED_VALUE"""),57.0)</f>
        <v>57</v>
      </c>
      <c r="N889" s="447">
        <f>IFERROR(__xludf.DUMMYFUNCTION("""COMPUTED_VALUE"""),56.0)</f>
        <v>56</v>
      </c>
      <c r="O889" s="447">
        <f>IFERROR(__xludf.DUMMYFUNCTION("""COMPUTED_VALUE"""),1.0)</f>
        <v>1</v>
      </c>
      <c r="P889" s="447">
        <f>IFERROR(__xludf.DUMMYFUNCTION("""COMPUTED_VALUE"""),0.0)</f>
        <v>0</v>
      </c>
      <c r="Q889" s="447">
        <f>IFERROR(__xludf.DUMMYFUNCTION("""COMPUTED_VALUE"""),1.0)</f>
        <v>1</v>
      </c>
      <c r="R889" s="447">
        <f>IFERROR(__xludf.DUMMYFUNCTION("""COMPUTED_VALUE"""),0.0)</f>
        <v>0</v>
      </c>
      <c r="S889" s="447">
        <f>IFERROR(__xludf.DUMMYFUNCTION("""COMPUTED_VALUE"""),4.0)</f>
        <v>4</v>
      </c>
      <c r="T889" s="447">
        <f>IFERROR(__xludf.DUMMYFUNCTION("""COMPUTED_VALUE"""),0.0)</f>
        <v>0</v>
      </c>
      <c r="U889" s="447">
        <f>IFERROR(__xludf.DUMMYFUNCTION("""COMPUTED_VALUE"""),1.0)</f>
        <v>1</v>
      </c>
      <c r="V889" s="447">
        <f>IFERROR(__xludf.DUMMYFUNCTION("""COMPUTED_VALUE"""),1.0)</f>
        <v>1</v>
      </c>
      <c r="W889" s="447">
        <f>IFERROR(__xludf.DUMMYFUNCTION("""COMPUTED_VALUE"""),0.0)</f>
        <v>0</v>
      </c>
      <c r="X889" s="447">
        <f>IFERROR(__xludf.DUMMYFUNCTION("""COMPUTED_VALUE"""),1.0)</f>
        <v>1</v>
      </c>
      <c r="Y889" s="447">
        <f>IFERROR(__xludf.DUMMYFUNCTION("""COMPUTED_VALUE"""),0.0)</f>
        <v>0</v>
      </c>
      <c r="Z889" s="447">
        <f>IFERROR(__xludf.DUMMYFUNCTION("""COMPUTED_VALUE"""),0.0)</f>
        <v>0</v>
      </c>
      <c r="AA889" s="447">
        <f>IFERROR(__xludf.DUMMYFUNCTION("""COMPUTED_VALUE"""),0.0)</f>
        <v>0</v>
      </c>
      <c r="AB889" s="447">
        <f>IFERROR(__xludf.DUMMYFUNCTION("""COMPUTED_VALUE"""),0.0)</f>
        <v>0</v>
      </c>
      <c r="AC889" s="447">
        <f>IFERROR(__xludf.DUMMYFUNCTION("""COMPUTED_VALUE"""),0.0)</f>
        <v>0</v>
      </c>
      <c r="AD889" s="447">
        <f>IFERROR(__xludf.DUMMYFUNCTION("""COMPUTED_VALUE"""),42.0)</f>
        <v>42</v>
      </c>
      <c r="AE889" s="447">
        <f>IFERROR(__xludf.DUMMYFUNCTION("""COMPUTED_VALUE"""),9.0)</f>
        <v>9</v>
      </c>
      <c r="AF889" s="447">
        <f>IFERROR(__xludf.DUMMYFUNCTION("""COMPUTED_VALUE"""),1.0)</f>
        <v>1</v>
      </c>
      <c r="AG889" s="443" t="s">
        <v>122</v>
      </c>
      <c r="AH889" s="443" t="s">
        <v>291</v>
      </c>
      <c r="AI889" s="443"/>
      <c r="AJ889" s="443"/>
      <c r="AK889" s="443"/>
      <c r="AL889" s="443"/>
      <c r="AM889" s="443"/>
      <c r="AN889" s="443"/>
      <c r="AO889" s="443"/>
      <c r="AP889" s="443"/>
      <c r="AQ889" s="443"/>
      <c r="AR889" s="443"/>
      <c r="AS889" s="443"/>
      <c r="AT889" s="443"/>
      <c r="AU889" s="443"/>
      <c r="AV889" s="443"/>
      <c r="AW889" s="443"/>
      <c r="AX889" s="443"/>
      <c r="AY889" s="443"/>
      <c r="AZ889" s="443"/>
      <c r="BA889" s="443"/>
      <c r="BB889" s="443"/>
      <c r="BC889" s="443"/>
      <c r="BD889" s="443"/>
      <c r="BE889" s="443"/>
    </row>
    <row r="890" hidden="1">
      <c r="A890" s="445">
        <f t="shared" si="5"/>
        <v>46180</v>
      </c>
      <c r="B890" s="449">
        <v>0.0</v>
      </c>
      <c r="C890" s="443"/>
      <c r="D890" s="462"/>
      <c r="E890" s="436" t="str">
        <f t="array" ref="E890">IF(B890=0,"",(J890+K890)/60)</f>
        <v/>
      </c>
      <c r="F890" s="437" t="str">
        <f t="shared" si="1"/>
        <v/>
      </c>
      <c r="G890" s="438" t="str">
        <f t="shared" si="9"/>
        <v>#DIV/0!</v>
      </c>
      <c r="H890" s="438" t="str">
        <f t="shared" si="3"/>
        <v/>
      </c>
      <c r="I890" s="436" t="str">
        <f t="shared" si="10"/>
        <v/>
      </c>
      <c r="J890" s="464"/>
      <c r="K890" s="464"/>
      <c r="L890" s="443"/>
      <c r="M890" s="447">
        <f>IFERROR(__xludf.DUMMYFUNCTION("""COMPUTED_VALUE"""),57.0)</f>
        <v>57</v>
      </c>
      <c r="N890" s="447">
        <f>IFERROR(__xludf.DUMMYFUNCTION("""COMPUTED_VALUE"""),57.0)</f>
        <v>57</v>
      </c>
      <c r="O890" s="447">
        <f>IFERROR(__xludf.DUMMYFUNCTION("""COMPUTED_VALUE"""),0.0)</f>
        <v>0</v>
      </c>
      <c r="P890" s="447">
        <f>IFERROR(__xludf.DUMMYFUNCTION("""COMPUTED_VALUE"""),0.0)</f>
        <v>0</v>
      </c>
      <c r="Q890" s="447">
        <f>IFERROR(__xludf.DUMMYFUNCTION("""COMPUTED_VALUE"""),0.0)</f>
        <v>0</v>
      </c>
      <c r="R890" s="447">
        <f>IFERROR(__xludf.DUMMYFUNCTION("""COMPUTED_VALUE"""),0.0)</f>
        <v>0</v>
      </c>
      <c r="S890" s="447">
        <f>IFERROR(__xludf.DUMMYFUNCTION("""COMPUTED_VALUE"""),0.0)</f>
        <v>0</v>
      </c>
      <c r="T890" s="447">
        <f>IFERROR(__xludf.DUMMYFUNCTION("""COMPUTED_VALUE"""),0.0)</f>
        <v>0</v>
      </c>
      <c r="U890" s="447">
        <f>IFERROR(__xludf.DUMMYFUNCTION("""COMPUTED_VALUE"""),0.0)</f>
        <v>0</v>
      </c>
      <c r="V890" s="447">
        <f>IFERROR(__xludf.DUMMYFUNCTION("""COMPUTED_VALUE"""),0.0)</f>
        <v>0</v>
      </c>
      <c r="W890" s="447">
        <f>IFERROR(__xludf.DUMMYFUNCTION("""COMPUTED_VALUE"""),0.0)</f>
        <v>0</v>
      </c>
      <c r="X890" s="447">
        <f>IFERROR(__xludf.DUMMYFUNCTION("""COMPUTED_VALUE"""),1.0)</f>
        <v>1</v>
      </c>
      <c r="Y890" s="447">
        <f>IFERROR(__xludf.DUMMYFUNCTION("""COMPUTED_VALUE"""),0.0)</f>
        <v>0</v>
      </c>
      <c r="Z890" s="447">
        <f>IFERROR(__xludf.DUMMYFUNCTION("""COMPUTED_VALUE"""),0.0)</f>
        <v>0</v>
      </c>
      <c r="AA890" s="447">
        <f>IFERROR(__xludf.DUMMYFUNCTION("""COMPUTED_VALUE"""),0.0)</f>
        <v>0</v>
      </c>
      <c r="AB890" s="447">
        <f>IFERROR(__xludf.DUMMYFUNCTION("""COMPUTED_VALUE"""),0.0)</f>
        <v>0</v>
      </c>
      <c r="AC890" s="447">
        <f>IFERROR(__xludf.DUMMYFUNCTION("""COMPUTED_VALUE"""),0.0)</f>
        <v>0</v>
      </c>
      <c r="AD890" s="447">
        <f>IFERROR(__xludf.DUMMYFUNCTION("""COMPUTED_VALUE"""),0.0)</f>
        <v>0</v>
      </c>
      <c r="AE890" s="447">
        <f>IFERROR(__xludf.DUMMYFUNCTION("""COMPUTED_VALUE"""),1.0)</f>
        <v>1</v>
      </c>
      <c r="AF890" s="447">
        <f>IFERROR(__xludf.DUMMYFUNCTION("""COMPUTED_VALUE"""),0.0)</f>
        <v>0</v>
      </c>
      <c r="AG890" s="443" t="s">
        <v>122</v>
      </c>
      <c r="AH890" s="443" t="s">
        <v>291</v>
      </c>
      <c r="AI890" s="443"/>
      <c r="AJ890" s="443"/>
      <c r="AK890" s="443"/>
      <c r="AL890" s="443"/>
      <c r="AM890" s="443"/>
      <c r="AN890" s="443"/>
      <c r="AO890" s="443"/>
      <c r="AP890" s="443"/>
      <c r="AQ890" s="443"/>
      <c r="AR890" s="443"/>
      <c r="AS890" s="443"/>
      <c r="AT890" s="443"/>
      <c r="AU890" s="443"/>
      <c r="AV890" s="443"/>
      <c r="AW890" s="443"/>
      <c r="AX890" s="443"/>
      <c r="AY890" s="443"/>
      <c r="AZ890" s="443"/>
      <c r="BA890" s="443"/>
      <c r="BB890" s="443"/>
      <c r="BC890" s="443"/>
      <c r="BD890" s="443"/>
      <c r="BE890" s="443"/>
    </row>
    <row r="891" hidden="1">
      <c r="A891" s="445">
        <f t="shared" si="5"/>
        <v>46181</v>
      </c>
      <c r="B891" s="449">
        <v>658.0</v>
      </c>
      <c r="C891" s="462">
        <v>0.5416666666666666</v>
      </c>
      <c r="D891" s="462">
        <v>1.0159722222222223</v>
      </c>
      <c r="E891" s="436">
        <f t="array" ref="E891">IF(B891=0,"",(J891+K891)/60)</f>
        <v>1.383333333</v>
      </c>
      <c r="F891" s="437">
        <f t="shared" si="1"/>
        <v>11.38333333</v>
      </c>
      <c r="G891" s="438">
        <f t="shared" si="9"/>
        <v>57.80380673</v>
      </c>
      <c r="H891" s="438">
        <f t="shared" si="3"/>
        <v>65.8</v>
      </c>
      <c r="I891" s="436">
        <f t="shared" si="10"/>
        <v>1.256604494</v>
      </c>
      <c r="J891" s="460">
        <v>60.0</v>
      </c>
      <c r="K891" s="460">
        <v>23.0</v>
      </c>
      <c r="L891" s="443"/>
      <c r="M891" s="447">
        <f>IFERROR(__xludf.DUMMYFUNCTION("""COMPUTED_VALUE"""),57.0)</f>
        <v>57</v>
      </c>
      <c r="N891" s="447">
        <f>IFERROR(__xludf.DUMMYFUNCTION("""COMPUTED_VALUE"""),56.0)</f>
        <v>56</v>
      </c>
      <c r="O891" s="447">
        <f>IFERROR(__xludf.DUMMYFUNCTION("""COMPUTED_VALUE"""),0.0)</f>
        <v>0</v>
      </c>
      <c r="P891" s="447">
        <f>IFERROR(__xludf.DUMMYFUNCTION("""COMPUTED_VALUE"""),0.0)</f>
        <v>0</v>
      </c>
      <c r="Q891" s="447">
        <f>IFERROR(__xludf.DUMMYFUNCTION("""COMPUTED_VALUE"""),1.0)</f>
        <v>1</v>
      </c>
      <c r="R891" s="447">
        <f>IFERROR(__xludf.DUMMYFUNCTION("""COMPUTED_VALUE"""),0.0)</f>
        <v>0</v>
      </c>
      <c r="S891" s="447">
        <f>IFERROR(__xludf.DUMMYFUNCTION("""COMPUTED_VALUE"""),1.0)</f>
        <v>1</v>
      </c>
      <c r="T891" s="447">
        <f>IFERROR(__xludf.DUMMYFUNCTION("""COMPUTED_VALUE"""),0.0)</f>
        <v>0</v>
      </c>
      <c r="U891" s="447">
        <f>IFERROR(__xludf.DUMMYFUNCTION("""COMPUTED_VALUE"""),1.0)</f>
        <v>1</v>
      </c>
      <c r="V891" s="447">
        <f>IFERROR(__xludf.DUMMYFUNCTION("""COMPUTED_VALUE"""),0.0)</f>
        <v>0</v>
      </c>
      <c r="W891" s="447">
        <f>IFERROR(__xludf.DUMMYFUNCTION("""COMPUTED_VALUE"""),0.0)</f>
        <v>0</v>
      </c>
      <c r="X891" s="447">
        <f>IFERROR(__xludf.DUMMYFUNCTION("""COMPUTED_VALUE"""),1.0)</f>
        <v>1</v>
      </c>
      <c r="Y891" s="447">
        <f>IFERROR(__xludf.DUMMYFUNCTION("""COMPUTED_VALUE"""),0.0)</f>
        <v>0</v>
      </c>
      <c r="Z891" s="447">
        <f>IFERROR(__xludf.DUMMYFUNCTION("""COMPUTED_VALUE"""),0.0)</f>
        <v>0</v>
      </c>
      <c r="AA891" s="447">
        <f>IFERROR(__xludf.DUMMYFUNCTION("""COMPUTED_VALUE"""),0.0)</f>
        <v>0</v>
      </c>
      <c r="AB891" s="447">
        <f>IFERROR(__xludf.DUMMYFUNCTION("""COMPUTED_VALUE"""),0.0)</f>
        <v>0</v>
      </c>
      <c r="AC891" s="447">
        <f>IFERROR(__xludf.DUMMYFUNCTION("""COMPUTED_VALUE"""),0.0)</f>
        <v>0</v>
      </c>
      <c r="AD891" s="447">
        <f>IFERROR(__xludf.DUMMYFUNCTION("""COMPUTED_VALUE"""),46.0)</f>
        <v>46</v>
      </c>
      <c r="AE891" s="447">
        <f>IFERROR(__xludf.DUMMYFUNCTION("""COMPUTED_VALUE"""),4.0)</f>
        <v>4</v>
      </c>
      <c r="AF891" s="447">
        <f>IFERROR(__xludf.DUMMYFUNCTION("""COMPUTED_VALUE"""),1.0)</f>
        <v>1</v>
      </c>
      <c r="AG891" s="443" t="s">
        <v>122</v>
      </c>
      <c r="AH891" s="443" t="s">
        <v>291</v>
      </c>
      <c r="AI891" s="443"/>
      <c r="AJ891" s="443"/>
      <c r="AK891" s="443"/>
      <c r="AL891" s="443"/>
      <c r="AM891" s="443"/>
      <c r="AN891" s="443"/>
      <c r="AO891" s="443"/>
      <c r="AP891" s="443"/>
      <c r="AQ891" s="443"/>
      <c r="AR891" s="443"/>
      <c r="AS891" s="443"/>
      <c r="AT891" s="443"/>
      <c r="AU891" s="443"/>
      <c r="AV891" s="443"/>
      <c r="AW891" s="443"/>
      <c r="AX891" s="443"/>
      <c r="AY891" s="443"/>
      <c r="AZ891" s="443"/>
      <c r="BA891" s="443"/>
      <c r="BB891" s="443"/>
      <c r="BC891" s="443"/>
      <c r="BD891" s="443"/>
      <c r="BE891" s="443"/>
    </row>
    <row r="892" hidden="1">
      <c r="A892" s="445">
        <f t="shared" si="5"/>
        <v>46182</v>
      </c>
      <c r="B892" s="449">
        <v>459.0</v>
      </c>
      <c r="C892" s="462">
        <v>0.625</v>
      </c>
      <c r="D892" s="462">
        <v>0.9590277777777778</v>
      </c>
      <c r="E892" s="436">
        <f t="array" ref="E892">IF(B892=0,"",(J892+K892)/60)</f>
        <v>0.8333333333</v>
      </c>
      <c r="F892" s="437">
        <f t="shared" si="1"/>
        <v>8.016666667</v>
      </c>
      <c r="G892" s="438">
        <f t="shared" si="9"/>
        <v>57.25571726</v>
      </c>
      <c r="H892" s="438">
        <f t="shared" si="3"/>
        <v>63.89791183</v>
      </c>
      <c r="I892" s="436">
        <f t="shared" si="10"/>
        <v>1.301266301</v>
      </c>
      <c r="J892" s="460">
        <v>30.0</v>
      </c>
      <c r="K892" s="460">
        <v>20.0</v>
      </c>
      <c r="L892" s="443"/>
      <c r="M892" s="447">
        <f>IFERROR(__xludf.DUMMYFUNCTION("""COMPUTED_VALUE"""),57.0)</f>
        <v>57</v>
      </c>
      <c r="N892" s="447">
        <f>IFERROR(__xludf.DUMMYFUNCTION("""COMPUTED_VALUE"""),56.0)</f>
        <v>56</v>
      </c>
      <c r="O892" s="447">
        <f>IFERROR(__xludf.DUMMYFUNCTION("""COMPUTED_VALUE"""),0.0)</f>
        <v>0</v>
      </c>
      <c r="P892" s="447">
        <f>IFERROR(__xludf.DUMMYFUNCTION("""COMPUTED_VALUE"""),0.0)</f>
        <v>0</v>
      </c>
      <c r="Q892" s="447">
        <f>IFERROR(__xludf.DUMMYFUNCTION("""COMPUTED_VALUE"""),1.0)</f>
        <v>1</v>
      </c>
      <c r="R892" s="447">
        <f>IFERROR(__xludf.DUMMYFUNCTION("""COMPUTED_VALUE"""),0.0)</f>
        <v>0</v>
      </c>
      <c r="S892" s="447">
        <f>IFERROR(__xludf.DUMMYFUNCTION("""COMPUTED_VALUE"""),1.0)</f>
        <v>1</v>
      </c>
      <c r="T892" s="447">
        <f>IFERROR(__xludf.DUMMYFUNCTION("""COMPUTED_VALUE"""),0.0)</f>
        <v>0</v>
      </c>
      <c r="U892" s="447">
        <f>IFERROR(__xludf.DUMMYFUNCTION("""COMPUTED_VALUE"""),1.0)</f>
        <v>1</v>
      </c>
      <c r="V892" s="447">
        <f>IFERROR(__xludf.DUMMYFUNCTION("""COMPUTED_VALUE"""),3.0)</f>
        <v>3</v>
      </c>
      <c r="W892" s="447">
        <f>IFERROR(__xludf.DUMMYFUNCTION("""COMPUTED_VALUE"""),0.0)</f>
        <v>0</v>
      </c>
      <c r="X892" s="447">
        <f>IFERROR(__xludf.DUMMYFUNCTION("""COMPUTED_VALUE"""),1.0)</f>
        <v>1</v>
      </c>
      <c r="Y892" s="447">
        <f>IFERROR(__xludf.DUMMYFUNCTION("""COMPUTED_VALUE"""),0.0)</f>
        <v>0</v>
      </c>
      <c r="Z892" s="447">
        <f>IFERROR(__xludf.DUMMYFUNCTION("""COMPUTED_VALUE"""),0.0)</f>
        <v>0</v>
      </c>
      <c r="AA892" s="447">
        <f>IFERROR(__xludf.DUMMYFUNCTION("""COMPUTED_VALUE"""),0.0)</f>
        <v>0</v>
      </c>
      <c r="AB892" s="447">
        <f>IFERROR(__xludf.DUMMYFUNCTION("""COMPUTED_VALUE"""),0.0)</f>
        <v>0</v>
      </c>
      <c r="AC892" s="447">
        <f>IFERROR(__xludf.DUMMYFUNCTION("""COMPUTED_VALUE"""),0.0)</f>
        <v>0</v>
      </c>
      <c r="AD892" s="447">
        <f>IFERROR(__xludf.DUMMYFUNCTION("""COMPUTED_VALUE"""),44.0)</f>
        <v>44</v>
      </c>
      <c r="AE892" s="447">
        <f>IFERROR(__xludf.DUMMYFUNCTION("""COMPUTED_VALUE"""),7.0)</f>
        <v>7</v>
      </c>
      <c r="AF892" s="447">
        <f>IFERROR(__xludf.DUMMYFUNCTION("""COMPUTED_VALUE"""),1.0)</f>
        <v>1</v>
      </c>
      <c r="AG892" s="443" t="s">
        <v>122</v>
      </c>
      <c r="AH892" s="443" t="s">
        <v>291</v>
      </c>
      <c r="AI892" s="443"/>
      <c r="AJ892" s="443"/>
      <c r="AK892" s="443"/>
      <c r="AL892" s="443"/>
      <c r="AM892" s="443"/>
      <c r="AN892" s="443"/>
      <c r="AO892" s="443"/>
      <c r="AP892" s="443"/>
      <c r="AQ892" s="443"/>
      <c r="AR892" s="443"/>
      <c r="AS892" s="443"/>
      <c r="AT892" s="443"/>
      <c r="AU892" s="443"/>
      <c r="AV892" s="443"/>
      <c r="AW892" s="443"/>
      <c r="AX892" s="443"/>
      <c r="AY892" s="443"/>
      <c r="AZ892" s="443"/>
      <c r="BA892" s="443"/>
      <c r="BB892" s="443"/>
      <c r="BC892" s="443"/>
      <c r="BD892" s="443"/>
      <c r="BE892" s="443"/>
    </row>
    <row r="893" hidden="1">
      <c r="A893" s="445">
        <f t="shared" si="5"/>
        <v>46183</v>
      </c>
      <c r="B893" s="449">
        <v>519.0</v>
      </c>
      <c r="C893" s="462">
        <v>0.5833333333333334</v>
      </c>
      <c r="D893" s="462">
        <v>0.9354166666666667</v>
      </c>
      <c r="E893" s="436">
        <f t="array" ref="E893">IF(B893=0,"",(J893+K893)/60)</f>
        <v>0.6833333333</v>
      </c>
      <c r="F893" s="437">
        <f t="shared" si="1"/>
        <v>8.45</v>
      </c>
      <c r="G893" s="438">
        <f t="shared" si="9"/>
        <v>61.42011834</v>
      </c>
      <c r="H893" s="438">
        <f t="shared" si="3"/>
        <v>66.82403433</v>
      </c>
      <c r="I893" s="436">
        <f t="shared" si="10"/>
        <v>1.364891519</v>
      </c>
      <c r="J893" s="460">
        <v>30.0</v>
      </c>
      <c r="K893" s="460">
        <v>11.0</v>
      </c>
      <c r="L893" s="443"/>
      <c r="M893" s="447">
        <f>IFERROR(__xludf.DUMMYFUNCTION("""COMPUTED_VALUE"""),57.0)</f>
        <v>57</v>
      </c>
      <c r="N893" s="447">
        <f>IFERROR(__xludf.DUMMYFUNCTION("""COMPUTED_VALUE"""),56.0)</f>
        <v>56</v>
      </c>
      <c r="O893" s="447">
        <f>IFERROR(__xludf.DUMMYFUNCTION("""COMPUTED_VALUE"""),0.0)</f>
        <v>0</v>
      </c>
      <c r="P893" s="447">
        <f>IFERROR(__xludf.DUMMYFUNCTION("""COMPUTED_VALUE"""),0.0)</f>
        <v>0</v>
      </c>
      <c r="Q893" s="447">
        <f>IFERROR(__xludf.DUMMYFUNCTION("""COMPUTED_VALUE"""),1.0)</f>
        <v>1</v>
      </c>
      <c r="R893" s="447">
        <f>IFERROR(__xludf.DUMMYFUNCTION("""COMPUTED_VALUE"""),0.0)</f>
        <v>0</v>
      </c>
      <c r="S893" s="447">
        <f>IFERROR(__xludf.DUMMYFUNCTION("""COMPUTED_VALUE"""),0.0)</f>
        <v>0</v>
      </c>
      <c r="T893" s="447">
        <f>IFERROR(__xludf.DUMMYFUNCTION("""COMPUTED_VALUE"""),0.0)</f>
        <v>0</v>
      </c>
      <c r="U893" s="447">
        <f>IFERROR(__xludf.DUMMYFUNCTION("""COMPUTED_VALUE"""),1.0)</f>
        <v>1</v>
      </c>
      <c r="V893" s="447">
        <f>IFERROR(__xludf.DUMMYFUNCTION("""COMPUTED_VALUE"""),3.0)</f>
        <v>3</v>
      </c>
      <c r="W893" s="447">
        <f>IFERROR(__xludf.DUMMYFUNCTION("""COMPUTED_VALUE"""),0.0)</f>
        <v>0</v>
      </c>
      <c r="X893" s="447">
        <f>IFERROR(__xludf.DUMMYFUNCTION("""COMPUTED_VALUE"""),1.0)</f>
        <v>1</v>
      </c>
      <c r="Y893" s="447">
        <f>IFERROR(__xludf.DUMMYFUNCTION("""COMPUTED_VALUE"""),0.0)</f>
        <v>0</v>
      </c>
      <c r="Z893" s="447">
        <f>IFERROR(__xludf.DUMMYFUNCTION("""COMPUTED_VALUE"""),0.0)</f>
        <v>0</v>
      </c>
      <c r="AA893" s="447">
        <f>IFERROR(__xludf.DUMMYFUNCTION("""COMPUTED_VALUE"""),0.0)</f>
        <v>0</v>
      </c>
      <c r="AB893" s="447">
        <f>IFERROR(__xludf.DUMMYFUNCTION("""COMPUTED_VALUE"""),0.0)</f>
        <v>0</v>
      </c>
      <c r="AC893" s="447">
        <f>IFERROR(__xludf.DUMMYFUNCTION("""COMPUTED_VALUE"""),0.0)</f>
        <v>0</v>
      </c>
      <c r="AD893" s="447">
        <f>IFERROR(__xludf.DUMMYFUNCTION("""COMPUTED_VALUE"""),45.0)</f>
        <v>45</v>
      </c>
      <c r="AE893" s="447">
        <f>IFERROR(__xludf.DUMMYFUNCTION("""COMPUTED_VALUE"""),6.0)</f>
        <v>6</v>
      </c>
      <c r="AF893" s="447">
        <f>IFERROR(__xludf.DUMMYFUNCTION("""COMPUTED_VALUE"""),1.0)</f>
        <v>1</v>
      </c>
      <c r="AG893" s="443" t="s">
        <v>122</v>
      </c>
      <c r="AH893" s="443" t="s">
        <v>291</v>
      </c>
      <c r="AI893" s="443"/>
      <c r="AJ893" s="443"/>
      <c r="AK893" s="443"/>
      <c r="AL893" s="443"/>
      <c r="AM893" s="443"/>
      <c r="AN893" s="443"/>
      <c r="AO893" s="443"/>
      <c r="AP893" s="443"/>
      <c r="AQ893" s="443"/>
      <c r="AR893" s="443"/>
      <c r="AS893" s="443"/>
      <c r="AT893" s="443"/>
      <c r="AU893" s="443"/>
      <c r="AV893" s="443"/>
      <c r="AW893" s="443"/>
      <c r="AX893" s="443"/>
      <c r="AY893" s="443"/>
      <c r="AZ893" s="443"/>
      <c r="BA893" s="443"/>
      <c r="BB893" s="443"/>
      <c r="BC893" s="443"/>
      <c r="BD893" s="443"/>
      <c r="BE893" s="443"/>
    </row>
    <row r="894" hidden="1">
      <c r="A894" s="445">
        <f t="shared" si="5"/>
        <v>46184</v>
      </c>
      <c r="B894" s="449">
        <v>609.0</v>
      </c>
      <c r="C894" s="462">
        <v>0.5833333333333334</v>
      </c>
      <c r="D894" s="462">
        <v>1.0090277777777779</v>
      </c>
      <c r="E894" s="436">
        <f t="array" ref="E894">IF(B894=0,"",(J894+K894)/60)</f>
        <v>0.6666666667</v>
      </c>
      <c r="F894" s="437">
        <f t="shared" si="1"/>
        <v>10.21666667</v>
      </c>
      <c r="G894" s="438">
        <f t="shared" si="9"/>
        <v>59.60848287</v>
      </c>
      <c r="H894" s="438">
        <f t="shared" si="3"/>
        <v>63.76963351</v>
      </c>
      <c r="I894" s="436">
        <f t="shared" si="10"/>
        <v>1.354738247</v>
      </c>
      <c r="J894" s="460">
        <v>30.0</v>
      </c>
      <c r="K894" s="460">
        <v>10.0</v>
      </c>
      <c r="L894" s="443"/>
      <c r="M894" s="447">
        <f>IFERROR(__xludf.DUMMYFUNCTION("""COMPUTED_VALUE"""),57.0)</f>
        <v>57</v>
      </c>
      <c r="N894" s="447">
        <f>IFERROR(__xludf.DUMMYFUNCTION("""COMPUTED_VALUE"""),56.0)</f>
        <v>56</v>
      </c>
      <c r="O894" s="447">
        <f>IFERROR(__xludf.DUMMYFUNCTION("""COMPUTED_VALUE"""),0.0)</f>
        <v>0</v>
      </c>
      <c r="P894" s="447">
        <f>IFERROR(__xludf.DUMMYFUNCTION("""COMPUTED_VALUE"""),0.0)</f>
        <v>0</v>
      </c>
      <c r="Q894" s="447">
        <f>IFERROR(__xludf.DUMMYFUNCTION("""COMPUTED_VALUE"""),1.0)</f>
        <v>1</v>
      </c>
      <c r="R894" s="447">
        <f>IFERROR(__xludf.DUMMYFUNCTION("""COMPUTED_VALUE"""),0.0)</f>
        <v>0</v>
      </c>
      <c r="S894" s="447">
        <f>IFERROR(__xludf.DUMMYFUNCTION("""COMPUTED_VALUE"""),0.0)</f>
        <v>0</v>
      </c>
      <c r="T894" s="447">
        <f>IFERROR(__xludf.DUMMYFUNCTION("""COMPUTED_VALUE"""),1.0)</f>
        <v>1</v>
      </c>
      <c r="U894" s="447">
        <f>IFERROR(__xludf.DUMMYFUNCTION("""COMPUTED_VALUE"""),1.0)</f>
        <v>1</v>
      </c>
      <c r="V894" s="447">
        <f>IFERROR(__xludf.DUMMYFUNCTION("""COMPUTED_VALUE"""),3.0)</f>
        <v>3</v>
      </c>
      <c r="W894" s="447">
        <f>IFERROR(__xludf.DUMMYFUNCTION("""COMPUTED_VALUE"""),0.0)</f>
        <v>0</v>
      </c>
      <c r="X894" s="447">
        <f>IFERROR(__xludf.DUMMYFUNCTION("""COMPUTED_VALUE"""),1.0)</f>
        <v>1</v>
      </c>
      <c r="Y894" s="447">
        <f>IFERROR(__xludf.DUMMYFUNCTION("""COMPUTED_VALUE"""),0.0)</f>
        <v>0</v>
      </c>
      <c r="Z894" s="447">
        <f>IFERROR(__xludf.DUMMYFUNCTION("""COMPUTED_VALUE"""),0.0)</f>
        <v>0</v>
      </c>
      <c r="AA894" s="447">
        <f>IFERROR(__xludf.DUMMYFUNCTION("""COMPUTED_VALUE"""),0.0)</f>
        <v>0</v>
      </c>
      <c r="AB894" s="447">
        <f>IFERROR(__xludf.DUMMYFUNCTION("""COMPUTED_VALUE"""),0.0)</f>
        <v>0</v>
      </c>
      <c r="AC894" s="447">
        <f>IFERROR(__xludf.DUMMYFUNCTION("""COMPUTED_VALUE"""),0.0)</f>
        <v>0</v>
      </c>
      <c r="AD894" s="447">
        <f>IFERROR(__xludf.DUMMYFUNCTION("""COMPUTED_VALUE"""),44.0)</f>
        <v>44</v>
      </c>
      <c r="AE894" s="447">
        <f>IFERROR(__xludf.DUMMYFUNCTION("""COMPUTED_VALUE"""),7.0)</f>
        <v>7</v>
      </c>
      <c r="AF894" s="447">
        <f>IFERROR(__xludf.DUMMYFUNCTION("""COMPUTED_VALUE"""),1.0)</f>
        <v>1</v>
      </c>
      <c r="AG894" s="443" t="s">
        <v>122</v>
      </c>
      <c r="AH894" s="443" t="s">
        <v>291</v>
      </c>
      <c r="AI894" s="443"/>
      <c r="AJ894" s="443"/>
      <c r="AK894" s="443"/>
      <c r="AL894" s="443"/>
      <c r="AM894" s="443"/>
      <c r="AN894" s="443"/>
      <c r="AO894" s="443"/>
      <c r="AP894" s="443"/>
      <c r="AQ894" s="443"/>
      <c r="AR894" s="443"/>
      <c r="AS894" s="443"/>
      <c r="AT894" s="443"/>
      <c r="AU894" s="443"/>
      <c r="AV894" s="443"/>
      <c r="AW894" s="443"/>
      <c r="AX894" s="443"/>
      <c r="AY894" s="443"/>
      <c r="AZ894" s="443"/>
      <c r="BA894" s="443"/>
      <c r="BB894" s="443"/>
      <c r="BC894" s="443"/>
      <c r="BD894" s="443"/>
      <c r="BE894" s="443"/>
    </row>
    <row r="895" hidden="1">
      <c r="A895" s="445">
        <f t="shared" si="5"/>
        <v>46185</v>
      </c>
      <c r="B895" s="449">
        <v>411.0</v>
      </c>
      <c r="C895" s="462">
        <v>0.625</v>
      </c>
      <c r="D895" s="462">
        <v>0.9375</v>
      </c>
      <c r="E895" s="436">
        <f t="array" ref="E895">IF(B895=0,"",(J895+K895)/60)</f>
        <v>0.5833333333</v>
      </c>
      <c r="F895" s="437">
        <f t="shared" si="1"/>
        <v>7.5</v>
      </c>
      <c r="G895" s="438">
        <f t="shared" si="9"/>
        <v>54.8</v>
      </c>
      <c r="H895" s="438">
        <f t="shared" si="3"/>
        <v>59.42168675</v>
      </c>
      <c r="I895" s="436">
        <f t="shared" si="10"/>
        <v>1.336585366</v>
      </c>
      <c r="J895" s="460">
        <v>30.0</v>
      </c>
      <c r="K895" s="460">
        <v>5.0</v>
      </c>
      <c r="L895" s="449" t="s">
        <v>1027</v>
      </c>
      <c r="M895" s="447">
        <f>IFERROR(__xludf.DUMMYFUNCTION("""COMPUTED_VALUE"""),57.0)</f>
        <v>57</v>
      </c>
      <c r="N895" s="447">
        <f>IFERROR(__xludf.DUMMYFUNCTION("""COMPUTED_VALUE"""),55.0)</f>
        <v>55</v>
      </c>
      <c r="O895" s="447">
        <f>IFERROR(__xludf.DUMMYFUNCTION("""COMPUTED_VALUE"""),0.0)</f>
        <v>0</v>
      </c>
      <c r="P895" s="447">
        <f>IFERROR(__xludf.DUMMYFUNCTION("""COMPUTED_VALUE"""),0.0)</f>
        <v>0</v>
      </c>
      <c r="Q895" s="447">
        <f>IFERROR(__xludf.DUMMYFUNCTION("""COMPUTED_VALUE"""),0.0)</f>
        <v>0</v>
      </c>
      <c r="R895" s="447">
        <f>IFERROR(__xludf.DUMMYFUNCTION("""COMPUTED_VALUE"""),0.0)</f>
        <v>0</v>
      </c>
      <c r="S895" s="447">
        <f>IFERROR(__xludf.DUMMYFUNCTION("""COMPUTED_VALUE"""),3.0)</f>
        <v>3</v>
      </c>
      <c r="T895" s="447">
        <f>IFERROR(__xludf.DUMMYFUNCTION("""COMPUTED_VALUE"""),1.0)</f>
        <v>1</v>
      </c>
      <c r="U895" s="447">
        <f>IFERROR(__xludf.DUMMYFUNCTION("""COMPUTED_VALUE"""),2.0)</f>
        <v>2</v>
      </c>
      <c r="V895" s="447">
        <f>IFERROR(__xludf.DUMMYFUNCTION("""COMPUTED_VALUE"""),3.0)</f>
        <v>3</v>
      </c>
      <c r="W895" s="447">
        <f>IFERROR(__xludf.DUMMYFUNCTION("""COMPUTED_VALUE"""),0.0)</f>
        <v>0</v>
      </c>
      <c r="X895" s="447">
        <f>IFERROR(__xludf.DUMMYFUNCTION("""COMPUTED_VALUE"""),1.0)</f>
        <v>1</v>
      </c>
      <c r="Y895" s="447">
        <f>IFERROR(__xludf.DUMMYFUNCTION("""COMPUTED_VALUE"""),0.0)</f>
        <v>0</v>
      </c>
      <c r="Z895" s="447">
        <f>IFERROR(__xludf.DUMMYFUNCTION("""COMPUTED_VALUE"""),0.0)</f>
        <v>0</v>
      </c>
      <c r="AA895" s="447">
        <f>IFERROR(__xludf.DUMMYFUNCTION("""COMPUTED_VALUE"""),0.0)</f>
        <v>0</v>
      </c>
      <c r="AB895" s="447">
        <f>IFERROR(__xludf.DUMMYFUNCTION("""COMPUTED_VALUE"""),0.0)</f>
        <v>0</v>
      </c>
      <c r="AC895" s="447">
        <f>IFERROR(__xludf.DUMMYFUNCTION("""COMPUTED_VALUE"""),0.0)</f>
        <v>0</v>
      </c>
      <c r="AD895" s="447">
        <f>IFERROR(__xludf.DUMMYFUNCTION("""COMPUTED_VALUE"""),41.0)</f>
        <v>41</v>
      </c>
      <c r="AE895" s="447">
        <f>IFERROR(__xludf.DUMMYFUNCTION("""COMPUTED_VALUE"""),10.0)</f>
        <v>10</v>
      </c>
      <c r="AF895" s="447">
        <f>IFERROR(__xludf.DUMMYFUNCTION("""COMPUTED_VALUE"""),2.0)</f>
        <v>2</v>
      </c>
      <c r="AG895" s="443" t="s">
        <v>122</v>
      </c>
      <c r="AH895" s="443" t="s">
        <v>291</v>
      </c>
      <c r="AI895" s="443"/>
      <c r="AJ895" s="443"/>
      <c r="AK895" s="443"/>
      <c r="AL895" s="443"/>
      <c r="AM895" s="443"/>
      <c r="AN895" s="443"/>
      <c r="AO895" s="443"/>
      <c r="AP895" s="443"/>
      <c r="AQ895" s="443"/>
      <c r="AR895" s="443"/>
      <c r="AS895" s="443"/>
      <c r="AT895" s="443"/>
      <c r="AU895" s="443"/>
      <c r="AV895" s="443"/>
      <c r="AW895" s="443"/>
      <c r="AX895" s="443"/>
      <c r="AY895" s="443"/>
      <c r="AZ895" s="443"/>
      <c r="BA895" s="443"/>
      <c r="BB895" s="443"/>
      <c r="BC895" s="443"/>
      <c r="BD895" s="443"/>
      <c r="BE895" s="443"/>
    </row>
    <row r="896" hidden="1">
      <c r="A896" s="445">
        <f t="shared" si="5"/>
        <v>46186</v>
      </c>
      <c r="B896" s="449">
        <v>367.0</v>
      </c>
      <c r="C896" s="462">
        <v>0.625</v>
      </c>
      <c r="D896" s="462">
        <v>0.9131944444444444</v>
      </c>
      <c r="E896" s="436">
        <f t="array" ref="E896">IF(B896=0,"",(J896+K896)/60)</f>
        <v>0.2166666667</v>
      </c>
      <c r="F896" s="437">
        <f t="shared" si="1"/>
        <v>6.916666667</v>
      </c>
      <c r="G896" s="438">
        <f t="shared" si="9"/>
        <v>53.06024096</v>
      </c>
      <c r="H896" s="438">
        <f t="shared" si="3"/>
        <v>54.7761194</v>
      </c>
      <c r="I896" s="436">
        <f t="shared" si="10"/>
        <v>1.326506024</v>
      </c>
      <c r="J896" s="460">
        <v>0.0</v>
      </c>
      <c r="K896" s="460">
        <v>13.0</v>
      </c>
      <c r="L896" s="443"/>
      <c r="M896" s="447">
        <f>IFERROR(__xludf.DUMMYFUNCTION("""COMPUTED_VALUE"""),57.0)</f>
        <v>57</v>
      </c>
      <c r="N896" s="447">
        <f>IFERROR(__xludf.DUMMYFUNCTION("""COMPUTED_VALUE"""),55.0)</f>
        <v>55</v>
      </c>
      <c r="O896" s="447">
        <f>IFERROR(__xludf.DUMMYFUNCTION("""COMPUTED_VALUE"""),0.0)</f>
        <v>0</v>
      </c>
      <c r="P896" s="447">
        <f>IFERROR(__xludf.DUMMYFUNCTION("""COMPUTED_VALUE"""),0.0)</f>
        <v>0</v>
      </c>
      <c r="Q896" s="447">
        <f>IFERROR(__xludf.DUMMYFUNCTION("""COMPUTED_VALUE"""),1.0)</f>
        <v>1</v>
      </c>
      <c r="R896" s="447">
        <f>IFERROR(__xludf.DUMMYFUNCTION("""COMPUTED_VALUE"""),0.0)</f>
        <v>0</v>
      </c>
      <c r="S896" s="447">
        <f>IFERROR(__xludf.DUMMYFUNCTION("""COMPUTED_VALUE"""),3.0)</f>
        <v>3</v>
      </c>
      <c r="T896" s="447">
        <f>IFERROR(__xludf.DUMMYFUNCTION("""COMPUTED_VALUE"""),1.0)</f>
        <v>1</v>
      </c>
      <c r="U896" s="447">
        <f>IFERROR(__xludf.DUMMYFUNCTION("""COMPUTED_VALUE"""),2.0)</f>
        <v>2</v>
      </c>
      <c r="V896" s="447">
        <f>IFERROR(__xludf.DUMMYFUNCTION("""COMPUTED_VALUE"""),3.0)</f>
        <v>3</v>
      </c>
      <c r="W896" s="447">
        <f>IFERROR(__xludf.DUMMYFUNCTION("""COMPUTED_VALUE"""),0.0)</f>
        <v>0</v>
      </c>
      <c r="X896" s="447">
        <f>IFERROR(__xludf.DUMMYFUNCTION("""COMPUTED_VALUE"""),1.0)</f>
        <v>1</v>
      </c>
      <c r="Y896" s="447">
        <f>IFERROR(__xludf.DUMMYFUNCTION("""COMPUTED_VALUE"""),0.0)</f>
        <v>0</v>
      </c>
      <c r="Z896" s="447">
        <f>IFERROR(__xludf.DUMMYFUNCTION("""COMPUTED_VALUE"""),0.0)</f>
        <v>0</v>
      </c>
      <c r="AA896" s="447">
        <f>IFERROR(__xludf.DUMMYFUNCTION("""COMPUTED_VALUE"""),0.0)</f>
        <v>0</v>
      </c>
      <c r="AB896" s="447">
        <f>IFERROR(__xludf.DUMMYFUNCTION("""COMPUTED_VALUE"""),0.0)</f>
        <v>0</v>
      </c>
      <c r="AC896" s="447">
        <f>IFERROR(__xludf.DUMMYFUNCTION("""COMPUTED_VALUE"""),0.0)</f>
        <v>0</v>
      </c>
      <c r="AD896" s="447">
        <f>IFERROR(__xludf.DUMMYFUNCTION("""COMPUTED_VALUE"""),40.0)</f>
        <v>40</v>
      </c>
      <c r="AE896" s="447">
        <f>IFERROR(__xludf.DUMMYFUNCTION("""COMPUTED_VALUE"""),11.0)</f>
        <v>11</v>
      </c>
      <c r="AF896" s="447">
        <f>IFERROR(__xludf.DUMMYFUNCTION("""COMPUTED_VALUE"""),2.0)</f>
        <v>2</v>
      </c>
      <c r="AG896" s="443" t="s">
        <v>122</v>
      </c>
      <c r="AH896" s="443" t="s">
        <v>291</v>
      </c>
      <c r="AI896" s="443"/>
      <c r="AJ896" s="443"/>
      <c r="AK896" s="443"/>
      <c r="AL896" s="443"/>
      <c r="AM896" s="443"/>
      <c r="AN896" s="443"/>
      <c r="AO896" s="443"/>
      <c r="AP896" s="443"/>
      <c r="AQ896" s="443"/>
      <c r="AR896" s="443"/>
      <c r="AS896" s="443"/>
      <c r="AT896" s="443"/>
      <c r="AU896" s="443"/>
      <c r="AV896" s="443"/>
      <c r="AW896" s="443"/>
      <c r="AX896" s="443"/>
      <c r="AY896" s="443"/>
      <c r="AZ896" s="443"/>
      <c r="BA896" s="443"/>
      <c r="BB896" s="443"/>
      <c r="BC896" s="443"/>
      <c r="BD896" s="443"/>
      <c r="BE896" s="443"/>
    </row>
    <row r="897" hidden="1">
      <c r="A897" s="445">
        <f t="shared" si="5"/>
        <v>46187</v>
      </c>
      <c r="B897" s="449">
        <v>0.0</v>
      </c>
      <c r="C897" s="443"/>
      <c r="D897" s="462"/>
      <c r="E897" s="436" t="str">
        <f t="array" ref="E897">IF(B897=0,"",(J897+K897)/60)</f>
        <v/>
      </c>
      <c r="F897" s="437" t="str">
        <f t="shared" si="1"/>
        <v/>
      </c>
      <c r="G897" s="438" t="str">
        <f t="shared" si="9"/>
        <v>#DIV/0!</v>
      </c>
      <c r="H897" s="438" t="str">
        <f t="shared" si="3"/>
        <v/>
      </c>
      <c r="I897" s="436" t="str">
        <f t="shared" si="10"/>
        <v/>
      </c>
      <c r="J897" s="464"/>
      <c r="K897" s="464"/>
      <c r="L897" s="443"/>
      <c r="M897" s="447">
        <f>IFERROR(__xludf.DUMMYFUNCTION("""COMPUTED_VALUE"""),57.0)</f>
        <v>57</v>
      </c>
      <c r="N897" s="447">
        <f>IFERROR(__xludf.DUMMYFUNCTION("""COMPUTED_VALUE"""),57.0)</f>
        <v>57</v>
      </c>
      <c r="O897" s="447">
        <f>IFERROR(__xludf.DUMMYFUNCTION("""COMPUTED_VALUE"""),0.0)</f>
        <v>0</v>
      </c>
      <c r="P897" s="447">
        <f>IFERROR(__xludf.DUMMYFUNCTION("""COMPUTED_VALUE"""),0.0)</f>
        <v>0</v>
      </c>
      <c r="Q897" s="447">
        <f>IFERROR(__xludf.DUMMYFUNCTION("""COMPUTED_VALUE"""),0.0)</f>
        <v>0</v>
      </c>
      <c r="R897" s="447">
        <f>IFERROR(__xludf.DUMMYFUNCTION("""COMPUTED_VALUE"""),0.0)</f>
        <v>0</v>
      </c>
      <c r="S897" s="447">
        <f>IFERROR(__xludf.DUMMYFUNCTION("""COMPUTED_VALUE"""),0.0)</f>
        <v>0</v>
      </c>
      <c r="T897" s="447">
        <f>IFERROR(__xludf.DUMMYFUNCTION("""COMPUTED_VALUE"""),0.0)</f>
        <v>0</v>
      </c>
      <c r="U897" s="447">
        <f>IFERROR(__xludf.DUMMYFUNCTION("""COMPUTED_VALUE"""),0.0)</f>
        <v>0</v>
      </c>
      <c r="V897" s="447">
        <f>IFERROR(__xludf.DUMMYFUNCTION("""COMPUTED_VALUE"""),0.0)</f>
        <v>0</v>
      </c>
      <c r="W897" s="447">
        <f>IFERROR(__xludf.DUMMYFUNCTION("""COMPUTED_VALUE"""),0.0)</f>
        <v>0</v>
      </c>
      <c r="X897" s="447">
        <f>IFERROR(__xludf.DUMMYFUNCTION("""COMPUTED_VALUE"""),0.0)</f>
        <v>0</v>
      </c>
      <c r="Y897" s="447">
        <f>IFERROR(__xludf.DUMMYFUNCTION("""COMPUTED_VALUE"""),0.0)</f>
        <v>0</v>
      </c>
      <c r="Z897" s="447">
        <f>IFERROR(__xludf.DUMMYFUNCTION("""COMPUTED_VALUE"""),0.0)</f>
        <v>0</v>
      </c>
      <c r="AA897" s="447">
        <f>IFERROR(__xludf.DUMMYFUNCTION("""COMPUTED_VALUE"""),0.0)</f>
        <v>0</v>
      </c>
      <c r="AB897" s="447">
        <f>IFERROR(__xludf.DUMMYFUNCTION("""COMPUTED_VALUE"""),0.0)</f>
        <v>0</v>
      </c>
      <c r="AC897" s="447">
        <f>IFERROR(__xludf.DUMMYFUNCTION("""COMPUTED_VALUE"""),0.0)</f>
        <v>0</v>
      </c>
      <c r="AD897" s="447">
        <f>IFERROR(__xludf.DUMMYFUNCTION("""COMPUTED_VALUE"""),0.0)</f>
        <v>0</v>
      </c>
      <c r="AE897" s="447">
        <f>IFERROR(__xludf.DUMMYFUNCTION("""COMPUTED_VALUE"""),0.0)</f>
        <v>0</v>
      </c>
      <c r="AF897" s="447">
        <f>IFERROR(__xludf.DUMMYFUNCTION("""COMPUTED_VALUE"""),0.0)</f>
        <v>0</v>
      </c>
      <c r="AG897" s="443" t="s">
        <v>122</v>
      </c>
      <c r="AH897" s="443" t="s">
        <v>291</v>
      </c>
      <c r="AI897" s="443"/>
      <c r="AJ897" s="443"/>
      <c r="AK897" s="443"/>
      <c r="AL897" s="443"/>
      <c r="AM897" s="443"/>
      <c r="AN897" s="443"/>
      <c r="AO897" s="443"/>
      <c r="AP897" s="443"/>
      <c r="AQ897" s="443"/>
      <c r="AR897" s="443"/>
      <c r="AS897" s="443"/>
      <c r="AT897" s="443"/>
      <c r="AU897" s="443"/>
      <c r="AV897" s="443"/>
      <c r="AW897" s="443"/>
      <c r="AX897" s="443"/>
      <c r="AY897" s="443"/>
      <c r="AZ897" s="443"/>
      <c r="BA897" s="443"/>
      <c r="BB897" s="443"/>
      <c r="BC897" s="443"/>
      <c r="BD897" s="443"/>
      <c r="BE897" s="443"/>
    </row>
    <row r="898" hidden="1">
      <c r="A898" s="445">
        <f t="shared" si="5"/>
        <v>46188</v>
      </c>
      <c r="B898" s="449">
        <v>607.0</v>
      </c>
      <c r="C898" s="462">
        <v>0.5416666666666666</v>
      </c>
      <c r="D898" s="462">
        <v>0.9930555555555556</v>
      </c>
      <c r="E898" s="436">
        <f t="array" ref="E898">IF(B898=0,"",(J898+K898)/60)</f>
        <v>1.25</v>
      </c>
      <c r="F898" s="437">
        <f t="shared" si="1"/>
        <v>10.83333333</v>
      </c>
      <c r="G898" s="438">
        <f t="shared" si="9"/>
        <v>56.03076923</v>
      </c>
      <c r="H898" s="438">
        <f t="shared" si="3"/>
        <v>63.33913043</v>
      </c>
      <c r="I898" s="436">
        <f t="shared" si="10"/>
        <v>1.334065934</v>
      </c>
      <c r="J898" s="460">
        <v>60.0</v>
      </c>
      <c r="K898" s="460">
        <v>15.0</v>
      </c>
      <c r="L898" s="443"/>
      <c r="M898" s="447">
        <f>IFERROR(__xludf.DUMMYFUNCTION("""COMPUTED_VALUE"""),57.0)</f>
        <v>57</v>
      </c>
      <c r="N898" s="447">
        <f>IFERROR(__xludf.DUMMYFUNCTION("""COMPUTED_VALUE"""),55.0)</f>
        <v>55</v>
      </c>
      <c r="O898" s="447">
        <f>IFERROR(__xludf.DUMMYFUNCTION("""COMPUTED_VALUE"""),0.0)</f>
        <v>0</v>
      </c>
      <c r="P898" s="447">
        <f>IFERROR(__xludf.DUMMYFUNCTION("""COMPUTED_VALUE"""),0.0)</f>
        <v>0</v>
      </c>
      <c r="Q898" s="447">
        <f>IFERROR(__xludf.DUMMYFUNCTION("""COMPUTED_VALUE"""),0.0)</f>
        <v>0</v>
      </c>
      <c r="R898" s="447">
        <f>IFERROR(__xludf.DUMMYFUNCTION("""COMPUTED_VALUE"""),0.0)</f>
        <v>0</v>
      </c>
      <c r="S898" s="447">
        <f>IFERROR(__xludf.DUMMYFUNCTION("""COMPUTED_VALUE"""),1.0)</f>
        <v>1</v>
      </c>
      <c r="T898" s="447">
        <f>IFERROR(__xludf.DUMMYFUNCTION("""COMPUTED_VALUE"""),1.0)</f>
        <v>1</v>
      </c>
      <c r="U898" s="447">
        <f>IFERROR(__xludf.DUMMYFUNCTION("""COMPUTED_VALUE"""),2.0)</f>
        <v>2</v>
      </c>
      <c r="V898" s="447">
        <f>IFERROR(__xludf.DUMMYFUNCTION("""COMPUTED_VALUE"""),3.0)</f>
        <v>3</v>
      </c>
      <c r="W898" s="447">
        <f>IFERROR(__xludf.DUMMYFUNCTION("""COMPUTED_VALUE"""),0.0)</f>
        <v>0</v>
      </c>
      <c r="X898" s="447">
        <f>IFERROR(__xludf.DUMMYFUNCTION("""COMPUTED_VALUE"""),1.0)</f>
        <v>1</v>
      </c>
      <c r="Y898" s="447">
        <f>IFERROR(__xludf.DUMMYFUNCTION("""COMPUTED_VALUE"""),0.0)</f>
        <v>0</v>
      </c>
      <c r="Z898" s="447">
        <f>IFERROR(__xludf.DUMMYFUNCTION("""COMPUTED_VALUE"""),0.0)</f>
        <v>0</v>
      </c>
      <c r="AA898" s="447">
        <f>IFERROR(__xludf.DUMMYFUNCTION("""COMPUTED_VALUE"""),0.0)</f>
        <v>0</v>
      </c>
      <c r="AB898" s="447">
        <f>IFERROR(__xludf.DUMMYFUNCTION("""COMPUTED_VALUE"""),0.0)</f>
        <v>0</v>
      </c>
      <c r="AC898" s="447">
        <f>IFERROR(__xludf.DUMMYFUNCTION("""COMPUTED_VALUE"""),0.0)</f>
        <v>0</v>
      </c>
      <c r="AD898" s="447">
        <f>IFERROR(__xludf.DUMMYFUNCTION("""COMPUTED_VALUE"""),42.0)</f>
        <v>42</v>
      </c>
      <c r="AE898" s="447">
        <f>IFERROR(__xludf.DUMMYFUNCTION("""COMPUTED_VALUE"""),8.0)</f>
        <v>8</v>
      </c>
      <c r="AF898" s="447">
        <f>IFERROR(__xludf.DUMMYFUNCTION("""COMPUTED_VALUE"""),2.0)</f>
        <v>2</v>
      </c>
      <c r="AG898" s="443" t="s">
        <v>122</v>
      </c>
      <c r="AH898" s="443" t="s">
        <v>291</v>
      </c>
      <c r="AI898" s="443"/>
      <c r="AJ898" s="443"/>
      <c r="AK898" s="443"/>
      <c r="AL898" s="443"/>
      <c r="AM898" s="443"/>
      <c r="AN898" s="443"/>
      <c r="AO898" s="443"/>
      <c r="AP898" s="443"/>
      <c r="AQ898" s="443"/>
      <c r="AR898" s="443"/>
      <c r="AS898" s="443"/>
      <c r="AT898" s="443"/>
      <c r="AU898" s="443"/>
      <c r="AV898" s="443"/>
      <c r="AW898" s="443"/>
      <c r="AX898" s="443"/>
      <c r="AY898" s="443"/>
      <c r="AZ898" s="443"/>
      <c r="BA898" s="443"/>
      <c r="BB898" s="443"/>
      <c r="BC898" s="443"/>
      <c r="BD898" s="443"/>
      <c r="BE898" s="443"/>
    </row>
    <row r="899" hidden="1">
      <c r="A899" s="445">
        <f t="shared" si="5"/>
        <v>46189</v>
      </c>
      <c r="B899" s="449">
        <v>492.0</v>
      </c>
      <c r="C899" s="462">
        <v>0.5833333333333334</v>
      </c>
      <c r="D899" s="462">
        <v>0.9493055555555555</v>
      </c>
      <c r="E899" s="436">
        <f t="array" ref="E899">IF(B899=0,"",(J899+K899)/60)</f>
        <v>1.066666667</v>
      </c>
      <c r="F899" s="437">
        <f t="shared" si="1"/>
        <v>8.783333333</v>
      </c>
      <c r="G899" s="438">
        <f t="shared" si="9"/>
        <v>56.01518027</v>
      </c>
      <c r="H899" s="438">
        <f t="shared" si="3"/>
        <v>63.75809935</v>
      </c>
      <c r="I899" s="436">
        <f t="shared" si="10"/>
        <v>1.302678611</v>
      </c>
      <c r="J899" s="460">
        <v>30.0</v>
      </c>
      <c r="K899" s="460">
        <v>34.0</v>
      </c>
      <c r="L899" s="443"/>
      <c r="M899" s="447">
        <f>IFERROR(__xludf.DUMMYFUNCTION("""COMPUTED_VALUE"""),57.0)</f>
        <v>57</v>
      </c>
      <c r="N899" s="447">
        <f>IFERROR(__xludf.DUMMYFUNCTION("""COMPUTED_VALUE"""),57.0)</f>
        <v>57</v>
      </c>
      <c r="O899" s="447">
        <f>IFERROR(__xludf.DUMMYFUNCTION("""COMPUTED_VALUE"""),0.0)</f>
        <v>0</v>
      </c>
      <c r="P899" s="447">
        <f>IFERROR(__xludf.DUMMYFUNCTION("""COMPUTED_VALUE"""),0.0)</f>
        <v>0</v>
      </c>
      <c r="Q899" s="447">
        <f>IFERROR(__xludf.DUMMYFUNCTION("""COMPUTED_VALUE"""),0.0)</f>
        <v>0</v>
      </c>
      <c r="R899" s="447">
        <f>IFERROR(__xludf.DUMMYFUNCTION("""COMPUTED_VALUE"""),0.0)</f>
        <v>0</v>
      </c>
      <c r="S899" s="447">
        <f>IFERROR(__xludf.DUMMYFUNCTION("""COMPUTED_VALUE"""),1.0)</f>
        <v>1</v>
      </c>
      <c r="T899" s="447">
        <f>IFERROR(__xludf.DUMMYFUNCTION("""COMPUTED_VALUE"""),1.0)</f>
        <v>1</v>
      </c>
      <c r="U899" s="447">
        <f>IFERROR(__xludf.DUMMYFUNCTION("""COMPUTED_VALUE"""),0.0)</f>
        <v>0</v>
      </c>
      <c r="V899" s="447">
        <f>IFERROR(__xludf.DUMMYFUNCTION("""COMPUTED_VALUE"""),3.0)</f>
        <v>3</v>
      </c>
      <c r="W899" s="447">
        <f>IFERROR(__xludf.DUMMYFUNCTION("""COMPUTED_VALUE"""),0.0)</f>
        <v>0</v>
      </c>
      <c r="X899" s="447">
        <f>IFERROR(__xludf.DUMMYFUNCTION("""COMPUTED_VALUE"""),1.0)</f>
        <v>1</v>
      </c>
      <c r="Y899" s="447">
        <f>IFERROR(__xludf.DUMMYFUNCTION("""COMPUTED_VALUE"""),0.0)</f>
        <v>0</v>
      </c>
      <c r="Z899" s="447">
        <f>IFERROR(__xludf.DUMMYFUNCTION("""COMPUTED_VALUE"""),0.0)</f>
        <v>0</v>
      </c>
      <c r="AA899" s="447">
        <f>IFERROR(__xludf.DUMMYFUNCTION("""COMPUTED_VALUE"""),0.0)</f>
        <v>0</v>
      </c>
      <c r="AB899" s="447">
        <f>IFERROR(__xludf.DUMMYFUNCTION("""COMPUTED_VALUE"""),2.0)</f>
        <v>2</v>
      </c>
      <c r="AC899" s="447">
        <f>IFERROR(__xludf.DUMMYFUNCTION("""COMPUTED_VALUE"""),0.0)</f>
        <v>0</v>
      </c>
      <c r="AD899" s="447">
        <f>IFERROR(__xludf.DUMMYFUNCTION("""COMPUTED_VALUE"""),43.0)</f>
        <v>43</v>
      </c>
      <c r="AE899" s="447">
        <f>IFERROR(__xludf.DUMMYFUNCTION("""COMPUTED_VALUE"""),6.0)</f>
        <v>6</v>
      </c>
      <c r="AF899" s="447">
        <f>IFERROR(__xludf.DUMMYFUNCTION("""COMPUTED_VALUE"""),0.0)</f>
        <v>0</v>
      </c>
      <c r="AG899" s="443" t="s">
        <v>122</v>
      </c>
      <c r="AH899" s="443" t="s">
        <v>291</v>
      </c>
      <c r="AI899" s="443"/>
      <c r="AJ899" s="443"/>
      <c r="AK899" s="443"/>
      <c r="AL899" s="443"/>
      <c r="AM899" s="443"/>
      <c r="AN899" s="443"/>
      <c r="AO899" s="443"/>
      <c r="AP899" s="443"/>
      <c r="AQ899" s="443"/>
      <c r="AR899" s="443"/>
      <c r="AS899" s="443"/>
      <c r="AT899" s="443"/>
      <c r="AU899" s="443"/>
      <c r="AV899" s="443"/>
      <c r="AW899" s="443"/>
      <c r="AX899" s="443"/>
      <c r="AY899" s="443"/>
      <c r="AZ899" s="443"/>
      <c r="BA899" s="443"/>
      <c r="BB899" s="443"/>
      <c r="BC899" s="443"/>
      <c r="BD899" s="443"/>
      <c r="BE899" s="443"/>
    </row>
    <row r="900" hidden="1">
      <c r="A900" s="445">
        <f t="shared" si="5"/>
        <v>46190</v>
      </c>
      <c r="B900" s="449">
        <v>417.0</v>
      </c>
      <c r="C900" s="462">
        <v>0.625</v>
      </c>
      <c r="D900" s="462">
        <v>0.9444444444444444</v>
      </c>
      <c r="E900" s="436">
        <f t="array" ref="E900">IF(B900=0,"",(J900+K900)/60)</f>
        <v>1.4</v>
      </c>
      <c r="F900" s="437">
        <f t="shared" si="1"/>
        <v>7.666666667</v>
      </c>
      <c r="G900" s="438">
        <f t="shared" si="9"/>
        <v>54.39130435</v>
      </c>
      <c r="H900" s="438">
        <f t="shared" si="3"/>
        <v>66.54255319</v>
      </c>
      <c r="I900" s="436">
        <f t="shared" si="10"/>
        <v>1.208695652</v>
      </c>
      <c r="J900" s="460">
        <v>30.0</v>
      </c>
      <c r="K900" s="460">
        <v>54.0</v>
      </c>
      <c r="L900" s="443"/>
      <c r="M900" s="447">
        <f>IFERROR(__xludf.DUMMYFUNCTION("""COMPUTED_VALUE"""),57.0)</f>
        <v>57</v>
      </c>
      <c r="N900" s="447">
        <f>IFERROR(__xludf.DUMMYFUNCTION("""COMPUTED_VALUE"""),57.0)</f>
        <v>57</v>
      </c>
      <c r="O900" s="447">
        <f>IFERROR(__xludf.DUMMYFUNCTION("""COMPUTED_VALUE"""),0.0)</f>
        <v>0</v>
      </c>
      <c r="P900" s="447">
        <f>IFERROR(__xludf.DUMMYFUNCTION("""COMPUTED_VALUE"""),0.0)</f>
        <v>0</v>
      </c>
      <c r="Q900" s="447">
        <f>IFERROR(__xludf.DUMMYFUNCTION("""COMPUTED_VALUE"""),0.0)</f>
        <v>0</v>
      </c>
      <c r="R900" s="447">
        <f>IFERROR(__xludf.DUMMYFUNCTION("""COMPUTED_VALUE"""),0.0)</f>
        <v>0</v>
      </c>
      <c r="S900" s="447">
        <f>IFERROR(__xludf.DUMMYFUNCTION("""COMPUTED_VALUE"""),1.0)</f>
        <v>1</v>
      </c>
      <c r="T900" s="447">
        <f>IFERROR(__xludf.DUMMYFUNCTION("""COMPUTED_VALUE"""),0.0)</f>
        <v>0</v>
      </c>
      <c r="U900" s="447">
        <f>IFERROR(__xludf.DUMMYFUNCTION("""COMPUTED_VALUE"""),0.0)</f>
        <v>0</v>
      </c>
      <c r="V900" s="447">
        <f>IFERROR(__xludf.DUMMYFUNCTION("""COMPUTED_VALUE"""),3.0)</f>
        <v>3</v>
      </c>
      <c r="W900" s="447">
        <f>IFERROR(__xludf.DUMMYFUNCTION("""COMPUTED_VALUE"""),0.0)</f>
        <v>0</v>
      </c>
      <c r="X900" s="447">
        <f>IFERROR(__xludf.DUMMYFUNCTION("""COMPUTED_VALUE"""),1.0)</f>
        <v>1</v>
      </c>
      <c r="Y900" s="447">
        <f>IFERROR(__xludf.DUMMYFUNCTION("""COMPUTED_VALUE"""),0.0)</f>
        <v>0</v>
      </c>
      <c r="Z900" s="447">
        <f>IFERROR(__xludf.DUMMYFUNCTION("""COMPUTED_VALUE"""),0.0)</f>
        <v>0</v>
      </c>
      <c r="AA900" s="447">
        <f>IFERROR(__xludf.DUMMYFUNCTION("""COMPUTED_VALUE"""),0.0)</f>
        <v>0</v>
      </c>
      <c r="AB900" s="447">
        <f>IFERROR(__xludf.DUMMYFUNCTION("""COMPUTED_VALUE"""),0.0)</f>
        <v>0</v>
      </c>
      <c r="AC900" s="447">
        <f>IFERROR(__xludf.DUMMYFUNCTION("""COMPUTED_VALUE"""),1.0)</f>
        <v>1</v>
      </c>
      <c r="AD900" s="447">
        <f>IFERROR(__xludf.DUMMYFUNCTION("""COMPUTED_VALUE"""),45.0)</f>
        <v>45</v>
      </c>
      <c r="AE900" s="447">
        <f>IFERROR(__xludf.DUMMYFUNCTION("""COMPUTED_VALUE"""),6.0)</f>
        <v>6</v>
      </c>
      <c r="AF900" s="447">
        <f>IFERROR(__xludf.DUMMYFUNCTION("""COMPUTED_VALUE"""),0.0)</f>
        <v>0</v>
      </c>
      <c r="AG900" s="443" t="s">
        <v>122</v>
      </c>
      <c r="AH900" s="443" t="s">
        <v>291</v>
      </c>
      <c r="AI900" s="443"/>
      <c r="AJ900" s="443"/>
      <c r="AK900" s="443"/>
      <c r="AL900" s="443"/>
      <c r="AM900" s="443"/>
      <c r="AN900" s="443"/>
      <c r="AO900" s="443"/>
      <c r="AP900" s="443"/>
      <c r="AQ900" s="443"/>
      <c r="AR900" s="443"/>
      <c r="AS900" s="443"/>
      <c r="AT900" s="443"/>
      <c r="AU900" s="443"/>
      <c r="AV900" s="443"/>
      <c r="AW900" s="443"/>
      <c r="AX900" s="443"/>
      <c r="AY900" s="443"/>
      <c r="AZ900" s="443"/>
      <c r="BA900" s="443"/>
      <c r="BB900" s="443"/>
      <c r="BC900" s="443"/>
      <c r="BD900" s="443"/>
      <c r="BE900" s="443"/>
    </row>
    <row r="901" hidden="1">
      <c r="A901" s="445">
        <f t="shared" si="5"/>
        <v>46191</v>
      </c>
      <c r="B901" s="449">
        <v>644.0</v>
      </c>
      <c r="C901" s="462">
        <v>0.5833333333333334</v>
      </c>
      <c r="D901" s="462">
        <v>1.0381944444444444</v>
      </c>
      <c r="E901" s="436">
        <f t="array" ref="E901">IF(B901=0,"",(J901+K901)/60)</f>
        <v>1</v>
      </c>
      <c r="F901" s="437">
        <f t="shared" si="1"/>
        <v>10.91666667</v>
      </c>
      <c r="G901" s="438">
        <f t="shared" si="9"/>
        <v>58.99236641</v>
      </c>
      <c r="H901" s="438">
        <f t="shared" si="3"/>
        <v>64.94117647</v>
      </c>
      <c r="I901" s="436">
        <f t="shared" si="10"/>
        <v>1.255156732</v>
      </c>
      <c r="J901" s="460">
        <v>60.0</v>
      </c>
      <c r="K901" s="460">
        <v>0.0</v>
      </c>
      <c r="L901" s="443"/>
      <c r="M901" s="447">
        <f>IFERROR(__xludf.DUMMYFUNCTION("""COMPUTED_VALUE"""),57.0)</f>
        <v>57</v>
      </c>
      <c r="N901" s="447">
        <f>IFERROR(__xludf.DUMMYFUNCTION("""COMPUTED_VALUE"""),57.0)</f>
        <v>57</v>
      </c>
      <c r="O901" s="447">
        <f>IFERROR(__xludf.DUMMYFUNCTION("""COMPUTED_VALUE"""),0.0)</f>
        <v>0</v>
      </c>
      <c r="P901" s="447">
        <f>IFERROR(__xludf.DUMMYFUNCTION("""COMPUTED_VALUE"""),0.0)</f>
        <v>0</v>
      </c>
      <c r="Q901" s="447">
        <f>IFERROR(__xludf.DUMMYFUNCTION("""COMPUTED_VALUE"""),0.0)</f>
        <v>0</v>
      </c>
      <c r="R901" s="447">
        <f>IFERROR(__xludf.DUMMYFUNCTION("""COMPUTED_VALUE"""),0.0)</f>
        <v>0</v>
      </c>
      <c r="S901" s="447">
        <f>IFERROR(__xludf.DUMMYFUNCTION("""COMPUTED_VALUE"""),0.0)</f>
        <v>0</v>
      </c>
      <c r="T901" s="447">
        <f>IFERROR(__xludf.DUMMYFUNCTION("""COMPUTED_VALUE"""),0.0)</f>
        <v>0</v>
      </c>
      <c r="U901" s="447">
        <f>IFERROR(__xludf.DUMMYFUNCTION("""COMPUTED_VALUE"""),0.0)</f>
        <v>0</v>
      </c>
      <c r="V901" s="447">
        <f>IFERROR(__xludf.DUMMYFUNCTION("""COMPUTED_VALUE"""),3.0)</f>
        <v>3</v>
      </c>
      <c r="W901" s="447">
        <f>IFERROR(__xludf.DUMMYFUNCTION("""COMPUTED_VALUE"""),0.0)</f>
        <v>0</v>
      </c>
      <c r="X901" s="447">
        <f>IFERROR(__xludf.DUMMYFUNCTION("""COMPUTED_VALUE"""),1.0)</f>
        <v>1</v>
      </c>
      <c r="Y901" s="447">
        <f>IFERROR(__xludf.DUMMYFUNCTION("""COMPUTED_VALUE"""),0.0)</f>
        <v>0</v>
      </c>
      <c r="Z901" s="447">
        <f>IFERROR(__xludf.DUMMYFUNCTION("""COMPUTED_VALUE"""),0.0)</f>
        <v>0</v>
      </c>
      <c r="AA901" s="447">
        <f>IFERROR(__xludf.DUMMYFUNCTION("""COMPUTED_VALUE"""),0.0)</f>
        <v>0</v>
      </c>
      <c r="AB901" s="447">
        <f>IFERROR(__xludf.DUMMYFUNCTION("""COMPUTED_VALUE"""),0.0)</f>
        <v>0</v>
      </c>
      <c r="AC901" s="447">
        <f>IFERROR(__xludf.DUMMYFUNCTION("""COMPUTED_VALUE"""),0.0)</f>
        <v>0</v>
      </c>
      <c r="AD901" s="447">
        <f>IFERROR(__xludf.DUMMYFUNCTION("""COMPUTED_VALUE"""),47.0)</f>
        <v>47</v>
      </c>
      <c r="AE901" s="447">
        <f>IFERROR(__xludf.DUMMYFUNCTION("""COMPUTED_VALUE"""),4.0)</f>
        <v>4</v>
      </c>
      <c r="AF901" s="447">
        <f>IFERROR(__xludf.DUMMYFUNCTION("""COMPUTED_VALUE"""),0.0)</f>
        <v>0</v>
      </c>
      <c r="AG901" s="443" t="s">
        <v>122</v>
      </c>
      <c r="AH901" s="443" t="s">
        <v>291</v>
      </c>
      <c r="AI901" s="443"/>
      <c r="AJ901" s="443"/>
      <c r="AK901" s="443"/>
      <c r="AL901" s="443"/>
      <c r="AM901" s="443"/>
      <c r="AN901" s="443"/>
      <c r="AO901" s="443"/>
      <c r="AP901" s="443"/>
      <c r="AQ901" s="443"/>
      <c r="AR901" s="443"/>
      <c r="AS901" s="443"/>
      <c r="AT901" s="443"/>
      <c r="AU901" s="443"/>
      <c r="AV901" s="443"/>
      <c r="AW901" s="443"/>
      <c r="AX901" s="443"/>
      <c r="AY901" s="443"/>
      <c r="AZ901" s="443"/>
      <c r="BA901" s="443"/>
      <c r="BB901" s="443"/>
      <c r="BC901" s="443"/>
      <c r="BD901" s="443"/>
      <c r="BE901" s="443"/>
    </row>
    <row r="902" hidden="1">
      <c r="A902" s="445">
        <f t="shared" si="5"/>
        <v>46192</v>
      </c>
      <c r="B902" s="449">
        <v>405.0</v>
      </c>
      <c r="C902" s="462">
        <v>0.7083333333333334</v>
      </c>
      <c r="D902" s="462">
        <v>1.0208333333333333</v>
      </c>
      <c r="E902" s="436">
        <f t="array" ref="E902">IF(B902=0,"",(J902+K902)/60)</f>
        <v>0.7</v>
      </c>
      <c r="F902" s="437">
        <f t="shared" si="1"/>
        <v>7.5</v>
      </c>
      <c r="G902" s="438">
        <f t="shared" si="9"/>
        <v>54</v>
      </c>
      <c r="H902" s="438">
        <f t="shared" si="3"/>
        <v>59.55882353</v>
      </c>
      <c r="I902" s="436">
        <f t="shared" si="10"/>
        <v>1.173913043</v>
      </c>
      <c r="J902" s="460">
        <v>30.0</v>
      </c>
      <c r="K902" s="460">
        <v>12.0</v>
      </c>
      <c r="L902" s="443"/>
      <c r="M902" s="447">
        <f>IFERROR(__xludf.DUMMYFUNCTION("""COMPUTED_VALUE"""),57.0)</f>
        <v>57</v>
      </c>
      <c r="N902" s="447">
        <f>IFERROR(__xludf.DUMMYFUNCTION("""COMPUTED_VALUE"""),57.0)</f>
        <v>57</v>
      </c>
      <c r="O902" s="447">
        <f>IFERROR(__xludf.DUMMYFUNCTION("""COMPUTED_VALUE"""),0.0)</f>
        <v>0</v>
      </c>
      <c r="P902" s="447">
        <f>IFERROR(__xludf.DUMMYFUNCTION("""COMPUTED_VALUE"""),0.0)</f>
        <v>0</v>
      </c>
      <c r="Q902" s="447">
        <f>IFERROR(__xludf.DUMMYFUNCTION("""COMPUTED_VALUE"""),1.0)</f>
        <v>1</v>
      </c>
      <c r="R902" s="447">
        <f>IFERROR(__xludf.DUMMYFUNCTION("""COMPUTED_VALUE"""),0.0)</f>
        <v>0</v>
      </c>
      <c r="S902" s="447">
        <f>IFERROR(__xludf.DUMMYFUNCTION("""COMPUTED_VALUE"""),0.0)</f>
        <v>0</v>
      </c>
      <c r="T902" s="447">
        <f>IFERROR(__xludf.DUMMYFUNCTION("""COMPUTED_VALUE"""),0.0)</f>
        <v>0</v>
      </c>
      <c r="U902" s="447">
        <f>IFERROR(__xludf.DUMMYFUNCTION("""COMPUTED_VALUE"""),0.0)</f>
        <v>0</v>
      </c>
      <c r="V902" s="447">
        <f>IFERROR(__xludf.DUMMYFUNCTION("""COMPUTED_VALUE"""),3.0)</f>
        <v>3</v>
      </c>
      <c r="W902" s="447">
        <f>IFERROR(__xludf.DUMMYFUNCTION("""COMPUTED_VALUE"""),0.0)</f>
        <v>0</v>
      </c>
      <c r="X902" s="447">
        <f>IFERROR(__xludf.DUMMYFUNCTION("""COMPUTED_VALUE"""),1.0)</f>
        <v>1</v>
      </c>
      <c r="Y902" s="447">
        <f>IFERROR(__xludf.DUMMYFUNCTION("""COMPUTED_VALUE"""),0.0)</f>
        <v>0</v>
      </c>
      <c r="Z902" s="447">
        <f>IFERROR(__xludf.DUMMYFUNCTION("""COMPUTED_VALUE"""),0.0)</f>
        <v>0</v>
      </c>
      <c r="AA902" s="447">
        <f>IFERROR(__xludf.DUMMYFUNCTION("""COMPUTED_VALUE"""),0.0)</f>
        <v>0</v>
      </c>
      <c r="AB902" s="447">
        <f>IFERROR(__xludf.DUMMYFUNCTION("""COMPUTED_VALUE"""),0.0)</f>
        <v>0</v>
      </c>
      <c r="AC902" s="447">
        <f>IFERROR(__xludf.DUMMYFUNCTION("""COMPUTED_VALUE"""),0.0)</f>
        <v>0</v>
      </c>
      <c r="AD902" s="447">
        <f>IFERROR(__xludf.DUMMYFUNCTION("""COMPUTED_VALUE"""),46.0)</f>
        <v>46</v>
      </c>
      <c r="AE902" s="447">
        <f>IFERROR(__xludf.DUMMYFUNCTION("""COMPUTED_VALUE"""),5.0)</f>
        <v>5</v>
      </c>
      <c r="AF902" s="447">
        <f>IFERROR(__xludf.DUMMYFUNCTION("""COMPUTED_VALUE"""),0.0)</f>
        <v>0</v>
      </c>
      <c r="AG902" s="443" t="s">
        <v>122</v>
      </c>
      <c r="AH902" s="443" t="s">
        <v>291</v>
      </c>
      <c r="AI902" s="443"/>
      <c r="AJ902" s="443"/>
      <c r="AK902" s="443"/>
      <c r="AL902" s="443"/>
      <c r="AM902" s="443"/>
      <c r="AN902" s="443"/>
      <c r="AO902" s="443"/>
      <c r="AP902" s="443"/>
      <c r="AQ902" s="443"/>
      <c r="AR902" s="443"/>
      <c r="AS902" s="443"/>
      <c r="AT902" s="443"/>
      <c r="AU902" s="443"/>
      <c r="AV902" s="443"/>
      <c r="AW902" s="443"/>
      <c r="AX902" s="443"/>
      <c r="AY902" s="443"/>
      <c r="AZ902" s="443"/>
      <c r="BA902" s="443"/>
      <c r="BB902" s="443"/>
      <c r="BC902" s="443"/>
      <c r="BD902" s="443"/>
      <c r="BE902" s="443"/>
    </row>
    <row r="903" hidden="1">
      <c r="A903" s="445">
        <f t="shared" si="5"/>
        <v>46193</v>
      </c>
      <c r="B903" s="449">
        <v>447.0</v>
      </c>
      <c r="C903" s="462">
        <v>0.5833333333333334</v>
      </c>
      <c r="D903" s="462">
        <v>0.8944444444444445</v>
      </c>
      <c r="E903" s="436">
        <f t="array" ref="E903">IF(B903=0,"",(J903+K903)/60)</f>
        <v>0.65</v>
      </c>
      <c r="F903" s="437">
        <f t="shared" si="1"/>
        <v>7.466666667</v>
      </c>
      <c r="G903" s="438">
        <f t="shared" si="9"/>
        <v>59.86607143</v>
      </c>
      <c r="H903" s="438">
        <f t="shared" si="3"/>
        <v>65.57457213</v>
      </c>
      <c r="I903" s="436">
        <f t="shared" si="10"/>
        <v>1.301436335</v>
      </c>
      <c r="J903" s="460">
        <v>30.0</v>
      </c>
      <c r="K903" s="460">
        <v>9.0</v>
      </c>
      <c r="L903" s="443"/>
      <c r="M903" s="447">
        <f>IFERROR(__xludf.DUMMYFUNCTION("""COMPUTED_VALUE"""),57.0)</f>
        <v>57</v>
      </c>
      <c r="N903" s="447">
        <f>IFERROR(__xludf.DUMMYFUNCTION("""COMPUTED_VALUE"""),57.0)</f>
        <v>57</v>
      </c>
      <c r="O903" s="447">
        <f>IFERROR(__xludf.DUMMYFUNCTION("""COMPUTED_VALUE"""),0.0)</f>
        <v>0</v>
      </c>
      <c r="P903" s="447">
        <f>IFERROR(__xludf.DUMMYFUNCTION("""COMPUTED_VALUE"""),0.0)</f>
        <v>0</v>
      </c>
      <c r="Q903" s="447">
        <f>IFERROR(__xludf.DUMMYFUNCTION("""COMPUTED_VALUE"""),0.0)</f>
        <v>0</v>
      </c>
      <c r="R903" s="447">
        <f>IFERROR(__xludf.DUMMYFUNCTION("""COMPUTED_VALUE"""),0.0)</f>
        <v>0</v>
      </c>
      <c r="S903" s="447">
        <f>IFERROR(__xludf.DUMMYFUNCTION("""COMPUTED_VALUE"""),1.0)</f>
        <v>1</v>
      </c>
      <c r="T903" s="447">
        <f>IFERROR(__xludf.DUMMYFUNCTION("""COMPUTED_VALUE"""),0.0)</f>
        <v>0</v>
      </c>
      <c r="U903" s="447">
        <f>IFERROR(__xludf.DUMMYFUNCTION("""COMPUTED_VALUE"""),0.0)</f>
        <v>0</v>
      </c>
      <c r="V903" s="447">
        <f>IFERROR(__xludf.DUMMYFUNCTION("""COMPUTED_VALUE"""),3.0)</f>
        <v>3</v>
      </c>
      <c r="W903" s="447">
        <f>IFERROR(__xludf.DUMMYFUNCTION("""COMPUTED_VALUE"""),0.0)</f>
        <v>0</v>
      </c>
      <c r="X903" s="447">
        <f>IFERROR(__xludf.DUMMYFUNCTION("""COMPUTED_VALUE"""),1.0)</f>
        <v>1</v>
      </c>
      <c r="Y903" s="447">
        <f>IFERROR(__xludf.DUMMYFUNCTION("""COMPUTED_VALUE"""),0.0)</f>
        <v>0</v>
      </c>
      <c r="Z903" s="447">
        <f>IFERROR(__xludf.DUMMYFUNCTION("""COMPUTED_VALUE"""),0.0)</f>
        <v>0</v>
      </c>
      <c r="AA903" s="447">
        <f>IFERROR(__xludf.DUMMYFUNCTION("""COMPUTED_VALUE"""),0.0)</f>
        <v>0</v>
      </c>
      <c r="AB903" s="447">
        <f>IFERROR(__xludf.DUMMYFUNCTION("""COMPUTED_VALUE"""),0.0)</f>
        <v>0</v>
      </c>
      <c r="AC903" s="447">
        <f>IFERROR(__xludf.DUMMYFUNCTION("""COMPUTED_VALUE"""),0.0)</f>
        <v>0</v>
      </c>
      <c r="AD903" s="447">
        <f>IFERROR(__xludf.DUMMYFUNCTION("""COMPUTED_VALUE"""),46.0)</f>
        <v>46</v>
      </c>
      <c r="AE903" s="447">
        <f>IFERROR(__xludf.DUMMYFUNCTION("""COMPUTED_VALUE"""),5.0)</f>
        <v>5</v>
      </c>
      <c r="AF903" s="447">
        <f>IFERROR(__xludf.DUMMYFUNCTION("""COMPUTED_VALUE"""),0.0)</f>
        <v>0</v>
      </c>
      <c r="AG903" s="443" t="s">
        <v>122</v>
      </c>
      <c r="AH903" s="443" t="s">
        <v>291</v>
      </c>
      <c r="AI903" s="443"/>
      <c r="AJ903" s="443"/>
      <c r="AK903" s="443"/>
      <c r="AL903" s="443"/>
      <c r="AM903" s="443"/>
      <c r="AN903" s="443"/>
      <c r="AO903" s="443"/>
      <c r="AP903" s="443"/>
      <c r="AQ903" s="443"/>
      <c r="AR903" s="443"/>
      <c r="AS903" s="443"/>
      <c r="AT903" s="443"/>
      <c r="AU903" s="443"/>
      <c r="AV903" s="443"/>
      <c r="AW903" s="443"/>
      <c r="AX903" s="443"/>
      <c r="AY903" s="443"/>
      <c r="AZ903" s="443"/>
      <c r="BA903" s="443"/>
      <c r="BB903" s="443"/>
      <c r="BC903" s="443"/>
      <c r="BD903" s="443"/>
      <c r="BE903" s="443"/>
    </row>
    <row r="904" hidden="1">
      <c r="A904" s="445">
        <f t="shared" si="5"/>
        <v>46194</v>
      </c>
      <c r="B904" s="449">
        <v>0.0</v>
      </c>
      <c r="C904" s="462"/>
      <c r="D904" s="462"/>
      <c r="E904" s="436" t="str">
        <f t="array" ref="E904">IF(B904=0,"",(J904+K904)/60)</f>
        <v/>
      </c>
      <c r="F904" s="437" t="str">
        <f t="shared" si="1"/>
        <v/>
      </c>
      <c r="G904" s="438" t="str">
        <f t="shared" si="9"/>
        <v>#DIV/0!</v>
      </c>
      <c r="H904" s="438" t="str">
        <f t="shared" si="3"/>
        <v/>
      </c>
      <c r="I904" s="436" t="str">
        <f t="shared" si="10"/>
        <v/>
      </c>
      <c r="J904" s="460"/>
      <c r="K904" s="460">
        <v>46.0</v>
      </c>
      <c r="L904" s="443"/>
      <c r="M904" s="447">
        <f>IFERROR(__xludf.DUMMYFUNCTION("""COMPUTED_VALUE"""),57.0)</f>
        <v>57</v>
      </c>
      <c r="N904" s="447">
        <f>IFERROR(__xludf.DUMMYFUNCTION("""COMPUTED_VALUE"""),57.0)</f>
        <v>57</v>
      </c>
      <c r="O904" s="447">
        <f>IFERROR(__xludf.DUMMYFUNCTION("""COMPUTED_VALUE"""),0.0)</f>
        <v>0</v>
      </c>
      <c r="P904" s="447">
        <f>IFERROR(__xludf.DUMMYFUNCTION("""COMPUTED_VALUE"""),0.0)</f>
        <v>0</v>
      </c>
      <c r="Q904" s="447">
        <f>IFERROR(__xludf.DUMMYFUNCTION("""COMPUTED_VALUE"""),0.0)</f>
        <v>0</v>
      </c>
      <c r="R904" s="447">
        <f>IFERROR(__xludf.DUMMYFUNCTION("""COMPUTED_VALUE"""),0.0)</f>
        <v>0</v>
      </c>
      <c r="S904" s="447">
        <f>IFERROR(__xludf.DUMMYFUNCTION("""COMPUTED_VALUE"""),0.0)</f>
        <v>0</v>
      </c>
      <c r="T904" s="447">
        <f>IFERROR(__xludf.DUMMYFUNCTION("""COMPUTED_VALUE"""),0.0)</f>
        <v>0</v>
      </c>
      <c r="U904" s="447">
        <f>IFERROR(__xludf.DUMMYFUNCTION("""COMPUTED_VALUE"""),0.0)</f>
        <v>0</v>
      </c>
      <c r="V904" s="447">
        <f>IFERROR(__xludf.DUMMYFUNCTION("""COMPUTED_VALUE"""),0.0)</f>
        <v>0</v>
      </c>
      <c r="W904" s="447">
        <f>IFERROR(__xludf.DUMMYFUNCTION("""COMPUTED_VALUE"""),0.0)</f>
        <v>0</v>
      </c>
      <c r="X904" s="447">
        <f>IFERROR(__xludf.DUMMYFUNCTION("""COMPUTED_VALUE"""),0.0)</f>
        <v>0</v>
      </c>
      <c r="Y904" s="447">
        <f>IFERROR(__xludf.DUMMYFUNCTION("""COMPUTED_VALUE"""),0.0)</f>
        <v>0</v>
      </c>
      <c r="Z904" s="447">
        <f>IFERROR(__xludf.DUMMYFUNCTION("""COMPUTED_VALUE"""),0.0)</f>
        <v>0</v>
      </c>
      <c r="AA904" s="447">
        <f>IFERROR(__xludf.DUMMYFUNCTION("""COMPUTED_VALUE"""),0.0)</f>
        <v>0</v>
      </c>
      <c r="AB904" s="447">
        <f>IFERROR(__xludf.DUMMYFUNCTION("""COMPUTED_VALUE"""),0.0)</f>
        <v>0</v>
      </c>
      <c r="AC904" s="447">
        <f>IFERROR(__xludf.DUMMYFUNCTION("""COMPUTED_VALUE"""),0.0)</f>
        <v>0</v>
      </c>
      <c r="AD904" s="447">
        <f>IFERROR(__xludf.DUMMYFUNCTION("""COMPUTED_VALUE"""),0.0)</f>
        <v>0</v>
      </c>
      <c r="AE904" s="447">
        <f>IFERROR(__xludf.DUMMYFUNCTION("""COMPUTED_VALUE"""),0.0)</f>
        <v>0</v>
      </c>
      <c r="AF904" s="447">
        <f>IFERROR(__xludf.DUMMYFUNCTION("""COMPUTED_VALUE"""),0.0)</f>
        <v>0</v>
      </c>
      <c r="AG904" s="443" t="s">
        <v>122</v>
      </c>
      <c r="AH904" s="443" t="s">
        <v>291</v>
      </c>
      <c r="AI904" s="443"/>
      <c r="AJ904" s="443"/>
      <c r="AK904" s="443"/>
      <c r="AL904" s="443"/>
      <c r="AM904" s="443"/>
      <c r="AN904" s="443"/>
      <c r="AO904" s="443"/>
      <c r="AP904" s="443"/>
      <c r="AQ904" s="443"/>
      <c r="AR904" s="443"/>
      <c r="AS904" s="443"/>
      <c r="AT904" s="443"/>
      <c r="AU904" s="443"/>
      <c r="AV904" s="443"/>
      <c r="AW904" s="443"/>
      <c r="AX904" s="443"/>
      <c r="AY904" s="443"/>
      <c r="AZ904" s="443"/>
      <c r="BA904" s="443"/>
      <c r="BB904" s="443"/>
      <c r="BC904" s="443"/>
      <c r="BD904" s="443"/>
      <c r="BE904" s="443"/>
    </row>
    <row r="905" hidden="1">
      <c r="A905" s="445">
        <f t="shared" si="5"/>
        <v>46195</v>
      </c>
      <c r="B905" s="449">
        <v>450.0</v>
      </c>
      <c r="C905" s="462">
        <v>0.5833333333333334</v>
      </c>
      <c r="D905" s="462">
        <v>0.9340277777777778</v>
      </c>
      <c r="E905" s="436">
        <f t="array" ref="E905">IF(B905=0,"",(J905+K905)/60)</f>
        <v>1.516666667</v>
      </c>
      <c r="F905" s="437">
        <f t="shared" si="1"/>
        <v>8.416666667</v>
      </c>
      <c r="G905" s="438">
        <f t="shared" si="9"/>
        <v>53.46534653</v>
      </c>
      <c r="H905" s="438">
        <f t="shared" si="3"/>
        <v>65.2173913</v>
      </c>
      <c r="I905" s="436">
        <f t="shared" si="10"/>
        <v>1.188118812</v>
      </c>
      <c r="J905" s="460">
        <v>45.0</v>
      </c>
      <c r="K905" s="460">
        <v>46.0</v>
      </c>
      <c r="L905" s="443"/>
      <c r="M905" s="447">
        <f>IFERROR(__xludf.DUMMYFUNCTION("""COMPUTED_VALUE"""),57.0)</f>
        <v>57</v>
      </c>
      <c r="N905" s="447">
        <f>IFERROR(__xludf.DUMMYFUNCTION("""COMPUTED_VALUE"""),56.0)</f>
        <v>56</v>
      </c>
      <c r="O905" s="447">
        <f>IFERROR(__xludf.DUMMYFUNCTION("""COMPUTED_VALUE"""),0.0)</f>
        <v>0</v>
      </c>
      <c r="P905" s="447">
        <f>IFERROR(__xludf.DUMMYFUNCTION("""COMPUTED_VALUE"""),0.0)</f>
        <v>0</v>
      </c>
      <c r="Q905" s="447">
        <f>IFERROR(__xludf.DUMMYFUNCTION("""COMPUTED_VALUE"""),0.0)</f>
        <v>0</v>
      </c>
      <c r="R905" s="447">
        <f>IFERROR(__xludf.DUMMYFUNCTION("""COMPUTED_VALUE"""),0.0)</f>
        <v>0</v>
      </c>
      <c r="S905" s="447">
        <f>IFERROR(__xludf.DUMMYFUNCTION("""COMPUTED_VALUE"""),0.0)</f>
        <v>0</v>
      </c>
      <c r="T905" s="447">
        <f>IFERROR(__xludf.DUMMYFUNCTION("""COMPUTED_VALUE"""),0.0)</f>
        <v>0</v>
      </c>
      <c r="U905" s="447">
        <f>IFERROR(__xludf.DUMMYFUNCTION("""COMPUTED_VALUE"""),1.0)</f>
        <v>1</v>
      </c>
      <c r="V905" s="447">
        <f>IFERROR(__xludf.DUMMYFUNCTION("""COMPUTED_VALUE"""),3.0)</f>
        <v>3</v>
      </c>
      <c r="W905" s="447">
        <f>IFERROR(__xludf.DUMMYFUNCTION("""COMPUTED_VALUE"""),0.0)</f>
        <v>0</v>
      </c>
      <c r="X905" s="447">
        <f>IFERROR(__xludf.DUMMYFUNCTION("""COMPUTED_VALUE"""),1.0)</f>
        <v>1</v>
      </c>
      <c r="Y905" s="447">
        <f>IFERROR(__xludf.DUMMYFUNCTION("""COMPUTED_VALUE"""),0.0)</f>
        <v>0</v>
      </c>
      <c r="Z905" s="447">
        <f>IFERROR(__xludf.DUMMYFUNCTION("""COMPUTED_VALUE"""),0.0)</f>
        <v>0</v>
      </c>
      <c r="AA905" s="447">
        <f>IFERROR(__xludf.DUMMYFUNCTION("""COMPUTED_VALUE"""),0.0)</f>
        <v>0</v>
      </c>
      <c r="AB905" s="447">
        <f>IFERROR(__xludf.DUMMYFUNCTION("""COMPUTED_VALUE"""),0.0)</f>
        <v>0</v>
      </c>
      <c r="AC905" s="447">
        <f>IFERROR(__xludf.DUMMYFUNCTION("""COMPUTED_VALUE"""),1.0)</f>
        <v>1</v>
      </c>
      <c r="AD905" s="447">
        <f>IFERROR(__xludf.DUMMYFUNCTION("""COMPUTED_VALUE"""),45.0)</f>
        <v>45</v>
      </c>
      <c r="AE905" s="447">
        <f>IFERROR(__xludf.DUMMYFUNCTION("""COMPUTED_VALUE"""),6.0)</f>
        <v>6</v>
      </c>
      <c r="AF905" s="447">
        <f>IFERROR(__xludf.DUMMYFUNCTION("""COMPUTED_VALUE"""),1.0)</f>
        <v>1</v>
      </c>
      <c r="AG905" s="443" t="s">
        <v>122</v>
      </c>
      <c r="AH905" s="443" t="s">
        <v>291</v>
      </c>
      <c r="AI905" s="443"/>
      <c r="AJ905" s="443"/>
      <c r="AK905" s="443"/>
      <c r="AL905" s="443"/>
      <c r="AM905" s="443"/>
      <c r="AN905" s="443"/>
      <c r="AO905" s="443"/>
      <c r="AP905" s="443"/>
      <c r="AQ905" s="443"/>
      <c r="AR905" s="443"/>
      <c r="AS905" s="443"/>
      <c r="AT905" s="443"/>
      <c r="AU905" s="443"/>
      <c r="AV905" s="443"/>
      <c r="AW905" s="443"/>
      <c r="AX905" s="443"/>
      <c r="AY905" s="443"/>
      <c r="AZ905" s="443"/>
      <c r="BA905" s="443"/>
      <c r="BB905" s="443"/>
      <c r="BC905" s="443"/>
      <c r="BD905" s="443"/>
      <c r="BE905" s="443"/>
    </row>
    <row r="906" hidden="1">
      <c r="A906" s="445">
        <f t="shared" si="5"/>
        <v>46196</v>
      </c>
      <c r="B906" s="449">
        <v>387.0</v>
      </c>
      <c r="C906" s="462">
        <v>0.625</v>
      </c>
      <c r="D906" s="462">
        <v>0.8895833333333333</v>
      </c>
      <c r="E906" s="436">
        <f t="array" ref="E906">IF(B906=0,"",(J906+K906)/60)</f>
        <v>0.45</v>
      </c>
      <c r="F906" s="437">
        <f t="shared" si="1"/>
        <v>6.35</v>
      </c>
      <c r="G906" s="438">
        <f t="shared" si="9"/>
        <v>60.94488189</v>
      </c>
      <c r="H906" s="438">
        <f t="shared" si="3"/>
        <v>65.59322034</v>
      </c>
      <c r="I906" s="436">
        <f t="shared" si="10"/>
        <v>1.385110952</v>
      </c>
      <c r="J906" s="460">
        <v>0.0</v>
      </c>
      <c r="K906" s="460">
        <v>27.0</v>
      </c>
      <c r="L906" s="443"/>
      <c r="M906" s="447">
        <f>IFERROR(__xludf.DUMMYFUNCTION("""COMPUTED_VALUE"""),57.0)</f>
        <v>57</v>
      </c>
      <c r="N906" s="447">
        <f>IFERROR(__xludf.DUMMYFUNCTION("""COMPUTED_VALUE"""),55.0)</f>
        <v>55</v>
      </c>
      <c r="O906" s="447">
        <f>IFERROR(__xludf.DUMMYFUNCTION("""COMPUTED_VALUE"""),0.0)</f>
        <v>0</v>
      </c>
      <c r="P906" s="447">
        <f>IFERROR(__xludf.DUMMYFUNCTION("""COMPUTED_VALUE"""),0.0)</f>
        <v>0</v>
      </c>
      <c r="Q906" s="447">
        <f>IFERROR(__xludf.DUMMYFUNCTION("""COMPUTED_VALUE"""),0.0)</f>
        <v>0</v>
      </c>
      <c r="R906" s="447">
        <f>IFERROR(__xludf.DUMMYFUNCTION("""COMPUTED_VALUE"""),0.0)</f>
        <v>0</v>
      </c>
      <c r="S906" s="447">
        <f>IFERROR(__xludf.DUMMYFUNCTION("""COMPUTED_VALUE"""),1.0)</f>
        <v>1</v>
      </c>
      <c r="T906" s="447">
        <f>IFERROR(__xludf.DUMMYFUNCTION("""COMPUTED_VALUE"""),0.0)</f>
        <v>0</v>
      </c>
      <c r="U906" s="447">
        <f>IFERROR(__xludf.DUMMYFUNCTION("""COMPUTED_VALUE"""),2.0)</f>
        <v>2</v>
      </c>
      <c r="V906" s="447">
        <f>IFERROR(__xludf.DUMMYFUNCTION("""COMPUTED_VALUE"""),3.0)</f>
        <v>3</v>
      </c>
      <c r="W906" s="447">
        <f>IFERROR(__xludf.DUMMYFUNCTION("""COMPUTED_VALUE"""),0.0)</f>
        <v>0</v>
      </c>
      <c r="X906" s="447">
        <f>IFERROR(__xludf.DUMMYFUNCTION("""COMPUTED_VALUE"""),1.0)</f>
        <v>1</v>
      </c>
      <c r="Y906" s="447">
        <f>IFERROR(__xludf.DUMMYFUNCTION("""COMPUTED_VALUE"""),0.0)</f>
        <v>0</v>
      </c>
      <c r="Z906" s="447">
        <f>IFERROR(__xludf.DUMMYFUNCTION("""COMPUTED_VALUE"""),0.0)</f>
        <v>0</v>
      </c>
      <c r="AA906" s="447">
        <f>IFERROR(__xludf.DUMMYFUNCTION("""COMPUTED_VALUE"""),0.0)</f>
        <v>0</v>
      </c>
      <c r="AB906" s="447">
        <f>IFERROR(__xludf.DUMMYFUNCTION("""COMPUTED_VALUE"""),0.0)</f>
        <v>0</v>
      </c>
      <c r="AC906" s="447">
        <f>IFERROR(__xludf.DUMMYFUNCTION("""COMPUTED_VALUE"""),0.0)</f>
        <v>0</v>
      </c>
      <c r="AD906" s="447">
        <f>IFERROR(__xludf.DUMMYFUNCTION("""COMPUTED_VALUE"""),44.0)</f>
        <v>44</v>
      </c>
      <c r="AE906" s="447">
        <f>IFERROR(__xludf.DUMMYFUNCTION("""COMPUTED_VALUE"""),7.0)</f>
        <v>7</v>
      </c>
      <c r="AF906" s="447">
        <f>IFERROR(__xludf.DUMMYFUNCTION("""COMPUTED_VALUE"""),2.0)</f>
        <v>2</v>
      </c>
      <c r="AG906" s="443" t="s">
        <v>122</v>
      </c>
      <c r="AH906" s="443" t="s">
        <v>291</v>
      </c>
      <c r="AI906" s="443"/>
      <c r="AJ906" s="443"/>
      <c r="AK906" s="443"/>
      <c r="AL906" s="443"/>
      <c r="AM906" s="443"/>
      <c r="AN906" s="443"/>
      <c r="AO906" s="443"/>
      <c r="AP906" s="443"/>
      <c r="AQ906" s="443"/>
      <c r="AR906" s="443"/>
      <c r="AS906" s="443"/>
      <c r="AT906" s="443"/>
      <c r="AU906" s="443"/>
      <c r="AV906" s="443"/>
      <c r="AW906" s="443"/>
      <c r="AX906" s="443"/>
      <c r="AY906" s="443"/>
      <c r="AZ906" s="443"/>
      <c r="BA906" s="443"/>
      <c r="BB906" s="443"/>
      <c r="BC906" s="443"/>
      <c r="BD906" s="443"/>
      <c r="BE906" s="443"/>
    </row>
    <row r="907" hidden="1">
      <c r="A907" s="445">
        <f t="shared" si="5"/>
        <v>46197</v>
      </c>
      <c r="B907" s="449">
        <v>598.0</v>
      </c>
      <c r="C907" s="462">
        <v>0.5833333333333334</v>
      </c>
      <c r="D907" s="462">
        <v>1.0152777777777777</v>
      </c>
      <c r="E907" s="436">
        <f t="array" ref="E907">IF(B907=0,"",(J907+K907)/60)</f>
        <v>0.7</v>
      </c>
      <c r="F907" s="437">
        <f t="shared" si="1"/>
        <v>10.36666667</v>
      </c>
      <c r="G907" s="438">
        <f t="shared" si="9"/>
        <v>57.68488746</v>
      </c>
      <c r="H907" s="438">
        <f t="shared" si="3"/>
        <v>61.86206897</v>
      </c>
      <c r="I907" s="436">
        <f t="shared" si="10"/>
        <v>1.373449701</v>
      </c>
      <c r="J907" s="460">
        <v>30.0</v>
      </c>
      <c r="K907" s="460">
        <v>12.0</v>
      </c>
      <c r="L907" s="449" t="s">
        <v>1028</v>
      </c>
      <c r="M907" s="447">
        <f>IFERROR(__xludf.DUMMYFUNCTION("""COMPUTED_VALUE"""),57.0)</f>
        <v>57</v>
      </c>
      <c r="N907" s="447">
        <f>IFERROR(__xludf.DUMMYFUNCTION("""COMPUTED_VALUE"""),55.0)</f>
        <v>55</v>
      </c>
      <c r="O907" s="447">
        <f>IFERROR(__xludf.DUMMYFUNCTION("""COMPUTED_VALUE"""),1.0)</f>
        <v>1</v>
      </c>
      <c r="P907" s="447">
        <f>IFERROR(__xludf.DUMMYFUNCTION("""COMPUTED_VALUE"""),0.0)</f>
        <v>0</v>
      </c>
      <c r="Q907" s="447">
        <f>IFERROR(__xludf.DUMMYFUNCTION("""COMPUTED_VALUE"""),0.0)</f>
        <v>0</v>
      </c>
      <c r="R907" s="447">
        <f>IFERROR(__xludf.DUMMYFUNCTION("""COMPUTED_VALUE"""),0.0)</f>
        <v>0</v>
      </c>
      <c r="S907" s="447">
        <f>IFERROR(__xludf.DUMMYFUNCTION("""COMPUTED_VALUE"""),1.0)</f>
        <v>1</v>
      </c>
      <c r="T907" s="447">
        <f>IFERROR(__xludf.DUMMYFUNCTION("""COMPUTED_VALUE"""),1.0)</f>
        <v>1</v>
      </c>
      <c r="U907" s="447">
        <f>IFERROR(__xludf.DUMMYFUNCTION("""COMPUTED_VALUE"""),2.0)</f>
        <v>2</v>
      </c>
      <c r="V907" s="447">
        <f>IFERROR(__xludf.DUMMYFUNCTION("""COMPUTED_VALUE"""),3.0)</f>
        <v>3</v>
      </c>
      <c r="W907" s="447">
        <f>IFERROR(__xludf.DUMMYFUNCTION("""COMPUTED_VALUE"""),0.0)</f>
        <v>0</v>
      </c>
      <c r="X907" s="447">
        <f>IFERROR(__xludf.DUMMYFUNCTION("""COMPUTED_VALUE"""),1.0)</f>
        <v>1</v>
      </c>
      <c r="Y907" s="447">
        <f>IFERROR(__xludf.DUMMYFUNCTION("""COMPUTED_VALUE"""),0.0)</f>
        <v>0</v>
      </c>
      <c r="Z907" s="447">
        <f>IFERROR(__xludf.DUMMYFUNCTION("""COMPUTED_VALUE"""),0.0)</f>
        <v>0</v>
      </c>
      <c r="AA907" s="447">
        <f>IFERROR(__xludf.DUMMYFUNCTION("""COMPUTED_VALUE"""),0.0)</f>
        <v>0</v>
      </c>
      <c r="AB907" s="447">
        <f>IFERROR(__xludf.DUMMYFUNCTION("""COMPUTED_VALUE"""),0.0)</f>
        <v>0</v>
      </c>
      <c r="AC907" s="447">
        <f>IFERROR(__xludf.DUMMYFUNCTION("""COMPUTED_VALUE"""),0.0)</f>
        <v>0</v>
      </c>
      <c r="AD907" s="447">
        <f>IFERROR(__xludf.DUMMYFUNCTION("""COMPUTED_VALUE"""),42.0)</f>
        <v>42</v>
      </c>
      <c r="AE907" s="447">
        <f>IFERROR(__xludf.DUMMYFUNCTION("""COMPUTED_VALUE"""),9.0)</f>
        <v>9</v>
      </c>
      <c r="AF907" s="447">
        <f>IFERROR(__xludf.DUMMYFUNCTION("""COMPUTED_VALUE"""),2.0)</f>
        <v>2</v>
      </c>
      <c r="AG907" s="443" t="s">
        <v>122</v>
      </c>
      <c r="AH907" s="443" t="s">
        <v>291</v>
      </c>
      <c r="AI907" s="443"/>
      <c r="AJ907" s="443"/>
      <c r="AK907" s="443"/>
      <c r="AL907" s="443"/>
      <c r="AM907" s="443"/>
      <c r="AN907" s="443"/>
      <c r="AO907" s="443"/>
      <c r="AP907" s="443"/>
      <c r="AQ907" s="443"/>
      <c r="AR907" s="443"/>
      <c r="AS907" s="443"/>
      <c r="AT907" s="443"/>
      <c r="AU907" s="443"/>
      <c r="AV907" s="443"/>
      <c r="AW907" s="443"/>
      <c r="AX907" s="443"/>
      <c r="AY907" s="443"/>
      <c r="AZ907" s="443"/>
      <c r="BA907" s="443"/>
      <c r="BB907" s="443"/>
      <c r="BC907" s="443"/>
      <c r="BD907" s="443"/>
      <c r="BE907" s="443"/>
    </row>
    <row r="908" hidden="1">
      <c r="A908" s="445">
        <f t="shared" si="5"/>
        <v>46198</v>
      </c>
      <c r="B908" s="449">
        <v>554.0</v>
      </c>
      <c r="C908" s="462">
        <v>0.5833333333333334</v>
      </c>
      <c r="D908" s="462">
        <v>0.9576388888888889</v>
      </c>
      <c r="E908" s="436">
        <f t="array" ref="E908">IF(B908=0,"",(J908+K908)/60)</f>
        <v>0.8166666667</v>
      </c>
      <c r="F908" s="437">
        <f t="shared" si="1"/>
        <v>8.983333333</v>
      </c>
      <c r="G908" s="438">
        <f t="shared" si="9"/>
        <v>61.66975881</v>
      </c>
      <c r="H908" s="438">
        <f t="shared" si="3"/>
        <v>67.83673469</v>
      </c>
      <c r="I908" s="436">
        <f t="shared" si="10"/>
        <v>1.401585428</v>
      </c>
      <c r="J908" s="460">
        <v>30.0</v>
      </c>
      <c r="K908" s="460">
        <v>19.0</v>
      </c>
      <c r="L908" s="443"/>
      <c r="M908" s="447">
        <f>IFERROR(__xludf.DUMMYFUNCTION("""COMPUTED_VALUE"""),57.0)</f>
        <v>57</v>
      </c>
      <c r="N908" s="447">
        <f>IFERROR(__xludf.DUMMYFUNCTION("""COMPUTED_VALUE"""),55.0)</f>
        <v>55</v>
      </c>
      <c r="O908" s="447">
        <f>IFERROR(__xludf.DUMMYFUNCTION("""COMPUTED_VALUE"""),0.0)</f>
        <v>0</v>
      </c>
      <c r="P908" s="447">
        <f>IFERROR(__xludf.DUMMYFUNCTION("""COMPUTED_VALUE"""),0.0)</f>
        <v>0</v>
      </c>
      <c r="Q908" s="447">
        <f>IFERROR(__xludf.DUMMYFUNCTION("""COMPUTED_VALUE"""),0.0)</f>
        <v>0</v>
      </c>
      <c r="R908" s="447">
        <f>IFERROR(__xludf.DUMMYFUNCTION("""COMPUTED_VALUE"""),0.0)</f>
        <v>0</v>
      </c>
      <c r="S908" s="447">
        <f>IFERROR(__xludf.DUMMYFUNCTION("""COMPUTED_VALUE"""),1.0)</f>
        <v>1</v>
      </c>
      <c r="T908" s="447">
        <f>IFERROR(__xludf.DUMMYFUNCTION("""COMPUTED_VALUE"""),0.0)</f>
        <v>0</v>
      </c>
      <c r="U908" s="447">
        <f>IFERROR(__xludf.DUMMYFUNCTION("""COMPUTED_VALUE"""),2.0)</f>
        <v>2</v>
      </c>
      <c r="V908" s="447">
        <f>IFERROR(__xludf.DUMMYFUNCTION("""COMPUTED_VALUE"""),3.0)</f>
        <v>3</v>
      </c>
      <c r="W908" s="447">
        <f>IFERROR(__xludf.DUMMYFUNCTION("""COMPUTED_VALUE"""),0.0)</f>
        <v>0</v>
      </c>
      <c r="X908" s="447">
        <f>IFERROR(__xludf.DUMMYFUNCTION("""COMPUTED_VALUE"""),1.0)</f>
        <v>1</v>
      </c>
      <c r="Y908" s="447">
        <f>IFERROR(__xludf.DUMMYFUNCTION("""COMPUTED_VALUE"""),0.0)</f>
        <v>0</v>
      </c>
      <c r="Z908" s="447">
        <f>IFERROR(__xludf.DUMMYFUNCTION("""COMPUTED_VALUE"""),0.0)</f>
        <v>0</v>
      </c>
      <c r="AA908" s="447">
        <f>IFERROR(__xludf.DUMMYFUNCTION("""COMPUTED_VALUE"""),0.0)</f>
        <v>0</v>
      </c>
      <c r="AB908" s="447">
        <f>IFERROR(__xludf.DUMMYFUNCTION("""COMPUTED_VALUE"""),0.0)</f>
        <v>0</v>
      </c>
      <c r="AC908" s="447">
        <f>IFERROR(__xludf.DUMMYFUNCTION("""COMPUTED_VALUE"""),0.0)</f>
        <v>0</v>
      </c>
      <c r="AD908" s="447">
        <f>IFERROR(__xludf.DUMMYFUNCTION("""COMPUTED_VALUE"""),44.0)</f>
        <v>44</v>
      </c>
      <c r="AE908" s="447">
        <f>IFERROR(__xludf.DUMMYFUNCTION("""COMPUTED_VALUE"""),7.0)</f>
        <v>7</v>
      </c>
      <c r="AF908" s="447">
        <f>IFERROR(__xludf.DUMMYFUNCTION("""COMPUTED_VALUE"""),2.0)</f>
        <v>2</v>
      </c>
      <c r="AG908" s="443" t="s">
        <v>122</v>
      </c>
      <c r="AH908" s="443" t="s">
        <v>291</v>
      </c>
      <c r="AI908" s="443"/>
      <c r="AJ908" s="443"/>
      <c r="AK908" s="443"/>
      <c r="AL908" s="443"/>
      <c r="AM908" s="443"/>
      <c r="AN908" s="443"/>
      <c r="AO908" s="443"/>
      <c r="AP908" s="443"/>
      <c r="AQ908" s="443"/>
      <c r="AR908" s="443"/>
      <c r="AS908" s="443"/>
      <c r="AT908" s="443"/>
      <c r="AU908" s="443"/>
      <c r="AV908" s="443"/>
      <c r="AW908" s="443"/>
      <c r="AX908" s="443"/>
      <c r="AY908" s="443"/>
      <c r="AZ908" s="443"/>
      <c r="BA908" s="443"/>
      <c r="BB908" s="443"/>
      <c r="BC908" s="443"/>
      <c r="BD908" s="443"/>
      <c r="BE908" s="443"/>
    </row>
    <row r="909" hidden="1">
      <c r="A909" s="445">
        <f t="shared" si="5"/>
        <v>46199</v>
      </c>
      <c r="B909" s="449">
        <v>588.0</v>
      </c>
      <c r="C909" s="462">
        <v>0.625</v>
      </c>
      <c r="D909" s="462">
        <v>1.0277777777777777</v>
      </c>
      <c r="E909" s="436">
        <f t="array" ref="E909">IF(B909=0,"",(J909+K909)/60)</f>
        <v>1.1</v>
      </c>
      <c r="F909" s="437">
        <f t="shared" si="1"/>
        <v>9.666666667</v>
      </c>
      <c r="G909" s="438">
        <f t="shared" si="9"/>
        <v>60.82758621</v>
      </c>
      <c r="H909" s="438">
        <f t="shared" si="3"/>
        <v>68.6381323</v>
      </c>
      <c r="I909" s="436">
        <f t="shared" si="10"/>
        <v>1.382445141</v>
      </c>
      <c r="J909" s="460">
        <v>30.0</v>
      </c>
      <c r="K909" s="460">
        <v>36.0</v>
      </c>
      <c r="L909" s="443"/>
      <c r="M909" s="447">
        <f>IFERROR(__xludf.DUMMYFUNCTION("""COMPUTED_VALUE"""),57.0)</f>
        <v>57</v>
      </c>
      <c r="N909" s="447">
        <f>IFERROR(__xludf.DUMMYFUNCTION("""COMPUTED_VALUE"""),55.0)</f>
        <v>55</v>
      </c>
      <c r="O909" s="447">
        <f>IFERROR(__xludf.DUMMYFUNCTION("""COMPUTED_VALUE"""),0.0)</f>
        <v>0</v>
      </c>
      <c r="P909" s="447">
        <f>IFERROR(__xludf.DUMMYFUNCTION("""COMPUTED_VALUE"""),0.0)</f>
        <v>0</v>
      </c>
      <c r="Q909" s="447">
        <f>IFERROR(__xludf.DUMMYFUNCTION("""COMPUTED_VALUE"""),0.0)</f>
        <v>0</v>
      </c>
      <c r="R909" s="447">
        <f>IFERROR(__xludf.DUMMYFUNCTION("""COMPUTED_VALUE"""),0.0)</f>
        <v>0</v>
      </c>
      <c r="S909" s="447">
        <f>IFERROR(__xludf.DUMMYFUNCTION("""COMPUTED_VALUE"""),1.0)</f>
        <v>1</v>
      </c>
      <c r="T909" s="447">
        <f>IFERROR(__xludf.DUMMYFUNCTION("""COMPUTED_VALUE"""),0.0)</f>
        <v>0</v>
      </c>
      <c r="U909" s="447">
        <f>IFERROR(__xludf.DUMMYFUNCTION("""COMPUTED_VALUE"""),2.0)</f>
        <v>2</v>
      </c>
      <c r="V909" s="447">
        <f>IFERROR(__xludf.DUMMYFUNCTION("""COMPUTED_VALUE"""),3.0)</f>
        <v>3</v>
      </c>
      <c r="W909" s="447">
        <f>IFERROR(__xludf.DUMMYFUNCTION("""COMPUTED_VALUE"""),0.0)</f>
        <v>0</v>
      </c>
      <c r="X909" s="447">
        <f>IFERROR(__xludf.DUMMYFUNCTION("""COMPUTED_VALUE"""),1.0)</f>
        <v>1</v>
      </c>
      <c r="Y909" s="447">
        <f>IFERROR(__xludf.DUMMYFUNCTION("""COMPUTED_VALUE"""),0.0)</f>
        <v>0</v>
      </c>
      <c r="Z909" s="447">
        <f>IFERROR(__xludf.DUMMYFUNCTION("""COMPUTED_VALUE"""),0.0)</f>
        <v>0</v>
      </c>
      <c r="AA909" s="447">
        <f>IFERROR(__xludf.DUMMYFUNCTION("""COMPUTED_VALUE"""),0.0)</f>
        <v>0</v>
      </c>
      <c r="AB909" s="447">
        <f>IFERROR(__xludf.DUMMYFUNCTION("""COMPUTED_VALUE"""),0.0)</f>
        <v>0</v>
      </c>
      <c r="AC909" s="447">
        <f>IFERROR(__xludf.DUMMYFUNCTION("""COMPUTED_VALUE"""),0.0)</f>
        <v>0</v>
      </c>
      <c r="AD909" s="447">
        <f>IFERROR(__xludf.DUMMYFUNCTION("""COMPUTED_VALUE"""),44.0)</f>
        <v>44</v>
      </c>
      <c r="AE909" s="447">
        <f>IFERROR(__xludf.DUMMYFUNCTION("""COMPUTED_VALUE"""),7.0)</f>
        <v>7</v>
      </c>
      <c r="AF909" s="447">
        <f>IFERROR(__xludf.DUMMYFUNCTION("""COMPUTED_VALUE"""),2.0)</f>
        <v>2</v>
      </c>
      <c r="AG909" s="443" t="s">
        <v>122</v>
      </c>
      <c r="AH909" s="443" t="s">
        <v>291</v>
      </c>
      <c r="AI909" s="443"/>
      <c r="AJ909" s="443"/>
      <c r="AK909" s="443"/>
      <c r="AL909" s="443"/>
      <c r="AM909" s="443"/>
      <c r="AN909" s="443"/>
      <c r="AO909" s="443"/>
      <c r="AP909" s="443"/>
      <c r="AQ909" s="443"/>
      <c r="AR909" s="443"/>
      <c r="AS909" s="443"/>
      <c r="AT909" s="443"/>
      <c r="AU909" s="443"/>
      <c r="AV909" s="443"/>
      <c r="AW909" s="443"/>
      <c r="AX909" s="443"/>
      <c r="AY909" s="443"/>
      <c r="AZ909" s="443"/>
      <c r="BA909" s="443"/>
      <c r="BB909" s="443"/>
      <c r="BC909" s="443"/>
      <c r="BD909" s="443"/>
      <c r="BE909" s="443"/>
    </row>
    <row r="910" hidden="1">
      <c r="A910" s="445">
        <f t="shared" si="5"/>
        <v>46200</v>
      </c>
      <c r="B910" s="449">
        <v>324.0</v>
      </c>
      <c r="C910" s="462">
        <v>0.625</v>
      </c>
      <c r="D910" s="462">
        <v>0.8625</v>
      </c>
      <c r="E910" s="436">
        <f t="array" ref="E910">IF(B910=0,"",(J910+K910)/60)</f>
        <v>0.7833333333</v>
      </c>
      <c r="F910" s="437">
        <f t="shared" si="1"/>
        <v>5.7</v>
      </c>
      <c r="G910" s="438">
        <f t="shared" si="9"/>
        <v>56.84210526</v>
      </c>
      <c r="H910" s="438">
        <f t="shared" si="3"/>
        <v>65.89830508</v>
      </c>
      <c r="I910" s="436">
        <f t="shared" si="10"/>
        <v>1.421052632</v>
      </c>
      <c r="J910" s="460">
        <v>30.0</v>
      </c>
      <c r="K910" s="460">
        <v>17.0</v>
      </c>
      <c r="L910" s="449" t="s">
        <v>1029</v>
      </c>
      <c r="M910" s="447">
        <f>IFERROR(__xludf.DUMMYFUNCTION("""COMPUTED_VALUE"""),57.0)</f>
        <v>57</v>
      </c>
      <c r="N910" s="447">
        <f>IFERROR(__xludf.DUMMYFUNCTION("""COMPUTED_VALUE"""),55.0)</f>
        <v>55</v>
      </c>
      <c r="O910" s="447">
        <f>IFERROR(__xludf.DUMMYFUNCTION("""COMPUTED_VALUE"""),0.0)</f>
        <v>0</v>
      </c>
      <c r="P910" s="447">
        <f>IFERROR(__xludf.DUMMYFUNCTION("""COMPUTED_VALUE"""),1.0)</f>
        <v>1</v>
      </c>
      <c r="Q910" s="447">
        <f>IFERROR(__xludf.DUMMYFUNCTION("""COMPUTED_VALUE"""),1.0)</f>
        <v>1</v>
      </c>
      <c r="R910" s="447">
        <f>IFERROR(__xludf.DUMMYFUNCTION("""COMPUTED_VALUE"""),0.0)</f>
        <v>0</v>
      </c>
      <c r="S910" s="447">
        <f>IFERROR(__xludf.DUMMYFUNCTION("""COMPUTED_VALUE"""),3.0)</f>
        <v>3</v>
      </c>
      <c r="T910" s="447">
        <f>IFERROR(__xludf.DUMMYFUNCTION("""COMPUTED_VALUE"""),0.0)</f>
        <v>0</v>
      </c>
      <c r="U910" s="447">
        <f>IFERROR(__xludf.DUMMYFUNCTION("""COMPUTED_VALUE"""),2.0)</f>
        <v>2</v>
      </c>
      <c r="V910" s="447">
        <f>IFERROR(__xludf.DUMMYFUNCTION("""COMPUTED_VALUE"""),3.0)</f>
        <v>3</v>
      </c>
      <c r="W910" s="447">
        <f>IFERROR(__xludf.DUMMYFUNCTION("""COMPUTED_VALUE"""),0.0)</f>
        <v>0</v>
      </c>
      <c r="X910" s="447">
        <f>IFERROR(__xludf.DUMMYFUNCTION("""COMPUTED_VALUE"""),1.0)</f>
        <v>1</v>
      </c>
      <c r="Y910" s="447">
        <f>IFERROR(__xludf.DUMMYFUNCTION("""COMPUTED_VALUE"""),0.0)</f>
        <v>0</v>
      </c>
      <c r="Z910" s="447">
        <f>IFERROR(__xludf.DUMMYFUNCTION("""COMPUTED_VALUE"""),0.0)</f>
        <v>0</v>
      </c>
      <c r="AA910" s="447">
        <f>IFERROR(__xludf.DUMMYFUNCTION("""COMPUTED_VALUE"""),0.0)</f>
        <v>0</v>
      </c>
      <c r="AB910" s="447">
        <f>IFERROR(__xludf.DUMMYFUNCTION("""COMPUTED_VALUE"""),0.0)</f>
        <v>0</v>
      </c>
      <c r="AC910" s="447">
        <f>IFERROR(__xludf.DUMMYFUNCTION("""COMPUTED_VALUE"""),0.0)</f>
        <v>0</v>
      </c>
      <c r="AD910" s="447">
        <f>IFERROR(__xludf.DUMMYFUNCTION("""COMPUTED_VALUE"""),40.0)</f>
        <v>40</v>
      </c>
      <c r="AE910" s="447">
        <f>IFERROR(__xludf.DUMMYFUNCTION("""COMPUTED_VALUE"""),11.0)</f>
        <v>11</v>
      </c>
      <c r="AF910" s="447">
        <f>IFERROR(__xludf.DUMMYFUNCTION("""COMPUTED_VALUE"""),2.0)</f>
        <v>2</v>
      </c>
      <c r="AG910" s="443" t="s">
        <v>122</v>
      </c>
      <c r="AH910" s="443" t="s">
        <v>291</v>
      </c>
      <c r="AI910" s="443"/>
      <c r="AJ910" s="443"/>
      <c r="AK910" s="443"/>
      <c r="AL910" s="443"/>
      <c r="AM910" s="443"/>
      <c r="AN910" s="443"/>
      <c r="AO910" s="443"/>
      <c r="AP910" s="443"/>
      <c r="AQ910" s="443"/>
      <c r="AR910" s="443"/>
      <c r="AS910" s="443"/>
      <c r="AT910" s="443"/>
      <c r="AU910" s="443"/>
      <c r="AV910" s="443"/>
      <c r="AW910" s="443"/>
      <c r="AX910" s="443"/>
      <c r="AY910" s="443"/>
      <c r="AZ910" s="443"/>
      <c r="BA910" s="443"/>
      <c r="BB910" s="443"/>
      <c r="BC910" s="443"/>
      <c r="BD910" s="443"/>
      <c r="BE910" s="443"/>
    </row>
    <row r="911" hidden="1">
      <c r="A911" s="445">
        <f t="shared" si="5"/>
        <v>46201</v>
      </c>
      <c r="B911" s="449">
        <v>0.0</v>
      </c>
      <c r="C911" s="443"/>
      <c r="D911" s="462"/>
      <c r="E911" s="436" t="str">
        <f t="array" ref="E911">IF(B911=0,"",(J911+K911)/60)</f>
        <v/>
      </c>
      <c r="F911" s="437" t="str">
        <f t="shared" si="1"/>
        <v/>
      </c>
      <c r="G911" s="438" t="str">
        <f t="shared" si="9"/>
        <v>#DIV/0!</v>
      </c>
      <c r="H911" s="438" t="str">
        <f t="shared" si="3"/>
        <v/>
      </c>
      <c r="I911" s="436" t="str">
        <f t="shared" si="10"/>
        <v/>
      </c>
      <c r="J911" s="464"/>
      <c r="K911" s="464"/>
      <c r="L911" s="443"/>
      <c r="M911" s="447">
        <f>IFERROR(__xludf.DUMMYFUNCTION("""COMPUTED_VALUE"""),57.0)</f>
        <v>57</v>
      </c>
      <c r="N911" s="447">
        <f>IFERROR(__xludf.DUMMYFUNCTION("""COMPUTED_VALUE"""),57.0)</f>
        <v>57</v>
      </c>
      <c r="O911" s="447">
        <f>IFERROR(__xludf.DUMMYFUNCTION("""COMPUTED_VALUE"""),0.0)</f>
        <v>0</v>
      </c>
      <c r="P911" s="447">
        <f>IFERROR(__xludf.DUMMYFUNCTION("""COMPUTED_VALUE"""),0.0)</f>
        <v>0</v>
      </c>
      <c r="Q911" s="447">
        <f>IFERROR(__xludf.DUMMYFUNCTION("""COMPUTED_VALUE"""),0.0)</f>
        <v>0</v>
      </c>
      <c r="R911" s="447">
        <f>IFERROR(__xludf.DUMMYFUNCTION("""COMPUTED_VALUE"""),0.0)</f>
        <v>0</v>
      </c>
      <c r="S911" s="447">
        <f>IFERROR(__xludf.DUMMYFUNCTION("""COMPUTED_VALUE"""),0.0)</f>
        <v>0</v>
      </c>
      <c r="T911" s="447">
        <f>IFERROR(__xludf.DUMMYFUNCTION("""COMPUTED_VALUE"""),0.0)</f>
        <v>0</v>
      </c>
      <c r="U911" s="447">
        <f>IFERROR(__xludf.DUMMYFUNCTION("""COMPUTED_VALUE"""),0.0)</f>
        <v>0</v>
      </c>
      <c r="V911" s="447">
        <f>IFERROR(__xludf.DUMMYFUNCTION("""COMPUTED_VALUE"""),0.0)</f>
        <v>0</v>
      </c>
      <c r="W911" s="447">
        <f>IFERROR(__xludf.DUMMYFUNCTION("""COMPUTED_VALUE"""),0.0)</f>
        <v>0</v>
      </c>
      <c r="X911" s="447">
        <f>IFERROR(__xludf.DUMMYFUNCTION("""COMPUTED_VALUE"""),0.0)</f>
        <v>0</v>
      </c>
      <c r="Y911" s="447">
        <f>IFERROR(__xludf.DUMMYFUNCTION("""COMPUTED_VALUE"""),0.0)</f>
        <v>0</v>
      </c>
      <c r="Z911" s="447">
        <f>IFERROR(__xludf.DUMMYFUNCTION("""COMPUTED_VALUE"""),0.0)</f>
        <v>0</v>
      </c>
      <c r="AA911" s="447">
        <f>IFERROR(__xludf.DUMMYFUNCTION("""COMPUTED_VALUE"""),0.0)</f>
        <v>0</v>
      </c>
      <c r="AB911" s="447">
        <f>IFERROR(__xludf.DUMMYFUNCTION("""COMPUTED_VALUE"""),0.0)</f>
        <v>0</v>
      </c>
      <c r="AC911" s="447">
        <f>IFERROR(__xludf.DUMMYFUNCTION("""COMPUTED_VALUE"""),0.0)</f>
        <v>0</v>
      </c>
      <c r="AD911" s="447">
        <f>IFERROR(__xludf.DUMMYFUNCTION("""COMPUTED_VALUE"""),0.0)</f>
        <v>0</v>
      </c>
      <c r="AE911" s="447">
        <f>IFERROR(__xludf.DUMMYFUNCTION("""COMPUTED_VALUE"""),0.0)</f>
        <v>0</v>
      </c>
      <c r="AF911" s="447">
        <f>IFERROR(__xludf.DUMMYFUNCTION("""COMPUTED_VALUE"""),0.0)</f>
        <v>0</v>
      </c>
      <c r="AG911" s="443" t="s">
        <v>122</v>
      </c>
      <c r="AH911" s="443" t="s">
        <v>291</v>
      </c>
      <c r="AI911" s="443"/>
      <c r="AJ911" s="443"/>
      <c r="AK911" s="443"/>
      <c r="AL911" s="443"/>
      <c r="AM911" s="443"/>
      <c r="AN911" s="443"/>
      <c r="AO911" s="443"/>
      <c r="AP911" s="443"/>
      <c r="AQ911" s="443"/>
      <c r="AR911" s="443"/>
      <c r="AS911" s="443"/>
      <c r="AT911" s="443"/>
      <c r="AU911" s="443"/>
      <c r="AV911" s="443"/>
      <c r="AW911" s="443"/>
      <c r="AX911" s="443"/>
      <c r="AY911" s="443"/>
      <c r="AZ911" s="443"/>
      <c r="BA911" s="443"/>
      <c r="BB911" s="443"/>
      <c r="BC911" s="443"/>
      <c r="BD911" s="443"/>
      <c r="BE911" s="443"/>
    </row>
    <row r="912" hidden="1">
      <c r="A912" s="445">
        <f t="shared" si="5"/>
        <v>46202</v>
      </c>
      <c r="B912" s="449">
        <v>580.0</v>
      </c>
      <c r="C912" s="462">
        <v>0.5416666666666666</v>
      </c>
      <c r="D912" s="462">
        <v>0.9895833333333334</v>
      </c>
      <c r="E912" s="436">
        <f t="array" ref="E912">IF(B912=0,"",(J912+K912)/60)</f>
        <v>1</v>
      </c>
      <c r="F912" s="437">
        <f t="shared" si="1"/>
        <v>10.75</v>
      </c>
      <c r="G912" s="438">
        <f t="shared" si="9"/>
        <v>53.95348837</v>
      </c>
      <c r="H912" s="438">
        <f t="shared" si="3"/>
        <v>59.48717949</v>
      </c>
      <c r="I912" s="436">
        <f t="shared" si="10"/>
        <v>1.254732288</v>
      </c>
      <c r="J912" s="460">
        <v>60.0</v>
      </c>
      <c r="K912" s="464"/>
      <c r="L912" s="443"/>
      <c r="M912" s="447">
        <f>IFERROR(__xludf.DUMMYFUNCTION("""COMPUTED_VALUE"""),57.0)</f>
        <v>57</v>
      </c>
      <c r="N912" s="447">
        <f>IFERROR(__xludf.DUMMYFUNCTION("""COMPUTED_VALUE"""),54.0)</f>
        <v>54</v>
      </c>
      <c r="O912" s="447">
        <f>IFERROR(__xludf.DUMMYFUNCTION("""COMPUTED_VALUE"""),0.0)</f>
        <v>0</v>
      </c>
      <c r="P912" s="447">
        <f>IFERROR(__xludf.DUMMYFUNCTION("""COMPUTED_VALUE"""),0.0)</f>
        <v>0</v>
      </c>
      <c r="Q912" s="447">
        <f>IFERROR(__xludf.DUMMYFUNCTION("""COMPUTED_VALUE"""),1.0)</f>
        <v>1</v>
      </c>
      <c r="R912" s="447">
        <f>IFERROR(__xludf.DUMMYFUNCTION("""COMPUTED_VALUE"""),1.0)</f>
        <v>1</v>
      </c>
      <c r="S912" s="447">
        <f>IFERROR(__xludf.DUMMYFUNCTION("""COMPUTED_VALUE"""),0.0)</f>
        <v>0</v>
      </c>
      <c r="T912" s="447">
        <f>IFERROR(__xludf.DUMMYFUNCTION("""COMPUTED_VALUE"""),1.0)</f>
        <v>1</v>
      </c>
      <c r="U912" s="447">
        <f>IFERROR(__xludf.DUMMYFUNCTION("""COMPUTED_VALUE"""),2.0)</f>
        <v>2</v>
      </c>
      <c r="V912" s="447">
        <f>IFERROR(__xludf.DUMMYFUNCTION("""COMPUTED_VALUE"""),1.0)</f>
        <v>1</v>
      </c>
      <c r="W912" s="447">
        <f>IFERROR(__xludf.DUMMYFUNCTION("""COMPUTED_VALUE"""),0.0)</f>
        <v>0</v>
      </c>
      <c r="X912" s="447">
        <f>IFERROR(__xludf.DUMMYFUNCTION("""COMPUTED_VALUE"""),1.0)</f>
        <v>1</v>
      </c>
      <c r="Y912" s="447">
        <f>IFERROR(__xludf.DUMMYFUNCTION("""COMPUTED_VALUE"""),0.0)</f>
        <v>0</v>
      </c>
      <c r="Z912" s="447">
        <f>IFERROR(__xludf.DUMMYFUNCTION("""COMPUTED_VALUE"""),0.0)</f>
        <v>0</v>
      </c>
      <c r="AA912" s="447">
        <f>IFERROR(__xludf.DUMMYFUNCTION("""COMPUTED_VALUE"""),0.0)</f>
        <v>0</v>
      </c>
      <c r="AB912" s="447">
        <f>IFERROR(__xludf.DUMMYFUNCTION("""COMPUTED_VALUE"""),0.0)</f>
        <v>0</v>
      </c>
      <c r="AC912" s="447">
        <f>IFERROR(__xludf.DUMMYFUNCTION("""COMPUTED_VALUE"""),1.0)</f>
        <v>1</v>
      </c>
      <c r="AD912" s="447">
        <f>IFERROR(__xludf.DUMMYFUNCTION("""COMPUTED_VALUE"""),43.0)</f>
        <v>43</v>
      </c>
      <c r="AE912" s="447">
        <f>IFERROR(__xludf.DUMMYFUNCTION("""COMPUTED_VALUE"""),7.0)</f>
        <v>7</v>
      </c>
      <c r="AF912" s="447">
        <f>IFERROR(__xludf.DUMMYFUNCTION("""COMPUTED_VALUE"""),3.0)</f>
        <v>3</v>
      </c>
      <c r="AG912" s="443" t="s">
        <v>122</v>
      </c>
      <c r="AH912" s="443" t="s">
        <v>291</v>
      </c>
      <c r="AI912" s="443"/>
      <c r="AJ912" s="443"/>
      <c r="AK912" s="443"/>
      <c r="AL912" s="443"/>
      <c r="AM912" s="443"/>
      <c r="AN912" s="443"/>
      <c r="AO912" s="443"/>
      <c r="AP912" s="443"/>
      <c r="AQ912" s="443"/>
      <c r="AR912" s="443"/>
      <c r="AS912" s="443"/>
      <c r="AT912" s="443"/>
      <c r="AU912" s="443"/>
      <c r="AV912" s="443"/>
      <c r="AW912" s="443"/>
      <c r="AX912" s="443"/>
      <c r="AY912" s="443"/>
      <c r="AZ912" s="443"/>
      <c r="BA912" s="443"/>
      <c r="BB912" s="443"/>
      <c r="BC912" s="443"/>
      <c r="BD912" s="443"/>
      <c r="BE912" s="443"/>
    </row>
    <row r="913" hidden="1">
      <c r="A913" s="445">
        <f t="shared" si="5"/>
        <v>46203</v>
      </c>
      <c r="B913" s="449">
        <v>422.0</v>
      </c>
      <c r="C913" s="462">
        <v>0.5833333333333334</v>
      </c>
      <c r="D913" s="462">
        <v>0.8854166666666666</v>
      </c>
      <c r="E913" s="436">
        <f t="array" ref="E913">IF(B913=0,"",(J913+K913)/60)</f>
        <v>0.5</v>
      </c>
      <c r="F913" s="437">
        <f t="shared" si="1"/>
        <v>7.25</v>
      </c>
      <c r="G913" s="438">
        <f t="shared" si="9"/>
        <v>58.20689655</v>
      </c>
      <c r="H913" s="438">
        <f t="shared" si="3"/>
        <v>62.51851852</v>
      </c>
      <c r="I913" s="436">
        <f t="shared" si="10"/>
        <v>1.29348659</v>
      </c>
      <c r="J913" s="460">
        <v>30.0</v>
      </c>
      <c r="K913" s="460">
        <v>0.0</v>
      </c>
      <c r="L913" s="443"/>
      <c r="M913" s="447">
        <f>IFERROR(__xludf.DUMMYFUNCTION("""COMPUTED_VALUE"""),57.0)</f>
        <v>57</v>
      </c>
      <c r="N913" s="447">
        <f>IFERROR(__xludf.DUMMYFUNCTION("""COMPUTED_VALUE"""),55.0)</f>
        <v>55</v>
      </c>
      <c r="O913" s="447">
        <f>IFERROR(__xludf.DUMMYFUNCTION("""COMPUTED_VALUE"""),0.0)</f>
        <v>0</v>
      </c>
      <c r="P913" s="447">
        <f>IFERROR(__xludf.DUMMYFUNCTION("""COMPUTED_VALUE"""),0.0)</f>
        <v>0</v>
      </c>
      <c r="Q913" s="447">
        <f>IFERROR(__xludf.DUMMYFUNCTION("""COMPUTED_VALUE"""),0.0)</f>
        <v>0</v>
      </c>
      <c r="R913" s="447">
        <f>IFERROR(__xludf.DUMMYFUNCTION("""COMPUTED_VALUE"""),0.0)</f>
        <v>0</v>
      </c>
      <c r="S913" s="447">
        <f>IFERROR(__xludf.DUMMYFUNCTION("""COMPUTED_VALUE"""),1.0)</f>
        <v>1</v>
      </c>
      <c r="T913" s="447">
        <f>IFERROR(__xludf.DUMMYFUNCTION("""COMPUTED_VALUE"""),0.0)</f>
        <v>0</v>
      </c>
      <c r="U913" s="447">
        <f>IFERROR(__xludf.DUMMYFUNCTION("""COMPUTED_VALUE"""),2.0)</f>
        <v>2</v>
      </c>
      <c r="V913" s="447">
        <f>IFERROR(__xludf.DUMMYFUNCTION("""COMPUTED_VALUE"""),2.0)</f>
        <v>2</v>
      </c>
      <c r="W913" s="447">
        <f>IFERROR(__xludf.DUMMYFUNCTION("""COMPUTED_VALUE"""),0.0)</f>
        <v>0</v>
      </c>
      <c r="X913" s="447">
        <f>IFERROR(__xludf.DUMMYFUNCTION("""COMPUTED_VALUE"""),1.0)</f>
        <v>1</v>
      </c>
      <c r="Y913" s="447">
        <f>IFERROR(__xludf.DUMMYFUNCTION("""COMPUTED_VALUE"""),0.0)</f>
        <v>0</v>
      </c>
      <c r="Z913" s="447">
        <f>IFERROR(__xludf.DUMMYFUNCTION("""COMPUTED_VALUE"""),0.0)</f>
        <v>0</v>
      </c>
      <c r="AA913" s="447">
        <f>IFERROR(__xludf.DUMMYFUNCTION("""COMPUTED_VALUE"""),0.0)</f>
        <v>0</v>
      </c>
      <c r="AB913" s="447">
        <f>IFERROR(__xludf.DUMMYFUNCTION("""COMPUTED_VALUE"""),0.0)</f>
        <v>0</v>
      </c>
      <c r="AC913" s="447">
        <f>IFERROR(__xludf.DUMMYFUNCTION("""COMPUTED_VALUE"""),0.0)</f>
        <v>0</v>
      </c>
      <c r="AD913" s="447">
        <f>IFERROR(__xludf.DUMMYFUNCTION("""COMPUTED_VALUE"""),45.0)</f>
        <v>45</v>
      </c>
      <c r="AE913" s="447">
        <f>IFERROR(__xludf.DUMMYFUNCTION("""COMPUTED_VALUE"""),6.0)</f>
        <v>6</v>
      </c>
      <c r="AF913" s="447">
        <f>IFERROR(__xludf.DUMMYFUNCTION("""COMPUTED_VALUE"""),2.0)</f>
        <v>2</v>
      </c>
      <c r="AG913" s="443" t="s">
        <v>122</v>
      </c>
      <c r="AH913" s="443" t="s">
        <v>291</v>
      </c>
      <c r="AI913" s="443"/>
      <c r="AJ913" s="443"/>
      <c r="AK913" s="443"/>
      <c r="AL913" s="443"/>
      <c r="AM913" s="443"/>
      <c r="AN913" s="443"/>
      <c r="AO913" s="443"/>
      <c r="AP913" s="443"/>
      <c r="AQ913" s="443"/>
      <c r="AR913" s="443"/>
      <c r="AS913" s="443"/>
      <c r="AT913" s="443"/>
      <c r="AU913" s="443"/>
      <c r="AV913" s="443"/>
      <c r="AW913" s="443"/>
      <c r="AX913" s="443"/>
      <c r="AY913" s="443"/>
      <c r="AZ913" s="443"/>
      <c r="BA913" s="443"/>
      <c r="BB913" s="443"/>
      <c r="BC913" s="443"/>
      <c r="BD913" s="443"/>
      <c r="BE913" s="443"/>
    </row>
    <row r="914" hidden="1">
      <c r="A914" s="445">
        <f t="shared" si="5"/>
        <v>46204</v>
      </c>
      <c r="B914" s="449">
        <v>479.0</v>
      </c>
      <c r="C914" s="462">
        <v>0.5833333333333334</v>
      </c>
      <c r="D914" s="462">
        <v>0.9236111111111112</v>
      </c>
      <c r="E914" s="436">
        <f t="array" ref="E914">IF(B914=0,"",(J914+K914)/60)</f>
        <v>0.7666666667</v>
      </c>
      <c r="F914" s="437">
        <f t="shared" si="1"/>
        <v>8.166666667</v>
      </c>
      <c r="G914" s="438">
        <f t="shared" si="9"/>
        <v>58.65306122</v>
      </c>
      <c r="H914" s="438">
        <f t="shared" si="3"/>
        <v>64.72972973</v>
      </c>
      <c r="I914" s="436">
        <f t="shared" si="10"/>
        <v>1.629251701</v>
      </c>
      <c r="J914" s="460">
        <v>30.0</v>
      </c>
      <c r="K914" s="460">
        <v>16.0</v>
      </c>
      <c r="L914" s="443"/>
      <c r="M914" s="447">
        <f>IFERROR(__xludf.DUMMYFUNCTION("TRANSPOSE(IMPORTRANGE(""https://docs.google.com/spreadsheets/d/1CNeKSHTeNNJnfn5EymHwGg5Mkuk6EcepW7_9QkJxalc/edit#gid=1218471306"",""julio 2026!F2:AJ21""))"),57.0)</f>
        <v>57</v>
      </c>
      <c r="N914" s="447">
        <f>IFERROR(__xludf.DUMMYFUNCTION("""COMPUTED_VALUE"""),53.0)</f>
        <v>53</v>
      </c>
      <c r="O914" s="447">
        <f>IFERROR(__xludf.DUMMYFUNCTION("""COMPUTED_VALUE"""),1.0)</f>
        <v>1</v>
      </c>
      <c r="P914" s="447">
        <f>IFERROR(__xludf.DUMMYFUNCTION("""COMPUTED_VALUE"""),0.0)</f>
        <v>0</v>
      </c>
      <c r="Q914" s="447">
        <f>IFERROR(__xludf.DUMMYFUNCTION("""COMPUTED_VALUE"""),1.0)</f>
        <v>1</v>
      </c>
      <c r="R914" s="447">
        <f>IFERROR(__xludf.DUMMYFUNCTION("""COMPUTED_VALUE"""),1.0)</f>
        <v>1</v>
      </c>
      <c r="S914" s="447">
        <f>IFERROR(__xludf.DUMMYFUNCTION("""COMPUTED_VALUE"""),4.0)</f>
        <v>4</v>
      </c>
      <c r="T914" s="447">
        <f>IFERROR(__xludf.DUMMYFUNCTION("""COMPUTED_VALUE"""),1.0)</f>
        <v>1</v>
      </c>
      <c r="U914" s="447">
        <f>IFERROR(__xludf.DUMMYFUNCTION("""COMPUTED_VALUE"""),3.0)</f>
        <v>3</v>
      </c>
      <c r="V914" s="447">
        <f>IFERROR(__xludf.DUMMYFUNCTION("""COMPUTED_VALUE"""),3.0)</f>
        <v>3</v>
      </c>
      <c r="W914" s="447">
        <f>IFERROR(__xludf.DUMMYFUNCTION("""COMPUTED_VALUE"""),0.0)</f>
        <v>0</v>
      </c>
      <c r="X914" s="447">
        <f>IFERROR(__xludf.DUMMYFUNCTION("""COMPUTED_VALUE"""),1.0)</f>
        <v>1</v>
      </c>
      <c r="Y914" s="447">
        <f>IFERROR(__xludf.DUMMYFUNCTION("""COMPUTED_VALUE"""),0.0)</f>
        <v>0</v>
      </c>
      <c r="Z914" s="447">
        <f>IFERROR(__xludf.DUMMYFUNCTION("""COMPUTED_VALUE"""),0.0)</f>
        <v>0</v>
      </c>
      <c r="AA914" s="447">
        <f>IFERROR(__xludf.DUMMYFUNCTION("""COMPUTED_VALUE"""),0.0)</f>
        <v>0</v>
      </c>
      <c r="AB914" s="447">
        <f>IFERROR(__xludf.DUMMYFUNCTION("""COMPUTED_VALUE"""),0.0)</f>
        <v>0</v>
      </c>
      <c r="AC914" s="447">
        <f>IFERROR(__xludf.DUMMYFUNCTION("""COMPUTED_VALUE"""),0.0)</f>
        <v>0</v>
      </c>
      <c r="AD914" s="447">
        <f>IFERROR(__xludf.DUMMYFUNCTION("""COMPUTED_VALUE"""),36.0)</f>
        <v>36</v>
      </c>
      <c r="AE914" s="447">
        <f>IFERROR(__xludf.DUMMYFUNCTION("""COMPUTED_VALUE"""),14.0)</f>
        <v>14</v>
      </c>
      <c r="AF914" s="447">
        <f>IFERROR(__xludf.DUMMYFUNCTION("""COMPUTED_VALUE"""),4.0)</f>
        <v>4</v>
      </c>
      <c r="AG914" s="443" t="s">
        <v>127</v>
      </c>
      <c r="AH914" s="443" t="s">
        <v>291</v>
      </c>
      <c r="AI914" s="443"/>
      <c r="AJ914" s="443"/>
      <c r="AK914" s="443"/>
      <c r="AL914" s="443"/>
      <c r="AM914" s="443"/>
      <c r="AN914" s="443"/>
      <c r="AO914" s="443"/>
      <c r="AP914" s="443"/>
      <c r="AQ914" s="443"/>
      <c r="AR914" s="443"/>
      <c r="AS914" s="443"/>
      <c r="AT914" s="443"/>
      <c r="AU914" s="443"/>
      <c r="AV914" s="443"/>
      <c r="AW914" s="443"/>
      <c r="AX914" s="443"/>
      <c r="AY914" s="443"/>
      <c r="AZ914" s="443"/>
      <c r="BA914" s="443"/>
      <c r="BB914" s="443"/>
      <c r="BC914" s="443"/>
      <c r="BD914" s="443"/>
      <c r="BE914" s="443"/>
    </row>
    <row r="915" hidden="1">
      <c r="A915" s="445">
        <f t="shared" si="5"/>
        <v>46205</v>
      </c>
      <c r="B915" s="449">
        <v>555.0</v>
      </c>
      <c r="C915" s="462">
        <v>0.5833333333333334</v>
      </c>
      <c r="D915" s="462">
        <v>0.9652777777777778</v>
      </c>
      <c r="E915" s="436">
        <f t="array" ref="E915">IF(B915=0,"",(J915+K915)/60)</f>
        <v>0.6</v>
      </c>
      <c r="F915" s="437">
        <f t="shared" si="1"/>
        <v>9.166666667</v>
      </c>
      <c r="G915" s="438">
        <f t="shared" si="9"/>
        <v>60.54545455</v>
      </c>
      <c r="H915" s="438">
        <f t="shared" si="3"/>
        <v>64.78599222</v>
      </c>
      <c r="I915" s="436">
        <f t="shared" si="10"/>
        <v>1.552447552</v>
      </c>
      <c r="J915" s="460">
        <v>30.0</v>
      </c>
      <c r="K915" s="460">
        <v>6.0</v>
      </c>
      <c r="L915" s="449" t="s">
        <v>1030</v>
      </c>
      <c r="M915" s="447">
        <f>IFERROR(__xludf.DUMMYFUNCTION("""COMPUTED_VALUE"""),57.0)</f>
        <v>57</v>
      </c>
      <c r="N915" s="447">
        <f>IFERROR(__xludf.DUMMYFUNCTION("""COMPUTED_VALUE"""),53.0)</f>
        <v>53</v>
      </c>
      <c r="O915" s="447">
        <f>IFERROR(__xludf.DUMMYFUNCTION("""COMPUTED_VALUE"""),1.0)</f>
        <v>1</v>
      </c>
      <c r="P915" s="447">
        <f>IFERROR(__xludf.DUMMYFUNCTION("""COMPUTED_VALUE"""),0.0)</f>
        <v>0</v>
      </c>
      <c r="Q915" s="447">
        <f>IFERROR(__xludf.DUMMYFUNCTION("""COMPUTED_VALUE"""),0.0)</f>
        <v>0</v>
      </c>
      <c r="R915" s="447">
        <f>IFERROR(__xludf.DUMMYFUNCTION("""COMPUTED_VALUE"""),0.0)</f>
        <v>0</v>
      </c>
      <c r="S915" s="447">
        <f>IFERROR(__xludf.DUMMYFUNCTION("""COMPUTED_VALUE"""),3.0)</f>
        <v>3</v>
      </c>
      <c r="T915" s="447">
        <f>IFERROR(__xludf.DUMMYFUNCTION("""COMPUTED_VALUE"""),0.0)</f>
        <v>0</v>
      </c>
      <c r="U915" s="447">
        <f>IFERROR(__xludf.DUMMYFUNCTION("""COMPUTED_VALUE"""),4.0)</f>
        <v>4</v>
      </c>
      <c r="V915" s="447">
        <f>IFERROR(__xludf.DUMMYFUNCTION("""COMPUTED_VALUE"""),3.0)</f>
        <v>3</v>
      </c>
      <c r="W915" s="447">
        <f>IFERROR(__xludf.DUMMYFUNCTION("""COMPUTED_VALUE"""),0.0)</f>
        <v>0</v>
      </c>
      <c r="X915" s="447">
        <f>IFERROR(__xludf.DUMMYFUNCTION("""COMPUTED_VALUE"""),1.0)</f>
        <v>1</v>
      </c>
      <c r="Y915" s="447">
        <f>IFERROR(__xludf.DUMMYFUNCTION("""COMPUTED_VALUE"""),0.0)</f>
        <v>0</v>
      </c>
      <c r="Z915" s="447">
        <f>IFERROR(__xludf.DUMMYFUNCTION("""COMPUTED_VALUE"""),0.0)</f>
        <v>0</v>
      </c>
      <c r="AA915" s="447">
        <f>IFERROR(__xludf.DUMMYFUNCTION("""COMPUTED_VALUE"""),0.0)</f>
        <v>0</v>
      </c>
      <c r="AB915" s="447">
        <f>IFERROR(__xludf.DUMMYFUNCTION("""COMPUTED_VALUE"""),0.0)</f>
        <v>0</v>
      </c>
      <c r="AC915" s="447">
        <f>IFERROR(__xludf.DUMMYFUNCTION("""COMPUTED_VALUE"""),0.0)</f>
        <v>0</v>
      </c>
      <c r="AD915" s="447">
        <f>IFERROR(__xludf.DUMMYFUNCTION("""COMPUTED_VALUE"""),39.0)</f>
        <v>39</v>
      </c>
      <c r="AE915" s="447">
        <f>IFERROR(__xludf.DUMMYFUNCTION("""COMPUTED_VALUE"""),12.0)</f>
        <v>12</v>
      </c>
      <c r="AF915" s="447">
        <f>IFERROR(__xludf.DUMMYFUNCTION("""COMPUTED_VALUE"""),4.0)</f>
        <v>4</v>
      </c>
      <c r="AG915" s="443" t="s">
        <v>127</v>
      </c>
      <c r="AH915" s="443" t="s">
        <v>291</v>
      </c>
      <c r="AI915" s="443"/>
      <c r="AJ915" s="443"/>
      <c r="AK915" s="443"/>
      <c r="AL915" s="443"/>
      <c r="AM915" s="443"/>
      <c r="AN915" s="443"/>
      <c r="AO915" s="443"/>
      <c r="AP915" s="443"/>
      <c r="AQ915" s="443"/>
      <c r="AR915" s="443"/>
      <c r="AS915" s="443"/>
      <c r="AT915" s="443"/>
      <c r="AU915" s="443"/>
      <c r="AV915" s="443"/>
      <c r="AW915" s="443"/>
      <c r="AX915" s="443"/>
      <c r="AY915" s="443"/>
      <c r="AZ915" s="443"/>
      <c r="BA915" s="443"/>
      <c r="BB915" s="443"/>
      <c r="BC915" s="443"/>
      <c r="BD915" s="443"/>
      <c r="BE915" s="443"/>
    </row>
    <row r="916" hidden="1">
      <c r="A916" s="445">
        <f t="shared" si="5"/>
        <v>46206</v>
      </c>
      <c r="B916" s="449">
        <v>531.0</v>
      </c>
      <c r="C916" s="462">
        <v>0.6666666666666666</v>
      </c>
      <c r="D916" s="462">
        <v>1.0395833333333333</v>
      </c>
      <c r="E916" s="436">
        <f t="array" ref="E916">IF(B916=0,"",(J916+K916)/60)</f>
        <v>1.466666667</v>
      </c>
      <c r="F916" s="437">
        <f t="shared" si="1"/>
        <v>8.95</v>
      </c>
      <c r="G916" s="438">
        <f t="shared" si="9"/>
        <v>59.32960894</v>
      </c>
      <c r="H916" s="438">
        <f t="shared" si="3"/>
        <v>70.95768374</v>
      </c>
      <c r="I916" s="436">
        <f t="shared" si="10"/>
        <v>1.561305498</v>
      </c>
      <c r="J916" s="460">
        <v>45.0</v>
      </c>
      <c r="K916" s="460">
        <v>43.0</v>
      </c>
      <c r="L916" s="443"/>
      <c r="M916" s="447">
        <f>IFERROR(__xludf.DUMMYFUNCTION("""COMPUTED_VALUE"""),57.0)</f>
        <v>57</v>
      </c>
      <c r="N916" s="447">
        <f>IFERROR(__xludf.DUMMYFUNCTION("""COMPUTED_VALUE"""),56.0)</f>
        <v>56</v>
      </c>
      <c r="O916" s="447">
        <f>IFERROR(__xludf.DUMMYFUNCTION("""COMPUTED_VALUE"""),0.0)</f>
        <v>0</v>
      </c>
      <c r="P916" s="447">
        <f>IFERROR(__xludf.DUMMYFUNCTION("""COMPUTED_VALUE"""),0.0)</f>
        <v>0</v>
      </c>
      <c r="Q916" s="447">
        <f>IFERROR(__xludf.DUMMYFUNCTION("""COMPUTED_VALUE"""),1.0)</f>
        <v>1</v>
      </c>
      <c r="R916" s="447">
        <f>IFERROR(__xludf.DUMMYFUNCTION("""COMPUTED_VALUE"""),0.0)</f>
        <v>0</v>
      </c>
      <c r="S916" s="447">
        <f>IFERROR(__xludf.DUMMYFUNCTION("""COMPUTED_VALUE"""),4.0)</f>
        <v>4</v>
      </c>
      <c r="T916" s="447">
        <f>IFERROR(__xludf.DUMMYFUNCTION("""COMPUTED_VALUE"""),0.0)</f>
        <v>0</v>
      </c>
      <c r="U916" s="447">
        <f>IFERROR(__xludf.DUMMYFUNCTION("""COMPUTED_VALUE"""),1.0)</f>
        <v>1</v>
      </c>
      <c r="V916" s="447">
        <f>IFERROR(__xludf.DUMMYFUNCTION("""COMPUTED_VALUE"""),3.0)</f>
        <v>3</v>
      </c>
      <c r="W916" s="447">
        <f>IFERROR(__xludf.DUMMYFUNCTION("""COMPUTED_VALUE"""),0.0)</f>
        <v>0</v>
      </c>
      <c r="X916" s="447">
        <f>IFERROR(__xludf.DUMMYFUNCTION("""COMPUTED_VALUE"""),1.0)</f>
        <v>1</v>
      </c>
      <c r="Y916" s="447">
        <f>IFERROR(__xludf.DUMMYFUNCTION("""COMPUTED_VALUE"""),0.0)</f>
        <v>0</v>
      </c>
      <c r="Z916" s="447">
        <f>IFERROR(__xludf.DUMMYFUNCTION("""COMPUTED_VALUE"""),0.0)</f>
        <v>0</v>
      </c>
      <c r="AA916" s="447">
        <f>IFERROR(__xludf.DUMMYFUNCTION("""COMPUTED_VALUE"""),0.0)</f>
        <v>0</v>
      </c>
      <c r="AB916" s="447">
        <f>IFERROR(__xludf.DUMMYFUNCTION("""COMPUTED_VALUE"""),3.0)</f>
        <v>3</v>
      </c>
      <c r="AC916" s="447">
        <f>IFERROR(__xludf.DUMMYFUNCTION("""COMPUTED_VALUE"""),0.0)</f>
        <v>0</v>
      </c>
      <c r="AD916" s="447">
        <f>IFERROR(__xludf.DUMMYFUNCTION("""COMPUTED_VALUE"""),38.0)</f>
        <v>38</v>
      </c>
      <c r="AE916" s="447">
        <f>IFERROR(__xludf.DUMMYFUNCTION("""COMPUTED_VALUE"""),10.0)</f>
        <v>10</v>
      </c>
      <c r="AF916" s="447">
        <f>IFERROR(__xludf.DUMMYFUNCTION("""COMPUTED_VALUE"""),1.0)</f>
        <v>1</v>
      </c>
      <c r="AG916" s="443" t="s">
        <v>127</v>
      </c>
      <c r="AH916" s="443" t="s">
        <v>291</v>
      </c>
      <c r="AI916" s="443"/>
      <c r="AJ916" s="443"/>
      <c r="AK916" s="443"/>
      <c r="AL916" s="443"/>
      <c r="AM916" s="443"/>
      <c r="AN916" s="443"/>
      <c r="AO916" s="443"/>
      <c r="AP916" s="443"/>
      <c r="AQ916" s="443"/>
      <c r="AR916" s="443"/>
      <c r="AS916" s="443"/>
      <c r="AT916" s="443"/>
      <c r="AU916" s="443"/>
      <c r="AV916" s="443"/>
      <c r="AW916" s="443"/>
      <c r="AX916" s="443"/>
      <c r="AY916" s="443"/>
      <c r="AZ916" s="443"/>
      <c r="BA916" s="443"/>
      <c r="BB916" s="443"/>
      <c r="BC916" s="443"/>
      <c r="BD916" s="443"/>
      <c r="BE916" s="443"/>
    </row>
    <row r="917" hidden="1">
      <c r="A917" s="445">
        <f t="shared" si="5"/>
        <v>46207</v>
      </c>
      <c r="B917" s="449">
        <v>438.0</v>
      </c>
      <c r="C917" s="462">
        <v>0.625</v>
      </c>
      <c r="D917" s="462">
        <v>0.9291666666666667</v>
      </c>
      <c r="E917" s="436">
        <f t="array" ref="E917">IF(B917=0,"",(J917+K917)/60)</f>
        <v>0.5</v>
      </c>
      <c r="F917" s="437">
        <f t="shared" si="1"/>
        <v>7.3</v>
      </c>
      <c r="G917" s="438">
        <f t="shared" si="9"/>
        <v>60</v>
      </c>
      <c r="H917" s="438">
        <f t="shared" si="3"/>
        <v>64.41176471</v>
      </c>
      <c r="I917" s="436">
        <f t="shared" si="10"/>
        <v>1.463414634</v>
      </c>
      <c r="J917" s="460">
        <v>30.0</v>
      </c>
      <c r="K917" s="464"/>
      <c r="L917" s="443"/>
      <c r="M917" s="447">
        <f>IFERROR(__xludf.DUMMYFUNCTION("""COMPUTED_VALUE"""),57.0)</f>
        <v>57</v>
      </c>
      <c r="N917" s="447">
        <f>IFERROR(__xludf.DUMMYFUNCTION("""COMPUTED_VALUE"""),56.0)</f>
        <v>56</v>
      </c>
      <c r="O917" s="447">
        <f>IFERROR(__xludf.DUMMYFUNCTION("""COMPUTED_VALUE"""),1.0)</f>
        <v>1</v>
      </c>
      <c r="P917" s="447">
        <f>IFERROR(__xludf.DUMMYFUNCTION("""COMPUTED_VALUE"""),0.0)</f>
        <v>0</v>
      </c>
      <c r="Q917" s="447">
        <f>IFERROR(__xludf.DUMMYFUNCTION("""COMPUTED_VALUE"""),1.0)</f>
        <v>1</v>
      </c>
      <c r="R917" s="447">
        <f>IFERROR(__xludf.DUMMYFUNCTION("""COMPUTED_VALUE"""),0.0)</f>
        <v>0</v>
      </c>
      <c r="S917" s="447">
        <f>IFERROR(__xludf.DUMMYFUNCTION("""COMPUTED_VALUE"""),2.0)</f>
        <v>2</v>
      </c>
      <c r="T917" s="447">
        <f>IFERROR(__xludf.DUMMYFUNCTION("""COMPUTED_VALUE"""),1.0)</f>
        <v>1</v>
      </c>
      <c r="U917" s="447">
        <f>IFERROR(__xludf.DUMMYFUNCTION("""COMPUTED_VALUE"""),1.0)</f>
        <v>1</v>
      </c>
      <c r="V917" s="447">
        <f>IFERROR(__xludf.DUMMYFUNCTION("""COMPUTED_VALUE"""),3.0)</f>
        <v>3</v>
      </c>
      <c r="W917" s="447">
        <f>IFERROR(__xludf.DUMMYFUNCTION("""COMPUTED_VALUE"""),0.0)</f>
        <v>0</v>
      </c>
      <c r="X917" s="447">
        <f>IFERROR(__xludf.DUMMYFUNCTION("""COMPUTED_VALUE"""),1.0)</f>
        <v>1</v>
      </c>
      <c r="Y917" s="447">
        <f>IFERROR(__xludf.DUMMYFUNCTION("""COMPUTED_VALUE"""),0.0)</f>
        <v>0</v>
      </c>
      <c r="Z917" s="447">
        <f>IFERROR(__xludf.DUMMYFUNCTION("""COMPUTED_VALUE"""),0.0)</f>
        <v>0</v>
      </c>
      <c r="AA917" s="447">
        <f>IFERROR(__xludf.DUMMYFUNCTION("""COMPUTED_VALUE"""),0.0)</f>
        <v>0</v>
      </c>
      <c r="AB917" s="447">
        <f>IFERROR(__xludf.DUMMYFUNCTION("""COMPUTED_VALUE"""),0.0)</f>
        <v>0</v>
      </c>
      <c r="AC917" s="447">
        <f>IFERROR(__xludf.DUMMYFUNCTION("""COMPUTED_VALUE"""),0.0)</f>
        <v>0</v>
      </c>
      <c r="AD917" s="447">
        <f>IFERROR(__xludf.DUMMYFUNCTION("""COMPUTED_VALUE"""),41.0)</f>
        <v>41</v>
      </c>
      <c r="AE917" s="447">
        <f>IFERROR(__xludf.DUMMYFUNCTION("""COMPUTED_VALUE"""),10.0)</f>
        <v>10</v>
      </c>
      <c r="AF917" s="447">
        <f>IFERROR(__xludf.DUMMYFUNCTION("""COMPUTED_VALUE"""),1.0)</f>
        <v>1</v>
      </c>
      <c r="AG917" s="443" t="s">
        <v>127</v>
      </c>
      <c r="AH917" s="443" t="s">
        <v>291</v>
      </c>
      <c r="AI917" s="443"/>
      <c r="AJ917" s="443"/>
      <c r="AK917" s="443"/>
      <c r="AL917" s="443"/>
      <c r="AM917" s="443"/>
      <c r="AN917" s="443"/>
      <c r="AO917" s="443"/>
      <c r="AP917" s="443"/>
      <c r="AQ917" s="443"/>
      <c r="AR917" s="443"/>
      <c r="AS917" s="443"/>
      <c r="AT917" s="443"/>
      <c r="AU917" s="443"/>
      <c r="AV917" s="443"/>
      <c r="AW917" s="443"/>
      <c r="AX917" s="443"/>
      <c r="AY917" s="443"/>
      <c r="AZ917" s="443"/>
      <c r="BA917" s="443"/>
      <c r="BB917" s="443"/>
      <c r="BC917" s="443"/>
      <c r="BD917" s="443"/>
      <c r="BE917" s="443"/>
    </row>
    <row r="918" hidden="1">
      <c r="A918" s="445">
        <f t="shared" si="5"/>
        <v>46208</v>
      </c>
      <c r="B918" s="449">
        <v>0.0</v>
      </c>
      <c r="C918" s="443"/>
      <c r="D918" s="462"/>
      <c r="E918" s="436" t="str">
        <f t="array" ref="E918">IF(B918=0,"",(J918+K918)/60)</f>
        <v/>
      </c>
      <c r="F918" s="437" t="str">
        <f t="shared" si="1"/>
        <v/>
      </c>
      <c r="G918" s="438" t="str">
        <f t="shared" si="9"/>
        <v>#DIV/0!</v>
      </c>
      <c r="H918" s="438" t="str">
        <f t="shared" si="3"/>
        <v/>
      </c>
      <c r="I918" s="436" t="str">
        <f t="shared" si="10"/>
        <v/>
      </c>
      <c r="J918" s="464"/>
      <c r="K918" s="464"/>
      <c r="L918" s="443"/>
      <c r="M918" s="443"/>
      <c r="N918" s="447">
        <f>IFERROR(__xludf.DUMMYFUNCTION("""COMPUTED_VALUE"""),57.0)</f>
        <v>57</v>
      </c>
      <c r="O918" s="447" t="str">
        <f>IFERROR(__xludf.DUMMYFUNCTION("""COMPUTED_VALUE"""),"#REF!")</f>
        <v>#REF!</v>
      </c>
      <c r="P918" s="447">
        <f>IFERROR(__xludf.DUMMYFUNCTION("""COMPUTED_VALUE"""),0.0)</f>
        <v>0</v>
      </c>
      <c r="Q918" s="447">
        <f>IFERROR(__xludf.DUMMYFUNCTION("""COMPUTED_VALUE"""),0.0)</f>
        <v>0</v>
      </c>
      <c r="R918" s="447">
        <f>IFERROR(__xludf.DUMMYFUNCTION("""COMPUTED_VALUE"""),0.0)</f>
        <v>0</v>
      </c>
      <c r="S918" s="447">
        <f>IFERROR(__xludf.DUMMYFUNCTION("""COMPUTED_VALUE"""),0.0)</f>
        <v>0</v>
      </c>
      <c r="T918" s="447">
        <f>IFERROR(__xludf.DUMMYFUNCTION("""COMPUTED_VALUE"""),0.0)</f>
        <v>0</v>
      </c>
      <c r="U918" s="447">
        <f>IFERROR(__xludf.DUMMYFUNCTION("""COMPUTED_VALUE"""),0.0)</f>
        <v>0</v>
      </c>
      <c r="V918" s="447">
        <f>IFERROR(__xludf.DUMMYFUNCTION("""COMPUTED_VALUE"""),1.0)</f>
        <v>1</v>
      </c>
      <c r="W918" s="447">
        <f>IFERROR(__xludf.DUMMYFUNCTION("""COMPUTED_VALUE"""),3.0)</f>
        <v>3</v>
      </c>
      <c r="X918" s="447">
        <f>IFERROR(__xludf.DUMMYFUNCTION("""COMPUTED_VALUE"""),0.0)</f>
        <v>0</v>
      </c>
      <c r="Y918" s="447">
        <f>IFERROR(__xludf.DUMMYFUNCTION("""COMPUTED_VALUE"""),1.0)</f>
        <v>1</v>
      </c>
      <c r="Z918" s="447">
        <f>IFERROR(__xludf.DUMMYFUNCTION("""COMPUTED_VALUE"""),0.0)</f>
        <v>0</v>
      </c>
      <c r="AA918" s="447">
        <f>IFERROR(__xludf.DUMMYFUNCTION("""COMPUTED_VALUE"""),0.0)</f>
        <v>0</v>
      </c>
      <c r="AB918" s="447">
        <f>IFERROR(__xludf.DUMMYFUNCTION("""COMPUTED_VALUE"""),0.0)</f>
        <v>0</v>
      </c>
      <c r="AC918" s="447">
        <f>IFERROR(__xludf.DUMMYFUNCTION("""COMPUTED_VALUE"""),0.0)</f>
        <v>0</v>
      </c>
      <c r="AD918" s="447">
        <f>IFERROR(__xludf.DUMMYFUNCTION("""COMPUTED_VALUE"""),0.0)</f>
        <v>0</v>
      </c>
      <c r="AE918" s="447">
        <f>IFERROR(__xludf.DUMMYFUNCTION("""COMPUTED_VALUE"""),0.0)</f>
        <v>0</v>
      </c>
      <c r="AF918" s="443"/>
      <c r="AG918" s="443" t="s">
        <v>127</v>
      </c>
      <c r="AH918" s="443" t="s">
        <v>291</v>
      </c>
      <c r="AI918" s="443"/>
      <c r="AJ918" s="443"/>
      <c r="AK918" s="443"/>
      <c r="AL918" s="443"/>
      <c r="AM918" s="443"/>
      <c r="AN918" s="443"/>
      <c r="AO918" s="443"/>
      <c r="AP918" s="443"/>
      <c r="AQ918" s="443"/>
      <c r="AR918" s="443"/>
      <c r="AS918" s="443"/>
      <c r="AT918" s="443"/>
      <c r="AU918" s="443"/>
      <c r="AV918" s="443"/>
      <c r="AW918" s="443"/>
      <c r="AX918" s="443"/>
      <c r="AY918" s="443"/>
      <c r="AZ918" s="443"/>
      <c r="BA918" s="443"/>
      <c r="BB918" s="443"/>
      <c r="BC918" s="443"/>
      <c r="BD918" s="443"/>
      <c r="BE918" s="443"/>
    </row>
    <row r="919" hidden="1">
      <c r="A919" s="445">
        <f t="shared" si="5"/>
        <v>46209</v>
      </c>
      <c r="B919" s="449">
        <v>558.0</v>
      </c>
      <c r="C919" s="462">
        <v>0.5416666666666666</v>
      </c>
      <c r="D919" s="462">
        <v>0.9791666666666666</v>
      </c>
      <c r="E919" s="436">
        <f t="array" ref="E919">IF(B919=0,"",(J919+K919)/60)</f>
        <v>1.833333333</v>
      </c>
      <c r="F919" s="437">
        <f t="shared" si="1"/>
        <v>10.5</v>
      </c>
      <c r="G919" s="438">
        <f t="shared" si="9"/>
        <v>53.14285714</v>
      </c>
      <c r="H919" s="438">
        <f t="shared" si="3"/>
        <v>64.38461538</v>
      </c>
      <c r="I919" s="436">
        <f t="shared" si="10"/>
        <v>1.180952381</v>
      </c>
      <c r="J919" s="460">
        <v>60.0</v>
      </c>
      <c r="K919" s="460">
        <v>50.0</v>
      </c>
      <c r="L919" s="443"/>
      <c r="M919" s="447">
        <f>IFERROR(__xludf.DUMMYFUNCTION("""COMPUTED_VALUE"""),57.0)</f>
        <v>57</v>
      </c>
      <c r="N919" s="447">
        <f>IFERROR(__xludf.DUMMYFUNCTION("""COMPUTED_VALUE"""),57.0)</f>
        <v>57</v>
      </c>
      <c r="O919" s="447">
        <f>IFERROR(__xludf.DUMMYFUNCTION("""COMPUTED_VALUE"""),0.0)</f>
        <v>0</v>
      </c>
      <c r="P919" s="447">
        <f>IFERROR(__xludf.DUMMYFUNCTION("""COMPUTED_VALUE"""),0.0)</f>
        <v>0</v>
      </c>
      <c r="Q919" s="447">
        <f>IFERROR(__xludf.DUMMYFUNCTION("""COMPUTED_VALUE"""),1.0)</f>
        <v>1</v>
      </c>
      <c r="R919" s="447">
        <f>IFERROR(__xludf.DUMMYFUNCTION("""COMPUTED_VALUE"""),0.0)</f>
        <v>0</v>
      </c>
      <c r="S919" s="447">
        <f>IFERROR(__xludf.DUMMYFUNCTION("""COMPUTED_VALUE"""),0.0)</f>
        <v>0</v>
      </c>
      <c r="T919" s="447">
        <f>IFERROR(__xludf.DUMMYFUNCTION("""COMPUTED_VALUE"""),0.0)</f>
        <v>0</v>
      </c>
      <c r="U919" s="447">
        <f>IFERROR(__xludf.DUMMYFUNCTION("""COMPUTED_VALUE"""),0.0)</f>
        <v>0</v>
      </c>
      <c r="V919" s="447">
        <f>IFERROR(__xludf.DUMMYFUNCTION("""COMPUTED_VALUE"""),3.0)</f>
        <v>3</v>
      </c>
      <c r="W919" s="447">
        <f>IFERROR(__xludf.DUMMYFUNCTION("""COMPUTED_VALUE"""),0.0)</f>
        <v>0</v>
      </c>
      <c r="X919" s="447">
        <f>IFERROR(__xludf.DUMMYFUNCTION("""COMPUTED_VALUE"""),1.0)</f>
        <v>1</v>
      </c>
      <c r="Y919" s="447">
        <f>IFERROR(__xludf.DUMMYFUNCTION("""COMPUTED_VALUE"""),0.0)</f>
        <v>0</v>
      </c>
      <c r="Z919" s="447">
        <f>IFERROR(__xludf.DUMMYFUNCTION("""COMPUTED_VALUE"""),0.0)</f>
        <v>0</v>
      </c>
      <c r="AA919" s="447">
        <f>IFERROR(__xludf.DUMMYFUNCTION("""COMPUTED_VALUE"""),0.0)</f>
        <v>0</v>
      </c>
      <c r="AB919" s="447">
        <f>IFERROR(__xludf.DUMMYFUNCTION("""COMPUTED_VALUE"""),1.0)</f>
        <v>1</v>
      </c>
      <c r="AC919" s="447">
        <f>IFERROR(__xludf.DUMMYFUNCTION("""COMPUTED_VALUE"""),0.0)</f>
        <v>0</v>
      </c>
      <c r="AD919" s="447">
        <f>IFERROR(__xludf.DUMMYFUNCTION("""COMPUTED_VALUE"""),45.0)</f>
        <v>45</v>
      </c>
      <c r="AE919" s="447">
        <f>IFERROR(__xludf.DUMMYFUNCTION("""COMPUTED_VALUE"""),5.0)</f>
        <v>5</v>
      </c>
      <c r="AF919" s="447">
        <f>IFERROR(__xludf.DUMMYFUNCTION("""COMPUTED_VALUE"""),0.0)</f>
        <v>0</v>
      </c>
      <c r="AG919" s="443" t="s">
        <v>127</v>
      </c>
      <c r="AH919" s="443" t="s">
        <v>291</v>
      </c>
      <c r="AI919" s="443"/>
      <c r="AJ919" s="443"/>
      <c r="AK919" s="443"/>
      <c r="AL919" s="443"/>
      <c r="AM919" s="443"/>
      <c r="AN919" s="443"/>
      <c r="AO919" s="443"/>
      <c r="AP919" s="443"/>
      <c r="AQ919" s="443"/>
      <c r="AR919" s="443"/>
      <c r="AS919" s="443"/>
      <c r="AT919" s="443"/>
      <c r="AU919" s="443"/>
      <c r="AV919" s="443"/>
      <c r="AW919" s="443"/>
      <c r="AX919" s="443"/>
      <c r="AY919" s="443"/>
      <c r="AZ919" s="443"/>
      <c r="BA919" s="443"/>
      <c r="BB919" s="443"/>
      <c r="BC919" s="443"/>
      <c r="BD919" s="443"/>
      <c r="BE919" s="443"/>
    </row>
    <row r="920" hidden="1">
      <c r="A920" s="445">
        <f t="shared" si="5"/>
        <v>46210</v>
      </c>
      <c r="B920" s="449">
        <v>553.0</v>
      </c>
      <c r="C920" s="462">
        <v>0.5</v>
      </c>
      <c r="D920" s="462">
        <v>1.0027777777777778</v>
      </c>
      <c r="E920" s="436">
        <f t="array" ref="E920">IF(B920=0,"",(J920+K920)/60)</f>
        <v>3.7</v>
      </c>
      <c r="F920" s="437">
        <f t="shared" si="1"/>
        <v>12.06666667</v>
      </c>
      <c r="G920" s="438">
        <f t="shared" si="9"/>
        <v>45.82872928</v>
      </c>
      <c r="H920" s="438">
        <f t="shared" si="3"/>
        <v>66.09561753</v>
      </c>
      <c r="I920" s="436">
        <f t="shared" si="10"/>
        <v>0.9962767235</v>
      </c>
      <c r="J920" s="460">
        <v>195.0</v>
      </c>
      <c r="K920" s="460">
        <v>27.0</v>
      </c>
      <c r="L920" s="443"/>
      <c r="M920" s="447">
        <f>IFERROR(__xludf.DUMMYFUNCTION("""COMPUTED_VALUE"""),57.0)</f>
        <v>57</v>
      </c>
      <c r="N920" s="447">
        <f>IFERROR(__xludf.DUMMYFUNCTION("""COMPUTED_VALUE"""),57.0)</f>
        <v>57</v>
      </c>
      <c r="O920" s="447">
        <f>IFERROR(__xludf.DUMMYFUNCTION("""COMPUTED_VALUE"""),0.0)</f>
        <v>0</v>
      </c>
      <c r="P920" s="447">
        <f>IFERROR(__xludf.DUMMYFUNCTION("""COMPUTED_VALUE"""),0.0)</f>
        <v>0</v>
      </c>
      <c r="Q920" s="447">
        <f>IFERROR(__xludf.DUMMYFUNCTION("""COMPUTED_VALUE"""),1.0)</f>
        <v>1</v>
      </c>
      <c r="R920" s="447">
        <f>IFERROR(__xludf.DUMMYFUNCTION("""COMPUTED_VALUE"""),0.0)</f>
        <v>0</v>
      </c>
      <c r="S920" s="447">
        <f>IFERROR(__xludf.DUMMYFUNCTION("""COMPUTED_VALUE"""),1.0)</f>
        <v>1</v>
      </c>
      <c r="T920" s="447">
        <f>IFERROR(__xludf.DUMMYFUNCTION("""COMPUTED_VALUE"""),0.0)</f>
        <v>0</v>
      </c>
      <c r="U920" s="447">
        <f>IFERROR(__xludf.DUMMYFUNCTION("""COMPUTED_VALUE"""),0.0)</f>
        <v>0</v>
      </c>
      <c r="V920" s="447">
        <f>IFERROR(__xludf.DUMMYFUNCTION("""COMPUTED_VALUE"""),3.0)</f>
        <v>3</v>
      </c>
      <c r="W920" s="447">
        <f>IFERROR(__xludf.DUMMYFUNCTION("""COMPUTED_VALUE"""),0.0)</f>
        <v>0</v>
      </c>
      <c r="X920" s="447">
        <f>IFERROR(__xludf.DUMMYFUNCTION("""COMPUTED_VALUE"""),0.0)</f>
        <v>0</v>
      </c>
      <c r="Y920" s="447">
        <f>IFERROR(__xludf.DUMMYFUNCTION("""COMPUTED_VALUE"""),0.0)</f>
        <v>0</v>
      </c>
      <c r="Z920" s="447">
        <f>IFERROR(__xludf.DUMMYFUNCTION("""COMPUTED_VALUE"""),0.0)</f>
        <v>0</v>
      </c>
      <c r="AA920" s="447">
        <f>IFERROR(__xludf.DUMMYFUNCTION("""COMPUTED_VALUE"""),0.0)</f>
        <v>0</v>
      </c>
      <c r="AB920" s="447">
        <f>IFERROR(__xludf.DUMMYFUNCTION("""COMPUTED_VALUE"""),0.0)</f>
        <v>0</v>
      </c>
      <c r="AC920" s="447">
        <f>IFERROR(__xludf.DUMMYFUNCTION("""COMPUTED_VALUE"""),0.0)</f>
        <v>0</v>
      </c>
      <c r="AD920" s="447">
        <f>IFERROR(__xludf.DUMMYFUNCTION("""COMPUTED_VALUE"""),46.0)</f>
        <v>46</v>
      </c>
      <c r="AE920" s="447">
        <f>IFERROR(__xludf.DUMMYFUNCTION("""COMPUTED_VALUE"""),5.0)</f>
        <v>5</v>
      </c>
      <c r="AF920" s="447">
        <f>IFERROR(__xludf.DUMMYFUNCTION("""COMPUTED_VALUE"""),0.0)</f>
        <v>0</v>
      </c>
      <c r="AG920" s="443" t="s">
        <v>127</v>
      </c>
      <c r="AH920" s="443" t="s">
        <v>291</v>
      </c>
      <c r="AI920" s="443"/>
      <c r="AJ920" s="443"/>
      <c r="AK920" s="443"/>
      <c r="AL920" s="443"/>
      <c r="AM920" s="443"/>
      <c r="AN920" s="443"/>
      <c r="AO920" s="443"/>
      <c r="AP920" s="443"/>
      <c r="AQ920" s="443"/>
      <c r="AR920" s="443"/>
      <c r="AS920" s="443"/>
      <c r="AT920" s="443"/>
      <c r="AU920" s="443"/>
      <c r="AV920" s="443"/>
      <c r="AW920" s="443"/>
      <c r="AX920" s="443"/>
      <c r="AY920" s="443"/>
      <c r="AZ920" s="443"/>
      <c r="BA920" s="443"/>
      <c r="BB920" s="443"/>
      <c r="BC920" s="443"/>
      <c r="BD920" s="443"/>
      <c r="BE920" s="443"/>
    </row>
    <row r="921" hidden="1">
      <c r="A921" s="445">
        <f t="shared" si="5"/>
        <v>46211</v>
      </c>
      <c r="B921" s="449">
        <v>533.0</v>
      </c>
      <c r="C921" s="462">
        <v>0.6666666666666666</v>
      </c>
      <c r="D921" s="462">
        <v>1.0611111111111111</v>
      </c>
      <c r="E921" s="436">
        <f t="array" ref="E921">IF(B921=0,"",(J921+K921)/60)</f>
        <v>1.3</v>
      </c>
      <c r="F921" s="437">
        <f t="shared" si="1"/>
        <v>9.466666667</v>
      </c>
      <c r="G921" s="438">
        <f t="shared" si="9"/>
        <v>56.3028169</v>
      </c>
      <c r="H921" s="438">
        <f t="shared" si="3"/>
        <v>65.26530612</v>
      </c>
      <c r="I921" s="436">
        <f t="shared" si="10"/>
        <v>1.251173709</v>
      </c>
      <c r="J921" s="460">
        <v>30.0</v>
      </c>
      <c r="K921" s="460">
        <v>48.0</v>
      </c>
      <c r="L921" s="443"/>
      <c r="M921" s="447">
        <f>IFERROR(__xludf.DUMMYFUNCTION("""COMPUTED_VALUE"""),57.0)</f>
        <v>57</v>
      </c>
      <c r="N921" s="447">
        <f>IFERROR(__xludf.DUMMYFUNCTION("""COMPUTED_VALUE"""),57.0)</f>
        <v>57</v>
      </c>
      <c r="O921" s="447">
        <f>IFERROR(__xludf.DUMMYFUNCTION("""COMPUTED_VALUE"""),0.0)</f>
        <v>0</v>
      </c>
      <c r="P921" s="447">
        <f>IFERROR(__xludf.DUMMYFUNCTION("""COMPUTED_VALUE"""),0.0)</f>
        <v>0</v>
      </c>
      <c r="Q921" s="447">
        <f>IFERROR(__xludf.DUMMYFUNCTION("""COMPUTED_VALUE"""),1.0)</f>
        <v>1</v>
      </c>
      <c r="R921" s="447">
        <f>IFERROR(__xludf.DUMMYFUNCTION("""COMPUTED_VALUE"""),0.0)</f>
        <v>0</v>
      </c>
      <c r="S921" s="447">
        <f>IFERROR(__xludf.DUMMYFUNCTION("""COMPUTED_VALUE"""),1.0)</f>
        <v>1</v>
      </c>
      <c r="T921" s="447">
        <f>IFERROR(__xludf.DUMMYFUNCTION("""COMPUTED_VALUE"""),0.0)</f>
        <v>0</v>
      </c>
      <c r="U921" s="447">
        <f>IFERROR(__xludf.DUMMYFUNCTION("""COMPUTED_VALUE"""),0.0)</f>
        <v>0</v>
      </c>
      <c r="V921" s="447">
        <f>IFERROR(__xludf.DUMMYFUNCTION("""COMPUTED_VALUE"""),3.0)</f>
        <v>3</v>
      </c>
      <c r="W921" s="447">
        <f>IFERROR(__xludf.DUMMYFUNCTION("""COMPUTED_VALUE"""),0.0)</f>
        <v>0</v>
      </c>
      <c r="X921" s="447">
        <f>IFERROR(__xludf.DUMMYFUNCTION("""COMPUTED_VALUE"""),1.0)</f>
        <v>1</v>
      </c>
      <c r="Y921" s="447">
        <f>IFERROR(__xludf.DUMMYFUNCTION("""COMPUTED_VALUE"""),0.0)</f>
        <v>0</v>
      </c>
      <c r="Z921" s="447">
        <f>IFERROR(__xludf.DUMMYFUNCTION("""COMPUTED_VALUE"""),0.0)</f>
        <v>0</v>
      </c>
      <c r="AA921" s="447">
        <f>IFERROR(__xludf.DUMMYFUNCTION("""COMPUTED_VALUE"""),0.0)</f>
        <v>0</v>
      </c>
      <c r="AB921" s="447">
        <f>IFERROR(__xludf.DUMMYFUNCTION("""COMPUTED_VALUE"""),0.0)</f>
        <v>0</v>
      </c>
      <c r="AC921" s="447">
        <f>IFERROR(__xludf.DUMMYFUNCTION("""COMPUTED_VALUE"""),0.0)</f>
        <v>0</v>
      </c>
      <c r="AD921" s="447">
        <f>IFERROR(__xludf.DUMMYFUNCTION("""COMPUTED_VALUE"""),45.0)</f>
        <v>45</v>
      </c>
      <c r="AE921" s="447">
        <f>IFERROR(__xludf.DUMMYFUNCTION("""COMPUTED_VALUE"""),6.0)</f>
        <v>6</v>
      </c>
      <c r="AF921" s="447">
        <f>IFERROR(__xludf.DUMMYFUNCTION("""COMPUTED_VALUE"""),0.0)</f>
        <v>0</v>
      </c>
      <c r="AG921" s="443" t="s">
        <v>127</v>
      </c>
      <c r="AH921" s="443" t="s">
        <v>291</v>
      </c>
      <c r="AI921" s="443"/>
      <c r="AJ921" s="443"/>
      <c r="AK921" s="443"/>
      <c r="AL921" s="443"/>
      <c r="AM921" s="443"/>
      <c r="AN921" s="443"/>
      <c r="AO921" s="443"/>
      <c r="AP921" s="443"/>
      <c r="AQ921" s="443"/>
      <c r="AR921" s="443"/>
      <c r="AS921" s="443"/>
      <c r="AT921" s="443"/>
      <c r="AU921" s="443"/>
      <c r="AV921" s="443"/>
      <c r="AW921" s="443"/>
      <c r="AX921" s="443"/>
      <c r="AY921" s="443"/>
      <c r="AZ921" s="443"/>
      <c r="BA921" s="443"/>
      <c r="BB921" s="443"/>
      <c r="BC921" s="443"/>
      <c r="BD921" s="443"/>
      <c r="BE921" s="443"/>
    </row>
    <row r="922" hidden="1">
      <c r="A922" s="445">
        <f t="shared" si="5"/>
        <v>46212</v>
      </c>
      <c r="B922" s="449">
        <v>499.0</v>
      </c>
      <c r="C922" s="462">
        <v>0.6333333333333333</v>
      </c>
      <c r="D922" s="462">
        <v>0.9965277777777778</v>
      </c>
      <c r="E922" s="436">
        <f t="array" ref="E922">IF(B922=0,"",(J922+K922)/60)</f>
        <v>1.083333333</v>
      </c>
      <c r="F922" s="437">
        <f t="shared" si="1"/>
        <v>8.716666667</v>
      </c>
      <c r="G922" s="438">
        <f t="shared" si="9"/>
        <v>57.24665392</v>
      </c>
      <c r="H922" s="438">
        <f t="shared" si="3"/>
        <v>65.37117904</v>
      </c>
      <c r="I922" s="436">
        <f t="shared" si="10"/>
        <v>1.272147865</v>
      </c>
      <c r="J922" s="460">
        <v>30.0</v>
      </c>
      <c r="K922" s="460">
        <v>35.0</v>
      </c>
      <c r="L922" s="443"/>
      <c r="M922" s="447">
        <f>IFERROR(__xludf.DUMMYFUNCTION("""COMPUTED_VALUE"""),57.0)</f>
        <v>57</v>
      </c>
      <c r="N922" s="447">
        <f>IFERROR(__xludf.DUMMYFUNCTION("""COMPUTED_VALUE"""),57.0)</f>
        <v>57</v>
      </c>
      <c r="O922" s="447">
        <f>IFERROR(__xludf.DUMMYFUNCTION("""COMPUTED_VALUE"""),0.0)</f>
        <v>0</v>
      </c>
      <c r="P922" s="447">
        <f>IFERROR(__xludf.DUMMYFUNCTION("""COMPUTED_VALUE"""),0.0)</f>
        <v>0</v>
      </c>
      <c r="Q922" s="447">
        <f>IFERROR(__xludf.DUMMYFUNCTION("""COMPUTED_VALUE"""),1.0)</f>
        <v>1</v>
      </c>
      <c r="R922" s="447">
        <f>IFERROR(__xludf.DUMMYFUNCTION("""COMPUTED_VALUE"""),0.0)</f>
        <v>0</v>
      </c>
      <c r="S922" s="447">
        <f>IFERROR(__xludf.DUMMYFUNCTION("""COMPUTED_VALUE"""),1.0)</f>
        <v>1</v>
      </c>
      <c r="T922" s="447">
        <f>IFERROR(__xludf.DUMMYFUNCTION("""COMPUTED_VALUE"""),0.0)</f>
        <v>0</v>
      </c>
      <c r="U922" s="447">
        <f>IFERROR(__xludf.DUMMYFUNCTION("""COMPUTED_VALUE"""),0.0)</f>
        <v>0</v>
      </c>
      <c r="V922" s="447">
        <f>IFERROR(__xludf.DUMMYFUNCTION("""COMPUTED_VALUE"""),3.0)</f>
        <v>3</v>
      </c>
      <c r="W922" s="447">
        <f>IFERROR(__xludf.DUMMYFUNCTION("""COMPUTED_VALUE"""),0.0)</f>
        <v>0</v>
      </c>
      <c r="X922" s="447">
        <f>IFERROR(__xludf.DUMMYFUNCTION("""COMPUTED_VALUE"""),1.0)</f>
        <v>1</v>
      </c>
      <c r="Y922" s="447">
        <f>IFERROR(__xludf.DUMMYFUNCTION("""COMPUTED_VALUE"""),0.0)</f>
        <v>0</v>
      </c>
      <c r="Z922" s="447">
        <f>IFERROR(__xludf.DUMMYFUNCTION("""COMPUTED_VALUE"""),0.0)</f>
        <v>0</v>
      </c>
      <c r="AA922" s="447">
        <f>IFERROR(__xludf.DUMMYFUNCTION("""COMPUTED_VALUE"""),0.0)</f>
        <v>0</v>
      </c>
      <c r="AB922" s="447">
        <f>IFERROR(__xludf.DUMMYFUNCTION("""COMPUTED_VALUE"""),0.0)</f>
        <v>0</v>
      </c>
      <c r="AC922" s="447">
        <f>IFERROR(__xludf.DUMMYFUNCTION("""COMPUTED_VALUE"""),0.0)</f>
        <v>0</v>
      </c>
      <c r="AD922" s="447">
        <f>IFERROR(__xludf.DUMMYFUNCTION("""COMPUTED_VALUE"""),45.0)</f>
        <v>45</v>
      </c>
      <c r="AE922" s="447">
        <f>IFERROR(__xludf.DUMMYFUNCTION("""COMPUTED_VALUE"""),6.0)</f>
        <v>6</v>
      </c>
      <c r="AF922" s="447">
        <f>IFERROR(__xludf.DUMMYFUNCTION("""COMPUTED_VALUE"""),0.0)</f>
        <v>0</v>
      </c>
      <c r="AG922" s="443" t="s">
        <v>127</v>
      </c>
      <c r="AH922" s="443" t="s">
        <v>291</v>
      </c>
      <c r="AI922" s="443"/>
      <c r="AJ922" s="443"/>
      <c r="AK922" s="443"/>
      <c r="AL922" s="443"/>
      <c r="AM922" s="443"/>
      <c r="AN922" s="443"/>
      <c r="AO922" s="443"/>
      <c r="AP922" s="443"/>
      <c r="AQ922" s="443"/>
      <c r="AR922" s="443"/>
      <c r="AS922" s="443"/>
      <c r="AT922" s="443"/>
      <c r="AU922" s="443"/>
      <c r="AV922" s="443"/>
      <c r="AW922" s="443"/>
      <c r="AX922" s="443"/>
      <c r="AY922" s="443"/>
      <c r="AZ922" s="443"/>
      <c r="BA922" s="443"/>
      <c r="BB922" s="443"/>
      <c r="BC922" s="443"/>
      <c r="BD922" s="443"/>
      <c r="BE922" s="443"/>
    </row>
    <row r="923" hidden="1">
      <c r="A923" s="445">
        <f t="shared" si="5"/>
        <v>46213</v>
      </c>
      <c r="B923" s="449">
        <v>505.0</v>
      </c>
      <c r="C923" s="462">
        <v>0.6666666666666666</v>
      </c>
      <c r="D923" s="462">
        <v>1.020138888888889</v>
      </c>
      <c r="E923" s="436">
        <f t="array" ref="E923">IF(B923=0,"",(J923+K923)/60)</f>
        <v>1.2</v>
      </c>
      <c r="F923" s="437">
        <f t="shared" si="1"/>
        <v>8.483333333</v>
      </c>
      <c r="G923" s="438">
        <f t="shared" si="9"/>
        <v>59.52848723</v>
      </c>
      <c r="H923" s="438">
        <f t="shared" si="3"/>
        <v>69.33638444</v>
      </c>
      <c r="I923" s="436">
        <f t="shared" si="10"/>
        <v>1.294097548</v>
      </c>
      <c r="J923" s="460">
        <v>30.0</v>
      </c>
      <c r="K923" s="460">
        <v>42.0</v>
      </c>
      <c r="L923" s="443"/>
      <c r="M923" s="447">
        <f>IFERROR(__xludf.DUMMYFUNCTION("""COMPUTED_VALUE"""),57.0)</f>
        <v>57</v>
      </c>
      <c r="N923" s="447">
        <f>IFERROR(__xludf.DUMMYFUNCTION("""COMPUTED_VALUE"""),56.0)</f>
        <v>56</v>
      </c>
      <c r="O923" s="447">
        <f>IFERROR(__xludf.DUMMYFUNCTION("""COMPUTED_VALUE"""),0.0)</f>
        <v>0</v>
      </c>
      <c r="P923" s="447">
        <f>IFERROR(__xludf.DUMMYFUNCTION("""COMPUTED_VALUE"""),0.0)</f>
        <v>0</v>
      </c>
      <c r="Q923" s="447">
        <f>IFERROR(__xludf.DUMMYFUNCTION("""COMPUTED_VALUE"""),0.0)</f>
        <v>0</v>
      </c>
      <c r="R923" s="447">
        <f>IFERROR(__xludf.DUMMYFUNCTION("""COMPUTED_VALUE"""),0.0)</f>
        <v>0</v>
      </c>
      <c r="S923" s="447">
        <f>IFERROR(__xludf.DUMMYFUNCTION("""COMPUTED_VALUE"""),0.0)</f>
        <v>0</v>
      </c>
      <c r="T923" s="447">
        <f>IFERROR(__xludf.DUMMYFUNCTION("""COMPUTED_VALUE"""),0.0)</f>
        <v>0</v>
      </c>
      <c r="U923" s="447">
        <f>IFERROR(__xludf.DUMMYFUNCTION("""COMPUTED_VALUE"""),1.0)</f>
        <v>1</v>
      </c>
      <c r="V923" s="447">
        <f>IFERROR(__xludf.DUMMYFUNCTION("""COMPUTED_VALUE"""),3.0)</f>
        <v>3</v>
      </c>
      <c r="W923" s="447">
        <f>IFERROR(__xludf.DUMMYFUNCTION("""COMPUTED_VALUE"""),0.0)</f>
        <v>0</v>
      </c>
      <c r="X923" s="447">
        <f>IFERROR(__xludf.DUMMYFUNCTION("""COMPUTED_VALUE"""),1.0)</f>
        <v>1</v>
      </c>
      <c r="Y923" s="447">
        <f>IFERROR(__xludf.DUMMYFUNCTION("""COMPUTED_VALUE"""),0.0)</f>
        <v>0</v>
      </c>
      <c r="Z923" s="447">
        <f>IFERROR(__xludf.DUMMYFUNCTION("""COMPUTED_VALUE"""),0.0)</f>
        <v>0</v>
      </c>
      <c r="AA923" s="447">
        <f>IFERROR(__xludf.DUMMYFUNCTION("""COMPUTED_VALUE"""),0.0)</f>
        <v>0</v>
      </c>
      <c r="AB923" s="447">
        <f>IFERROR(__xludf.DUMMYFUNCTION("""COMPUTED_VALUE"""),0.0)</f>
        <v>0</v>
      </c>
      <c r="AC923" s="447">
        <f>IFERROR(__xludf.DUMMYFUNCTION("""COMPUTED_VALUE"""),0.0)</f>
        <v>0</v>
      </c>
      <c r="AD923" s="447">
        <f>IFERROR(__xludf.DUMMYFUNCTION("""COMPUTED_VALUE"""),46.0)</f>
        <v>46</v>
      </c>
      <c r="AE923" s="447">
        <f>IFERROR(__xludf.DUMMYFUNCTION("""COMPUTED_VALUE"""),5.0)</f>
        <v>5</v>
      </c>
      <c r="AF923" s="447">
        <f>IFERROR(__xludf.DUMMYFUNCTION("""COMPUTED_VALUE"""),1.0)</f>
        <v>1</v>
      </c>
      <c r="AG923" s="443" t="s">
        <v>127</v>
      </c>
      <c r="AH923" s="443" t="s">
        <v>291</v>
      </c>
      <c r="AI923" s="443"/>
      <c r="AJ923" s="443"/>
      <c r="AK923" s="443"/>
      <c r="AL923" s="443"/>
      <c r="AM923" s="443"/>
      <c r="AN923" s="443"/>
      <c r="AO923" s="443"/>
      <c r="AP923" s="443"/>
      <c r="AQ923" s="443"/>
      <c r="AR923" s="443"/>
      <c r="AS923" s="443"/>
      <c r="AT923" s="443"/>
      <c r="AU923" s="443"/>
      <c r="AV923" s="443"/>
      <c r="AW923" s="443"/>
      <c r="AX923" s="443"/>
      <c r="AY923" s="443"/>
      <c r="AZ923" s="443"/>
      <c r="BA923" s="443"/>
      <c r="BB923" s="443"/>
      <c r="BC923" s="443"/>
      <c r="BD923" s="443"/>
      <c r="BE923" s="443"/>
    </row>
    <row r="924" hidden="1">
      <c r="A924" s="445">
        <f t="shared" si="5"/>
        <v>46214</v>
      </c>
      <c r="B924" s="449">
        <v>422.0</v>
      </c>
      <c r="C924" s="462">
        <v>0.7152777777777778</v>
      </c>
      <c r="D924" s="462">
        <v>1.0243055555555556</v>
      </c>
      <c r="E924" s="436">
        <f t="array" ref="E924">IF(B924=0,"",(J924+K924)/60)</f>
        <v>1.033333333</v>
      </c>
      <c r="F924" s="437">
        <f t="shared" si="1"/>
        <v>7.416666667</v>
      </c>
      <c r="G924" s="438">
        <f t="shared" si="9"/>
        <v>56.8988764</v>
      </c>
      <c r="H924" s="438">
        <f t="shared" si="3"/>
        <v>66.10966057</v>
      </c>
      <c r="I924" s="436">
        <f t="shared" si="10"/>
        <v>1.293156282</v>
      </c>
      <c r="J924" s="460">
        <v>30.0</v>
      </c>
      <c r="K924" s="460">
        <v>32.0</v>
      </c>
      <c r="L924" s="449" t="s">
        <v>1031</v>
      </c>
      <c r="M924" s="447">
        <f>IFERROR(__xludf.DUMMYFUNCTION("""COMPUTED_VALUE"""),57.0)</f>
        <v>57</v>
      </c>
      <c r="N924" s="447">
        <f>IFERROR(__xludf.DUMMYFUNCTION("""COMPUTED_VALUE"""),56.0)</f>
        <v>56</v>
      </c>
      <c r="O924" s="447">
        <f>IFERROR(__xludf.DUMMYFUNCTION("""COMPUTED_VALUE"""),1.0)</f>
        <v>1</v>
      </c>
      <c r="P924" s="447">
        <f>IFERROR(__xludf.DUMMYFUNCTION("""COMPUTED_VALUE"""),0.0)</f>
        <v>0</v>
      </c>
      <c r="Q924" s="447">
        <f>IFERROR(__xludf.DUMMYFUNCTION("""COMPUTED_VALUE"""),1.0)</f>
        <v>1</v>
      </c>
      <c r="R924" s="447">
        <f>IFERROR(__xludf.DUMMYFUNCTION("""COMPUTED_VALUE"""),0.0)</f>
        <v>0</v>
      </c>
      <c r="S924" s="447">
        <f>IFERROR(__xludf.DUMMYFUNCTION("""COMPUTED_VALUE"""),0.0)</f>
        <v>0</v>
      </c>
      <c r="T924" s="447">
        <f>IFERROR(__xludf.DUMMYFUNCTION("""COMPUTED_VALUE"""),0.0)</f>
        <v>0</v>
      </c>
      <c r="U924" s="447">
        <f>IFERROR(__xludf.DUMMYFUNCTION("""COMPUTED_VALUE"""),1.0)</f>
        <v>1</v>
      </c>
      <c r="V924" s="447">
        <f>IFERROR(__xludf.DUMMYFUNCTION("""COMPUTED_VALUE"""),3.0)</f>
        <v>3</v>
      </c>
      <c r="W924" s="447">
        <f>IFERROR(__xludf.DUMMYFUNCTION("""COMPUTED_VALUE"""),0.0)</f>
        <v>0</v>
      </c>
      <c r="X924" s="447">
        <f>IFERROR(__xludf.DUMMYFUNCTION("""COMPUTED_VALUE"""),1.0)</f>
        <v>1</v>
      </c>
      <c r="Y924" s="447">
        <f>IFERROR(__xludf.DUMMYFUNCTION("""COMPUTED_VALUE"""),0.0)</f>
        <v>0</v>
      </c>
      <c r="Z924" s="447">
        <f>IFERROR(__xludf.DUMMYFUNCTION("""COMPUTED_VALUE"""),0.0)</f>
        <v>0</v>
      </c>
      <c r="AA924" s="447">
        <f>IFERROR(__xludf.DUMMYFUNCTION("""COMPUTED_VALUE"""),0.0)</f>
        <v>0</v>
      </c>
      <c r="AB924" s="447">
        <f>IFERROR(__xludf.DUMMYFUNCTION("""COMPUTED_VALUE"""),0.0)</f>
        <v>0</v>
      </c>
      <c r="AC924" s="447">
        <f>IFERROR(__xludf.DUMMYFUNCTION("""COMPUTED_VALUE"""),0.0)</f>
        <v>0</v>
      </c>
      <c r="AD924" s="447">
        <f>IFERROR(__xludf.DUMMYFUNCTION("""COMPUTED_VALUE"""),44.0)</f>
        <v>44</v>
      </c>
      <c r="AE924" s="447">
        <f>IFERROR(__xludf.DUMMYFUNCTION("""COMPUTED_VALUE"""),7.0)</f>
        <v>7</v>
      </c>
      <c r="AF924" s="447">
        <f>IFERROR(__xludf.DUMMYFUNCTION("""COMPUTED_VALUE"""),1.0)</f>
        <v>1</v>
      </c>
      <c r="AG924" s="443" t="s">
        <v>127</v>
      </c>
      <c r="AH924" s="443" t="s">
        <v>291</v>
      </c>
      <c r="AI924" s="443"/>
      <c r="AJ924" s="443"/>
      <c r="AK924" s="443"/>
      <c r="AL924" s="443"/>
      <c r="AM924" s="443"/>
      <c r="AN924" s="443"/>
      <c r="AO924" s="443"/>
      <c r="AP924" s="443"/>
      <c r="AQ924" s="443"/>
      <c r="AR924" s="443"/>
      <c r="AS924" s="443"/>
      <c r="AT924" s="443"/>
      <c r="AU924" s="443"/>
      <c r="AV924" s="443"/>
      <c r="AW924" s="443"/>
      <c r="AX924" s="443"/>
      <c r="AY924" s="443"/>
      <c r="AZ924" s="443"/>
      <c r="BA924" s="443"/>
      <c r="BB924" s="443"/>
      <c r="BC924" s="443"/>
      <c r="BD924" s="443"/>
      <c r="BE924" s="443"/>
    </row>
    <row r="925" hidden="1">
      <c r="A925" s="445">
        <f t="shared" si="5"/>
        <v>46215</v>
      </c>
      <c r="B925" s="449">
        <v>0.0</v>
      </c>
      <c r="C925" s="443"/>
      <c r="D925" s="462"/>
      <c r="E925" s="436" t="str">
        <f t="array" ref="E925">IF(B925=0,"",(J925+K925)/60)</f>
        <v/>
      </c>
      <c r="F925" s="437" t="str">
        <f t="shared" si="1"/>
        <v/>
      </c>
      <c r="G925" s="438" t="str">
        <f t="shared" si="9"/>
        <v>#DIV/0!</v>
      </c>
      <c r="H925" s="438" t="str">
        <f t="shared" si="3"/>
        <v/>
      </c>
      <c r="I925" s="436" t="str">
        <f t="shared" si="10"/>
        <v/>
      </c>
      <c r="J925" s="464"/>
      <c r="K925" s="464"/>
      <c r="L925" s="443"/>
      <c r="M925" s="447">
        <f>IFERROR(__xludf.DUMMYFUNCTION("""COMPUTED_VALUE"""),57.0)</f>
        <v>57</v>
      </c>
      <c r="N925" s="447">
        <f>IFERROR(__xludf.DUMMYFUNCTION("""COMPUTED_VALUE"""),56.0)</f>
        <v>56</v>
      </c>
      <c r="O925" s="447">
        <f>IFERROR(__xludf.DUMMYFUNCTION("""COMPUTED_VALUE"""),0.0)</f>
        <v>0</v>
      </c>
      <c r="P925" s="447">
        <f>IFERROR(__xludf.DUMMYFUNCTION("""COMPUTED_VALUE"""),0.0)</f>
        <v>0</v>
      </c>
      <c r="Q925" s="447">
        <f>IFERROR(__xludf.DUMMYFUNCTION("""COMPUTED_VALUE"""),0.0)</f>
        <v>0</v>
      </c>
      <c r="R925" s="447">
        <f>IFERROR(__xludf.DUMMYFUNCTION("""COMPUTED_VALUE"""),0.0)</f>
        <v>0</v>
      </c>
      <c r="S925" s="447">
        <f>IFERROR(__xludf.DUMMYFUNCTION("""COMPUTED_VALUE"""),0.0)</f>
        <v>0</v>
      </c>
      <c r="T925" s="447">
        <f>IFERROR(__xludf.DUMMYFUNCTION("""COMPUTED_VALUE"""),0.0)</f>
        <v>0</v>
      </c>
      <c r="U925" s="447">
        <f>IFERROR(__xludf.DUMMYFUNCTION("""COMPUTED_VALUE"""),1.0)</f>
        <v>1</v>
      </c>
      <c r="V925" s="447">
        <f>IFERROR(__xludf.DUMMYFUNCTION("""COMPUTED_VALUE"""),3.0)</f>
        <v>3</v>
      </c>
      <c r="W925" s="447">
        <f>IFERROR(__xludf.DUMMYFUNCTION("""COMPUTED_VALUE"""),0.0)</f>
        <v>0</v>
      </c>
      <c r="X925" s="447">
        <f>IFERROR(__xludf.DUMMYFUNCTION("""COMPUTED_VALUE"""),0.0)</f>
        <v>0</v>
      </c>
      <c r="Y925" s="447">
        <f>IFERROR(__xludf.DUMMYFUNCTION("""COMPUTED_VALUE"""),0.0)</f>
        <v>0</v>
      </c>
      <c r="Z925" s="447">
        <f>IFERROR(__xludf.DUMMYFUNCTION("""COMPUTED_VALUE"""),0.0)</f>
        <v>0</v>
      </c>
      <c r="AA925" s="447">
        <f>IFERROR(__xludf.DUMMYFUNCTION("""COMPUTED_VALUE"""),0.0)</f>
        <v>0</v>
      </c>
      <c r="AB925" s="447">
        <f>IFERROR(__xludf.DUMMYFUNCTION("""COMPUTED_VALUE"""),0.0)</f>
        <v>0</v>
      </c>
      <c r="AC925" s="447">
        <f>IFERROR(__xludf.DUMMYFUNCTION("""COMPUTED_VALUE"""),0.0)</f>
        <v>0</v>
      </c>
      <c r="AD925" s="447">
        <f>IFERROR(__xludf.DUMMYFUNCTION("""COMPUTED_VALUE"""),1.0)</f>
        <v>1</v>
      </c>
      <c r="AE925" s="447">
        <f>IFERROR(__xludf.DUMMYFUNCTION("""COMPUTED_VALUE"""),4.0)</f>
        <v>4</v>
      </c>
      <c r="AF925" s="447">
        <f>IFERROR(__xludf.DUMMYFUNCTION("""COMPUTED_VALUE"""),1.0)</f>
        <v>1</v>
      </c>
      <c r="AG925" s="443" t="s">
        <v>127</v>
      </c>
      <c r="AH925" s="443" t="s">
        <v>291</v>
      </c>
      <c r="AI925" s="443"/>
      <c r="AJ925" s="443"/>
      <c r="AK925" s="443"/>
      <c r="AL925" s="443"/>
      <c r="AM925" s="443"/>
      <c r="AN925" s="443"/>
      <c r="AO925" s="443"/>
      <c r="AP925" s="443"/>
      <c r="AQ925" s="443"/>
      <c r="AR925" s="443"/>
      <c r="AS925" s="443"/>
      <c r="AT925" s="443"/>
      <c r="AU925" s="443"/>
      <c r="AV925" s="443"/>
      <c r="AW925" s="443"/>
      <c r="AX925" s="443"/>
      <c r="AY925" s="443"/>
      <c r="AZ925" s="443"/>
      <c r="BA925" s="443"/>
      <c r="BB925" s="443"/>
      <c r="BC925" s="443"/>
      <c r="BD925" s="443"/>
      <c r="BE925" s="443"/>
    </row>
    <row r="926" hidden="1">
      <c r="A926" s="445">
        <f t="shared" si="5"/>
        <v>46216</v>
      </c>
      <c r="B926" s="449">
        <v>461.0</v>
      </c>
      <c r="C926" s="462">
        <v>0.5833333333333334</v>
      </c>
      <c r="D926" s="462">
        <v>0.93125</v>
      </c>
      <c r="E926" s="436">
        <f t="array" ref="E926">IF(B926=0,"",(J926+K926)/60)</f>
        <v>0.85</v>
      </c>
      <c r="F926" s="437">
        <f t="shared" si="1"/>
        <v>8.35</v>
      </c>
      <c r="G926" s="438">
        <f t="shared" si="9"/>
        <v>55.20958084</v>
      </c>
      <c r="H926" s="438">
        <f t="shared" si="3"/>
        <v>61.46666667</v>
      </c>
      <c r="I926" s="436">
        <f t="shared" si="10"/>
        <v>1.226879574</v>
      </c>
      <c r="J926" s="460">
        <v>30.0</v>
      </c>
      <c r="K926" s="460">
        <v>21.0</v>
      </c>
      <c r="L926" s="443"/>
      <c r="M926" s="447">
        <f>IFERROR(__xludf.DUMMYFUNCTION("""COMPUTED_VALUE"""),57.0)</f>
        <v>57</v>
      </c>
      <c r="N926" s="447">
        <f>IFERROR(__xludf.DUMMYFUNCTION("""COMPUTED_VALUE"""),56.0)</f>
        <v>56</v>
      </c>
      <c r="O926" s="447">
        <f>IFERROR(__xludf.DUMMYFUNCTION("""COMPUTED_VALUE"""),0.0)</f>
        <v>0</v>
      </c>
      <c r="P926" s="447">
        <f>IFERROR(__xludf.DUMMYFUNCTION("""COMPUTED_VALUE"""),0.0)</f>
        <v>0</v>
      </c>
      <c r="Q926" s="447">
        <f>IFERROR(__xludf.DUMMYFUNCTION("""COMPUTED_VALUE"""),0.0)</f>
        <v>0</v>
      </c>
      <c r="R926" s="447">
        <f>IFERROR(__xludf.DUMMYFUNCTION("""COMPUTED_VALUE"""),0.0)</f>
        <v>0</v>
      </c>
      <c r="S926" s="447">
        <f>IFERROR(__xludf.DUMMYFUNCTION("""COMPUTED_VALUE"""),1.0)</f>
        <v>1</v>
      </c>
      <c r="T926" s="447">
        <f>IFERROR(__xludf.DUMMYFUNCTION("""COMPUTED_VALUE"""),0.0)</f>
        <v>0</v>
      </c>
      <c r="U926" s="447">
        <f>IFERROR(__xludf.DUMMYFUNCTION("""COMPUTED_VALUE"""),1.0)</f>
        <v>1</v>
      </c>
      <c r="V926" s="447">
        <f>IFERROR(__xludf.DUMMYFUNCTION("""COMPUTED_VALUE"""),3.0)</f>
        <v>3</v>
      </c>
      <c r="W926" s="447">
        <f>IFERROR(__xludf.DUMMYFUNCTION("""COMPUTED_VALUE"""),0.0)</f>
        <v>0</v>
      </c>
      <c r="X926" s="447">
        <f>IFERROR(__xludf.DUMMYFUNCTION("""COMPUTED_VALUE"""),1.0)</f>
        <v>1</v>
      </c>
      <c r="Y926" s="447">
        <f>IFERROR(__xludf.DUMMYFUNCTION("""COMPUTED_VALUE"""),0.0)</f>
        <v>0</v>
      </c>
      <c r="Z926" s="447">
        <f>IFERROR(__xludf.DUMMYFUNCTION("""COMPUTED_VALUE"""),0.0)</f>
        <v>0</v>
      </c>
      <c r="AA926" s="447">
        <f>IFERROR(__xludf.DUMMYFUNCTION("""COMPUTED_VALUE"""),0.0)</f>
        <v>0</v>
      </c>
      <c r="AB926" s="447">
        <f>IFERROR(__xludf.DUMMYFUNCTION("""COMPUTED_VALUE"""),0.0)</f>
        <v>0</v>
      </c>
      <c r="AC926" s="447">
        <f>IFERROR(__xludf.DUMMYFUNCTION("""COMPUTED_VALUE"""),0.0)</f>
        <v>0</v>
      </c>
      <c r="AD926" s="447">
        <f>IFERROR(__xludf.DUMMYFUNCTION("""COMPUTED_VALUE"""),45.0)</f>
        <v>45</v>
      </c>
      <c r="AE926" s="447">
        <f>IFERROR(__xludf.DUMMYFUNCTION("""COMPUTED_VALUE"""),6.0)</f>
        <v>6</v>
      </c>
      <c r="AF926" s="447">
        <f>IFERROR(__xludf.DUMMYFUNCTION("""COMPUTED_VALUE"""),1.0)</f>
        <v>1</v>
      </c>
      <c r="AG926" s="443" t="s">
        <v>127</v>
      </c>
      <c r="AH926" s="443" t="s">
        <v>291</v>
      </c>
      <c r="AI926" s="443"/>
      <c r="AJ926" s="443"/>
      <c r="AK926" s="443"/>
      <c r="AL926" s="443"/>
      <c r="AM926" s="443"/>
      <c r="AN926" s="443"/>
      <c r="AO926" s="443"/>
      <c r="AP926" s="443"/>
      <c r="AQ926" s="443"/>
      <c r="AR926" s="443"/>
      <c r="AS926" s="443"/>
      <c r="AT926" s="443"/>
      <c r="AU926" s="443"/>
      <c r="AV926" s="443"/>
      <c r="AW926" s="443"/>
      <c r="AX926" s="443"/>
      <c r="AY926" s="443"/>
      <c r="AZ926" s="443"/>
      <c r="BA926" s="443"/>
      <c r="BB926" s="443"/>
      <c r="BC926" s="443"/>
      <c r="BD926" s="443"/>
      <c r="BE926" s="443"/>
    </row>
    <row r="927" hidden="1">
      <c r="A927" s="445">
        <f t="shared" si="5"/>
        <v>46217</v>
      </c>
      <c r="B927" s="449">
        <v>493.0</v>
      </c>
      <c r="C927" s="462">
        <v>0.5833333333333334</v>
      </c>
      <c r="D927" s="462">
        <v>0.9680555555555556</v>
      </c>
      <c r="E927" s="436">
        <f t="array" ref="E927">IF(B927=0,"",(J927+K927)/60)</f>
        <v>1.9</v>
      </c>
      <c r="F927" s="437">
        <f t="shared" si="1"/>
        <v>9.233333333</v>
      </c>
      <c r="G927" s="438">
        <f t="shared" si="9"/>
        <v>53.39350181</v>
      </c>
      <c r="H927" s="438">
        <f t="shared" si="3"/>
        <v>67.22727273</v>
      </c>
      <c r="I927" s="436">
        <f t="shared" si="10"/>
        <v>1.241709344</v>
      </c>
      <c r="J927" s="460">
        <v>30.0</v>
      </c>
      <c r="K927" s="460">
        <v>84.0</v>
      </c>
      <c r="L927" s="443"/>
      <c r="M927" s="447">
        <f>IFERROR(__xludf.DUMMYFUNCTION("""COMPUTED_VALUE"""),57.0)</f>
        <v>57</v>
      </c>
      <c r="N927" s="447">
        <f>IFERROR(__xludf.DUMMYFUNCTION("""COMPUTED_VALUE"""),55.0)</f>
        <v>55</v>
      </c>
      <c r="O927" s="447">
        <f>IFERROR(__xludf.DUMMYFUNCTION("""COMPUTED_VALUE"""),0.0)</f>
        <v>0</v>
      </c>
      <c r="P927" s="447">
        <f>IFERROR(__xludf.DUMMYFUNCTION("""COMPUTED_VALUE"""),0.0)</f>
        <v>0</v>
      </c>
      <c r="Q927" s="447">
        <f>IFERROR(__xludf.DUMMYFUNCTION("""COMPUTED_VALUE"""),1.0)</f>
        <v>1</v>
      </c>
      <c r="R927" s="447">
        <f>IFERROR(__xludf.DUMMYFUNCTION("""COMPUTED_VALUE"""),0.0)</f>
        <v>0</v>
      </c>
      <c r="S927" s="447">
        <f>IFERROR(__xludf.DUMMYFUNCTION("""COMPUTED_VALUE"""),2.0)</f>
        <v>2</v>
      </c>
      <c r="T927" s="447">
        <f>IFERROR(__xludf.DUMMYFUNCTION("""COMPUTED_VALUE"""),0.0)</f>
        <v>0</v>
      </c>
      <c r="U927" s="447">
        <f>IFERROR(__xludf.DUMMYFUNCTION("""COMPUTED_VALUE"""),2.0)</f>
        <v>2</v>
      </c>
      <c r="V927" s="447">
        <f>IFERROR(__xludf.DUMMYFUNCTION("""COMPUTED_VALUE"""),3.0)</f>
        <v>3</v>
      </c>
      <c r="W927" s="447">
        <f>IFERROR(__xludf.DUMMYFUNCTION("""COMPUTED_VALUE"""),0.0)</f>
        <v>0</v>
      </c>
      <c r="X927" s="447">
        <f>IFERROR(__xludf.DUMMYFUNCTION("""COMPUTED_VALUE"""),1.0)</f>
        <v>1</v>
      </c>
      <c r="Y927" s="447">
        <f>IFERROR(__xludf.DUMMYFUNCTION("""COMPUTED_VALUE"""),0.0)</f>
        <v>0</v>
      </c>
      <c r="Z927" s="447">
        <f>IFERROR(__xludf.DUMMYFUNCTION("""COMPUTED_VALUE"""),0.0)</f>
        <v>0</v>
      </c>
      <c r="AA927" s="447">
        <f>IFERROR(__xludf.DUMMYFUNCTION("""COMPUTED_VALUE"""),0.0)</f>
        <v>0</v>
      </c>
      <c r="AB927" s="447">
        <f>IFERROR(__xludf.DUMMYFUNCTION("""COMPUTED_VALUE"""),0.0)</f>
        <v>0</v>
      </c>
      <c r="AC927" s="447">
        <f>IFERROR(__xludf.DUMMYFUNCTION("""COMPUTED_VALUE"""),0.0)</f>
        <v>0</v>
      </c>
      <c r="AD927" s="447">
        <f>IFERROR(__xludf.DUMMYFUNCTION("""COMPUTED_VALUE"""),43.0)</f>
        <v>43</v>
      </c>
      <c r="AE927" s="447">
        <f>IFERROR(__xludf.DUMMYFUNCTION("""COMPUTED_VALUE"""),9.0)</f>
        <v>9</v>
      </c>
      <c r="AF927" s="447">
        <f>IFERROR(__xludf.DUMMYFUNCTION("""COMPUTED_VALUE"""),2.0)</f>
        <v>2</v>
      </c>
      <c r="AG927" s="443" t="s">
        <v>127</v>
      </c>
      <c r="AH927" s="443" t="s">
        <v>291</v>
      </c>
      <c r="AI927" s="443"/>
      <c r="AJ927" s="443"/>
      <c r="AK927" s="443"/>
      <c r="AL927" s="443"/>
      <c r="AM927" s="443"/>
      <c r="AN927" s="443"/>
      <c r="AO927" s="443"/>
      <c r="AP927" s="443"/>
      <c r="AQ927" s="443"/>
      <c r="AR927" s="443"/>
      <c r="AS927" s="443"/>
      <c r="AT927" s="443"/>
      <c r="AU927" s="443"/>
      <c r="AV927" s="443"/>
      <c r="AW927" s="443"/>
      <c r="AX927" s="443"/>
      <c r="AY927" s="443"/>
      <c r="AZ927" s="443"/>
      <c r="BA927" s="443"/>
      <c r="BB927" s="443"/>
      <c r="BC927" s="443"/>
      <c r="BD927" s="443"/>
      <c r="BE927" s="443"/>
    </row>
    <row r="928" hidden="1">
      <c r="A928" s="445">
        <f t="shared" si="5"/>
        <v>46218</v>
      </c>
      <c r="B928" s="449">
        <v>446.0</v>
      </c>
      <c r="C928" s="462">
        <v>0.625</v>
      </c>
      <c r="D928" s="462">
        <v>0.94375</v>
      </c>
      <c r="E928" s="436">
        <f t="array" ref="E928">IF(B928=0,"",(J928+K928)/60)</f>
        <v>0.7</v>
      </c>
      <c r="F928" s="437">
        <f t="shared" si="1"/>
        <v>7.65</v>
      </c>
      <c r="G928" s="438">
        <f t="shared" si="9"/>
        <v>58.30065359</v>
      </c>
      <c r="H928" s="438">
        <f t="shared" si="3"/>
        <v>64.17266187</v>
      </c>
      <c r="I928" s="436">
        <f t="shared" si="10"/>
        <v>1.3881108</v>
      </c>
      <c r="J928" s="460">
        <v>30.0</v>
      </c>
      <c r="K928" s="460">
        <v>12.0</v>
      </c>
      <c r="L928" s="443"/>
      <c r="M928" s="447">
        <f>IFERROR(__xludf.DUMMYFUNCTION("""COMPUTED_VALUE"""),57.0)</f>
        <v>57</v>
      </c>
      <c r="N928" s="447">
        <f>IFERROR(__xludf.DUMMYFUNCTION("""COMPUTED_VALUE"""),55.0)</f>
        <v>55</v>
      </c>
      <c r="O928" s="447">
        <f>IFERROR(__xludf.DUMMYFUNCTION("""COMPUTED_VALUE"""),0.0)</f>
        <v>0</v>
      </c>
      <c r="P928" s="447">
        <f>IFERROR(__xludf.DUMMYFUNCTION("""COMPUTED_VALUE"""),0.0)</f>
        <v>0</v>
      </c>
      <c r="Q928" s="447">
        <f>IFERROR(__xludf.DUMMYFUNCTION("""COMPUTED_VALUE"""),0.0)</f>
        <v>0</v>
      </c>
      <c r="R928" s="447">
        <f>IFERROR(__xludf.DUMMYFUNCTION("""COMPUTED_VALUE"""),0.0)</f>
        <v>0</v>
      </c>
      <c r="S928" s="447">
        <f>IFERROR(__xludf.DUMMYFUNCTION("""COMPUTED_VALUE"""),4.0)</f>
        <v>4</v>
      </c>
      <c r="T928" s="447">
        <f>IFERROR(__xludf.DUMMYFUNCTION("""COMPUTED_VALUE"""),0.0)</f>
        <v>0</v>
      </c>
      <c r="U928" s="447">
        <f>IFERROR(__xludf.DUMMYFUNCTION("""COMPUTED_VALUE"""),2.0)</f>
        <v>2</v>
      </c>
      <c r="V928" s="447">
        <f>IFERROR(__xludf.DUMMYFUNCTION("""COMPUTED_VALUE"""),3.0)</f>
        <v>3</v>
      </c>
      <c r="W928" s="447">
        <f>IFERROR(__xludf.DUMMYFUNCTION("""COMPUTED_VALUE"""),0.0)</f>
        <v>0</v>
      </c>
      <c r="X928" s="447">
        <f>IFERROR(__xludf.DUMMYFUNCTION("""COMPUTED_VALUE"""),1.0)</f>
        <v>1</v>
      </c>
      <c r="Y928" s="447">
        <f>IFERROR(__xludf.DUMMYFUNCTION("""COMPUTED_VALUE"""),0.0)</f>
        <v>0</v>
      </c>
      <c r="Z928" s="447">
        <f>IFERROR(__xludf.DUMMYFUNCTION("""COMPUTED_VALUE"""),0.0)</f>
        <v>0</v>
      </c>
      <c r="AA928" s="447">
        <f>IFERROR(__xludf.DUMMYFUNCTION("""COMPUTED_VALUE"""),0.0)</f>
        <v>0</v>
      </c>
      <c r="AB928" s="447">
        <f>IFERROR(__xludf.DUMMYFUNCTION("""COMPUTED_VALUE"""),0.0)</f>
        <v>0</v>
      </c>
      <c r="AC928" s="447">
        <f>IFERROR(__xludf.DUMMYFUNCTION("""COMPUTED_VALUE"""),0.0)</f>
        <v>0</v>
      </c>
      <c r="AD928" s="447">
        <f>IFERROR(__xludf.DUMMYFUNCTION("""COMPUTED_VALUE"""),42.0)</f>
        <v>42</v>
      </c>
      <c r="AE928" s="447">
        <f>IFERROR(__xludf.DUMMYFUNCTION("""COMPUTED_VALUE"""),10.0)</f>
        <v>10</v>
      </c>
      <c r="AF928" s="447">
        <f>IFERROR(__xludf.DUMMYFUNCTION("""COMPUTED_VALUE"""),2.0)</f>
        <v>2</v>
      </c>
      <c r="AG928" s="443" t="s">
        <v>127</v>
      </c>
      <c r="AH928" s="443" t="s">
        <v>291</v>
      </c>
      <c r="AI928" s="443"/>
      <c r="AJ928" s="443"/>
      <c r="AK928" s="443"/>
      <c r="AL928" s="443"/>
      <c r="AM928" s="443"/>
      <c r="AN928" s="443"/>
      <c r="AO928" s="443"/>
      <c r="AP928" s="443"/>
      <c r="AQ928" s="443"/>
      <c r="AR928" s="443"/>
      <c r="AS928" s="443"/>
      <c r="AT928" s="443"/>
      <c r="AU928" s="443"/>
      <c r="AV928" s="443"/>
      <c r="AW928" s="443"/>
      <c r="AX928" s="443"/>
      <c r="AY928" s="443"/>
      <c r="AZ928" s="443"/>
      <c r="BA928" s="443"/>
      <c r="BB928" s="443"/>
      <c r="BC928" s="443"/>
      <c r="BD928" s="443"/>
      <c r="BE928" s="443"/>
    </row>
    <row r="929" hidden="1">
      <c r="A929" s="445">
        <f t="shared" si="5"/>
        <v>46219</v>
      </c>
      <c r="B929" s="449">
        <v>430.0</v>
      </c>
      <c r="C929" s="462">
        <v>0.5833333333333334</v>
      </c>
      <c r="D929" s="462">
        <v>0.9597222222222223</v>
      </c>
      <c r="E929" s="436">
        <f t="array" ref="E929">IF(B929=0,"",(J929+K929)/60)</f>
        <v>1.333333333</v>
      </c>
      <c r="F929" s="437">
        <f t="shared" si="1"/>
        <v>9.033333333</v>
      </c>
      <c r="G929" s="438">
        <f t="shared" si="9"/>
        <v>47.60147601</v>
      </c>
      <c r="H929" s="438">
        <f t="shared" si="3"/>
        <v>55.84415584</v>
      </c>
      <c r="I929" s="436">
        <f t="shared" si="10"/>
        <v>1.16101161</v>
      </c>
      <c r="J929" s="460">
        <v>30.0</v>
      </c>
      <c r="K929" s="460">
        <v>50.0</v>
      </c>
      <c r="L929" s="443"/>
      <c r="M929" s="447">
        <f>IFERROR(__xludf.DUMMYFUNCTION("""COMPUTED_VALUE"""),57.0)</f>
        <v>57</v>
      </c>
      <c r="N929" s="447">
        <f>IFERROR(__xludf.DUMMYFUNCTION("""COMPUTED_VALUE"""),55.0)</f>
        <v>55</v>
      </c>
      <c r="O929" s="447">
        <f>IFERROR(__xludf.DUMMYFUNCTION("""COMPUTED_VALUE"""),0.0)</f>
        <v>0</v>
      </c>
      <c r="P929" s="447">
        <f>IFERROR(__xludf.DUMMYFUNCTION("""COMPUTED_VALUE"""),0.0)</f>
        <v>0</v>
      </c>
      <c r="Q929" s="447">
        <f>IFERROR(__xludf.DUMMYFUNCTION("""COMPUTED_VALUE"""),1.0)</f>
        <v>1</v>
      </c>
      <c r="R929" s="447">
        <f>IFERROR(__xludf.DUMMYFUNCTION("""COMPUTED_VALUE"""),0.0)</f>
        <v>0</v>
      </c>
      <c r="S929" s="447">
        <f>IFERROR(__xludf.DUMMYFUNCTION("""COMPUTED_VALUE"""),4.0)</f>
        <v>4</v>
      </c>
      <c r="T929" s="447">
        <f>IFERROR(__xludf.DUMMYFUNCTION("""COMPUTED_VALUE"""),0.0)</f>
        <v>0</v>
      </c>
      <c r="U929" s="447">
        <f>IFERROR(__xludf.DUMMYFUNCTION("""COMPUTED_VALUE"""),2.0)</f>
        <v>2</v>
      </c>
      <c r="V929" s="447">
        <f>IFERROR(__xludf.DUMMYFUNCTION("""COMPUTED_VALUE"""),3.0)</f>
        <v>3</v>
      </c>
      <c r="W929" s="447">
        <f>IFERROR(__xludf.DUMMYFUNCTION("""COMPUTED_VALUE"""),0.0)</f>
        <v>0</v>
      </c>
      <c r="X929" s="447">
        <f>IFERROR(__xludf.DUMMYFUNCTION("""COMPUTED_VALUE"""),1.0)</f>
        <v>1</v>
      </c>
      <c r="Y929" s="447">
        <f>IFERROR(__xludf.DUMMYFUNCTION("""COMPUTED_VALUE"""),0.0)</f>
        <v>0</v>
      </c>
      <c r="Z929" s="447">
        <f>IFERROR(__xludf.DUMMYFUNCTION("""COMPUTED_VALUE"""),0.0)</f>
        <v>0</v>
      </c>
      <c r="AA929" s="447">
        <f>IFERROR(__xludf.DUMMYFUNCTION("""COMPUTED_VALUE"""),0.0)</f>
        <v>0</v>
      </c>
      <c r="AB929" s="447">
        <f>IFERROR(__xludf.DUMMYFUNCTION("""COMPUTED_VALUE"""),0.0)</f>
        <v>0</v>
      </c>
      <c r="AC929" s="447">
        <f>IFERROR(__xludf.DUMMYFUNCTION("""COMPUTED_VALUE"""),0.0)</f>
        <v>0</v>
      </c>
      <c r="AD929" s="447">
        <f>IFERROR(__xludf.DUMMYFUNCTION("""COMPUTED_VALUE"""),41.0)</f>
        <v>41</v>
      </c>
      <c r="AE929" s="447">
        <f>IFERROR(__xludf.DUMMYFUNCTION("""COMPUTED_VALUE"""),11.0)</f>
        <v>11</v>
      </c>
      <c r="AF929" s="447">
        <f>IFERROR(__xludf.DUMMYFUNCTION("""COMPUTED_VALUE"""),2.0)</f>
        <v>2</v>
      </c>
      <c r="AG929" s="443" t="s">
        <v>127</v>
      </c>
      <c r="AH929" s="443" t="s">
        <v>291</v>
      </c>
      <c r="AI929" s="443"/>
      <c r="AJ929" s="443"/>
      <c r="AK929" s="443"/>
      <c r="AL929" s="443"/>
      <c r="AM929" s="443"/>
      <c r="AN929" s="443"/>
      <c r="AO929" s="443"/>
      <c r="AP929" s="443"/>
      <c r="AQ929" s="443"/>
      <c r="AR929" s="443"/>
      <c r="AS929" s="443"/>
      <c r="AT929" s="443"/>
      <c r="AU929" s="443"/>
      <c r="AV929" s="443"/>
      <c r="AW929" s="443"/>
      <c r="AX929" s="443"/>
      <c r="AY929" s="443"/>
      <c r="AZ929" s="443"/>
      <c r="BA929" s="443"/>
      <c r="BB929" s="443"/>
      <c r="BC929" s="443"/>
      <c r="BD929" s="443"/>
      <c r="BE929" s="443"/>
    </row>
    <row r="930" hidden="1">
      <c r="A930" s="445">
        <f t="shared" si="5"/>
        <v>46220</v>
      </c>
      <c r="B930" s="449">
        <v>461.0</v>
      </c>
      <c r="C930" s="462">
        <v>0.5833333333333334</v>
      </c>
      <c r="D930" s="462">
        <v>0.9506944444444444</v>
      </c>
      <c r="E930" s="436">
        <f t="array" ref="E930">IF(B930=0,"",(J930+K930)/60)</f>
        <v>1.533333333</v>
      </c>
      <c r="F930" s="437">
        <f t="shared" si="1"/>
        <v>8.816666667</v>
      </c>
      <c r="G930" s="438">
        <f t="shared" si="9"/>
        <v>52.28733459</v>
      </c>
      <c r="H930" s="438">
        <f t="shared" si="3"/>
        <v>63.29519451</v>
      </c>
      <c r="I930" s="436">
        <f t="shared" si="10"/>
        <v>1.215984525</v>
      </c>
      <c r="J930" s="460">
        <v>30.0</v>
      </c>
      <c r="K930" s="460">
        <v>62.0</v>
      </c>
      <c r="L930" s="443"/>
      <c r="M930" s="447">
        <f>IFERROR(__xludf.DUMMYFUNCTION("""COMPUTED_VALUE"""),57.0)</f>
        <v>57</v>
      </c>
      <c r="N930" s="447">
        <f>IFERROR(__xludf.DUMMYFUNCTION("""COMPUTED_VALUE"""),57.0)</f>
        <v>57</v>
      </c>
      <c r="O930" s="447">
        <f>IFERROR(__xludf.DUMMYFUNCTION("""COMPUTED_VALUE"""),0.0)</f>
        <v>0</v>
      </c>
      <c r="P930" s="447">
        <f>IFERROR(__xludf.DUMMYFUNCTION("""COMPUTED_VALUE"""),1.0)</f>
        <v>1</v>
      </c>
      <c r="Q930" s="447">
        <f>IFERROR(__xludf.DUMMYFUNCTION("""COMPUTED_VALUE"""),0.0)</f>
        <v>0</v>
      </c>
      <c r="R930" s="447">
        <f>IFERROR(__xludf.DUMMYFUNCTION("""COMPUTED_VALUE"""),0.0)</f>
        <v>0</v>
      </c>
      <c r="S930" s="447">
        <f>IFERROR(__xludf.DUMMYFUNCTION("""COMPUTED_VALUE"""),3.0)</f>
        <v>3</v>
      </c>
      <c r="T930" s="447">
        <f>IFERROR(__xludf.DUMMYFUNCTION("""COMPUTED_VALUE"""),0.0)</f>
        <v>0</v>
      </c>
      <c r="U930" s="447">
        <f>IFERROR(__xludf.DUMMYFUNCTION("""COMPUTED_VALUE"""),0.0)</f>
        <v>0</v>
      </c>
      <c r="V930" s="447">
        <f>IFERROR(__xludf.DUMMYFUNCTION("""COMPUTED_VALUE"""),2.0)</f>
        <v>2</v>
      </c>
      <c r="W930" s="447">
        <f>IFERROR(__xludf.DUMMYFUNCTION("""COMPUTED_VALUE"""),0.0)</f>
        <v>0</v>
      </c>
      <c r="X930" s="447">
        <f>IFERROR(__xludf.DUMMYFUNCTION("""COMPUTED_VALUE"""),1.0)</f>
        <v>1</v>
      </c>
      <c r="Y930" s="447">
        <f>IFERROR(__xludf.DUMMYFUNCTION("""COMPUTED_VALUE"""),0.0)</f>
        <v>0</v>
      </c>
      <c r="Z930" s="447">
        <f>IFERROR(__xludf.DUMMYFUNCTION("""COMPUTED_VALUE"""),0.0)</f>
        <v>0</v>
      </c>
      <c r="AA930" s="447">
        <f>IFERROR(__xludf.DUMMYFUNCTION("""COMPUTED_VALUE"""),0.0)</f>
        <v>0</v>
      </c>
      <c r="AB930" s="447">
        <f>IFERROR(__xludf.DUMMYFUNCTION("""COMPUTED_VALUE"""),2.0)</f>
        <v>2</v>
      </c>
      <c r="AC930" s="447">
        <f>IFERROR(__xludf.DUMMYFUNCTION("""COMPUTED_VALUE"""),0.0)</f>
        <v>0</v>
      </c>
      <c r="AD930" s="447">
        <f>IFERROR(__xludf.DUMMYFUNCTION("""COMPUTED_VALUE"""),43.0)</f>
        <v>43</v>
      </c>
      <c r="AE930" s="447">
        <f>IFERROR(__xludf.DUMMYFUNCTION("""COMPUTED_VALUE"""),7.0)</f>
        <v>7</v>
      </c>
      <c r="AF930" s="447">
        <f>IFERROR(__xludf.DUMMYFUNCTION("""COMPUTED_VALUE"""),0.0)</f>
        <v>0</v>
      </c>
      <c r="AG930" s="443" t="s">
        <v>127</v>
      </c>
      <c r="AH930" s="443" t="s">
        <v>291</v>
      </c>
      <c r="AI930" s="443"/>
      <c r="AJ930" s="443"/>
      <c r="AK930" s="443"/>
      <c r="AL930" s="443"/>
      <c r="AM930" s="443"/>
      <c r="AN930" s="443"/>
      <c r="AO930" s="443"/>
      <c r="AP930" s="443"/>
      <c r="AQ930" s="443"/>
      <c r="AR930" s="443"/>
      <c r="AS930" s="443"/>
      <c r="AT930" s="443"/>
      <c r="AU930" s="443"/>
      <c r="AV930" s="443"/>
      <c r="AW930" s="443"/>
      <c r="AX930" s="443"/>
      <c r="AY930" s="443"/>
      <c r="AZ930" s="443"/>
      <c r="BA930" s="443"/>
      <c r="BB930" s="443"/>
      <c r="BC930" s="443"/>
      <c r="BD930" s="443"/>
      <c r="BE930" s="443"/>
    </row>
    <row r="931" hidden="1">
      <c r="A931" s="445">
        <f t="shared" si="5"/>
        <v>46221</v>
      </c>
      <c r="B931" s="449">
        <v>364.0</v>
      </c>
      <c r="C931" s="462">
        <v>0.5833333333333334</v>
      </c>
      <c r="D931" s="462">
        <v>0.875</v>
      </c>
      <c r="E931" s="436">
        <f t="array" ref="E931">IF(B931=0,"",(J931+K931)/60)</f>
        <v>0.9833333333</v>
      </c>
      <c r="F931" s="437">
        <f t="shared" si="1"/>
        <v>7</v>
      </c>
      <c r="G931" s="438">
        <f t="shared" si="9"/>
        <v>52</v>
      </c>
      <c r="H931" s="438">
        <f t="shared" si="3"/>
        <v>60.49861496</v>
      </c>
      <c r="I931" s="436">
        <f t="shared" si="10"/>
        <v>1.209302326</v>
      </c>
      <c r="J931" s="460">
        <v>30.0</v>
      </c>
      <c r="K931" s="460">
        <v>29.0</v>
      </c>
      <c r="L931" s="443"/>
      <c r="M931" s="447">
        <f>IFERROR(__xludf.DUMMYFUNCTION("""COMPUTED_VALUE"""),57.0)</f>
        <v>57</v>
      </c>
      <c r="N931" s="447">
        <f>IFERROR(__xludf.DUMMYFUNCTION("""COMPUTED_VALUE"""),57.0)</f>
        <v>57</v>
      </c>
      <c r="O931" s="447">
        <f>IFERROR(__xludf.DUMMYFUNCTION("""COMPUTED_VALUE"""),0.0)</f>
        <v>0</v>
      </c>
      <c r="P931" s="447">
        <f>IFERROR(__xludf.DUMMYFUNCTION("""COMPUTED_VALUE"""),0.0)</f>
        <v>0</v>
      </c>
      <c r="Q931" s="447">
        <f>IFERROR(__xludf.DUMMYFUNCTION("""COMPUTED_VALUE"""),1.0)</f>
        <v>1</v>
      </c>
      <c r="R931" s="447">
        <f>IFERROR(__xludf.DUMMYFUNCTION("""COMPUTED_VALUE"""),0.0)</f>
        <v>0</v>
      </c>
      <c r="S931" s="447">
        <f>IFERROR(__xludf.DUMMYFUNCTION("""COMPUTED_VALUE"""),6.0)</f>
        <v>6</v>
      </c>
      <c r="T931" s="447">
        <f>IFERROR(__xludf.DUMMYFUNCTION("""COMPUTED_VALUE"""),0.0)</f>
        <v>0</v>
      </c>
      <c r="U931" s="447">
        <f>IFERROR(__xludf.DUMMYFUNCTION("""COMPUTED_VALUE"""),0.0)</f>
        <v>0</v>
      </c>
      <c r="V931" s="447">
        <f>IFERROR(__xludf.DUMMYFUNCTION("""COMPUTED_VALUE"""),1.0)</f>
        <v>1</v>
      </c>
      <c r="W931" s="447">
        <f>IFERROR(__xludf.DUMMYFUNCTION("""COMPUTED_VALUE"""),0.0)</f>
        <v>0</v>
      </c>
      <c r="X931" s="447">
        <f>IFERROR(__xludf.DUMMYFUNCTION("""COMPUTED_VALUE"""),1.0)</f>
        <v>1</v>
      </c>
      <c r="Y931" s="447">
        <f>IFERROR(__xludf.DUMMYFUNCTION("""COMPUTED_VALUE"""),0.0)</f>
        <v>0</v>
      </c>
      <c r="Z931" s="447">
        <f>IFERROR(__xludf.DUMMYFUNCTION("""COMPUTED_VALUE"""),0.0)</f>
        <v>0</v>
      </c>
      <c r="AA931" s="447">
        <f>IFERROR(__xludf.DUMMYFUNCTION("""COMPUTED_VALUE"""),0.0)</f>
        <v>0</v>
      </c>
      <c r="AB931" s="447">
        <f>IFERROR(__xludf.DUMMYFUNCTION("""COMPUTED_VALUE"""),0.0)</f>
        <v>0</v>
      </c>
      <c r="AC931" s="447">
        <f>IFERROR(__xludf.DUMMYFUNCTION("""COMPUTED_VALUE"""),0.0)</f>
        <v>0</v>
      </c>
      <c r="AD931" s="447">
        <f>IFERROR(__xludf.DUMMYFUNCTION("""COMPUTED_VALUE"""),43.0)</f>
        <v>43</v>
      </c>
      <c r="AE931" s="447">
        <f>IFERROR(__xludf.DUMMYFUNCTION("""COMPUTED_VALUE"""),9.0)</f>
        <v>9</v>
      </c>
      <c r="AF931" s="447">
        <f>IFERROR(__xludf.DUMMYFUNCTION("""COMPUTED_VALUE"""),0.0)</f>
        <v>0</v>
      </c>
      <c r="AG931" s="443" t="s">
        <v>127</v>
      </c>
      <c r="AH931" s="443" t="s">
        <v>291</v>
      </c>
      <c r="AI931" s="443"/>
      <c r="AJ931" s="443"/>
      <c r="AK931" s="443"/>
      <c r="AL931" s="443"/>
      <c r="AM931" s="443"/>
      <c r="AN931" s="443"/>
      <c r="AO931" s="443"/>
      <c r="AP931" s="443"/>
      <c r="AQ931" s="443"/>
      <c r="AR931" s="443"/>
      <c r="AS931" s="443"/>
      <c r="AT931" s="443"/>
      <c r="AU931" s="443"/>
      <c r="AV931" s="443"/>
      <c r="AW931" s="443"/>
      <c r="AX931" s="443"/>
      <c r="AY931" s="443"/>
      <c r="AZ931" s="443"/>
      <c r="BA931" s="443"/>
      <c r="BB931" s="443"/>
      <c r="BC931" s="443"/>
      <c r="BD931" s="443"/>
      <c r="BE931" s="443"/>
    </row>
    <row r="932" hidden="1">
      <c r="A932" s="445">
        <f t="shared" si="5"/>
        <v>46222</v>
      </c>
      <c r="B932" s="449">
        <v>0.0</v>
      </c>
      <c r="C932" s="443"/>
      <c r="D932" s="462"/>
      <c r="E932" s="436" t="str">
        <f t="array" ref="E932">IF(B932=0,"",(J932+K932)/60)</f>
        <v/>
      </c>
      <c r="F932" s="437" t="str">
        <f t="shared" si="1"/>
        <v/>
      </c>
      <c r="G932" s="438" t="str">
        <f t="shared" si="9"/>
        <v>#DIV/0!</v>
      </c>
      <c r="H932" s="438" t="str">
        <f t="shared" si="3"/>
        <v/>
      </c>
      <c r="I932" s="436" t="str">
        <f t="shared" si="10"/>
        <v/>
      </c>
      <c r="J932" s="464"/>
      <c r="K932" s="464"/>
      <c r="L932" s="443"/>
      <c r="M932" s="447">
        <f>IFERROR(__xludf.DUMMYFUNCTION("""COMPUTED_VALUE"""),57.0)</f>
        <v>57</v>
      </c>
      <c r="N932" s="447">
        <f>IFERROR(__xludf.DUMMYFUNCTION("""COMPUTED_VALUE"""),57.0)</f>
        <v>57</v>
      </c>
      <c r="O932" s="447">
        <f>IFERROR(__xludf.DUMMYFUNCTION("""COMPUTED_VALUE"""),0.0)</f>
        <v>0</v>
      </c>
      <c r="P932" s="447">
        <f>IFERROR(__xludf.DUMMYFUNCTION("""COMPUTED_VALUE"""),0.0)</f>
        <v>0</v>
      </c>
      <c r="Q932" s="447">
        <f>IFERROR(__xludf.DUMMYFUNCTION("""COMPUTED_VALUE"""),0.0)</f>
        <v>0</v>
      </c>
      <c r="R932" s="447">
        <f>IFERROR(__xludf.DUMMYFUNCTION("""COMPUTED_VALUE"""),0.0)</f>
        <v>0</v>
      </c>
      <c r="S932" s="447">
        <f>IFERROR(__xludf.DUMMYFUNCTION("""COMPUTED_VALUE"""),1.0)</f>
        <v>1</v>
      </c>
      <c r="T932" s="447">
        <f>IFERROR(__xludf.DUMMYFUNCTION("""COMPUTED_VALUE"""),0.0)</f>
        <v>0</v>
      </c>
      <c r="U932" s="447">
        <f>IFERROR(__xludf.DUMMYFUNCTION("""COMPUTED_VALUE"""),0.0)</f>
        <v>0</v>
      </c>
      <c r="V932" s="447">
        <f>IFERROR(__xludf.DUMMYFUNCTION("""COMPUTED_VALUE"""),1.0)</f>
        <v>1</v>
      </c>
      <c r="W932" s="447">
        <f>IFERROR(__xludf.DUMMYFUNCTION("""COMPUTED_VALUE"""),0.0)</f>
        <v>0</v>
      </c>
      <c r="X932" s="447">
        <f>IFERROR(__xludf.DUMMYFUNCTION("""COMPUTED_VALUE"""),1.0)</f>
        <v>1</v>
      </c>
      <c r="Y932" s="447">
        <f>IFERROR(__xludf.DUMMYFUNCTION("""COMPUTED_VALUE"""),0.0)</f>
        <v>0</v>
      </c>
      <c r="Z932" s="447">
        <f>IFERROR(__xludf.DUMMYFUNCTION("""COMPUTED_VALUE"""),0.0)</f>
        <v>0</v>
      </c>
      <c r="AA932" s="447">
        <f>IFERROR(__xludf.DUMMYFUNCTION("""COMPUTED_VALUE"""),0.0)</f>
        <v>0</v>
      </c>
      <c r="AB932" s="447">
        <f>IFERROR(__xludf.DUMMYFUNCTION("""COMPUTED_VALUE"""),0.0)</f>
        <v>0</v>
      </c>
      <c r="AC932" s="447">
        <f>IFERROR(__xludf.DUMMYFUNCTION("""COMPUTED_VALUE"""),0.0)</f>
        <v>0</v>
      </c>
      <c r="AD932" s="447">
        <f>IFERROR(__xludf.DUMMYFUNCTION("""COMPUTED_VALUE"""),0.0)</f>
        <v>0</v>
      </c>
      <c r="AE932" s="447">
        <f>IFERROR(__xludf.DUMMYFUNCTION("""COMPUTED_VALUE"""),3.0)</f>
        <v>3</v>
      </c>
      <c r="AF932" s="447">
        <f>IFERROR(__xludf.DUMMYFUNCTION("""COMPUTED_VALUE"""),0.0)</f>
        <v>0</v>
      </c>
      <c r="AG932" s="443" t="s">
        <v>127</v>
      </c>
      <c r="AH932" s="443" t="s">
        <v>291</v>
      </c>
      <c r="AI932" s="443"/>
      <c r="AJ932" s="443"/>
      <c r="AK932" s="443"/>
      <c r="AL932" s="443"/>
      <c r="AM932" s="443"/>
      <c r="AN932" s="443"/>
      <c r="AO932" s="443"/>
      <c r="AP932" s="443"/>
      <c r="AQ932" s="443"/>
      <c r="AR932" s="443"/>
      <c r="AS932" s="443"/>
      <c r="AT932" s="443"/>
      <c r="AU932" s="443"/>
      <c r="AV932" s="443"/>
      <c r="AW932" s="443"/>
      <c r="AX932" s="443"/>
      <c r="AY932" s="443"/>
      <c r="AZ932" s="443"/>
      <c r="BA932" s="443"/>
      <c r="BB932" s="443"/>
      <c r="BC932" s="443"/>
      <c r="BD932" s="443"/>
      <c r="BE932" s="443"/>
    </row>
    <row r="933" hidden="1">
      <c r="A933" s="445">
        <f t="shared" si="5"/>
        <v>46223</v>
      </c>
      <c r="B933" s="449">
        <v>433.0</v>
      </c>
      <c r="C933" s="462">
        <v>0.5833333333333334</v>
      </c>
      <c r="D933" s="462">
        <v>0.9270833333333334</v>
      </c>
      <c r="E933" s="436">
        <f t="array" ref="E933">IF(B933=0,"",(J933+K933)/60)</f>
        <v>2.633333333</v>
      </c>
      <c r="F933" s="437">
        <f t="shared" si="1"/>
        <v>8.25</v>
      </c>
      <c r="G933" s="438">
        <f t="shared" si="9"/>
        <v>52.48484848</v>
      </c>
      <c r="H933" s="438">
        <f t="shared" si="3"/>
        <v>77.09198813</v>
      </c>
      <c r="I933" s="436">
        <f t="shared" si="10"/>
        <v>1.166329966</v>
      </c>
      <c r="J933" s="460">
        <v>30.0</v>
      </c>
      <c r="K933" s="460">
        <v>128.0</v>
      </c>
      <c r="L933" s="443"/>
      <c r="M933" s="447">
        <f>IFERROR(__xludf.DUMMYFUNCTION("""COMPUTED_VALUE"""),57.0)</f>
        <v>57</v>
      </c>
      <c r="N933" s="447">
        <f>IFERROR(__xludf.DUMMYFUNCTION("""COMPUTED_VALUE"""),56.0)</f>
        <v>56</v>
      </c>
      <c r="O933" s="447">
        <f>IFERROR(__xludf.DUMMYFUNCTION("""COMPUTED_VALUE"""),0.0)</f>
        <v>0</v>
      </c>
      <c r="P933" s="447">
        <f>IFERROR(__xludf.DUMMYFUNCTION("""COMPUTED_VALUE"""),0.0)</f>
        <v>0</v>
      </c>
      <c r="Q933" s="447">
        <f>IFERROR(__xludf.DUMMYFUNCTION("""COMPUTED_VALUE"""),2.0)</f>
        <v>2</v>
      </c>
      <c r="R933" s="447">
        <f>IFERROR(__xludf.DUMMYFUNCTION("""COMPUTED_VALUE"""),0.0)</f>
        <v>0</v>
      </c>
      <c r="S933" s="447">
        <f>IFERROR(__xludf.DUMMYFUNCTION("""COMPUTED_VALUE"""),2.0)</f>
        <v>2</v>
      </c>
      <c r="T933" s="447">
        <f>IFERROR(__xludf.DUMMYFUNCTION("""COMPUTED_VALUE"""),0.0)</f>
        <v>0</v>
      </c>
      <c r="U933" s="447">
        <f>IFERROR(__xludf.DUMMYFUNCTION("""COMPUTED_VALUE"""),1.0)</f>
        <v>1</v>
      </c>
      <c r="V933" s="447">
        <f>IFERROR(__xludf.DUMMYFUNCTION("""COMPUTED_VALUE"""),1.0)</f>
        <v>1</v>
      </c>
      <c r="W933" s="447">
        <f>IFERROR(__xludf.DUMMYFUNCTION("""COMPUTED_VALUE"""),0.0)</f>
        <v>0</v>
      </c>
      <c r="X933" s="447">
        <f>IFERROR(__xludf.DUMMYFUNCTION("""COMPUTED_VALUE"""),1.0)</f>
        <v>1</v>
      </c>
      <c r="Y933" s="447">
        <f>IFERROR(__xludf.DUMMYFUNCTION("""COMPUTED_VALUE"""),0.0)</f>
        <v>0</v>
      </c>
      <c r="Z933" s="447">
        <f>IFERROR(__xludf.DUMMYFUNCTION("""COMPUTED_VALUE"""),0.0)</f>
        <v>0</v>
      </c>
      <c r="AA933" s="447">
        <f>IFERROR(__xludf.DUMMYFUNCTION("""COMPUTED_VALUE"""),0.0)</f>
        <v>0</v>
      </c>
      <c r="AB933" s="447">
        <f>IFERROR(__xludf.DUMMYFUNCTION("""COMPUTED_VALUE"""),0.0)</f>
        <v>0</v>
      </c>
      <c r="AC933" s="447">
        <f>IFERROR(__xludf.DUMMYFUNCTION("""COMPUTED_VALUE"""),0.0)</f>
        <v>0</v>
      </c>
      <c r="AD933" s="447">
        <f>IFERROR(__xludf.DUMMYFUNCTION("""COMPUTED_VALUE"""),45.0)</f>
        <v>45</v>
      </c>
      <c r="AE933" s="447">
        <f>IFERROR(__xludf.DUMMYFUNCTION("""COMPUTED_VALUE"""),7.0)</f>
        <v>7</v>
      </c>
      <c r="AF933" s="447">
        <f>IFERROR(__xludf.DUMMYFUNCTION("""COMPUTED_VALUE"""),1.0)</f>
        <v>1</v>
      </c>
      <c r="AG933" s="443" t="s">
        <v>127</v>
      </c>
      <c r="AH933" s="443" t="s">
        <v>291</v>
      </c>
      <c r="AI933" s="443"/>
      <c r="AJ933" s="443"/>
      <c r="AK933" s="443"/>
      <c r="AL933" s="443"/>
      <c r="AM933" s="443"/>
      <c r="AN933" s="443"/>
      <c r="AO933" s="443"/>
      <c r="AP933" s="443"/>
      <c r="AQ933" s="443"/>
      <c r="AR933" s="443"/>
      <c r="AS933" s="443"/>
      <c r="AT933" s="443"/>
      <c r="AU933" s="443"/>
      <c r="AV933" s="443"/>
      <c r="AW933" s="443"/>
      <c r="AX933" s="443"/>
      <c r="AY933" s="443"/>
      <c r="AZ933" s="443"/>
      <c r="BA933" s="443"/>
      <c r="BB933" s="443"/>
      <c r="BC933" s="443"/>
      <c r="BD933" s="443"/>
      <c r="BE933" s="443"/>
    </row>
    <row r="934" hidden="1">
      <c r="A934" s="445">
        <f t="shared" si="5"/>
        <v>46224</v>
      </c>
      <c r="B934" s="449">
        <v>504.0</v>
      </c>
      <c r="C934" s="462">
        <v>0.5833333333333334</v>
      </c>
      <c r="D934" s="462">
        <v>0.9590277777777778</v>
      </c>
      <c r="E934" s="436">
        <f t="array" ref="E934">IF(B934=0,"",(J934+K934)/60)</f>
        <v>1.3</v>
      </c>
      <c r="F934" s="437">
        <f t="shared" si="1"/>
        <v>9.016666667</v>
      </c>
      <c r="G934" s="438">
        <f t="shared" si="9"/>
        <v>55.89648799</v>
      </c>
      <c r="H934" s="438">
        <f t="shared" si="3"/>
        <v>65.31317495</v>
      </c>
      <c r="I934" s="436">
        <f t="shared" si="10"/>
        <v>1.270374727</v>
      </c>
      <c r="J934" s="460">
        <v>15.0</v>
      </c>
      <c r="K934" s="460">
        <v>63.0</v>
      </c>
      <c r="L934" s="443"/>
      <c r="M934" s="447">
        <f>IFERROR(__xludf.DUMMYFUNCTION("""COMPUTED_VALUE"""),57.0)</f>
        <v>57</v>
      </c>
      <c r="N934" s="447">
        <f>IFERROR(__xludf.DUMMYFUNCTION("""COMPUTED_VALUE"""),56.0)</f>
        <v>56</v>
      </c>
      <c r="O934" s="447">
        <f>IFERROR(__xludf.DUMMYFUNCTION("""COMPUTED_VALUE"""),0.0)</f>
        <v>0</v>
      </c>
      <c r="P934" s="447">
        <f>IFERROR(__xludf.DUMMYFUNCTION("""COMPUTED_VALUE"""),0.0)</f>
        <v>0</v>
      </c>
      <c r="Q934" s="447">
        <f>IFERROR(__xludf.DUMMYFUNCTION("""COMPUTED_VALUE"""),1.0)</f>
        <v>1</v>
      </c>
      <c r="R934" s="447">
        <f>IFERROR(__xludf.DUMMYFUNCTION("""COMPUTED_VALUE"""),0.0)</f>
        <v>0</v>
      </c>
      <c r="S934" s="447">
        <f>IFERROR(__xludf.DUMMYFUNCTION("""COMPUTED_VALUE"""),3.0)</f>
        <v>3</v>
      </c>
      <c r="T934" s="447">
        <f>IFERROR(__xludf.DUMMYFUNCTION("""COMPUTED_VALUE"""),0.0)</f>
        <v>0</v>
      </c>
      <c r="U934" s="447">
        <f>IFERROR(__xludf.DUMMYFUNCTION("""COMPUTED_VALUE"""),1.0)</f>
        <v>1</v>
      </c>
      <c r="V934" s="447">
        <f>IFERROR(__xludf.DUMMYFUNCTION("""COMPUTED_VALUE"""),2.0)</f>
        <v>2</v>
      </c>
      <c r="W934" s="447">
        <f>IFERROR(__xludf.DUMMYFUNCTION("""COMPUTED_VALUE"""),0.0)</f>
        <v>0</v>
      </c>
      <c r="X934" s="447">
        <f>IFERROR(__xludf.DUMMYFUNCTION("""COMPUTED_VALUE"""),1.0)</f>
        <v>1</v>
      </c>
      <c r="Y934" s="447">
        <f>IFERROR(__xludf.DUMMYFUNCTION("""COMPUTED_VALUE"""),0.0)</f>
        <v>0</v>
      </c>
      <c r="Z934" s="447">
        <f>IFERROR(__xludf.DUMMYFUNCTION("""COMPUTED_VALUE"""),0.0)</f>
        <v>0</v>
      </c>
      <c r="AA934" s="447">
        <f>IFERROR(__xludf.DUMMYFUNCTION("""COMPUTED_VALUE"""),0.0)</f>
        <v>0</v>
      </c>
      <c r="AB934" s="447">
        <f>IFERROR(__xludf.DUMMYFUNCTION("""COMPUTED_VALUE"""),0.0)</f>
        <v>0</v>
      </c>
      <c r="AC934" s="447">
        <f>IFERROR(__xludf.DUMMYFUNCTION("""COMPUTED_VALUE"""),0.0)</f>
        <v>0</v>
      </c>
      <c r="AD934" s="447">
        <f>IFERROR(__xludf.DUMMYFUNCTION("""COMPUTED_VALUE"""),44.0)</f>
        <v>44</v>
      </c>
      <c r="AE934" s="447">
        <f>IFERROR(__xludf.DUMMYFUNCTION("""COMPUTED_VALUE"""),8.0)</f>
        <v>8</v>
      </c>
      <c r="AF934" s="447">
        <f>IFERROR(__xludf.DUMMYFUNCTION("""COMPUTED_VALUE"""),1.0)</f>
        <v>1</v>
      </c>
      <c r="AG934" s="443" t="s">
        <v>127</v>
      </c>
      <c r="AH934" s="443" t="s">
        <v>291</v>
      </c>
      <c r="AI934" s="443"/>
      <c r="AJ934" s="443"/>
      <c r="AK934" s="443"/>
      <c r="AL934" s="443"/>
      <c r="AM934" s="443"/>
      <c r="AN934" s="443"/>
      <c r="AO934" s="443"/>
      <c r="AP934" s="443"/>
      <c r="AQ934" s="443"/>
      <c r="AR934" s="443"/>
      <c r="AS934" s="443"/>
      <c r="AT934" s="443"/>
      <c r="AU934" s="443"/>
      <c r="AV934" s="443"/>
      <c r="AW934" s="443"/>
      <c r="AX934" s="443"/>
      <c r="AY934" s="443"/>
      <c r="AZ934" s="443"/>
      <c r="BA934" s="443"/>
      <c r="BB934" s="443"/>
      <c r="BC934" s="443"/>
      <c r="BD934" s="443"/>
      <c r="BE934" s="443"/>
    </row>
    <row r="935" hidden="1">
      <c r="A935" s="445">
        <f t="shared" si="5"/>
        <v>46225</v>
      </c>
      <c r="B935" s="449">
        <v>508.0</v>
      </c>
      <c r="C935" s="462">
        <v>0.625</v>
      </c>
      <c r="D935" s="462">
        <v>1.0013888888888889</v>
      </c>
      <c r="E935" s="436">
        <f t="array" ref="E935">IF(B935=0,"",(J935+K935)/60)</f>
        <v>0.7666666667</v>
      </c>
      <c r="F935" s="437">
        <f t="shared" si="1"/>
        <v>9.033333333</v>
      </c>
      <c r="G935" s="438">
        <f t="shared" si="9"/>
        <v>56.23616236</v>
      </c>
      <c r="H935" s="438">
        <f t="shared" si="3"/>
        <v>61.4516129</v>
      </c>
      <c r="I935" s="436">
        <f t="shared" si="10"/>
        <v>1.307817729</v>
      </c>
      <c r="J935" s="460">
        <v>35.0</v>
      </c>
      <c r="K935" s="460">
        <v>11.0</v>
      </c>
      <c r="L935" s="443"/>
      <c r="M935" s="447">
        <f>IFERROR(__xludf.DUMMYFUNCTION("""COMPUTED_VALUE"""),57.0)</f>
        <v>57</v>
      </c>
      <c r="N935" s="447">
        <f>IFERROR(__xludf.DUMMYFUNCTION("""COMPUTED_VALUE"""),55.0)</f>
        <v>55</v>
      </c>
      <c r="O935" s="447">
        <f>IFERROR(__xludf.DUMMYFUNCTION("""COMPUTED_VALUE"""),0.0)</f>
        <v>0</v>
      </c>
      <c r="P935" s="447">
        <f>IFERROR(__xludf.DUMMYFUNCTION("""COMPUTED_VALUE"""),0.0)</f>
        <v>0</v>
      </c>
      <c r="Q935" s="447">
        <f>IFERROR(__xludf.DUMMYFUNCTION("""COMPUTED_VALUE"""),1.0)</f>
        <v>1</v>
      </c>
      <c r="R935" s="447">
        <f>IFERROR(__xludf.DUMMYFUNCTION("""COMPUTED_VALUE"""),0.0)</f>
        <v>0</v>
      </c>
      <c r="S935" s="447">
        <f>IFERROR(__xludf.DUMMYFUNCTION("""COMPUTED_VALUE"""),3.0)</f>
        <v>3</v>
      </c>
      <c r="T935" s="447">
        <f>IFERROR(__xludf.DUMMYFUNCTION("""COMPUTED_VALUE"""),0.0)</f>
        <v>0</v>
      </c>
      <c r="U935" s="447">
        <f>IFERROR(__xludf.DUMMYFUNCTION("""COMPUTED_VALUE"""),2.0)</f>
        <v>2</v>
      </c>
      <c r="V935" s="447">
        <f>IFERROR(__xludf.DUMMYFUNCTION("""COMPUTED_VALUE"""),2.0)</f>
        <v>2</v>
      </c>
      <c r="W935" s="447">
        <f>IFERROR(__xludf.DUMMYFUNCTION("""COMPUTED_VALUE"""),0.0)</f>
        <v>0</v>
      </c>
      <c r="X935" s="447">
        <f>IFERROR(__xludf.DUMMYFUNCTION("""COMPUTED_VALUE"""),1.0)</f>
        <v>1</v>
      </c>
      <c r="Y935" s="447">
        <f>IFERROR(__xludf.DUMMYFUNCTION("""COMPUTED_VALUE"""),0.0)</f>
        <v>0</v>
      </c>
      <c r="Z935" s="447">
        <f>IFERROR(__xludf.DUMMYFUNCTION("""COMPUTED_VALUE"""),0.0)</f>
        <v>0</v>
      </c>
      <c r="AA935" s="447">
        <f>IFERROR(__xludf.DUMMYFUNCTION("""COMPUTED_VALUE"""),0.0)</f>
        <v>0</v>
      </c>
      <c r="AB935" s="447">
        <f>IFERROR(__xludf.DUMMYFUNCTION("""COMPUTED_VALUE"""),0.0)</f>
        <v>0</v>
      </c>
      <c r="AC935" s="447">
        <f>IFERROR(__xludf.DUMMYFUNCTION("""COMPUTED_VALUE"""),0.0)</f>
        <v>0</v>
      </c>
      <c r="AD935" s="447">
        <f>IFERROR(__xludf.DUMMYFUNCTION("""COMPUTED_VALUE"""),43.0)</f>
        <v>43</v>
      </c>
      <c r="AE935" s="447">
        <f>IFERROR(__xludf.DUMMYFUNCTION("""COMPUTED_VALUE"""),9.0)</f>
        <v>9</v>
      </c>
      <c r="AF935" s="447">
        <f>IFERROR(__xludf.DUMMYFUNCTION("""COMPUTED_VALUE"""),2.0)</f>
        <v>2</v>
      </c>
      <c r="AG935" s="443" t="s">
        <v>127</v>
      </c>
      <c r="AH935" s="443" t="s">
        <v>291</v>
      </c>
      <c r="AI935" s="443"/>
      <c r="AJ935" s="443"/>
      <c r="AK935" s="443"/>
      <c r="AL935" s="443"/>
      <c r="AM935" s="443"/>
      <c r="AN935" s="443"/>
      <c r="AO935" s="443"/>
      <c r="AP935" s="443"/>
      <c r="AQ935" s="443"/>
      <c r="AR935" s="443"/>
      <c r="AS935" s="443"/>
      <c r="AT935" s="443"/>
      <c r="AU935" s="443"/>
      <c r="AV935" s="443"/>
      <c r="AW935" s="443"/>
      <c r="AX935" s="443"/>
      <c r="AY935" s="443"/>
      <c r="AZ935" s="443"/>
      <c r="BA935" s="443"/>
      <c r="BB935" s="443"/>
      <c r="BC935" s="443"/>
      <c r="BD935" s="443"/>
      <c r="BE935" s="443"/>
    </row>
    <row r="936" hidden="1">
      <c r="A936" s="445">
        <f t="shared" si="5"/>
        <v>46226</v>
      </c>
      <c r="B936" s="449">
        <v>463.0</v>
      </c>
      <c r="C936" s="462">
        <v>0.625</v>
      </c>
      <c r="D936" s="462">
        <v>0.95625</v>
      </c>
      <c r="E936" s="436">
        <f t="array" ref="E936">IF(B936=0,"",(J936+K936)/60)</f>
        <v>1.233333333</v>
      </c>
      <c r="F936" s="437">
        <f t="shared" si="1"/>
        <v>7.95</v>
      </c>
      <c r="G936" s="438">
        <f t="shared" si="9"/>
        <v>58.23899371</v>
      </c>
      <c r="H936" s="438">
        <f t="shared" si="3"/>
        <v>68.93300248</v>
      </c>
      <c r="I936" s="436">
        <f t="shared" si="10"/>
        <v>1.354395203</v>
      </c>
      <c r="J936" s="460">
        <v>30.0</v>
      </c>
      <c r="K936" s="460">
        <v>44.0</v>
      </c>
      <c r="L936" s="443"/>
      <c r="M936" s="447">
        <f>IFERROR(__xludf.DUMMYFUNCTION("""COMPUTED_VALUE"""),57.0)</f>
        <v>57</v>
      </c>
      <c r="N936" s="447">
        <f>IFERROR(__xludf.DUMMYFUNCTION("""COMPUTED_VALUE"""),54.0)</f>
        <v>54</v>
      </c>
      <c r="O936" s="447">
        <f>IFERROR(__xludf.DUMMYFUNCTION("""COMPUTED_VALUE"""),0.0)</f>
        <v>0</v>
      </c>
      <c r="P936" s="447">
        <f>IFERROR(__xludf.DUMMYFUNCTION("""COMPUTED_VALUE"""),0.0)</f>
        <v>0</v>
      </c>
      <c r="Q936" s="447">
        <f>IFERROR(__xludf.DUMMYFUNCTION("""COMPUTED_VALUE"""),0.0)</f>
        <v>0</v>
      </c>
      <c r="R936" s="447">
        <f>IFERROR(__xludf.DUMMYFUNCTION("""COMPUTED_VALUE"""),0.0)</f>
        <v>0</v>
      </c>
      <c r="S936" s="447">
        <f>IFERROR(__xludf.DUMMYFUNCTION("""COMPUTED_VALUE"""),2.0)</f>
        <v>2</v>
      </c>
      <c r="T936" s="447">
        <f>IFERROR(__xludf.DUMMYFUNCTION("""COMPUTED_VALUE"""),0.0)</f>
        <v>0</v>
      </c>
      <c r="U936" s="447">
        <f>IFERROR(__xludf.DUMMYFUNCTION("""COMPUTED_VALUE"""),3.0)</f>
        <v>3</v>
      </c>
      <c r="V936" s="447">
        <f>IFERROR(__xludf.DUMMYFUNCTION("""COMPUTED_VALUE"""),2.0)</f>
        <v>2</v>
      </c>
      <c r="W936" s="447">
        <f>IFERROR(__xludf.DUMMYFUNCTION("""COMPUTED_VALUE"""),1.0)</f>
        <v>1</v>
      </c>
      <c r="X936" s="447">
        <f>IFERROR(__xludf.DUMMYFUNCTION("""COMPUTED_VALUE"""),1.0)</f>
        <v>1</v>
      </c>
      <c r="Y936" s="447">
        <f>IFERROR(__xludf.DUMMYFUNCTION("""COMPUTED_VALUE"""),0.0)</f>
        <v>0</v>
      </c>
      <c r="Z936" s="447">
        <f>IFERROR(__xludf.DUMMYFUNCTION("""COMPUTED_VALUE"""),0.0)</f>
        <v>0</v>
      </c>
      <c r="AA936" s="447">
        <f>IFERROR(__xludf.DUMMYFUNCTION("""COMPUTED_VALUE"""),0.0)</f>
        <v>0</v>
      </c>
      <c r="AB936" s="447">
        <f>IFERROR(__xludf.DUMMYFUNCTION("""COMPUTED_VALUE"""),0.0)</f>
        <v>0</v>
      </c>
      <c r="AC936" s="447">
        <f>IFERROR(__xludf.DUMMYFUNCTION("""COMPUTED_VALUE"""),0.0)</f>
        <v>0</v>
      </c>
      <c r="AD936" s="447">
        <f>IFERROR(__xludf.DUMMYFUNCTION("""COMPUTED_VALUE"""),43.0)</f>
        <v>43</v>
      </c>
      <c r="AE936" s="447">
        <f>IFERROR(__xludf.DUMMYFUNCTION("""COMPUTED_VALUE"""),9.0)</f>
        <v>9</v>
      </c>
      <c r="AF936" s="447">
        <f>IFERROR(__xludf.DUMMYFUNCTION("""COMPUTED_VALUE"""),3.0)</f>
        <v>3</v>
      </c>
      <c r="AG936" s="443" t="s">
        <v>127</v>
      </c>
      <c r="AH936" s="443" t="s">
        <v>291</v>
      </c>
      <c r="AI936" s="443"/>
      <c r="AJ936" s="443"/>
      <c r="AK936" s="443"/>
      <c r="AL936" s="443"/>
      <c r="AM936" s="443"/>
      <c r="AN936" s="443"/>
      <c r="AO936" s="443"/>
      <c r="AP936" s="443"/>
      <c r="AQ936" s="443"/>
      <c r="AR936" s="443"/>
      <c r="AS936" s="443"/>
      <c r="AT936" s="443"/>
      <c r="AU936" s="443"/>
      <c r="AV936" s="443"/>
      <c r="AW936" s="443"/>
      <c r="AX936" s="443"/>
      <c r="AY936" s="443"/>
      <c r="AZ936" s="443"/>
      <c r="BA936" s="443"/>
      <c r="BB936" s="443"/>
      <c r="BC936" s="443"/>
      <c r="BD936" s="443"/>
      <c r="BE936" s="443"/>
    </row>
    <row r="937" hidden="1">
      <c r="A937" s="445">
        <f t="shared" si="5"/>
        <v>46227</v>
      </c>
      <c r="B937" s="449">
        <v>380.0</v>
      </c>
      <c r="C937" s="462">
        <v>0.6666666666666666</v>
      </c>
      <c r="D937" s="462">
        <v>0.9263888888888889</v>
      </c>
      <c r="E937" s="436">
        <f t="array" ref="E937">IF(B937=0,"",(J937+K937)/60)</f>
        <v>0.5</v>
      </c>
      <c r="F937" s="437">
        <f t="shared" si="1"/>
        <v>6.233333333</v>
      </c>
      <c r="G937" s="438">
        <f t="shared" si="9"/>
        <v>60.96256684</v>
      </c>
      <c r="H937" s="438">
        <f t="shared" si="3"/>
        <v>66.27906977</v>
      </c>
      <c r="I937" s="436">
        <f t="shared" si="10"/>
        <v>1.385512883</v>
      </c>
      <c r="J937" s="460">
        <v>30.0</v>
      </c>
      <c r="K937" s="460">
        <v>0.0</v>
      </c>
      <c r="L937" s="443"/>
      <c r="M937" s="447">
        <f>IFERROR(__xludf.DUMMYFUNCTION("""COMPUTED_VALUE"""),57.0)</f>
        <v>57</v>
      </c>
      <c r="N937" s="447">
        <f>IFERROR(__xludf.DUMMYFUNCTION("""COMPUTED_VALUE"""),54.0)</f>
        <v>54</v>
      </c>
      <c r="O937" s="447">
        <f>IFERROR(__xludf.DUMMYFUNCTION("""COMPUTED_VALUE"""),0.0)</f>
        <v>0</v>
      </c>
      <c r="P937" s="447">
        <f>IFERROR(__xludf.DUMMYFUNCTION("""COMPUTED_VALUE"""),0.0)</f>
        <v>0</v>
      </c>
      <c r="Q937" s="447">
        <f>IFERROR(__xludf.DUMMYFUNCTION("""COMPUTED_VALUE"""),0.0)</f>
        <v>0</v>
      </c>
      <c r="R937" s="447">
        <f>IFERROR(__xludf.DUMMYFUNCTION("""COMPUTED_VALUE"""),0.0)</f>
        <v>0</v>
      </c>
      <c r="S937" s="447">
        <f>IFERROR(__xludf.DUMMYFUNCTION("""COMPUTED_VALUE"""),1.0)</f>
        <v>1</v>
      </c>
      <c r="T937" s="447">
        <f>IFERROR(__xludf.DUMMYFUNCTION("""COMPUTED_VALUE"""),0.0)</f>
        <v>0</v>
      </c>
      <c r="U937" s="447">
        <f>IFERROR(__xludf.DUMMYFUNCTION("""COMPUTED_VALUE"""),3.0)</f>
        <v>3</v>
      </c>
      <c r="V937" s="447">
        <f>IFERROR(__xludf.DUMMYFUNCTION("""COMPUTED_VALUE"""),2.0)</f>
        <v>2</v>
      </c>
      <c r="W937" s="447">
        <f>IFERROR(__xludf.DUMMYFUNCTION("""COMPUTED_VALUE"""),0.0)</f>
        <v>0</v>
      </c>
      <c r="X937" s="447">
        <f>IFERROR(__xludf.DUMMYFUNCTION("""COMPUTED_VALUE"""),1.0)</f>
        <v>1</v>
      </c>
      <c r="Y937" s="447">
        <f>IFERROR(__xludf.DUMMYFUNCTION("""COMPUTED_VALUE"""),1.0)</f>
        <v>1</v>
      </c>
      <c r="Z937" s="447">
        <f>IFERROR(__xludf.DUMMYFUNCTION("""COMPUTED_VALUE"""),0.0)</f>
        <v>0</v>
      </c>
      <c r="AA937" s="447">
        <f>IFERROR(__xludf.DUMMYFUNCTION("""COMPUTED_VALUE"""),0.0)</f>
        <v>0</v>
      </c>
      <c r="AB937" s="447">
        <f>IFERROR(__xludf.DUMMYFUNCTION("""COMPUTED_VALUE"""),0.0)</f>
        <v>0</v>
      </c>
      <c r="AC937" s="447">
        <f>IFERROR(__xludf.DUMMYFUNCTION("""COMPUTED_VALUE"""),0.0)</f>
        <v>0</v>
      </c>
      <c r="AD937" s="447">
        <f>IFERROR(__xludf.DUMMYFUNCTION("""COMPUTED_VALUE"""),44.0)</f>
        <v>44</v>
      </c>
      <c r="AE937" s="447">
        <f>IFERROR(__xludf.DUMMYFUNCTION("""COMPUTED_VALUE"""),8.0)</f>
        <v>8</v>
      </c>
      <c r="AF937" s="447">
        <f>IFERROR(__xludf.DUMMYFUNCTION("""COMPUTED_VALUE"""),3.0)</f>
        <v>3</v>
      </c>
      <c r="AG937" s="443" t="s">
        <v>127</v>
      </c>
      <c r="AH937" s="443" t="s">
        <v>291</v>
      </c>
      <c r="AI937" s="443"/>
      <c r="AJ937" s="443"/>
      <c r="AK937" s="443"/>
      <c r="AL937" s="443"/>
      <c r="AM937" s="443"/>
      <c r="AN937" s="443"/>
      <c r="AO937" s="443"/>
      <c r="AP937" s="443"/>
      <c r="AQ937" s="443"/>
      <c r="AR937" s="443"/>
      <c r="AS937" s="443"/>
      <c r="AT937" s="443"/>
      <c r="AU937" s="443"/>
      <c r="AV937" s="443"/>
      <c r="AW937" s="443"/>
      <c r="AX937" s="443"/>
      <c r="AY937" s="443"/>
      <c r="AZ937" s="443"/>
      <c r="BA937" s="443"/>
      <c r="BB937" s="443"/>
      <c r="BC937" s="443"/>
      <c r="BD937" s="443"/>
      <c r="BE937" s="443"/>
    </row>
    <row r="938" hidden="1">
      <c r="A938" s="445">
        <f t="shared" si="5"/>
        <v>46228</v>
      </c>
      <c r="B938" s="449">
        <v>480.0</v>
      </c>
      <c r="C938" s="462">
        <v>0.5833333333333334</v>
      </c>
      <c r="D938" s="462">
        <v>0.9263888888888889</v>
      </c>
      <c r="E938" s="436">
        <f t="array" ref="E938">IF(B938=0,"",(J938+K938)/60)</f>
        <v>0.85</v>
      </c>
      <c r="F938" s="437">
        <f t="shared" si="1"/>
        <v>8.233333333</v>
      </c>
      <c r="G938" s="438">
        <f t="shared" si="9"/>
        <v>58.29959514</v>
      </c>
      <c r="H938" s="438">
        <f t="shared" si="3"/>
        <v>65.01128668</v>
      </c>
      <c r="I938" s="436">
        <f t="shared" si="10"/>
        <v>1.355804538</v>
      </c>
      <c r="J938" s="460">
        <v>30.0</v>
      </c>
      <c r="K938" s="460">
        <v>21.0</v>
      </c>
      <c r="L938" s="443"/>
      <c r="M938" s="447">
        <f>IFERROR(__xludf.DUMMYFUNCTION("""COMPUTED_VALUE"""),57.0)</f>
        <v>57</v>
      </c>
      <c r="N938" s="447">
        <f>IFERROR(__xludf.DUMMYFUNCTION("""COMPUTED_VALUE"""),54.0)</f>
        <v>54</v>
      </c>
      <c r="O938" s="447">
        <f>IFERROR(__xludf.DUMMYFUNCTION("""COMPUTED_VALUE"""),0.0)</f>
        <v>0</v>
      </c>
      <c r="P938" s="447">
        <f>IFERROR(__xludf.DUMMYFUNCTION("""COMPUTED_VALUE"""),1.0)</f>
        <v>1</v>
      </c>
      <c r="Q938" s="447">
        <f>IFERROR(__xludf.DUMMYFUNCTION("""COMPUTED_VALUE"""),0.0)</f>
        <v>0</v>
      </c>
      <c r="R938" s="447">
        <f>IFERROR(__xludf.DUMMYFUNCTION("""COMPUTED_VALUE"""),0.0)</f>
        <v>0</v>
      </c>
      <c r="S938" s="447">
        <f>IFERROR(__xludf.DUMMYFUNCTION("""COMPUTED_VALUE"""),1.0)</f>
        <v>1</v>
      </c>
      <c r="T938" s="447">
        <f>IFERROR(__xludf.DUMMYFUNCTION("""COMPUTED_VALUE"""),0.0)</f>
        <v>0</v>
      </c>
      <c r="U938" s="447">
        <f>IFERROR(__xludf.DUMMYFUNCTION("""COMPUTED_VALUE"""),3.0)</f>
        <v>3</v>
      </c>
      <c r="V938" s="447">
        <f>IFERROR(__xludf.DUMMYFUNCTION("""COMPUTED_VALUE"""),2.0)</f>
        <v>2</v>
      </c>
      <c r="W938" s="447">
        <f>IFERROR(__xludf.DUMMYFUNCTION("""COMPUTED_VALUE"""),0.0)</f>
        <v>0</v>
      </c>
      <c r="X938" s="447">
        <f>IFERROR(__xludf.DUMMYFUNCTION("""COMPUTED_VALUE"""),1.0)</f>
        <v>1</v>
      </c>
      <c r="Y938" s="447">
        <f>IFERROR(__xludf.DUMMYFUNCTION("""COMPUTED_VALUE"""),1.0)</f>
        <v>1</v>
      </c>
      <c r="Z938" s="447">
        <f>IFERROR(__xludf.DUMMYFUNCTION("""COMPUTED_VALUE"""),0.0)</f>
        <v>0</v>
      </c>
      <c r="AA938" s="447">
        <f>IFERROR(__xludf.DUMMYFUNCTION("""COMPUTED_VALUE"""),0.0)</f>
        <v>0</v>
      </c>
      <c r="AB938" s="447">
        <f>IFERROR(__xludf.DUMMYFUNCTION("""COMPUTED_VALUE"""),0.0)</f>
        <v>0</v>
      </c>
      <c r="AC938" s="447">
        <f>IFERROR(__xludf.DUMMYFUNCTION("""COMPUTED_VALUE"""),0.0)</f>
        <v>0</v>
      </c>
      <c r="AD938" s="447">
        <f>IFERROR(__xludf.DUMMYFUNCTION("""COMPUTED_VALUE"""),43.0)</f>
        <v>43</v>
      </c>
      <c r="AE938" s="447">
        <f>IFERROR(__xludf.DUMMYFUNCTION("""COMPUTED_VALUE"""),9.0)</f>
        <v>9</v>
      </c>
      <c r="AF938" s="447">
        <f>IFERROR(__xludf.DUMMYFUNCTION("""COMPUTED_VALUE"""),3.0)</f>
        <v>3</v>
      </c>
      <c r="AG938" s="443" t="s">
        <v>127</v>
      </c>
      <c r="AH938" s="443" t="s">
        <v>291</v>
      </c>
      <c r="AI938" s="443"/>
      <c r="AJ938" s="443"/>
      <c r="AK938" s="443"/>
      <c r="AL938" s="443"/>
      <c r="AM938" s="443"/>
      <c r="AN938" s="443"/>
      <c r="AO938" s="443"/>
      <c r="AP938" s="443"/>
      <c r="AQ938" s="443"/>
      <c r="AR938" s="443"/>
      <c r="AS938" s="443"/>
      <c r="AT938" s="443"/>
      <c r="AU938" s="443"/>
      <c r="AV938" s="443"/>
      <c r="AW938" s="443"/>
      <c r="AX938" s="443"/>
      <c r="AY938" s="443"/>
      <c r="AZ938" s="443"/>
      <c r="BA938" s="443"/>
      <c r="BB938" s="443"/>
      <c r="BC938" s="443"/>
      <c r="BD938" s="443"/>
      <c r="BE938" s="443"/>
    </row>
    <row r="939" hidden="1">
      <c r="A939" s="445">
        <f t="shared" si="5"/>
        <v>46229</v>
      </c>
      <c r="B939" s="449">
        <v>0.0</v>
      </c>
      <c r="C939" s="443"/>
      <c r="D939" s="462"/>
      <c r="E939" s="436" t="str">
        <f t="array" ref="E939">IF(B939=0,"",(J939+K939)/60)</f>
        <v/>
      </c>
      <c r="F939" s="437" t="str">
        <f t="shared" si="1"/>
        <v/>
      </c>
      <c r="G939" s="438" t="str">
        <f t="shared" si="9"/>
        <v>#DIV/0!</v>
      </c>
      <c r="H939" s="438" t="str">
        <f t="shared" si="3"/>
        <v/>
      </c>
      <c r="I939" s="436" t="str">
        <f t="shared" si="10"/>
        <v/>
      </c>
      <c r="J939" s="464"/>
      <c r="K939" s="464"/>
      <c r="L939" s="443"/>
      <c r="M939" s="447">
        <f>IFERROR(__xludf.DUMMYFUNCTION("""COMPUTED_VALUE"""),57.0)</f>
        <v>57</v>
      </c>
      <c r="N939" s="447">
        <f>IFERROR(__xludf.DUMMYFUNCTION("""COMPUTED_VALUE"""),54.0)</f>
        <v>54</v>
      </c>
      <c r="O939" s="447">
        <f>IFERROR(__xludf.DUMMYFUNCTION("""COMPUTED_VALUE"""),0.0)</f>
        <v>0</v>
      </c>
      <c r="P939" s="447">
        <f>IFERROR(__xludf.DUMMYFUNCTION("""COMPUTED_VALUE"""),0.0)</f>
        <v>0</v>
      </c>
      <c r="Q939" s="447">
        <f>IFERROR(__xludf.DUMMYFUNCTION("""COMPUTED_VALUE"""),0.0)</f>
        <v>0</v>
      </c>
      <c r="R939" s="447">
        <f>IFERROR(__xludf.DUMMYFUNCTION("""COMPUTED_VALUE"""),0.0)</f>
        <v>0</v>
      </c>
      <c r="S939" s="447">
        <f>IFERROR(__xludf.DUMMYFUNCTION("""COMPUTED_VALUE"""),1.0)</f>
        <v>1</v>
      </c>
      <c r="T939" s="447">
        <f>IFERROR(__xludf.DUMMYFUNCTION("""COMPUTED_VALUE"""),0.0)</f>
        <v>0</v>
      </c>
      <c r="U939" s="447">
        <f>IFERROR(__xludf.DUMMYFUNCTION("""COMPUTED_VALUE"""),3.0)</f>
        <v>3</v>
      </c>
      <c r="V939" s="447">
        <f>IFERROR(__xludf.DUMMYFUNCTION("""COMPUTED_VALUE"""),2.0)</f>
        <v>2</v>
      </c>
      <c r="W939" s="447">
        <f>IFERROR(__xludf.DUMMYFUNCTION("""COMPUTED_VALUE"""),0.0)</f>
        <v>0</v>
      </c>
      <c r="X939" s="447">
        <f>IFERROR(__xludf.DUMMYFUNCTION("""COMPUTED_VALUE"""),1.0)</f>
        <v>1</v>
      </c>
      <c r="Y939" s="447">
        <f>IFERROR(__xludf.DUMMYFUNCTION("""COMPUTED_VALUE"""),1.0)</f>
        <v>1</v>
      </c>
      <c r="Z939" s="447">
        <f>IFERROR(__xludf.DUMMYFUNCTION("""COMPUTED_VALUE"""),0.0)</f>
        <v>0</v>
      </c>
      <c r="AA939" s="447">
        <f>IFERROR(__xludf.DUMMYFUNCTION("""COMPUTED_VALUE"""),0.0)</f>
        <v>0</v>
      </c>
      <c r="AB939" s="447">
        <f>IFERROR(__xludf.DUMMYFUNCTION("""COMPUTED_VALUE"""),0.0)</f>
        <v>0</v>
      </c>
      <c r="AC939" s="447">
        <f>IFERROR(__xludf.DUMMYFUNCTION("""COMPUTED_VALUE"""),0.0)</f>
        <v>0</v>
      </c>
      <c r="AD939" s="447">
        <f>IFERROR(__xludf.DUMMYFUNCTION("""COMPUTED_VALUE"""),0.0)</f>
        <v>0</v>
      </c>
      <c r="AE939" s="447">
        <f>IFERROR(__xludf.DUMMYFUNCTION("""COMPUTED_VALUE"""),8.0)</f>
        <v>8</v>
      </c>
      <c r="AF939" s="447">
        <f>IFERROR(__xludf.DUMMYFUNCTION("""COMPUTED_VALUE"""),3.0)</f>
        <v>3</v>
      </c>
      <c r="AG939" s="443" t="s">
        <v>127</v>
      </c>
      <c r="AH939" s="443" t="s">
        <v>291</v>
      </c>
      <c r="AI939" s="443"/>
      <c r="AJ939" s="443"/>
      <c r="AK939" s="443"/>
      <c r="AL939" s="443"/>
      <c r="AM939" s="443"/>
      <c r="AN939" s="443"/>
      <c r="AO939" s="443"/>
      <c r="AP939" s="443"/>
      <c r="AQ939" s="443"/>
      <c r="AR939" s="443"/>
      <c r="AS939" s="443"/>
      <c r="AT939" s="443"/>
      <c r="AU939" s="443"/>
      <c r="AV939" s="443"/>
      <c r="AW939" s="443"/>
      <c r="AX939" s="443"/>
      <c r="AY939" s="443"/>
      <c r="AZ939" s="443"/>
      <c r="BA939" s="443"/>
      <c r="BB939" s="443"/>
      <c r="BC939" s="443"/>
      <c r="BD939" s="443"/>
      <c r="BE939" s="443"/>
    </row>
    <row r="940" hidden="1">
      <c r="A940" s="445">
        <f t="shared" si="5"/>
        <v>46230</v>
      </c>
      <c r="B940" s="449">
        <v>677.0</v>
      </c>
      <c r="C940" s="462">
        <v>0.5416666666666666</v>
      </c>
      <c r="D940" s="462">
        <v>1.01875</v>
      </c>
      <c r="E940" s="436">
        <f t="array" ref="E940">IF(B940=0,"",(J940+K940)/60)</f>
        <v>1.416666667</v>
      </c>
      <c r="F940" s="437">
        <f t="shared" si="1"/>
        <v>11.45</v>
      </c>
      <c r="G940" s="438">
        <f t="shared" si="9"/>
        <v>59.12663755</v>
      </c>
      <c r="H940" s="438">
        <f t="shared" si="3"/>
        <v>67.47508306</v>
      </c>
      <c r="I940" s="436">
        <f t="shared" si="10"/>
        <v>1.343787217</v>
      </c>
      <c r="J940" s="460">
        <v>60.0</v>
      </c>
      <c r="K940" s="460">
        <v>25.0</v>
      </c>
      <c r="L940" s="443"/>
      <c r="M940" s="447">
        <f>IFERROR(__xludf.DUMMYFUNCTION("""COMPUTED_VALUE"""),57.0)</f>
        <v>57</v>
      </c>
      <c r="N940" s="447">
        <f>IFERROR(__xludf.DUMMYFUNCTION("""COMPUTED_VALUE"""),57.0)</f>
        <v>57</v>
      </c>
      <c r="O940" s="447">
        <f>IFERROR(__xludf.DUMMYFUNCTION("""COMPUTED_VALUE"""),0.0)</f>
        <v>0</v>
      </c>
      <c r="P940" s="447">
        <f>IFERROR(__xludf.DUMMYFUNCTION("""COMPUTED_VALUE"""),0.0)</f>
        <v>0</v>
      </c>
      <c r="Q940" s="447">
        <f>IFERROR(__xludf.DUMMYFUNCTION("""COMPUTED_VALUE"""),0.0)</f>
        <v>0</v>
      </c>
      <c r="R940" s="447">
        <f>IFERROR(__xludf.DUMMYFUNCTION("""COMPUTED_VALUE"""),0.0)</f>
        <v>0</v>
      </c>
      <c r="S940" s="447">
        <f>IFERROR(__xludf.DUMMYFUNCTION("""COMPUTED_VALUE"""),1.0)</f>
        <v>1</v>
      </c>
      <c r="T940" s="447">
        <f>IFERROR(__xludf.DUMMYFUNCTION("""COMPUTED_VALUE"""),0.0)</f>
        <v>0</v>
      </c>
      <c r="U940" s="447">
        <f>IFERROR(__xludf.DUMMYFUNCTION("""COMPUTED_VALUE"""),0.0)</f>
        <v>0</v>
      </c>
      <c r="V940" s="447">
        <f>IFERROR(__xludf.DUMMYFUNCTION("""COMPUTED_VALUE"""),2.0)</f>
        <v>2</v>
      </c>
      <c r="W940" s="447">
        <f>IFERROR(__xludf.DUMMYFUNCTION("""COMPUTED_VALUE"""),0.0)</f>
        <v>0</v>
      </c>
      <c r="X940" s="447">
        <f>IFERROR(__xludf.DUMMYFUNCTION("""COMPUTED_VALUE"""),1.0)</f>
        <v>1</v>
      </c>
      <c r="Y940" s="447">
        <f>IFERROR(__xludf.DUMMYFUNCTION("""COMPUTED_VALUE"""),1.0)</f>
        <v>1</v>
      </c>
      <c r="Z940" s="447">
        <f>IFERROR(__xludf.DUMMYFUNCTION("""COMPUTED_VALUE"""),0.0)</f>
        <v>0</v>
      </c>
      <c r="AA940" s="447">
        <f>IFERROR(__xludf.DUMMYFUNCTION("""COMPUTED_VALUE"""),0.0)</f>
        <v>0</v>
      </c>
      <c r="AB940" s="447">
        <f>IFERROR(__xludf.DUMMYFUNCTION("""COMPUTED_VALUE"""),3.0)</f>
        <v>3</v>
      </c>
      <c r="AC940" s="447">
        <f>IFERROR(__xludf.DUMMYFUNCTION("""COMPUTED_VALUE"""),0.0)</f>
        <v>0</v>
      </c>
      <c r="AD940" s="447">
        <f>IFERROR(__xludf.DUMMYFUNCTION("""COMPUTED_VALUE"""),44.0)</f>
        <v>44</v>
      </c>
      <c r="AE940" s="447">
        <f>IFERROR(__xludf.DUMMYFUNCTION("""COMPUTED_VALUE"""),5.0)</f>
        <v>5</v>
      </c>
      <c r="AF940" s="447">
        <f>IFERROR(__xludf.DUMMYFUNCTION("""COMPUTED_VALUE"""),0.0)</f>
        <v>0</v>
      </c>
      <c r="AG940" s="443" t="s">
        <v>127</v>
      </c>
      <c r="AH940" s="443" t="s">
        <v>291</v>
      </c>
      <c r="AI940" s="443"/>
      <c r="AJ940" s="443"/>
      <c r="AK940" s="443"/>
      <c r="AL940" s="443"/>
      <c r="AM940" s="443"/>
      <c r="AN940" s="443"/>
      <c r="AO940" s="443"/>
      <c r="AP940" s="443"/>
      <c r="AQ940" s="443"/>
      <c r="AR940" s="443"/>
      <c r="AS940" s="443"/>
      <c r="AT940" s="443"/>
      <c r="AU940" s="443"/>
      <c r="AV940" s="443"/>
      <c r="AW940" s="443"/>
      <c r="AX940" s="443"/>
      <c r="AY940" s="443"/>
      <c r="AZ940" s="443"/>
      <c r="BA940" s="443"/>
      <c r="BB940" s="443"/>
      <c r="BC940" s="443"/>
      <c r="BD940" s="443"/>
      <c r="BE940" s="443"/>
    </row>
    <row r="941" hidden="1">
      <c r="A941" s="445">
        <f t="shared" si="5"/>
        <v>46231</v>
      </c>
      <c r="B941" s="449">
        <v>446.0</v>
      </c>
      <c r="C941" s="462">
        <v>0.5833333333333334</v>
      </c>
      <c r="D941" s="462">
        <v>0.9111111111111111</v>
      </c>
      <c r="E941" s="436">
        <f t="array" ref="E941">IF(B941=0,"",(J941+K941)/60)</f>
        <v>0.9333333333</v>
      </c>
      <c r="F941" s="437">
        <f t="shared" si="1"/>
        <v>7.866666667</v>
      </c>
      <c r="G941" s="438">
        <f t="shared" si="9"/>
        <v>56.69491525</v>
      </c>
      <c r="H941" s="438">
        <f t="shared" si="3"/>
        <v>64.32692308</v>
      </c>
      <c r="I941" s="436">
        <f t="shared" si="10"/>
        <v>1.232498158</v>
      </c>
      <c r="J941" s="460">
        <v>40.0</v>
      </c>
      <c r="K941" s="460">
        <v>16.0</v>
      </c>
      <c r="L941" s="443"/>
      <c r="M941" s="447">
        <f>IFERROR(__xludf.DUMMYFUNCTION("""COMPUTED_VALUE"""),57.0)</f>
        <v>57</v>
      </c>
      <c r="N941" s="447">
        <f>IFERROR(__xludf.DUMMYFUNCTION("""COMPUTED_VALUE"""),57.0)</f>
        <v>57</v>
      </c>
      <c r="O941" s="447">
        <f>IFERROR(__xludf.DUMMYFUNCTION("""COMPUTED_VALUE"""),0.0)</f>
        <v>0</v>
      </c>
      <c r="P941" s="447">
        <f>IFERROR(__xludf.DUMMYFUNCTION("""COMPUTED_VALUE"""),0.0)</f>
        <v>0</v>
      </c>
      <c r="Q941" s="447">
        <f>IFERROR(__xludf.DUMMYFUNCTION("""COMPUTED_VALUE"""),0.0)</f>
        <v>0</v>
      </c>
      <c r="R941" s="447">
        <f>IFERROR(__xludf.DUMMYFUNCTION("""COMPUTED_VALUE"""),0.0)</f>
        <v>0</v>
      </c>
      <c r="S941" s="447">
        <f>IFERROR(__xludf.DUMMYFUNCTION("""COMPUTED_VALUE"""),1.0)</f>
        <v>1</v>
      </c>
      <c r="T941" s="447">
        <f>IFERROR(__xludf.DUMMYFUNCTION("""COMPUTED_VALUE"""),0.0)</f>
        <v>0</v>
      </c>
      <c r="U941" s="447">
        <f>IFERROR(__xludf.DUMMYFUNCTION("""COMPUTED_VALUE"""),0.0)</f>
        <v>0</v>
      </c>
      <c r="V941" s="447">
        <f>IFERROR(__xludf.DUMMYFUNCTION("""COMPUTED_VALUE"""),2.0)</f>
        <v>2</v>
      </c>
      <c r="W941" s="447">
        <f>IFERROR(__xludf.DUMMYFUNCTION("""COMPUTED_VALUE"""),1.0)</f>
        <v>1</v>
      </c>
      <c r="X941" s="447">
        <f>IFERROR(__xludf.DUMMYFUNCTION("""COMPUTED_VALUE"""),1.0)</f>
        <v>1</v>
      </c>
      <c r="Y941" s="447">
        <f>IFERROR(__xludf.DUMMYFUNCTION("""COMPUTED_VALUE"""),1.0)</f>
        <v>1</v>
      </c>
      <c r="Z941" s="447">
        <f>IFERROR(__xludf.DUMMYFUNCTION("""COMPUTED_VALUE"""),0.0)</f>
        <v>0</v>
      </c>
      <c r="AA941" s="447">
        <f>IFERROR(__xludf.DUMMYFUNCTION("""COMPUTED_VALUE"""),0.0)</f>
        <v>0</v>
      </c>
      <c r="AB941" s="447">
        <f>IFERROR(__xludf.DUMMYFUNCTION("""COMPUTED_VALUE"""),0.0)</f>
        <v>0</v>
      </c>
      <c r="AC941" s="447">
        <f>IFERROR(__xludf.DUMMYFUNCTION("""COMPUTED_VALUE"""),0.0)</f>
        <v>0</v>
      </c>
      <c r="AD941" s="447">
        <f>IFERROR(__xludf.DUMMYFUNCTION("""COMPUTED_VALUE"""),46.0)</f>
        <v>46</v>
      </c>
      <c r="AE941" s="447">
        <f>IFERROR(__xludf.DUMMYFUNCTION("""COMPUTED_VALUE"""),6.0)</f>
        <v>6</v>
      </c>
      <c r="AF941" s="447">
        <f>IFERROR(__xludf.DUMMYFUNCTION("""COMPUTED_VALUE"""),0.0)</f>
        <v>0</v>
      </c>
      <c r="AG941" s="443" t="s">
        <v>127</v>
      </c>
      <c r="AH941" s="443" t="s">
        <v>291</v>
      </c>
      <c r="AI941" s="443"/>
      <c r="AJ941" s="443"/>
      <c r="AK941" s="443"/>
      <c r="AL941" s="443"/>
      <c r="AM941" s="443"/>
      <c r="AN941" s="443"/>
      <c r="AO941" s="443"/>
      <c r="AP941" s="443"/>
      <c r="AQ941" s="443"/>
      <c r="AR941" s="443"/>
      <c r="AS941" s="443"/>
      <c r="AT941" s="443"/>
      <c r="AU941" s="443"/>
      <c r="AV941" s="443"/>
      <c r="AW941" s="443"/>
      <c r="AX941" s="443"/>
      <c r="AY941" s="443"/>
      <c r="AZ941" s="443"/>
      <c r="BA941" s="443"/>
      <c r="BB941" s="443"/>
      <c r="BC941" s="443"/>
      <c r="BD941" s="443"/>
      <c r="BE941" s="443"/>
    </row>
    <row r="942" hidden="1">
      <c r="A942" s="445">
        <f t="shared" si="5"/>
        <v>46232</v>
      </c>
      <c r="B942" s="449">
        <v>370.0</v>
      </c>
      <c r="C942" s="462">
        <v>0.6666666666666666</v>
      </c>
      <c r="D942" s="462">
        <v>0.9375</v>
      </c>
      <c r="E942" s="436">
        <f t="array" ref="E942">IF(B942=0,"",(J942+K942)/60)</f>
        <v>0.7</v>
      </c>
      <c r="F942" s="437">
        <f t="shared" si="1"/>
        <v>6.5</v>
      </c>
      <c r="G942" s="438">
        <f t="shared" si="9"/>
        <v>56.92307692</v>
      </c>
      <c r="H942" s="438">
        <f t="shared" si="3"/>
        <v>63.79310345</v>
      </c>
      <c r="I942" s="436">
        <f t="shared" si="10"/>
        <v>1.237458194</v>
      </c>
      <c r="J942" s="460">
        <v>30.0</v>
      </c>
      <c r="K942" s="460">
        <v>12.0</v>
      </c>
      <c r="L942" s="443"/>
      <c r="M942" s="447">
        <f>IFERROR(__xludf.DUMMYFUNCTION("""COMPUTED_VALUE"""),57.0)</f>
        <v>57</v>
      </c>
      <c r="N942" s="447">
        <f>IFERROR(__xludf.DUMMYFUNCTION("""COMPUTED_VALUE"""),57.0)</f>
        <v>57</v>
      </c>
      <c r="O942" s="447">
        <f>IFERROR(__xludf.DUMMYFUNCTION("""COMPUTED_VALUE"""),0.0)</f>
        <v>0</v>
      </c>
      <c r="P942" s="447">
        <f>IFERROR(__xludf.DUMMYFUNCTION("""COMPUTED_VALUE"""),0.0)</f>
        <v>0</v>
      </c>
      <c r="Q942" s="447">
        <f>IFERROR(__xludf.DUMMYFUNCTION("""COMPUTED_VALUE"""),0.0)</f>
        <v>0</v>
      </c>
      <c r="R942" s="447">
        <f>IFERROR(__xludf.DUMMYFUNCTION("""COMPUTED_VALUE"""),0.0)</f>
        <v>0</v>
      </c>
      <c r="S942" s="447">
        <f>IFERROR(__xludf.DUMMYFUNCTION("""COMPUTED_VALUE"""),1.0)</f>
        <v>1</v>
      </c>
      <c r="T942" s="447">
        <f>IFERROR(__xludf.DUMMYFUNCTION("""COMPUTED_VALUE"""),0.0)</f>
        <v>0</v>
      </c>
      <c r="U942" s="447">
        <f>IFERROR(__xludf.DUMMYFUNCTION("""COMPUTED_VALUE"""),0.0)</f>
        <v>0</v>
      </c>
      <c r="V942" s="447">
        <f>IFERROR(__xludf.DUMMYFUNCTION("""COMPUTED_VALUE"""),2.0)</f>
        <v>2</v>
      </c>
      <c r="W942" s="447">
        <f>IFERROR(__xludf.DUMMYFUNCTION("""COMPUTED_VALUE"""),1.0)</f>
        <v>1</v>
      </c>
      <c r="X942" s="447">
        <f>IFERROR(__xludf.DUMMYFUNCTION("""COMPUTED_VALUE"""),1.0)</f>
        <v>1</v>
      </c>
      <c r="Y942" s="447">
        <f>IFERROR(__xludf.DUMMYFUNCTION("""COMPUTED_VALUE"""),1.0)</f>
        <v>1</v>
      </c>
      <c r="Z942" s="447">
        <f>IFERROR(__xludf.DUMMYFUNCTION("""COMPUTED_VALUE"""),1.0)</f>
        <v>1</v>
      </c>
      <c r="AA942" s="447">
        <f>IFERROR(__xludf.DUMMYFUNCTION("""COMPUTED_VALUE"""),0.0)</f>
        <v>0</v>
      </c>
      <c r="AB942" s="447">
        <f>IFERROR(__xludf.DUMMYFUNCTION("""COMPUTED_VALUE"""),0.0)</f>
        <v>0</v>
      </c>
      <c r="AC942" s="447">
        <f>IFERROR(__xludf.DUMMYFUNCTION("""COMPUTED_VALUE"""),0.0)</f>
        <v>0</v>
      </c>
      <c r="AD942" s="447">
        <f>IFERROR(__xludf.DUMMYFUNCTION("""COMPUTED_VALUE"""),46.0)</f>
        <v>46</v>
      </c>
      <c r="AE942" s="447">
        <f>IFERROR(__xludf.DUMMYFUNCTION("""COMPUTED_VALUE"""),6.0)</f>
        <v>6</v>
      </c>
      <c r="AF942" s="447">
        <f>IFERROR(__xludf.DUMMYFUNCTION("""COMPUTED_VALUE"""),0.0)</f>
        <v>0</v>
      </c>
      <c r="AG942" s="443" t="s">
        <v>127</v>
      </c>
      <c r="AH942" s="443" t="s">
        <v>291</v>
      </c>
      <c r="AI942" s="443"/>
      <c r="AJ942" s="443"/>
      <c r="AK942" s="443"/>
      <c r="AL942" s="443"/>
      <c r="AM942" s="443"/>
      <c r="AN942" s="443"/>
      <c r="AO942" s="443"/>
      <c r="AP942" s="443"/>
      <c r="AQ942" s="443"/>
      <c r="AR942" s="443"/>
      <c r="AS942" s="443"/>
      <c r="AT942" s="443"/>
      <c r="AU942" s="443"/>
      <c r="AV942" s="443"/>
      <c r="AW942" s="443"/>
      <c r="AX942" s="443"/>
      <c r="AY942" s="443"/>
      <c r="AZ942" s="443"/>
      <c r="BA942" s="443"/>
      <c r="BB942" s="443"/>
      <c r="BC942" s="443"/>
      <c r="BD942" s="443"/>
      <c r="BE942" s="443"/>
    </row>
    <row r="943" hidden="1">
      <c r="A943" s="445">
        <f t="shared" si="5"/>
        <v>46233</v>
      </c>
      <c r="B943" s="449">
        <v>532.0</v>
      </c>
      <c r="C943" s="462">
        <v>0.625</v>
      </c>
      <c r="D943" s="462">
        <v>1.1083333333333334</v>
      </c>
      <c r="E943" s="436">
        <f t="array" ref="E943">IF(B943=0,"",(J943+K943)/60)</f>
        <v>3.133333333</v>
      </c>
      <c r="F943" s="437">
        <f t="shared" si="1"/>
        <v>11.6</v>
      </c>
      <c r="G943" s="438">
        <f t="shared" si="9"/>
        <v>45.86206897</v>
      </c>
      <c r="H943" s="438">
        <f t="shared" si="3"/>
        <v>62.83464567</v>
      </c>
      <c r="I943" s="436">
        <f t="shared" si="10"/>
        <v>0.9757887014</v>
      </c>
      <c r="J943" s="460">
        <v>40.0</v>
      </c>
      <c r="K943" s="460">
        <v>148.0</v>
      </c>
      <c r="L943" s="443"/>
      <c r="M943" s="447">
        <f>IFERROR(__xludf.DUMMYFUNCTION("""COMPUTED_VALUE"""),57.0)</f>
        <v>57</v>
      </c>
      <c r="N943" s="447">
        <f>IFERROR(__xludf.DUMMYFUNCTION("""COMPUTED_VALUE"""),57.0)</f>
        <v>57</v>
      </c>
      <c r="O943" s="447">
        <f>IFERROR(__xludf.DUMMYFUNCTION("""COMPUTED_VALUE"""),0.0)</f>
        <v>0</v>
      </c>
      <c r="P943" s="447">
        <f>IFERROR(__xludf.DUMMYFUNCTION("""COMPUTED_VALUE"""),0.0)</f>
        <v>0</v>
      </c>
      <c r="Q943" s="447">
        <f>IFERROR(__xludf.DUMMYFUNCTION("""COMPUTED_VALUE"""),0.0)</f>
        <v>0</v>
      </c>
      <c r="R943" s="447">
        <f>IFERROR(__xludf.DUMMYFUNCTION("""COMPUTED_VALUE"""),0.0)</f>
        <v>0</v>
      </c>
      <c r="S943" s="447">
        <f>IFERROR(__xludf.DUMMYFUNCTION("""COMPUTED_VALUE"""),1.0)</f>
        <v>1</v>
      </c>
      <c r="T943" s="447">
        <f>IFERROR(__xludf.DUMMYFUNCTION("""COMPUTED_VALUE"""),0.0)</f>
        <v>0</v>
      </c>
      <c r="U943" s="447">
        <f>IFERROR(__xludf.DUMMYFUNCTION("""COMPUTED_VALUE"""),0.0)</f>
        <v>0</v>
      </c>
      <c r="V943" s="447">
        <f>IFERROR(__xludf.DUMMYFUNCTION("""COMPUTED_VALUE"""),2.0)</f>
        <v>2</v>
      </c>
      <c r="W943" s="447">
        <f>IFERROR(__xludf.DUMMYFUNCTION("""COMPUTED_VALUE"""),0.0)</f>
        <v>0</v>
      </c>
      <c r="X943" s="447">
        <f>IFERROR(__xludf.DUMMYFUNCTION("""COMPUTED_VALUE"""),1.0)</f>
        <v>1</v>
      </c>
      <c r="Y943" s="447">
        <f>IFERROR(__xludf.DUMMYFUNCTION("""COMPUTED_VALUE"""),1.0)</f>
        <v>1</v>
      </c>
      <c r="Z943" s="447">
        <f>IFERROR(__xludf.DUMMYFUNCTION("""COMPUTED_VALUE"""),1.0)</f>
        <v>1</v>
      </c>
      <c r="AA943" s="447">
        <f>IFERROR(__xludf.DUMMYFUNCTION("""COMPUTED_VALUE"""),0.0)</f>
        <v>0</v>
      </c>
      <c r="AB943" s="447">
        <f>IFERROR(__xludf.DUMMYFUNCTION("""COMPUTED_VALUE"""),0.0)</f>
        <v>0</v>
      </c>
      <c r="AC943" s="447">
        <f>IFERROR(__xludf.DUMMYFUNCTION("""COMPUTED_VALUE"""),0.0)</f>
        <v>0</v>
      </c>
      <c r="AD943" s="447">
        <f>IFERROR(__xludf.DUMMYFUNCTION("""COMPUTED_VALUE"""),47.0)</f>
        <v>47</v>
      </c>
      <c r="AE943" s="447">
        <f>IFERROR(__xludf.DUMMYFUNCTION("""COMPUTED_VALUE"""),5.0)</f>
        <v>5</v>
      </c>
      <c r="AF943" s="447">
        <f>IFERROR(__xludf.DUMMYFUNCTION("""COMPUTED_VALUE"""),0.0)</f>
        <v>0</v>
      </c>
      <c r="AG943" s="443" t="s">
        <v>127</v>
      </c>
      <c r="AH943" s="443" t="s">
        <v>291</v>
      </c>
      <c r="AI943" s="443"/>
      <c r="AJ943" s="443"/>
      <c r="AK943" s="443"/>
      <c r="AL943" s="443"/>
      <c r="AM943" s="443"/>
      <c r="AN943" s="443"/>
      <c r="AO943" s="443"/>
      <c r="AP943" s="443"/>
      <c r="AQ943" s="443"/>
      <c r="AR943" s="443"/>
      <c r="AS943" s="443"/>
      <c r="AT943" s="443"/>
      <c r="AU943" s="443"/>
      <c r="AV943" s="443"/>
      <c r="AW943" s="443"/>
      <c r="AX943" s="443"/>
      <c r="AY943" s="443"/>
      <c r="AZ943" s="443"/>
      <c r="BA943" s="443"/>
      <c r="BB943" s="443"/>
      <c r="BC943" s="443"/>
      <c r="BD943" s="443"/>
      <c r="BE943" s="443"/>
    </row>
    <row r="944" hidden="1">
      <c r="A944" s="445">
        <f t="shared" si="5"/>
        <v>46234</v>
      </c>
      <c r="B944" s="449">
        <v>499.0</v>
      </c>
      <c r="C944" s="462">
        <v>0.6666666666666666</v>
      </c>
      <c r="D944" s="462">
        <v>1.0465277777777777</v>
      </c>
      <c r="E944" s="436">
        <f t="array" ref="E944">IF(B944=0,"",(J944+K944)/60)</f>
        <v>1.833333333</v>
      </c>
      <c r="F944" s="437">
        <f t="shared" si="1"/>
        <v>9.116666667</v>
      </c>
      <c r="G944" s="438">
        <f t="shared" si="9"/>
        <v>54.73491773</v>
      </c>
      <c r="H944" s="438">
        <f t="shared" si="3"/>
        <v>68.51258581</v>
      </c>
      <c r="I944" s="436">
        <f t="shared" si="10"/>
        <v>1.164572718</v>
      </c>
      <c r="J944" s="460">
        <v>30.0</v>
      </c>
      <c r="K944" s="460">
        <v>80.0</v>
      </c>
      <c r="L944" s="443"/>
      <c r="M944" s="447">
        <f>IFERROR(__xludf.DUMMYFUNCTION("""COMPUTED_VALUE"""),57.0)</f>
        <v>57</v>
      </c>
      <c r="N944" s="447">
        <f>IFERROR(__xludf.DUMMYFUNCTION("""COMPUTED_VALUE"""),57.0)</f>
        <v>57</v>
      </c>
      <c r="O944" s="447">
        <f>IFERROR(__xludf.DUMMYFUNCTION("""COMPUTED_VALUE"""),0.0)</f>
        <v>0</v>
      </c>
      <c r="P944" s="447">
        <f>IFERROR(__xludf.DUMMYFUNCTION("""COMPUTED_VALUE"""),0.0)</f>
        <v>0</v>
      </c>
      <c r="Q944" s="447">
        <f>IFERROR(__xludf.DUMMYFUNCTION("""COMPUTED_VALUE"""),0.0)</f>
        <v>0</v>
      </c>
      <c r="R944" s="447">
        <f>IFERROR(__xludf.DUMMYFUNCTION("""COMPUTED_VALUE"""),0.0)</f>
        <v>0</v>
      </c>
      <c r="S944" s="447">
        <f>IFERROR(__xludf.DUMMYFUNCTION("""COMPUTED_VALUE"""),1.0)</f>
        <v>1</v>
      </c>
      <c r="T944" s="447">
        <f>IFERROR(__xludf.DUMMYFUNCTION("""COMPUTED_VALUE"""),0.0)</f>
        <v>0</v>
      </c>
      <c r="U944" s="447">
        <f>IFERROR(__xludf.DUMMYFUNCTION("""COMPUTED_VALUE"""),0.0)</f>
        <v>0</v>
      </c>
      <c r="V944" s="447">
        <f>IFERROR(__xludf.DUMMYFUNCTION("""COMPUTED_VALUE"""),2.0)</f>
        <v>2</v>
      </c>
      <c r="W944" s="447">
        <f>IFERROR(__xludf.DUMMYFUNCTION("""COMPUTED_VALUE"""),0.0)</f>
        <v>0</v>
      </c>
      <c r="X944" s="447">
        <f>IFERROR(__xludf.DUMMYFUNCTION("""COMPUTED_VALUE"""),1.0)</f>
        <v>1</v>
      </c>
      <c r="Y944" s="447">
        <f>IFERROR(__xludf.DUMMYFUNCTION("""COMPUTED_VALUE"""),1.0)</f>
        <v>1</v>
      </c>
      <c r="Z944" s="447">
        <f>IFERROR(__xludf.DUMMYFUNCTION("""COMPUTED_VALUE"""),1.0)</f>
        <v>1</v>
      </c>
      <c r="AA944" s="447">
        <f>IFERROR(__xludf.DUMMYFUNCTION("""COMPUTED_VALUE"""),0.0)</f>
        <v>0</v>
      </c>
      <c r="AB944" s="447">
        <f>IFERROR(__xludf.DUMMYFUNCTION("""COMPUTED_VALUE"""),0.0)</f>
        <v>0</v>
      </c>
      <c r="AC944" s="447">
        <f>IFERROR(__xludf.DUMMYFUNCTION("""COMPUTED_VALUE"""),0.0)</f>
        <v>0</v>
      </c>
      <c r="AD944" s="447">
        <f>IFERROR(__xludf.DUMMYFUNCTION("""COMPUTED_VALUE"""),47.0)</f>
        <v>47</v>
      </c>
      <c r="AE944" s="447">
        <f>IFERROR(__xludf.DUMMYFUNCTION("""COMPUTED_VALUE"""),5.0)</f>
        <v>5</v>
      </c>
      <c r="AF944" s="447">
        <f>IFERROR(__xludf.DUMMYFUNCTION("""COMPUTED_VALUE"""),0.0)</f>
        <v>0</v>
      </c>
      <c r="AG944" s="443" t="s">
        <v>127</v>
      </c>
      <c r="AH944" s="443" t="s">
        <v>291</v>
      </c>
      <c r="AI944" s="443"/>
      <c r="AJ944" s="443"/>
      <c r="AK944" s="443"/>
      <c r="AL944" s="443"/>
      <c r="AM944" s="443"/>
      <c r="AN944" s="443"/>
      <c r="AO944" s="443"/>
      <c r="AP944" s="443"/>
      <c r="AQ944" s="443"/>
      <c r="AR944" s="443"/>
      <c r="AS944" s="443"/>
      <c r="AT944" s="443"/>
      <c r="AU944" s="443"/>
      <c r="AV944" s="443"/>
      <c r="AW944" s="443"/>
      <c r="AX944" s="443"/>
      <c r="AY944" s="443"/>
      <c r="AZ944" s="443"/>
      <c r="BA944" s="443"/>
      <c r="BB944" s="443"/>
      <c r="BC944" s="443"/>
      <c r="BD944" s="443"/>
      <c r="BE944" s="443"/>
    </row>
    <row r="945" hidden="1">
      <c r="A945" s="445">
        <f t="shared" si="5"/>
        <v>46235</v>
      </c>
      <c r="B945" s="449">
        <v>355.0</v>
      </c>
      <c r="C945" s="462">
        <v>0.5833333333333334</v>
      </c>
      <c r="D945" s="462">
        <v>0.8583333333333333</v>
      </c>
      <c r="E945" s="436">
        <f t="array" ref="E945">IF(B945=0,"",(J945+K945)/60)</f>
        <v>0.6</v>
      </c>
      <c r="F945" s="437">
        <f t="shared" si="1"/>
        <v>6.6</v>
      </c>
      <c r="G945" s="438">
        <f t="shared" si="9"/>
        <v>53.78787879</v>
      </c>
      <c r="H945" s="438">
        <f t="shared" si="3"/>
        <v>59.16666667</v>
      </c>
      <c r="I945" s="436">
        <f t="shared" si="10"/>
        <v>1.280663781</v>
      </c>
      <c r="J945" s="460">
        <v>0.0</v>
      </c>
      <c r="K945" s="460">
        <v>36.0</v>
      </c>
      <c r="L945" s="443"/>
      <c r="M945" s="447">
        <f>IFERROR(__xludf.DUMMYFUNCTION("TRANSPOSE(IMPORTRANGE(""https://docs.google.com/spreadsheets/d/1CNeKSHTeNNJnfn5EymHwGg5Mkuk6EcepW7_9QkJxalc/edit#gid=1218471306"",""agosto 2026!F2:AJ21""))"),57.0)</f>
        <v>57</v>
      </c>
      <c r="N945" s="447">
        <f>IFERROR(__xludf.DUMMYFUNCTION("""COMPUTED_VALUE"""),57.0)</f>
        <v>57</v>
      </c>
      <c r="O945" s="447">
        <f>IFERROR(__xludf.DUMMYFUNCTION("""COMPUTED_VALUE"""),0.0)</f>
        <v>0</v>
      </c>
      <c r="P945" s="447">
        <f>IFERROR(__xludf.DUMMYFUNCTION("""COMPUTED_VALUE"""),0.0)</f>
        <v>0</v>
      </c>
      <c r="Q945" s="447">
        <f>IFERROR(__xludf.DUMMYFUNCTION("""COMPUTED_VALUE"""),2.0)</f>
        <v>2</v>
      </c>
      <c r="R945" s="447">
        <f>IFERROR(__xludf.DUMMYFUNCTION("""COMPUTED_VALUE"""),0.0)</f>
        <v>0</v>
      </c>
      <c r="S945" s="447">
        <f>IFERROR(__xludf.DUMMYFUNCTION("""COMPUTED_VALUE"""),2.0)</f>
        <v>2</v>
      </c>
      <c r="T945" s="447">
        <f>IFERROR(__xludf.DUMMYFUNCTION("""COMPUTED_VALUE"""),0.0)</f>
        <v>0</v>
      </c>
      <c r="U945" s="447">
        <f>IFERROR(__xludf.DUMMYFUNCTION("""COMPUTED_VALUE"""),0.0)</f>
        <v>0</v>
      </c>
      <c r="V945" s="447">
        <f>IFERROR(__xludf.DUMMYFUNCTION("""COMPUTED_VALUE"""),3.0)</f>
        <v>3</v>
      </c>
      <c r="W945" s="447">
        <f>IFERROR(__xludf.DUMMYFUNCTION("""COMPUTED_VALUE"""),0.0)</f>
        <v>0</v>
      </c>
      <c r="X945" s="447">
        <f>IFERROR(__xludf.DUMMYFUNCTION("""COMPUTED_VALUE"""),1.0)</f>
        <v>1</v>
      </c>
      <c r="Y945" s="447">
        <f>IFERROR(__xludf.DUMMYFUNCTION("""COMPUTED_VALUE"""),1.0)</f>
        <v>1</v>
      </c>
      <c r="Z945" s="447">
        <f>IFERROR(__xludf.DUMMYFUNCTION("""COMPUTED_VALUE"""),0.0)</f>
        <v>0</v>
      </c>
      <c r="AA945" s="447">
        <f>IFERROR(__xludf.DUMMYFUNCTION("""COMPUTED_VALUE"""),0.0)</f>
        <v>0</v>
      </c>
      <c r="AB945" s="447">
        <f>IFERROR(__xludf.DUMMYFUNCTION("""COMPUTED_VALUE"""),0.0)</f>
        <v>0</v>
      </c>
      <c r="AC945" s="447">
        <f>IFERROR(__xludf.DUMMYFUNCTION("""COMPUTED_VALUE"""),0.0)</f>
        <v>0</v>
      </c>
      <c r="AD945" s="447">
        <f>IFERROR(__xludf.DUMMYFUNCTION("""COMPUTED_VALUE"""),42.0)</f>
        <v>42</v>
      </c>
      <c r="AE945" s="447">
        <f>IFERROR(__xludf.DUMMYFUNCTION("""COMPUTED_VALUE"""),9.0)</f>
        <v>9</v>
      </c>
      <c r="AF945" s="447">
        <f>IFERROR(__xludf.DUMMYFUNCTION("""COMPUTED_VALUE"""),0.0)</f>
        <v>0</v>
      </c>
      <c r="AG945" s="443" t="s">
        <v>129</v>
      </c>
      <c r="AH945" s="443" t="s">
        <v>291</v>
      </c>
      <c r="AI945" s="443"/>
      <c r="AJ945" s="443"/>
      <c r="AK945" s="443"/>
      <c r="AL945" s="443"/>
      <c r="AM945" s="443"/>
      <c r="AN945" s="443"/>
      <c r="AO945" s="443"/>
      <c r="AP945" s="443"/>
      <c r="AQ945" s="443"/>
      <c r="AR945" s="443"/>
      <c r="AS945" s="443"/>
      <c r="AT945" s="443"/>
      <c r="AU945" s="443"/>
      <c r="AV945" s="443"/>
      <c r="AW945" s="443"/>
      <c r="AX945" s="443"/>
      <c r="AY945" s="443"/>
      <c r="AZ945" s="443"/>
      <c r="BA945" s="443"/>
      <c r="BB945" s="443"/>
      <c r="BC945" s="443"/>
      <c r="BD945" s="443"/>
      <c r="BE945" s="443"/>
    </row>
    <row r="946" hidden="1">
      <c r="A946" s="445">
        <f t="shared" si="5"/>
        <v>46236</v>
      </c>
      <c r="B946" s="449">
        <v>0.0</v>
      </c>
      <c r="C946" s="443"/>
      <c r="D946" s="462"/>
      <c r="E946" s="436" t="str">
        <f t="array" ref="E946">IF(B946=0,"",(J946+K946)/60)</f>
        <v/>
      </c>
      <c r="F946" s="437" t="str">
        <f t="shared" si="1"/>
        <v/>
      </c>
      <c r="G946" s="438" t="str">
        <f t="shared" si="9"/>
        <v>#DIV/0!</v>
      </c>
      <c r="H946" s="438" t="str">
        <f t="shared" si="3"/>
        <v/>
      </c>
      <c r="I946" s="436" t="str">
        <f t="shared" si="10"/>
        <v/>
      </c>
      <c r="J946" s="464"/>
      <c r="K946" s="464"/>
      <c r="L946" s="443"/>
      <c r="M946" s="447">
        <f>IFERROR(__xludf.DUMMYFUNCTION("""COMPUTED_VALUE"""),57.0)</f>
        <v>57</v>
      </c>
      <c r="N946" s="447">
        <f>IFERROR(__xludf.DUMMYFUNCTION("""COMPUTED_VALUE"""),57.0)</f>
        <v>57</v>
      </c>
      <c r="O946" s="447">
        <f>IFERROR(__xludf.DUMMYFUNCTION("""COMPUTED_VALUE"""),0.0)</f>
        <v>0</v>
      </c>
      <c r="P946" s="447">
        <f>IFERROR(__xludf.DUMMYFUNCTION("""COMPUTED_VALUE"""),0.0)</f>
        <v>0</v>
      </c>
      <c r="Q946" s="447">
        <f>IFERROR(__xludf.DUMMYFUNCTION("""COMPUTED_VALUE"""),0.0)</f>
        <v>0</v>
      </c>
      <c r="R946" s="447">
        <f>IFERROR(__xludf.DUMMYFUNCTION("""COMPUTED_VALUE"""),0.0)</f>
        <v>0</v>
      </c>
      <c r="S946" s="447">
        <f>IFERROR(__xludf.DUMMYFUNCTION("""COMPUTED_VALUE"""),0.0)</f>
        <v>0</v>
      </c>
      <c r="T946" s="447">
        <f>IFERROR(__xludf.DUMMYFUNCTION("""COMPUTED_VALUE"""),0.0)</f>
        <v>0</v>
      </c>
      <c r="U946" s="447">
        <f>IFERROR(__xludf.DUMMYFUNCTION("""COMPUTED_VALUE"""),0.0)</f>
        <v>0</v>
      </c>
      <c r="V946" s="447">
        <f>IFERROR(__xludf.DUMMYFUNCTION("""COMPUTED_VALUE"""),2.0)</f>
        <v>2</v>
      </c>
      <c r="W946" s="447">
        <f>IFERROR(__xludf.DUMMYFUNCTION("""COMPUTED_VALUE"""),0.0)</f>
        <v>0</v>
      </c>
      <c r="X946" s="447">
        <f>IFERROR(__xludf.DUMMYFUNCTION("""COMPUTED_VALUE"""),1.0)</f>
        <v>1</v>
      </c>
      <c r="Y946" s="447">
        <f>IFERROR(__xludf.DUMMYFUNCTION("""COMPUTED_VALUE"""),1.0)</f>
        <v>1</v>
      </c>
      <c r="Z946" s="447">
        <f>IFERROR(__xludf.DUMMYFUNCTION("""COMPUTED_VALUE"""),0.0)</f>
        <v>0</v>
      </c>
      <c r="AA946" s="447">
        <f>IFERROR(__xludf.DUMMYFUNCTION("""COMPUTED_VALUE"""),0.0)</f>
        <v>0</v>
      </c>
      <c r="AB946" s="447">
        <f>IFERROR(__xludf.DUMMYFUNCTION("""COMPUTED_VALUE"""),0.0)</f>
        <v>0</v>
      </c>
      <c r="AC946" s="447">
        <f>IFERROR(__xludf.DUMMYFUNCTION("""COMPUTED_VALUE"""),0.0)</f>
        <v>0</v>
      </c>
      <c r="AD946" s="447">
        <f>IFERROR(__xludf.DUMMYFUNCTION("""COMPUTED_VALUE"""),0.0)</f>
        <v>0</v>
      </c>
      <c r="AE946" s="447">
        <f>IFERROR(__xludf.DUMMYFUNCTION("""COMPUTED_VALUE"""),4.0)</f>
        <v>4</v>
      </c>
      <c r="AF946" s="447">
        <f>IFERROR(__xludf.DUMMYFUNCTION("""COMPUTED_VALUE"""),0.0)</f>
        <v>0</v>
      </c>
      <c r="AG946" s="443" t="s">
        <v>129</v>
      </c>
      <c r="AH946" s="443" t="s">
        <v>291</v>
      </c>
      <c r="AI946" s="443"/>
      <c r="AJ946" s="443"/>
      <c r="AK946" s="443"/>
      <c r="AL946" s="443"/>
      <c r="AM946" s="443"/>
      <c r="AN946" s="443"/>
      <c r="AO946" s="443"/>
      <c r="AP946" s="443"/>
      <c r="AQ946" s="443"/>
      <c r="AR946" s="443"/>
      <c r="AS946" s="443"/>
      <c r="AT946" s="443"/>
      <c r="AU946" s="443"/>
      <c r="AV946" s="443"/>
      <c r="AW946" s="443"/>
      <c r="AX946" s="443"/>
      <c r="AY946" s="443"/>
      <c r="AZ946" s="443"/>
      <c r="BA946" s="443"/>
      <c r="BB946" s="443"/>
      <c r="BC946" s="443"/>
      <c r="BD946" s="443"/>
      <c r="BE946" s="443"/>
    </row>
    <row r="947" hidden="1">
      <c r="A947" s="445">
        <f t="shared" si="5"/>
        <v>46237</v>
      </c>
      <c r="B947" s="449">
        <v>540.0</v>
      </c>
      <c r="C947" s="462">
        <v>0.5833333333333334</v>
      </c>
      <c r="D947" s="462">
        <v>0.9868055555555556</v>
      </c>
      <c r="E947" s="436">
        <f t="array" ref="E947">IF(B947=0,"",(J947+K947)/60)</f>
        <v>1.5</v>
      </c>
      <c r="F947" s="437">
        <f t="shared" si="1"/>
        <v>9.683333333</v>
      </c>
      <c r="G947" s="438">
        <f t="shared" si="9"/>
        <v>55.76592083</v>
      </c>
      <c r="H947" s="438">
        <f t="shared" si="3"/>
        <v>65.98778004</v>
      </c>
      <c r="I947" s="436">
        <f t="shared" si="10"/>
        <v>1.32776002</v>
      </c>
      <c r="J947" s="460">
        <v>60.0</v>
      </c>
      <c r="K947" s="460">
        <v>30.0</v>
      </c>
      <c r="L947" s="443"/>
      <c r="M947" s="447">
        <f>IFERROR(__xludf.DUMMYFUNCTION("""COMPUTED_VALUE"""),57.0)</f>
        <v>57</v>
      </c>
      <c r="N947" s="447">
        <f>IFERROR(__xludf.DUMMYFUNCTION("""COMPUTED_VALUE"""),55.0)</f>
        <v>55</v>
      </c>
      <c r="O947" s="447">
        <f>IFERROR(__xludf.DUMMYFUNCTION("""COMPUTED_VALUE"""),0.0)</f>
        <v>0</v>
      </c>
      <c r="P947" s="447">
        <f>IFERROR(__xludf.DUMMYFUNCTION("""COMPUTED_VALUE"""),1.0)</f>
        <v>1</v>
      </c>
      <c r="Q947" s="447">
        <f>IFERROR(__xludf.DUMMYFUNCTION("""COMPUTED_VALUE"""),0.0)</f>
        <v>0</v>
      </c>
      <c r="R947" s="447">
        <f>IFERROR(__xludf.DUMMYFUNCTION("""COMPUTED_VALUE"""),0.0)</f>
        <v>0</v>
      </c>
      <c r="S947" s="447">
        <f>IFERROR(__xludf.DUMMYFUNCTION("""COMPUTED_VALUE"""),1.0)</f>
        <v>1</v>
      </c>
      <c r="T947" s="447">
        <f>IFERROR(__xludf.DUMMYFUNCTION("""COMPUTED_VALUE"""),0.0)</f>
        <v>0</v>
      </c>
      <c r="U947" s="447">
        <f>IFERROR(__xludf.DUMMYFUNCTION("""COMPUTED_VALUE"""),2.0)</f>
        <v>2</v>
      </c>
      <c r="V947" s="447">
        <f>IFERROR(__xludf.DUMMYFUNCTION("""COMPUTED_VALUE"""),3.0)</f>
        <v>3</v>
      </c>
      <c r="W947" s="447">
        <f>IFERROR(__xludf.DUMMYFUNCTION("""COMPUTED_VALUE"""),0.0)</f>
        <v>0</v>
      </c>
      <c r="X947" s="447">
        <f>IFERROR(__xludf.DUMMYFUNCTION("""COMPUTED_VALUE"""),1.0)</f>
        <v>1</v>
      </c>
      <c r="Y947" s="447">
        <f>IFERROR(__xludf.DUMMYFUNCTION("""COMPUTED_VALUE"""),1.0)</f>
        <v>1</v>
      </c>
      <c r="Z947" s="447">
        <f>IFERROR(__xludf.DUMMYFUNCTION("""COMPUTED_VALUE"""),1.0)</f>
        <v>1</v>
      </c>
      <c r="AA947" s="447">
        <f>IFERROR(__xludf.DUMMYFUNCTION("""COMPUTED_VALUE"""),0.0)</f>
        <v>0</v>
      </c>
      <c r="AB947" s="447">
        <f>IFERROR(__xludf.DUMMYFUNCTION("""COMPUTED_VALUE"""),0.0)</f>
        <v>0</v>
      </c>
      <c r="AC947" s="447">
        <f>IFERROR(__xludf.DUMMYFUNCTION("""COMPUTED_VALUE"""),0.0)</f>
        <v>0</v>
      </c>
      <c r="AD947" s="447">
        <f>IFERROR(__xludf.DUMMYFUNCTION("""COMPUTED_VALUE"""),42.0)</f>
        <v>42</v>
      </c>
      <c r="AE947" s="447">
        <f>IFERROR(__xludf.DUMMYFUNCTION("""COMPUTED_VALUE"""),10.0)</f>
        <v>10</v>
      </c>
      <c r="AF947" s="447">
        <f>IFERROR(__xludf.DUMMYFUNCTION("""COMPUTED_VALUE"""),2.0)</f>
        <v>2</v>
      </c>
      <c r="AG947" s="443" t="s">
        <v>129</v>
      </c>
      <c r="AH947" s="443" t="s">
        <v>291</v>
      </c>
      <c r="AI947" s="443"/>
      <c r="AJ947" s="443"/>
      <c r="AK947" s="443"/>
      <c r="AL947" s="443"/>
      <c r="AM947" s="443"/>
      <c r="AN947" s="443"/>
      <c r="AO947" s="443"/>
      <c r="AP947" s="443"/>
      <c r="AQ947" s="443"/>
      <c r="AR947" s="443"/>
      <c r="AS947" s="443"/>
      <c r="AT947" s="443"/>
      <c r="AU947" s="443"/>
      <c r="AV947" s="443"/>
      <c r="AW947" s="443"/>
      <c r="AX947" s="443"/>
      <c r="AY947" s="443"/>
      <c r="AZ947" s="443"/>
      <c r="BA947" s="443"/>
      <c r="BB947" s="443"/>
      <c r="BC947" s="443"/>
      <c r="BD947" s="443"/>
      <c r="BE947" s="443"/>
    </row>
    <row r="948" hidden="1">
      <c r="A948" s="445">
        <f t="shared" si="5"/>
        <v>46238</v>
      </c>
      <c r="B948" s="449">
        <v>492.0</v>
      </c>
      <c r="C948" s="462">
        <v>0.5833333333333334</v>
      </c>
      <c r="D948" s="462">
        <v>0.9465277777777777</v>
      </c>
      <c r="E948" s="436">
        <f t="array" ref="E948">IF(B948=0,"",(J948+K948)/60)</f>
        <v>0.9666666667</v>
      </c>
      <c r="F948" s="437">
        <f t="shared" si="1"/>
        <v>8.716666667</v>
      </c>
      <c r="G948" s="438">
        <f t="shared" si="9"/>
        <v>56.44359465</v>
      </c>
      <c r="H948" s="438">
        <f t="shared" si="3"/>
        <v>63.48387097</v>
      </c>
      <c r="I948" s="436">
        <f t="shared" si="10"/>
        <v>1.37667304</v>
      </c>
      <c r="J948" s="460">
        <v>30.0</v>
      </c>
      <c r="K948" s="460">
        <v>28.0</v>
      </c>
      <c r="L948" s="443"/>
      <c r="M948" s="447">
        <f>IFERROR(__xludf.DUMMYFUNCTION("""COMPUTED_VALUE"""),57.0)</f>
        <v>57</v>
      </c>
      <c r="N948" s="447">
        <f>IFERROR(__xludf.DUMMYFUNCTION("""COMPUTED_VALUE"""),55.0)</f>
        <v>55</v>
      </c>
      <c r="O948" s="447">
        <f>IFERROR(__xludf.DUMMYFUNCTION("""COMPUTED_VALUE"""),0.0)</f>
        <v>0</v>
      </c>
      <c r="P948" s="447">
        <f>IFERROR(__xludf.DUMMYFUNCTION("""COMPUTED_VALUE"""),0.0)</f>
        <v>0</v>
      </c>
      <c r="Q948" s="447">
        <f>IFERROR(__xludf.DUMMYFUNCTION("""COMPUTED_VALUE"""),0.0)</f>
        <v>0</v>
      </c>
      <c r="R948" s="447">
        <f>IFERROR(__xludf.DUMMYFUNCTION("""COMPUTED_VALUE"""),0.0)</f>
        <v>0</v>
      </c>
      <c r="S948" s="447">
        <f>IFERROR(__xludf.DUMMYFUNCTION("""COMPUTED_VALUE"""),3.0)</f>
        <v>3</v>
      </c>
      <c r="T948" s="447">
        <f>IFERROR(__xludf.DUMMYFUNCTION("""COMPUTED_VALUE"""),0.0)</f>
        <v>0</v>
      </c>
      <c r="U948" s="447">
        <f>IFERROR(__xludf.DUMMYFUNCTION("""COMPUTED_VALUE"""),2.0)</f>
        <v>2</v>
      </c>
      <c r="V948" s="447">
        <f>IFERROR(__xludf.DUMMYFUNCTION("""COMPUTED_VALUE"""),3.0)</f>
        <v>3</v>
      </c>
      <c r="W948" s="447">
        <f>IFERROR(__xludf.DUMMYFUNCTION("""COMPUTED_VALUE"""),1.0)</f>
        <v>1</v>
      </c>
      <c r="X948" s="447">
        <f>IFERROR(__xludf.DUMMYFUNCTION("""COMPUTED_VALUE"""),1.0)</f>
        <v>1</v>
      </c>
      <c r="Y948" s="447">
        <f>IFERROR(__xludf.DUMMYFUNCTION("""COMPUTED_VALUE"""),1.0)</f>
        <v>1</v>
      </c>
      <c r="Z948" s="447">
        <f>IFERROR(__xludf.DUMMYFUNCTION("""COMPUTED_VALUE"""),0.0)</f>
        <v>0</v>
      </c>
      <c r="AA948" s="447">
        <f>IFERROR(__xludf.DUMMYFUNCTION("""COMPUTED_VALUE"""),0.0)</f>
        <v>0</v>
      </c>
      <c r="AB948" s="447">
        <f>IFERROR(__xludf.DUMMYFUNCTION("""COMPUTED_VALUE"""),0.0)</f>
        <v>0</v>
      </c>
      <c r="AC948" s="447">
        <f>IFERROR(__xludf.DUMMYFUNCTION("""COMPUTED_VALUE"""),0.0)</f>
        <v>0</v>
      </c>
      <c r="AD948" s="447">
        <f>IFERROR(__xludf.DUMMYFUNCTION("""COMPUTED_VALUE"""),41.0)</f>
        <v>41</v>
      </c>
      <c r="AE948" s="447">
        <f>IFERROR(__xludf.DUMMYFUNCTION("""COMPUTED_VALUE"""),11.0)</f>
        <v>11</v>
      </c>
      <c r="AF948" s="447">
        <f>IFERROR(__xludf.DUMMYFUNCTION("""COMPUTED_VALUE"""),2.0)</f>
        <v>2</v>
      </c>
      <c r="AG948" s="443" t="s">
        <v>129</v>
      </c>
      <c r="AH948" s="443" t="s">
        <v>291</v>
      </c>
      <c r="AI948" s="443"/>
      <c r="AJ948" s="443"/>
      <c r="AK948" s="443"/>
      <c r="AL948" s="443"/>
      <c r="AM948" s="443"/>
      <c r="AN948" s="443"/>
      <c r="AO948" s="443"/>
      <c r="AP948" s="443"/>
      <c r="AQ948" s="443"/>
      <c r="AR948" s="443"/>
      <c r="AS948" s="443"/>
      <c r="AT948" s="443"/>
      <c r="AU948" s="443"/>
      <c r="AV948" s="443"/>
      <c r="AW948" s="443"/>
      <c r="AX948" s="443"/>
      <c r="AY948" s="443"/>
      <c r="AZ948" s="443"/>
      <c r="BA948" s="443"/>
      <c r="BB948" s="443"/>
      <c r="BC948" s="443"/>
      <c r="BD948" s="443"/>
      <c r="BE948" s="443"/>
    </row>
    <row r="949" hidden="1">
      <c r="A949" s="445">
        <f t="shared" si="5"/>
        <v>46239</v>
      </c>
      <c r="B949" s="449">
        <v>545.0</v>
      </c>
      <c r="C949" s="462">
        <v>0.5833333333333334</v>
      </c>
      <c r="D949" s="462">
        <v>0.9736111111111111</v>
      </c>
      <c r="E949" s="436">
        <f t="array" ref="E949">IF(B949=0,"",(J949+K949)/60)</f>
        <v>1.066666667</v>
      </c>
      <c r="F949" s="437">
        <f t="shared" si="1"/>
        <v>9.366666667</v>
      </c>
      <c r="G949" s="438">
        <f t="shared" si="9"/>
        <v>58.18505338</v>
      </c>
      <c r="H949" s="438">
        <f t="shared" si="3"/>
        <v>65.6626506</v>
      </c>
      <c r="I949" s="436">
        <f>IFERROR(IF(B947=0, "", B947/F947/AD947), "")</f>
        <v>1.32776002</v>
      </c>
      <c r="J949" s="460">
        <v>45.0</v>
      </c>
      <c r="K949" s="460">
        <v>19.0</v>
      </c>
      <c r="L949" s="443"/>
      <c r="M949" s="447">
        <f>IFERROR(__xludf.DUMMYFUNCTION("""COMPUTED_VALUE"""),57.0)</f>
        <v>57</v>
      </c>
      <c r="N949" s="447">
        <f>IFERROR(__xludf.DUMMYFUNCTION("""COMPUTED_VALUE"""),55.0)</f>
        <v>55</v>
      </c>
      <c r="O949" s="447">
        <f>IFERROR(__xludf.DUMMYFUNCTION("""COMPUTED_VALUE"""),0.0)</f>
        <v>0</v>
      </c>
      <c r="P949" s="447">
        <f>IFERROR(__xludf.DUMMYFUNCTION("""COMPUTED_VALUE"""),0.0)</f>
        <v>0</v>
      </c>
      <c r="Q949" s="447">
        <f>IFERROR(__xludf.DUMMYFUNCTION("""COMPUTED_VALUE"""),0.0)</f>
        <v>0</v>
      </c>
      <c r="R949" s="447">
        <f>IFERROR(__xludf.DUMMYFUNCTION("""COMPUTED_VALUE"""),0.0)</f>
        <v>0</v>
      </c>
      <c r="S949" s="447">
        <f>IFERROR(__xludf.DUMMYFUNCTION("""COMPUTED_VALUE"""),3.0)</f>
        <v>3</v>
      </c>
      <c r="T949" s="447">
        <f>IFERROR(__xludf.DUMMYFUNCTION("""COMPUTED_VALUE"""),1.0)</f>
        <v>1</v>
      </c>
      <c r="U949" s="447">
        <f>IFERROR(__xludf.DUMMYFUNCTION("""COMPUTED_VALUE"""),2.0)</f>
        <v>2</v>
      </c>
      <c r="V949" s="447">
        <f>IFERROR(__xludf.DUMMYFUNCTION("""COMPUTED_VALUE"""),3.0)</f>
        <v>3</v>
      </c>
      <c r="W949" s="447">
        <f>IFERROR(__xludf.DUMMYFUNCTION("""COMPUTED_VALUE"""),1.0)</f>
        <v>1</v>
      </c>
      <c r="X949" s="447">
        <f>IFERROR(__xludf.DUMMYFUNCTION("""COMPUTED_VALUE"""),1.0)</f>
        <v>1</v>
      </c>
      <c r="Y949" s="447">
        <f>IFERROR(__xludf.DUMMYFUNCTION("""COMPUTED_VALUE"""),1.0)</f>
        <v>1</v>
      </c>
      <c r="Z949" s="447">
        <f>IFERROR(__xludf.DUMMYFUNCTION("""COMPUTED_VALUE"""),0.0)</f>
        <v>0</v>
      </c>
      <c r="AA949" s="447">
        <f>IFERROR(__xludf.DUMMYFUNCTION("""COMPUTED_VALUE"""),0.0)</f>
        <v>0</v>
      </c>
      <c r="AB949" s="447">
        <f>IFERROR(__xludf.DUMMYFUNCTION("""COMPUTED_VALUE"""),0.0)</f>
        <v>0</v>
      </c>
      <c r="AC949" s="447">
        <f>IFERROR(__xludf.DUMMYFUNCTION("""COMPUTED_VALUE"""),0.0)</f>
        <v>0</v>
      </c>
      <c r="AD949" s="447">
        <f>IFERROR(__xludf.DUMMYFUNCTION("""COMPUTED_VALUE"""),40.0)</f>
        <v>40</v>
      </c>
      <c r="AE949" s="447">
        <f>IFERROR(__xludf.DUMMYFUNCTION("""COMPUTED_VALUE"""),12.0)</f>
        <v>12</v>
      </c>
      <c r="AF949" s="447">
        <f>IFERROR(__xludf.DUMMYFUNCTION("""COMPUTED_VALUE"""),2.0)</f>
        <v>2</v>
      </c>
      <c r="AG949" s="443" t="s">
        <v>129</v>
      </c>
      <c r="AH949" s="443" t="s">
        <v>291</v>
      </c>
      <c r="AI949" s="443"/>
      <c r="AJ949" s="443"/>
      <c r="AK949" s="443"/>
      <c r="AL949" s="443"/>
      <c r="AM949" s="443"/>
      <c r="AN949" s="443"/>
      <c r="AO949" s="443"/>
      <c r="AP949" s="443"/>
      <c r="AQ949" s="443"/>
      <c r="AR949" s="443"/>
      <c r="AS949" s="443"/>
      <c r="AT949" s="443"/>
      <c r="AU949" s="443"/>
      <c r="AV949" s="443"/>
      <c r="AW949" s="443"/>
      <c r="AX949" s="443"/>
      <c r="AY949" s="443"/>
      <c r="AZ949" s="443"/>
      <c r="BA949" s="443"/>
      <c r="BB949" s="443"/>
      <c r="BC949" s="443"/>
      <c r="BD949" s="443"/>
      <c r="BE949" s="443"/>
    </row>
    <row r="950" hidden="1">
      <c r="A950" s="445">
        <f t="shared" si="5"/>
        <v>46240</v>
      </c>
      <c r="B950" s="449">
        <v>494.0</v>
      </c>
      <c r="C950" s="462">
        <v>0.5833333333333334</v>
      </c>
      <c r="D950" s="462">
        <v>0.93125</v>
      </c>
      <c r="E950" s="436">
        <f t="array" ref="E950">IF(B950=0,"",(J950+K950)/60)</f>
        <v>0.8333333333</v>
      </c>
      <c r="F950" s="437">
        <f t="shared" si="1"/>
        <v>8.35</v>
      </c>
      <c r="G950" s="438">
        <f t="shared" si="9"/>
        <v>59.16167665</v>
      </c>
      <c r="H950" s="438">
        <f t="shared" si="3"/>
        <v>65.72062084</v>
      </c>
      <c r="I950" s="436">
        <f t="shared" ref="I950:I1366" si="11">IF(B950=0,"",B950/F950/AD950)</f>
        <v>1.408611349</v>
      </c>
      <c r="J950" s="460">
        <v>30.0</v>
      </c>
      <c r="K950" s="460">
        <v>20.0</v>
      </c>
      <c r="L950" s="443"/>
      <c r="M950" s="447">
        <f>IFERROR(__xludf.DUMMYFUNCTION("""COMPUTED_VALUE"""),57.0)</f>
        <v>57</v>
      </c>
      <c r="N950" s="447">
        <f>IFERROR(__xludf.DUMMYFUNCTION("""COMPUTED_VALUE"""),55.0)</f>
        <v>55</v>
      </c>
      <c r="O950" s="447">
        <f>IFERROR(__xludf.DUMMYFUNCTION("""COMPUTED_VALUE"""),0.0)</f>
        <v>0</v>
      </c>
      <c r="P950" s="447">
        <f>IFERROR(__xludf.DUMMYFUNCTION("""COMPUTED_VALUE"""),0.0)</f>
        <v>0</v>
      </c>
      <c r="Q950" s="447">
        <f>IFERROR(__xludf.DUMMYFUNCTION("""COMPUTED_VALUE"""),0.0)</f>
        <v>0</v>
      </c>
      <c r="R950" s="447">
        <f>IFERROR(__xludf.DUMMYFUNCTION("""COMPUTED_VALUE"""),0.0)</f>
        <v>0</v>
      </c>
      <c r="S950" s="447">
        <f>IFERROR(__xludf.DUMMYFUNCTION("""COMPUTED_VALUE"""),2.0)</f>
        <v>2</v>
      </c>
      <c r="T950" s="447">
        <f>IFERROR(__xludf.DUMMYFUNCTION("""COMPUTED_VALUE"""),1.0)</f>
        <v>1</v>
      </c>
      <c r="U950" s="447">
        <f>IFERROR(__xludf.DUMMYFUNCTION("""COMPUTED_VALUE"""),2.0)</f>
        <v>2</v>
      </c>
      <c r="V950" s="447">
        <f>IFERROR(__xludf.DUMMYFUNCTION("""COMPUTED_VALUE"""),2.0)</f>
        <v>2</v>
      </c>
      <c r="W950" s="447">
        <f>IFERROR(__xludf.DUMMYFUNCTION("""COMPUTED_VALUE"""),1.0)</f>
        <v>1</v>
      </c>
      <c r="X950" s="447">
        <f>IFERROR(__xludf.DUMMYFUNCTION("""COMPUTED_VALUE"""),1.0)</f>
        <v>1</v>
      </c>
      <c r="Y950" s="447">
        <f>IFERROR(__xludf.DUMMYFUNCTION("""COMPUTED_VALUE"""),1.0)</f>
        <v>1</v>
      </c>
      <c r="Z950" s="447">
        <f>IFERROR(__xludf.DUMMYFUNCTION("""COMPUTED_VALUE"""),0.0)</f>
        <v>0</v>
      </c>
      <c r="AA950" s="447">
        <f>IFERROR(__xludf.DUMMYFUNCTION("""COMPUTED_VALUE"""),0.0)</f>
        <v>0</v>
      </c>
      <c r="AB950" s="447">
        <f>IFERROR(__xludf.DUMMYFUNCTION("""COMPUTED_VALUE"""),0.0)</f>
        <v>0</v>
      </c>
      <c r="AC950" s="447">
        <f>IFERROR(__xludf.DUMMYFUNCTION("""COMPUTED_VALUE"""),0.0)</f>
        <v>0</v>
      </c>
      <c r="AD950" s="447">
        <f>IFERROR(__xludf.DUMMYFUNCTION("""COMPUTED_VALUE"""),42.0)</f>
        <v>42</v>
      </c>
      <c r="AE950" s="447">
        <f>IFERROR(__xludf.DUMMYFUNCTION("""COMPUTED_VALUE"""),10.0)</f>
        <v>10</v>
      </c>
      <c r="AF950" s="447">
        <f>IFERROR(__xludf.DUMMYFUNCTION("""COMPUTED_VALUE"""),2.0)</f>
        <v>2</v>
      </c>
      <c r="AG950" s="443" t="s">
        <v>129</v>
      </c>
      <c r="AH950" s="443" t="s">
        <v>291</v>
      </c>
      <c r="AI950" s="443"/>
      <c r="AJ950" s="443"/>
      <c r="AK950" s="443"/>
      <c r="AL950" s="443"/>
      <c r="AM950" s="443"/>
      <c r="AN950" s="443"/>
      <c r="AO950" s="443"/>
      <c r="AP950" s="443"/>
      <c r="AQ950" s="443"/>
      <c r="AR950" s="443"/>
      <c r="AS950" s="443"/>
      <c r="AT950" s="443"/>
      <c r="AU950" s="443"/>
      <c r="AV950" s="443"/>
      <c r="AW950" s="443"/>
      <c r="AX950" s="443"/>
      <c r="AY950" s="443"/>
      <c r="AZ950" s="443"/>
      <c r="BA950" s="443"/>
      <c r="BB950" s="443"/>
      <c r="BC950" s="443"/>
      <c r="BD950" s="443"/>
      <c r="BE950" s="443"/>
    </row>
    <row r="951" hidden="1">
      <c r="A951" s="445">
        <f t="shared" si="5"/>
        <v>46241</v>
      </c>
      <c r="B951" s="449">
        <v>390.0</v>
      </c>
      <c r="C951" s="462">
        <v>0.625</v>
      </c>
      <c r="D951" s="462">
        <v>0.9118055555555555</v>
      </c>
      <c r="E951" s="436">
        <f t="array" ref="E951">IF(B951=0,"",(J951+K951)/60)</f>
        <v>0.8166666667</v>
      </c>
      <c r="F951" s="437">
        <f t="shared" si="1"/>
        <v>6.883333333</v>
      </c>
      <c r="G951" s="438">
        <f t="shared" si="9"/>
        <v>56.65859564</v>
      </c>
      <c r="H951" s="438">
        <f t="shared" si="3"/>
        <v>64.28571429</v>
      </c>
      <c r="I951" s="436">
        <f t="shared" si="11"/>
        <v>1.317641759</v>
      </c>
      <c r="J951" s="460">
        <v>30.0</v>
      </c>
      <c r="K951" s="460">
        <v>19.0</v>
      </c>
      <c r="L951" s="443"/>
      <c r="M951" s="447">
        <f>IFERROR(__xludf.DUMMYFUNCTION("""COMPUTED_VALUE"""),57.0)</f>
        <v>57</v>
      </c>
      <c r="N951" s="447">
        <f>IFERROR(__xludf.DUMMYFUNCTION("""COMPUTED_VALUE"""),55.0)</f>
        <v>55</v>
      </c>
      <c r="O951" s="447">
        <f>IFERROR(__xludf.DUMMYFUNCTION("""COMPUTED_VALUE"""),0.0)</f>
        <v>0</v>
      </c>
      <c r="P951" s="447">
        <f>IFERROR(__xludf.DUMMYFUNCTION("""COMPUTED_VALUE"""),0.0)</f>
        <v>0</v>
      </c>
      <c r="Q951" s="447">
        <f>IFERROR(__xludf.DUMMYFUNCTION("""COMPUTED_VALUE"""),1.0)</f>
        <v>1</v>
      </c>
      <c r="R951" s="447">
        <f>IFERROR(__xludf.DUMMYFUNCTION("""COMPUTED_VALUE"""),0.0)</f>
        <v>0</v>
      </c>
      <c r="S951" s="447">
        <f>IFERROR(__xludf.DUMMYFUNCTION("""COMPUTED_VALUE"""),1.0)</f>
        <v>1</v>
      </c>
      <c r="T951" s="447">
        <f>IFERROR(__xludf.DUMMYFUNCTION("""COMPUTED_VALUE"""),1.0)</f>
        <v>1</v>
      </c>
      <c r="U951" s="447">
        <f>IFERROR(__xludf.DUMMYFUNCTION("""COMPUTED_VALUE"""),2.0)</f>
        <v>2</v>
      </c>
      <c r="V951" s="447">
        <f>IFERROR(__xludf.DUMMYFUNCTION("""COMPUTED_VALUE"""),2.0)</f>
        <v>2</v>
      </c>
      <c r="W951" s="447">
        <f>IFERROR(__xludf.DUMMYFUNCTION("""COMPUTED_VALUE"""),0.0)</f>
        <v>0</v>
      </c>
      <c r="X951" s="447">
        <f>IFERROR(__xludf.DUMMYFUNCTION("""COMPUTED_VALUE"""),1.0)</f>
        <v>1</v>
      </c>
      <c r="Y951" s="447">
        <f>IFERROR(__xludf.DUMMYFUNCTION("""COMPUTED_VALUE"""),1.0)</f>
        <v>1</v>
      </c>
      <c r="Z951" s="447">
        <f>IFERROR(__xludf.DUMMYFUNCTION("""COMPUTED_VALUE"""),0.0)</f>
        <v>0</v>
      </c>
      <c r="AA951" s="447">
        <f>IFERROR(__xludf.DUMMYFUNCTION("""COMPUTED_VALUE"""),0.0)</f>
        <v>0</v>
      </c>
      <c r="AB951" s="447">
        <f>IFERROR(__xludf.DUMMYFUNCTION("""COMPUTED_VALUE"""),0.0)</f>
        <v>0</v>
      </c>
      <c r="AC951" s="447">
        <f>IFERROR(__xludf.DUMMYFUNCTION("""COMPUTED_VALUE"""),0.0)</f>
        <v>0</v>
      </c>
      <c r="AD951" s="447">
        <f>IFERROR(__xludf.DUMMYFUNCTION("""COMPUTED_VALUE"""),43.0)</f>
        <v>43</v>
      </c>
      <c r="AE951" s="447">
        <f>IFERROR(__xludf.DUMMYFUNCTION("""COMPUTED_VALUE"""),9.0)</f>
        <v>9</v>
      </c>
      <c r="AF951" s="447">
        <f>IFERROR(__xludf.DUMMYFUNCTION("""COMPUTED_VALUE"""),2.0)</f>
        <v>2</v>
      </c>
      <c r="AG951" s="443" t="s">
        <v>129</v>
      </c>
      <c r="AH951" s="443" t="s">
        <v>291</v>
      </c>
      <c r="AI951" s="443"/>
      <c r="AJ951" s="443"/>
      <c r="AK951" s="443"/>
      <c r="AL951" s="443"/>
      <c r="AM951" s="443"/>
      <c r="AN951" s="443"/>
      <c r="AO951" s="443"/>
      <c r="AP951" s="443"/>
      <c r="AQ951" s="443"/>
      <c r="AR951" s="443"/>
      <c r="AS951" s="443"/>
      <c r="AT951" s="443"/>
      <c r="AU951" s="443"/>
      <c r="AV951" s="443"/>
      <c r="AW951" s="443"/>
      <c r="AX951" s="443"/>
      <c r="AY951" s="443"/>
      <c r="AZ951" s="443"/>
      <c r="BA951" s="443"/>
      <c r="BB951" s="443"/>
      <c r="BC951" s="443"/>
      <c r="BD951" s="443"/>
      <c r="BE951" s="443"/>
    </row>
    <row r="952" hidden="1">
      <c r="A952" s="445">
        <f t="shared" si="5"/>
        <v>46242</v>
      </c>
      <c r="B952" s="449">
        <v>434.0</v>
      </c>
      <c r="C952" s="462">
        <v>0.5416666666666666</v>
      </c>
      <c r="D952" s="462">
        <v>0.8694444444444445</v>
      </c>
      <c r="E952" s="436">
        <f t="array" ref="E952">IF(B952=0,"",(J952+K952)/60)</f>
        <v>1.016666667</v>
      </c>
      <c r="F952" s="437">
        <f t="shared" si="1"/>
        <v>7.866666667</v>
      </c>
      <c r="G952" s="438">
        <f t="shared" si="9"/>
        <v>55.16949153</v>
      </c>
      <c r="H952" s="438">
        <f t="shared" si="3"/>
        <v>63.35766423</v>
      </c>
      <c r="I952" s="436">
        <f t="shared" si="11"/>
        <v>1.313559322</v>
      </c>
      <c r="J952" s="460">
        <v>30.0</v>
      </c>
      <c r="K952" s="460">
        <v>31.0</v>
      </c>
      <c r="L952" s="443"/>
      <c r="M952" s="447">
        <f>IFERROR(__xludf.DUMMYFUNCTION("""COMPUTED_VALUE"""),57.0)</f>
        <v>57</v>
      </c>
      <c r="N952" s="447">
        <f>IFERROR(__xludf.DUMMYFUNCTION("""COMPUTED_VALUE"""),55.0)</f>
        <v>55</v>
      </c>
      <c r="O952" s="447">
        <f>IFERROR(__xludf.DUMMYFUNCTION("""COMPUTED_VALUE"""),0.0)</f>
        <v>0</v>
      </c>
      <c r="P952" s="447">
        <f>IFERROR(__xludf.DUMMYFUNCTION("""COMPUTED_VALUE"""),0.0)</f>
        <v>0</v>
      </c>
      <c r="Q952" s="447">
        <f>IFERROR(__xludf.DUMMYFUNCTION("""COMPUTED_VALUE"""),0.0)</f>
        <v>0</v>
      </c>
      <c r="R952" s="447">
        <f>IFERROR(__xludf.DUMMYFUNCTION("""COMPUTED_VALUE"""),0.0)</f>
        <v>0</v>
      </c>
      <c r="S952" s="447">
        <f>IFERROR(__xludf.DUMMYFUNCTION("""COMPUTED_VALUE"""),1.0)</f>
        <v>1</v>
      </c>
      <c r="T952" s="447">
        <f>IFERROR(__xludf.DUMMYFUNCTION("""COMPUTED_VALUE"""),1.0)</f>
        <v>1</v>
      </c>
      <c r="U952" s="447">
        <f>IFERROR(__xludf.DUMMYFUNCTION("""COMPUTED_VALUE"""),2.0)</f>
        <v>2</v>
      </c>
      <c r="V952" s="447">
        <f>IFERROR(__xludf.DUMMYFUNCTION("""COMPUTED_VALUE"""),4.0)</f>
        <v>4</v>
      </c>
      <c r="W952" s="447">
        <f>IFERROR(__xludf.DUMMYFUNCTION("""COMPUTED_VALUE"""),0.0)</f>
        <v>0</v>
      </c>
      <c r="X952" s="447">
        <f>IFERROR(__xludf.DUMMYFUNCTION("""COMPUTED_VALUE"""),1.0)</f>
        <v>1</v>
      </c>
      <c r="Y952" s="447">
        <f>IFERROR(__xludf.DUMMYFUNCTION("""COMPUTED_VALUE"""),0.0)</f>
        <v>0</v>
      </c>
      <c r="Z952" s="447">
        <f>IFERROR(__xludf.DUMMYFUNCTION("""COMPUTED_VALUE"""),1.0)</f>
        <v>1</v>
      </c>
      <c r="AA952" s="447">
        <f>IFERROR(__xludf.DUMMYFUNCTION("""COMPUTED_VALUE"""),0.0)</f>
        <v>0</v>
      </c>
      <c r="AB952" s="447">
        <f>IFERROR(__xludf.DUMMYFUNCTION("""COMPUTED_VALUE"""),0.0)</f>
        <v>0</v>
      </c>
      <c r="AC952" s="447">
        <f>IFERROR(__xludf.DUMMYFUNCTION("""COMPUTED_VALUE"""),0.0)</f>
        <v>0</v>
      </c>
      <c r="AD952" s="447">
        <f>IFERROR(__xludf.DUMMYFUNCTION("""COMPUTED_VALUE"""),42.0)</f>
        <v>42</v>
      </c>
      <c r="AE952" s="447">
        <f>IFERROR(__xludf.DUMMYFUNCTION("""COMPUTED_VALUE"""),10.0)</f>
        <v>10</v>
      </c>
      <c r="AF952" s="447">
        <f>IFERROR(__xludf.DUMMYFUNCTION("""COMPUTED_VALUE"""),2.0)</f>
        <v>2</v>
      </c>
      <c r="AG952" s="443" t="s">
        <v>129</v>
      </c>
      <c r="AH952" s="443" t="s">
        <v>291</v>
      </c>
      <c r="AI952" s="443"/>
      <c r="AJ952" s="443"/>
      <c r="AK952" s="443"/>
      <c r="AL952" s="443"/>
      <c r="AM952" s="443"/>
      <c r="AN952" s="443"/>
      <c r="AO952" s="443"/>
      <c r="AP952" s="443"/>
      <c r="AQ952" s="443"/>
      <c r="AR952" s="443"/>
      <c r="AS952" s="443"/>
      <c r="AT952" s="443"/>
      <c r="AU952" s="443"/>
      <c r="AV952" s="443"/>
      <c r="AW952" s="443"/>
      <c r="AX952" s="443"/>
      <c r="AY952" s="443"/>
      <c r="AZ952" s="443"/>
      <c r="BA952" s="443"/>
      <c r="BB952" s="443"/>
      <c r="BC952" s="443"/>
      <c r="BD952" s="443"/>
      <c r="BE952" s="443"/>
    </row>
    <row r="953" hidden="1">
      <c r="A953" s="445">
        <f t="shared" si="5"/>
        <v>46243</v>
      </c>
      <c r="B953" s="449">
        <v>0.0</v>
      </c>
      <c r="C953" s="443"/>
      <c r="D953" s="462"/>
      <c r="E953" s="436" t="str">
        <f t="array" ref="E953">IF(B953=0,"",(J953+K953)/60)</f>
        <v/>
      </c>
      <c r="F953" s="437" t="str">
        <f t="shared" si="1"/>
        <v/>
      </c>
      <c r="G953" s="438" t="str">
        <f t="shared" si="9"/>
        <v>#DIV/0!</v>
      </c>
      <c r="H953" s="438" t="str">
        <f t="shared" si="3"/>
        <v/>
      </c>
      <c r="I953" s="436" t="str">
        <f t="shared" si="11"/>
        <v/>
      </c>
      <c r="J953" s="464"/>
      <c r="K953" s="464"/>
      <c r="L953" s="443"/>
      <c r="M953" s="447">
        <f>IFERROR(__xludf.DUMMYFUNCTION("""COMPUTED_VALUE"""),57.0)</f>
        <v>57</v>
      </c>
      <c r="N953" s="447">
        <f>IFERROR(__xludf.DUMMYFUNCTION("""COMPUTED_VALUE"""),55.0)</f>
        <v>55</v>
      </c>
      <c r="O953" s="447">
        <f>IFERROR(__xludf.DUMMYFUNCTION("""COMPUTED_VALUE"""),0.0)</f>
        <v>0</v>
      </c>
      <c r="P953" s="447">
        <f>IFERROR(__xludf.DUMMYFUNCTION("""COMPUTED_VALUE"""),0.0)</f>
        <v>0</v>
      </c>
      <c r="Q953" s="447">
        <f>IFERROR(__xludf.DUMMYFUNCTION("""COMPUTED_VALUE"""),0.0)</f>
        <v>0</v>
      </c>
      <c r="R953" s="447">
        <f>IFERROR(__xludf.DUMMYFUNCTION("""COMPUTED_VALUE"""),0.0)</f>
        <v>0</v>
      </c>
      <c r="S953" s="447">
        <f>IFERROR(__xludf.DUMMYFUNCTION("""COMPUTED_VALUE"""),1.0)</f>
        <v>1</v>
      </c>
      <c r="T953" s="447">
        <f>IFERROR(__xludf.DUMMYFUNCTION("""COMPUTED_VALUE"""),1.0)</f>
        <v>1</v>
      </c>
      <c r="U953" s="447">
        <f>IFERROR(__xludf.DUMMYFUNCTION("""COMPUTED_VALUE"""),2.0)</f>
        <v>2</v>
      </c>
      <c r="V953" s="447">
        <f>IFERROR(__xludf.DUMMYFUNCTION("""COMPUTED_VALUE"""),4.0)</f>
        <v>4</v>
      </c>
      <c r="W953" s="447">
        <f>IFERROR(__xludf.DUMMYFUNCTION("""COMPUTED_VALUE"""),0.0)</f>
        <v>0</v>
      </c>
      <c r="X953" s="447">
        <f>IFERROR(__xludf.DUMMYFUNCTION("""COMPUTED_VALUE"""),1.0)</f>
        <v>1</v>
      </c>
      <c r="Y953" s="447">
        <f>IFERROR(__xludf.DUMMYFUNCTION("""COMPUTED_VALUE"""),0.0)</f>
        <v>0</v>
      </c>
      <c r="Z953" s="447">
        <f>IFERROR(__xludf.DUMMYFUNCTION("""COMPUTED_VALUE"""),0.0)</f>
        <v>0</v>
      </c>
      <c r="AA953" s="447">
        <f>IFERROR(__xludf.DUMMYFUNCTION("""COMPUTED_VALUE"""),0.0)</f>
        <v>0</v>
      </c>
      <c r="AB953" s="447">
        <f>IFERROR(__xludf.DUMMYFUNCTION("""COMPUTED_VALUE"""),0.0)</f>
        <v>0</v>
      </c>
      <c r="AC953" s="447">
        <f>IFERROR(__xludf.DUMMYFUNCTION("""COMPUTED_VALUE"""),0.0)</f>
        <v>0</v>
      </c>
      <c r="AD953" s="447">
        <f>IFERROR(__xludf.DUMMYFUNCTION("""COMPUTED_VALUE"""),0.0)</f>
        <v>0</v>
      </c>
      <c r="AE953" s="447">
        <f>IFERROR(__xludf.DUMMYFUNCTION("""COMPUTED_VALUE"""),9.0)</f>
        <v>9</v>
      </c>
      <c r="AF953" s="447">
        <f>IFERROR(__xludf.DUMMYFUNCTION("""COMPUTED_VALUE"""),2.0)</f>
        <v>2</v>
      </c>
      <c r="AG953" s="443" t="s">
        <v>129</v>
      </c>
      <c r="AH953" s="443" t="s">
        <v>291</v>
      </c>
      <c r="AI953" s="443"/>
      <c r="AJ953" s="443"/>
      <c r="AK953" s="443"/>
      <c r="AL953" s="443"/>
      <c r="AM953" s="443"/>
      <c r="AN953" s="443"/>
      <c r="AO953" s="443"/>
      <c r="AP953" s="443"/>
      <c r="AQ953" s="443"/>
      <c r="AR953" s="443"/>
      <c r="AS953" s="443"/>
      <c r="AT953" s="443"/>
      <c r="AU953" s="443"/>
      <c r="AV953" s="443"/>
      <c r="AW953" s="443"/>
      <c r="AX953" s="443"/>
      <c r="AY953" s="443"/>
      <c r="AZ953" s="443"/>
      <c r="BA953" s="443"/>
      <c r="BB953" s="443"/>
      <c r="BC953" s="443"/>
      <c r="BD953" s="443"/>
      <c r="BE953" s="443"/>
    </row>
    <row r="954" hidden="1">
      <c r="A954" s="445">
        <f t="shared" si="5"/>
        <v>46244</v>
      </c>
      <c r="B954" s="449">
        <v>600.0</v>
      </c>
      <c r="C954" s="462">
        <v>0.5416666666666666</v>
      </c>
      <c r="D954" s="462">
        <v>1.0006944444444446</v>
      </c>
      <c r="E954" s="436">
        <f t="array" ref="E954">IF(B954=0,"",(J954+K954)/60)</f>
        <v>1.916666667</v>
      </c>
      <c r="F954" s="437">
        <f t="shared" si="1"/>
        <v>11.01666667</v>
      </c>
      <c r="G954" s="438">
        <f t="shared" si="9"/>
        <v>54.46293495</v>
      </c>
      <c r="H954" s="438">
        <f t="shared" si="3"/>
        <v>65.93406593</v>
      </c>
      <c r="I954" s="436">
        <f t="shared" si="11"/>
        <v>1.296736546</v>
      </c>
      <c r="J954" s="460">
        <v>60.0</v>
      </c>
      <c r="K954" s="460">
        <v>55.0</v>
      </c>
      <c r="L954" s="443"/>
      <c r="M954" s="447">
        <f>IFERROR(__xludf.DUMMYFUNCTION("""COMPUTED_VALUE"""),57.0)</f>
        <v>57</v>
      </c>
      <c r="N954" s="447">
        <f>IFERROR(__xludf.DUMMYFUNCTION("""COMPUTED_VALUE"""),55.0)</f>
        <v>55</v>
      </c>
      <c r="O954" s="447">
        <f>IFERROR(__xludf.DUMMYFUNCTION("""COMPUTED_VALUE"""),1.0)</f>
        <v>1</v>
      </c>
      <c r="P954" s="447">
        <f>IFERROR(__xludf.DUMMYFUNCTION("""COMPUTED_VALUE"""),0.0)</f>
        <v>0</v>
      </c>
      <c r="Q954" s="447">
        <f>IFERROR(__xludf.DUMMYFUNCTION("""COMPUTED_VALUE"""),0.0)</f>
        <v>0</v>
      </c>
      <c r="R954" s="447">
        <f>IFERROR(__xludf.DUMMYFUNCTION("""COMPUTED_VALUE"""),0.0)</f>
        <v>0</v>
      </c>
      <c r="S954" s="447">
        <f>IFERROR(__xludf.DUMMYFUNCTION("""COMPUTED_VALUE"""),1.0)</f>
        <v>1</v>
      </c>
      <c r="T954" s="447">
        <f>IFERROR(__xludf.DUMMYFUNCTION("""COMPUTED_VALUE"""),1.0)</f>
        <v>1</v>
      </c>
      <c r="U954" s="447">
        <f>IFERROR(__xludf.DUMMYFUNCTION("""COMPUTED_VALUE"""),2.0)</f>
        <v>2</v>
      </c>
      <c r="V954" s="447">
        <f>IFERROR(__xludf.DUMMYFUNCTION("""COMPUTED_VALUE"""),3.0)</f>
        <v>3</v>
      </c>
      <c r="W954" s="447">
        <f>IFERROR(__xludf.DUMMYFUNCTION("""COMPUTED_VALUE"""),1.0)</f>
        <v>1</v>
      </c>
      <c r="X954" s="447">
        <f>IFERROR(__xludf.DUMMYFUNCTION("""COMPUTED_VALUE"""),1.0)</f>
        <v>1</v>
      </c>
      <c r="Y954" s="447">
        <f>IFERROR(__xludf.DUMMYFUNCTION("""COMPUTED_VALUE"""),0.0)</f>
        <v>0</v>
      </c>
      <c r="Z954" s="447">
        <f>IFERROR(__xludf.DUMMYFUNCTION("""COMPUTED_VALUE"""),0.0)</f>
        <v>0</v>
      </c>
      <c r="AA954" s="447">
        <f>IFERROR(__xludf.DUMMYFUNCTION("""COMPUTED_VALUE"""),0.0)</f>
        <v>0</v>
      </c>
      <c r="AB954" s="447">
        <f>IFERROR(__xludf.DUMMYFUNCTION("""COMPUTED_VALUE"""),0.0)</f>
        <v>0</v>
      </c>
      <c r="AC954" s="447">
        <f>IFERROR(__xludf.DUMMYFUNCTION("""COMPUTED_VALUE"""),0.0)</f>
        <v>0</v>
      </c>
      <c r="AD954" s="447">
        <f>IFERROR(__xludf.DUMMYFUNCTION("""COMPUTED_VALUE"""),42.0)</f>
        <v>42</v>
      </c>
      <c r="AE954" s="447">
        <f>IFERROR(__xludf.DUMMYFUNCTION("""COMPUTED_VALUE"""),10.0)</f>
        <v>10</v>
      </c>
      <c r="AF954" s="447">
        <f>IFERROR(__xludf.DUMMYFUNCTION("""COMPUTED_VALUE"""),2.0)</f>
        <v>2</v>
      </c>
      <c r="AG954" s="443" t="s">
        <v>129</v>
      </c>
      <c r="AH954" s="443" t="s">
        <v>291</v>
      </c>
      <c r="AI954" s="443"/>
      <c r="AJ954" s="443"/>
      <c r="AK954" s="443"/>
      <c r="AL954" s="443"/>
      <c r="AM954" s="443"/>
      <c r="AN954" s="443"/>
      <c r="AO954" s="443"/>
      <c r="AP954" s="443"/>
      <c r="AQ954" s="443"/>
      <c r="AR954" s="443"/>
      <c r="AS954" s="443"/>
      <c r="AT954" s="443"/>
      <c r="AU954" s="443"/>
      <c r="AV954" s="443"/>
      <c r="AW954" s="443"/>
      <c r="AX954" s="443"/>
      <c r="AY954" s="443"/>
      <c r="AZ954" s="443"/>
      <c r="BA954" s="443"/>
      <c r="BB954" s="443"/>
      <c r="BC954" s="443"/>
      <c r="BD954" s="443"/>
      <c r="BE954" s="443"/>
    </row>
    <row r="955" hidden="1">
      <c r="A955" s="445">
        <f t="shared" si="5"/>
        <v>46245</v>
      </c>
      <c r="B955" s="449">
        <v>570.0</v>
      </c>
      <c r="C955" s="462">
        <v>0.6006944444444444</v>
      </c>
      <c r="D955" s="462">
        <v>1.0493055555555555</v>
      </c>
      <c r="E955" s="436">
        <f t="array" ref="E955">IF(B955=0,"",(J955+K955)/60)</f>
        <v>2.15</v>
      </c>
      <c r="F955" s="437">
        <f t="shared" si="1"/>
        <v>10.76666667</v>
      </c>
      <c r="G955" s="438">
        <f t="shared" si="9"/>
        <v>52.94117647</v>
      </c>
      <c r="H955" s="438">
        <f t="shared" si="3"/>
        <v>66.15087041</v>
      </c>
      <c r="I955" s="436">
        <f t="shared" si="11"/>
        <v>1.23119015</v>
      </c>
      <c r="J955" s="460">
        <v>40.0</v>
      </c>
      <c r="K955" s="460">
        <v>89.0</v>
      </c>
      <c r="L955" s="443"/>
      <c r="M955" s="447">
        <f>IFERROR(__xludf.DUMMYFUNCTION("""COMPUTED_VALUE"""),57.0)</f>
        <v>57</v>
      </c>
      <c r="N955" s="447">
        <f>IFERROR(__xludf.DUMMYFUNCTION("""COMPUTED_VALUE"""),56.0)</f>
        <v>56</v>
      </c>
      <c r="O955" s="447">
        <f>IFERROR(__xludf.DUMMYFUNCTION("""COMPUTED_VALUE"""),0.0)</f>
        <v>0</v>
      </c>
      <c r="P955" s="447">
        <f>IFERROR(__xludf.DUMMYFUNCTION("""COMPUTED_VALUE"""),0.0)</f>
        <v>0</v>
      </c>
      <c r="Q955" s="447">
        <f>IFERROR(__xludf.DUMMYFUNCTION("""COMPUTED_VALUE"""),0.0)</f>
        <v>0</v>
      </c>
      <c r="R955" s="447">
        <f>IFERROR(__xludf.DUMMYFUNCTION("""COMPUTED_VALUE"""),0.0)</f>
        <v>0</v>
      </c>
      <c r="S955" s="447">
        <f>IFERROR(__xludf.DUMMYFUNCTION("""COMPUTED_VALUE"""),1.0)</f>
        <v>1</v>
      </c>
      <c r="T955" s="447">
        <f>IFERROR(__xludf.DUMMYFUNCTION("""COMPUTED_VALUE"""),1.0)</f>
        <v>1</v>
      </c>
      <c r="U955" s="447">
        <f>IFERROR(__xludf.DUMMYFUNCTION("""COMPUTED_VALUE"""),1.0)</f>
        <v>1</v>
      </c>
      <c r="V955" s="447">
        <f>IFERROR(__xludf.DUMMYFUNCTION("""COMPUTED_VALUE"""),3.0)</f>
        <v>3</v>
      </c>
      <c r="W955" s="447">
        <f>IFERROR(__xludf.DUMMYFUNCTION("""COMPUTED_VALUE"""),1.0)</f>
        <v>1</v>
      </c>
      <c r="X955" s="447">
        <f>IFERROR(__xludf.DUMMYFUNCTION("""COMPUTED_VALUE"""),1.0)</f>
        <v>1</v>
      </c>
      <c r="Y955" s="447">
        <f>IFERROR(__xludf.DUMMYFUNCTION("""COMPUTED_VALUE"""),0.0)</f>
        <v>0</v>
      </c>
      <c r="Z955" s="447">
        <f>IFERROR(__xludf.DUMMYFUNCTION("""COMPUTED_VALUE"""),0.0)</f>
        <v>0</v>
      </c>
      <c r="AA955" s="447">
        <f>IFERROR(__xludf.DUMMYFUNCTION("""COMPUTED_VALUE"""),0.0)</f>
        <v>0</v>
      </c>
      <c r="AB955" s="447">
        <f>IFERROR(__xludf.DUMMYFUNCTION("""COMPUTED_VALUE"""),1.0)</f>
        <v>1</v>
      </c>
      <c r="AC955" s="447">
        <f>IFERROR(__xludf.DUMMYFUNCTION("""COMPUTED_VALUE"""),0.0)</f>
        <v>0</v>
      </c>
      <c r="AD955" s="447">
        <f>IFERROR(__xludf.DUMMYFUNCTION("""COMPUTED_VALUE"""),43.0)</f>
        <v>43</v>
      </c>
      <c r="AE955" s="447">
        <f>IFERROR(__xludf.DUMMYFUNCTION("""COMPUTED_VALUE"""),8.0)</f>
        <v>8</v>
      </c>
      <c r="AF955" s="447">
        <f>IFERROR(__xludf.DUMMYFUNCTION("""COMPUTED_VALUE"""),1.0)</f>
        <v>1</v>
      </c>
      <c r="AG955" s="443" t="s">
        <v>129</v>
      </c>
      <c r="AH955" s="443" t="s">
        <v>291</v>
      </c>
      <c r="AI955" s="443"/>
      <c r="AJ955" s="443"/>
      <c r="AK955" s="443"/>
      <c r="AL955" s="443"/>
      <c r="AM955" s="443"/>
      <c r="AN955" s="443"/>
      <c r="AO955" s="443"/>
      <c r="AP955" s="443"/>
      <c r="AQ955" s="443"/>
      <c r="AR955" s="443"/>
      <c r="AS955" s="443"/>
      <c r="AT955" s="443"/>
      <c r="AU955" s="443"/>
      <c r="AV955" s="443"/>
      <c r="AW955" s="443"/>
      <c r="AX955" s="443"/>
      <c r="AY955" s="443"/>
      <c r="AZ955" s="443"/>
      <c r="BA955" s="443"/>
      <c r="BB955" s="443"/>
      <c r="BC955" s="443"/>
      <c r="BD955" s="443"/>
      <c r="BE955" s="443"/>
    </row>
    <row r="956" hidden="1">
      <c r="A956" s="445">
        <f t="shared" si="5"/>
        <v>46246</v>
      </c>
      <c r="B956" s="449">
        <v>507.0</v>
      </c>
      <c r="C956" s="462">
        <v>0.5833333333333334</v>
      </c>
      <c r="D956" s="462">
        <v>0.9479166666666666</v>
      </c>
      <c r="E956" s="436">
        <f t="array" ref="E956">IF(B956=0,"",(J956+K956)/60)</f>
        <v>0.8666666667</v>
      </c>
      <c r="F956" s="437">
        <f t="shared" si="1"/>
        <v>8.75</v>
      </c>
      <c r="G956" s="438">
        <f t="shared" si="9"/>
        <v>57.94285714</v>
      </c>
      <c r="H956" s="438">
        <f t="shared" si="3"/>
        <v>64.31289641</v>
      </c>
      <c r="I956" s="436">
        <f t="shared" si="11"/>
        <v>1.287619048</v>
      </c>
      <c r="J956" s="460">
        <v>30.0</v>
      </c>
      <c r="K956" s="460">
        <v>22.0</v>
      </c>
      <c r="L956" s="443"/>
      <c r="M956" s="447">
        <f>IFERROR(__xludf.DUMMYFUNCTION("""COMPUTED_VALUE"""),57.0)</f>
        <v>57</v>
      </c>
      <c r="N956" s="447">
        <f>IFERROR(__xludf.DUMMYFUNCTION("""COMPUTED_VALUE"""),56.0)</f>
        <v>56</v>
      </c>
      <c r="O956" s="447">
        <f>IFERROR(__xludf.DUMMYFUNCTION("""COMPUTED_VALUE"""),0.0)</f>
        <v>0</v>
      </c>
      <c r="P956" s="447">
        <f>IFERROR(__xludf.DUMMYFUNCTION("""COMPUTED_VALUE"""),0.0)</f>
        <v>0</v>
      </c>
      <c r="Q956" s="447">
        <f>IFERROR(__xludf.DUMMYFUNCTION("""COMPUTED_VALUE"""),0.0)</f>
        <v>0</v>
      </c>
      <c r="R956" s="447">
        <f>IFERROR(__xludf.DUMMYFUNCTION("""COMPUTED_VALUE"""),0.0)</f>
        <v>0</v>
      </c>
      <c r="S956" s="447">
        <f>IFERROR(__xludf.DUMMYFUNCTION("""COMPUTED_VALUE"""),2.0)</f>
        <v>2</v>
      </c>
      <c r="T956" s="447">
        <f>IFERROR(__xludf.DUMMYFUNCTION("""COMPUTED_VALUE"""),0.0)</f>
        <v>0</v>
      </c>
      <c r="U956" s="447">
        <f>IFERROR(__xludf.DUMMYFUNCTION("""COMPUTED_VALUE"""),1.0)</f>
        <v>1</v>
      </c>
      <c r="V956" s="447">
        <f>IFERROR(__xludf.DUMMYFUNCTION("""COMPUTED_VALUE"""),2.0)</f>
        <v>2</v>
      </c>
      <c r="W956" s="447">
        <f>IFERROR(__xludf.DUMMYFUNCTION("""COMPUTED_VALUE"""),1.0)</f>
        <v>1</v>
      </c>
      <c r="X956" s="447">
        <f>IFERROR(__xludf.DUMMYFUNCTION("""COMPUTED_VALUE"""),1.0)</f>
        <v>1</v>
      </c>
      <c r="Y956" s="447">
        <f>IFERROR(__xludf.DUMMYFUNCTION("""COMPUTED_VALUE"""),0.0)</f>
        <v>0</v>
      </c>
      <c r="Z956" s="447">
        <f>IFERROR(__xludf.DUMMYFUNCTION("""COMPUTED_VALUE"""),0.0)</f>
        <v>0</v>
      </c>
      <c r="AA956" s="447">
        <f>IFERROR(__xludf.DUMMYFUNCTION("""COMPUTED_VALUE"""),0.0)</f>
        <v>0</v>
      </c>
      <c r="AB956" s="447">
        <f>IFERROR(__xludf.DUMMYFUNCTION("""COMPUTED_VALUE"""),0.0)</f>
        <v>0</v>
      </c>
      <c r="AC956" s="447">
        <f>IFERROR(__xludf.DUMMYFUNCTION("""COMPUTED_VALUE"""),0.0)</f>
        <v>0</v>
      </c>
      <c r="AD956" s="447">
        <f>IFERROR(__xludf.DUMMYFUNCTION("""COMPUTED_VALUE"""),45.0)</f>
        <v>45</v>
      </c>
      <c r="AE956" s="447">
        <f>IFERROR(__xludf.DUMMYFUNCTION("""COMPUTED_VALUE"""),7.0)</f>
        <v>7</v>
      </c>
      <c r="AF956" s="447">
        <f>IFERROR(__xludf.DUMMYFUNCTION("""COMPUTED_VALUE"""),1.0)</f>
        <v>1</v>
      </c>
      <c r="AG956" s="443" t="s">
        <v>129</v>
      </c>
      <c r="AH956" s="443" t="s">
        <v>291</v>
      </c>
      <c r="AI956" s="443"/>
      <c r="AJ956" s="443"/>
      <c r="AK956" s="443"/>
      <c r="AL956" s="443"/>
      <c r="AM956" s="443"/>
      <c r="AN956" s="443"/>
      <c r="AO956" s="443"/>
      <c r="AP956" s="443"/>
      <c r="AQ956" s="443"/>
      <c r="AR956" s="443"/>
      <c r="AS956" s="443"/>
      <c r="AT956" s="443"/>
      <c r="AU956" s="443"/>
      <c r="AV956" s="443"/>
      <c r="AW956" s="443"/>
      <c r="AX956" s="443"/>
      <c r="AY956" s="443"/>
      <c r="AZ956" s="443"/>
      <c r="BA956" s="443"/>
      <c r="BB956" s="443"/>
      <c r="BC956" s="443"/>
      <c r="BD956" s="443"/>
      <c r="BE956" s="443"/>
    </row>
    <row r="957" hidden="1">
      <c r="A957" s="445">
        <f t="shared" si="5"/>
        <v>46247</v>
      </c>
      <c r="B957" s="449">
        <v>450.0</v>
      </c>
      <c r="C957" s="462">
        <v>0.6666666666666666</v>
      </c>
      <c r="D957" s="462">
        <v>0.9930555555555556</v>
      </c>
      <c r="E957" s="436">
        <f t="array" ref="E957">IF(B957=0,"",(J957+K957)/60)</f>
        <v>0.9</v>
      </c>
      <c r="F957" s="437">
        <f t="shared" si="1"/>
        <v>7.833333333</v>
      </c>
      <c r="G957" s="438">
        <f t="shared" si="9"/>
        <v>57.44680851</v>
      </c>
      <c r="H957" s="438">
        <f t="shared" si="3"/>
        <v>64.90384615</v>
      </c>
      <c r="I957" s="436">
        <f t="shared" si="11"/>
        <v>1.305609284</v>
      </c>
      <c r="J957" s="460">
        <v>30.0</v>
      </c>
      <c r="K957" s="460">
        <v>24.0</v>
      </c>
      <c r="L957" s="443"/>
      <c r="M957" s="447">
        <f>IFERROR(__xludf.DUMMYFUNCTION("""COMPUTED_VALUE"""),57.0)</f>
        <v>57</v>
      </c>
      <c r="N957" s="447">
        <f>IFERROR(__xludf.DUMMYFUNCTION("""COMPUTED_VALUE"""),56.0)</f>
        <v>56</v>
      </c>
      <c r="O957" s="447">
        <f>IFERROR(__xludf.DUMMYFUNCTION("""COMPUTED_VALUE"""),0.0)</f>
        <v>0</v>
      </c>
      <c r="P957" s="447">
        <f>IFERROR(__xludf.DUMMYFUNCTION("""COMPUTED_VALUE"""),0.0)</f>
        <v>0</v>
      </c>
      <c r="Q957" s="447">
        <f>IFERROR(__xludf.DUMMYFUNCTION("""COMPUTED_VALUE"""),0.0)</f>
        <v>0</v>
      </c>
      <c r="R957" s="447">
        <f>IFERROR(__xludf.DUMMYFUNCTION("""COMPUTED_VALUE"""),0.0)</f>
        <v>0</v>
      </c>
      <c r="S957" s="447">
        <f>IFERROR(__xludf.DUMMYFUNCTION("""COMPUTED_VALUE"""),3.0)</f>
        <v>3</v>
      </c>
      <c r="T957" s="447">
        <f>IFERROR(__xludf.DUMMYFUNCTION("""COMPUTED_VALUE"""),0.0)</f>
        <v>0</v>
      </c>
      <c r="U957" s="447">
        <f>IFERROR(__xludf.DUMMYFUNCTION("""COMPUTED_VALUE"""),1.0)</f>
        <v>1</v>
      </c>
      <c r="V957" s="447">
        <f>IFERROR(__xludf.DUMMYFUNCTION("""COMPUTED_VALUE"""),2.0)</f>
        <v>2</v>
      </c>
      <c r="W957" s="447">
        <f>IFERROR(__xludf.DUMMYFUNCTION("""COMPUTED_VALUE"""),0.0)</f>
        <v>0</v>
      </c>
      <c r="X957" s="447">
        <f>IFERROR(__xludf.DUMMYFUNCTION("""COMPUTED_VALUE"""),1.0)</f>
        <v>1</v>
      </c>
      <c r="Y957" s="447">
        <f>IFERROR(__xludf.DUMMYFUNCTION("""COMPUTED_VALUE"""),0.0)</f>
        <v>0</v>
      </c>
      <c r="Z957" s="447">
        <f>IFERROR(__xludf.DUMMYFUNCTION("""COMPUTED_VALUE"""),0.0)</f>
        <v>0</v>
      </c>
      <c r="AA957" s="447">
        <f>IFERROR(__xludf.DUMMYFUNCTION("""COMPUTED_VALUE"""),1.0)</f>
        <v>1</v>
      </c>
      <c r="AB957" s="447">
        <f>IFERROR(__xludf.DUMMYFUNCTION("""COMPUTED_VALUE"""),0.0)</f>
        <v>0</v>
      </c>
      <c r="AC957" s="447">
        <f>IFERROR(__xludf.DUMMYFUNCTION("""COMPUTED_VALUE"""),0.0)</f>
        <v>0</v>
      </c>
      <c r="AD957" s="447">
        <f>IFERROR(__xludf.DUMMYFUNCTION("""COMPUTED_VALUE"""),44.0)</f>
        <v>44</v>
      </c>
      <c r="AE957" s="447">
        <f>IFERROR(__xludf.DUMMYFUNCTION("""COMPUTED_VALUE"""),8.0)</f>
        <v>8</v>
      </c>
      <c r="AF957" s="447">
        <f>IFERROR(__xludf.DUMMYFUNCTION("""COMPUTED_VALUE"""),1.0)</f>
        <v>1</v>
      </c>
      <c r="AG957" s="443" t="s">
        <v>129</v>
      </c>
      <c r="AH957" s="443" t="s">
        <v>291</v>
      </c>
      <c r="AI957" s="443"/>
      <c r="AJ957" s="443"/>
      <c r="AK957" s="443"/>
      <c r="AL957" s="443"/>
      <c r="AM957" s="443"/>
      <c r="AN957" s="443"/>
      <c r="AO957" s="443"/>
      <c r="AP957" s="443"/>
      <c r="AQ957" s="443"/>
      <c r="AR957" s="443"/>
      <c r="AS957" s="443"/>
      <c r="AT957" s="443"/>
      <c r="AU957" s="443"/>
      <c r="AV957" s="443"/>
      <c r="AW957" s="443"/>
      <c r="AX957" s="443"/>
      <c r="AY957" s="443"/>
      <c r="AZ957" s="443"/>
      <c r="BA957" s="443"/>
      <c r="BB957" s="443"/>
      <c r="BC957" s="443"/>
      <c r="BD957" s="443"/>
      <c r="BE957" s="443"/>
    </row>
    <row r="958" hidden="1">
      <c r="A958" s="445">
        <f t="shared" si="5"/>
        <v>46248</v>
      </c>
      <c r="B958" s="449">
        <v>471.0</v>
      </c>
      <c r="C958" s="462">
        <v>0.625</v>
      </c>
      <c r="D958" s="462">
        <v>1.0270833333333333</v>
      </c>
      <c r="E958" s="436">
        <f t="array" ref="E958">IF(B958=0,"",(J958+K958)/60)</f>
        <v>2.683333333</v>
      </c>
      <c r="F958" s="437">
        <f t="shared" si="1"/>
        <v>9.65</v>
      </c>
      <c r="G958" s="438">
        <f t="shared" si="9"/>
        <v>48.80829016</v>
      </c>
      <c r="H958" s="438">
        <f t="shared" si="3"/>
        <v>67.6076555</v>
      </c>
      <c r="I958" s="436">
        <f t="shared" si="11"/>
        <v>1.109279322</v>
      </c>
      <c r="J958" s="460">
        <v>30.0</v>
      </c>
      <c r="K958" s="460">
        <v>131.0</v>
      </c>
      <c r="L958" s="443"/>
      <c r="M958" s="447">
        <f>IFERROR(__xludf.DUMMYFUNCTION("""COMPUTED_VALUE"""),57.0)</f>
        <v>57</v>
      </c>
      <c r="N958" s="447">
        <f>IFERROR(__xludf.DUMMYFUNCTION("""COMPUTED_VALUE"""),56.0)</f>
        <v>56</v>
      </c>
      <c r="O958" s="447">
        <f>IFERROR(__xludf.DUMMYFUNCTION("""COMPUTED_VALUE"""),0.0)</f>
        <v>0</v>
      </c>
      <c r="P958" s="447">
        <f>IFERROR(__xludf.DUMMYFUNCTION("""COMPUTED_VALUE"""),0.0)</f>
        <v>0</v>
      </c>
      <c r="Q958" s="447">
        <f>IFERROR(__xludf.DUMMYFUNCTION("""COMPUTED_VALUE"""),0.0)</f>
        <v>0</v>
      </c>
      <c r="R958" s="447">
        <f>IFERROR(__xludf.DUMMYFUNCTION("""COMPUTED_VALUE"""),0.0)</f>
        <v>0</v>
      </c>
      <c r="S958" s="447">
        <f>IFERROR(__xludf.DUMMYFUNCTION("""COMPUTED_VALUE"""),4.0)</f>
        <v>4</v>
      </c>
      <c r="T958" s="447">
        <f>IFERROR(__xludf.DUMMYFUNCTION("""COMPUTED_VALUE"""),0.0)</f>
        <v>0</v>
      </c>
      <c r="U958" s="447">
        <f>IFERROR(__xludf.DUMMYFUNCTION("""COMPUTED_VALUE"""),1.0)</f>
        <v>1</v>
      </c>
      <c r="V958" s="447">
        <f>IFERROR(__xludf.DUMMYFUNCTION("""COMPUTED_VALUE"""),2.0)</f>
        <v>2</v>
      </c>
      <c r="W958" s="447">
        <f>IFERROR(__xludf.DUMMYFUNCTION("""COMPUTED_VALUE"""),0.0)</f>
        <v>0</v>
      </c>
      <c r="X958" s="447">
        <f>IFERROR(__xludf.DUMMYFUNCTION("""COMPUTED_VALUE"""),1.0)</f>
        <v>1</v>
      </c>
      <c r="Y958" s="447">
        <f>IFERROR(__xludf.DUMMYFUNCTION("""COMPUTED_VALUE"""),0.0)</f>
        <v>0</v>
      </c>
      <c r="Z958" s="447">
        <f>IFERROR(__xludf.DUMMYFUNCTION("""COMPUTED_VALUE"""),0.0)</f>
        <v>0</v>
      </c>
      <c r="AA958" s="447">
        <f>IFERROR(__xludf.DUMMYFUNCTION("""COMPUTED_VALUE"""),0.0)</f>
        <v>0</v>
      </c>
      <c r="AB958" s="447">
        <f>IFERROR(__xludf.DUMMYFUNCTION("""COMPUTED_VALUE"""),0.0)</f>
        <v>0</v>
      </c>
      <c r="AC958" s="447">
        <f>IFERROR(__xludf.DUMMYFUNCTION("""COMPUTED_VALUE"""),0.0)</f>
        <v>0</v>
      </c>
      <c r="AD958" s="447">
        <f>IFERROR(__xludf.DUMMYFUNCTION("""COMPUTED_VALUE"""),44.0)</f>
        <v>44</v>
      </c>
      <c r="AE958" s="447">
        <f>IFERROR(__xludf.DUMMYFUNCTION("""COMPUTED_VALUE"""),8.0)</f>
        <v>8</v>
      </c>
      <c r="AF958" s="447">
        <f>IFERROR(__xludf.DUMMYFUNCTION("""COMPUTED_VALUE"""),1.0)</f>
        <v>1</v>
      </c>
      <c r="AG958" s="443" t="s">
        <v>129</v>
      </c>
      <c r="AH958" s="443" t="s">
        <v>291</v>
      </c>
      <c r="AI958" s="443"/>
      <c r="AJ958" s="443"/>
      <c r="AK958" s="443"/>
      <c r="AL958" s="443"/>
      <c r="AM958" s="443"/>
      <c r="AN958" s="443"/>
      <c r="AO958" s="443"/>
      <c r="AP958" s="443"/>
      <c r="AQ958" s="443"/>
      <c r="AR958" s="443"/>
      <c r="AS958" s="443"/>
      <c r="AT958" s="443"/>
      <c r="AU958" s="443"/>
      <c r="AV958" s="443"/>
      <c r="AW958" s="443"/>
      <c r="AX958" s="443"/>
      <c r="AY958" s="443"/>
      <c r="AZ958" s="443"/>
      <c r="BA958" s="443"/>
      <c r="BB958" s="443"/>
      <c r="BC958" s="443"/>
      <c r="BD958" s="443"/>
      <c r="BE958" s="443"/>
    </row>
    <row r="959">
      <c r="A959" s="445">
        <f t="shared" si="5"/>
        <v>46249</v>
      </c>
      <c r="B959" s="449">
        <v>305.0</v>
      </c>
      <c r="C959" s="462">
        <v>0.8458333333333333</v>
      </c>
      <c r="D959" s="462">
        <v>1.0520833333333333</v>
      </c>
      <c r="E959" s="436">
        <f t="array" ref="E959">IF(B959=0,"",(J959+K959)/60)</f>
        <v>0.2666666667</v>
      </c>
      <c r="F959" s="437">
        <f t="shared" si="1"/>
        <v>4.95</v>
      </c>
      <c r="G959" s="438">
        <f t="shared" si="9"/>
        <v>61.61616162</v>
      </c>
      <c r="H959" s="438">
        <f t="shared" si="3"/>
        <v>65.12455516</v>
      </c>
      <c r="I959" s="436">
        <f t="shared" si="11"/>
        <v>1.50283321</v>
      </c>
      <c r="J959" s="460">
        <v>0.0</v>
      </c>
      <c r="K959" s="460">
        <v>16.0</v>
      </c>
      <c r="L959" s="443"/>
      <c r="M959" s="447">
        <f>IFERROR(__xludf.DUMMYFUNCTION("""COMPUTED_VALUE"""),57.0)</f>
        <v>57</v>
      </c>
      <c r="N959" s="447">
        <f>IFERROR(__xludf.DUMMYFUNCTION("""COMPUTED_VALUE"""),56.0)</f>
        <v>56</v>
      </c>
      <c r="O959" s="447">
        <f>IFERROR(__xludf.DUMMYFUNCTION("""COMPUTED_VALUE"""),1.0)</f>
        <v>1</v>
      </c>
      <c r="P959" s="447">
        <f>IFERROR(__xludf.DUMMYFUNCTION("""COMPUTED_VALUE"""),0.0)</f>
        <v>0</v>
      </c>
      <c r="Q959" s="447">
        <f>IFERROR(__xludf.DUMMYFUNCTION("""COMPUTED_VALUE"""),1.0)</f>
        <v>1</v>
      </c>
      <c r="R959" s="447">
        <f>IFERROR(__xludf.DUMMYFUNCTION("""COMPUTED_VALUE"""),0.0)</f>
        <v>0</v>
      </c>
      <c r="S959" s="447">
        <f>IFERROR(__xludf.DUMMYFUNCTION("""COMPUTED_VALUE"""),4.0)</f>
        <v>4</v>
      </c>
      <c r="T959" s="447">
        <f>IFERROR(__xludf.DUMMYFUNCTION("""COMPUTED_VALUE"""),0.0)</f>
        <v>0</v>
      </c>
      <c r="U959" s="447">
        <f>IFERROR(__xludf.DUMMYFUNCTION("""COMPUTED_VALUE"""),1.0)</f>
        <v>1</v>
      </c>
      <c r="V959" s="447">
        <f>IFERROR(__xludf.DUMMYFUNCTION("""COMPUTED_VALUE"""),2.0)</f>
        <v>2</v>
      </c>
      <c r="W959" s="447">
        <f>IFERROR(__xludf.DUMMYFUNCTION("""COMPUTED_VALUE"""),0.0)</f>
        <v>0</v>
      </c>
      <c r="X959" s="447">
        <f>IFERROR(__xludf.DUMMYFUNCTION("""COMPUTED_VALUE"""),1.0)</f>
        <v>1</v>
      </c>
      <c r="Y959" s="447">
        <f>IFERROR(__xludf.DUMMYFUNCTION("""COMPUTED_VALUE"""),0.0)</f>
        <v>0</v>
      </c>
      <c r="Z959" s="447">
        <f>IFERROR(__xludf.DUMMYFUNCTION("""COMPUTED_VALUE"""),1.0)</f>
        <v>1</v>
      </c>
      <c r="AA959" s="447">
        <f>IFERROR(__xludf.DUMMYFUNCTION("""COMPUTED_VALUE"""),0.0)</f>
        <v>0</v>
      </c>
      <c r="AB959" s="447">
        <f>IFERROR(__xludf.DUMMYFUNCTION("""COMPUTED_VALUE"""),0.0)</f>
        <v>0</v>
      </c>
      <c r="AC959" s="447">
        <f>IFERROR(__xludf.DUMMYFUNCTION("""COMPUTED_VALUE"""),0.0)</f>
        <v>0</v>
      </c>
      <c r="AD959" s="447">
        <f>IFERROR(__xludf.DUMMYFUNCTION("""COMPUTED_VALUE"""),41.0)</f>
        <v>41</v>
      </c>
      <c r="AE959" s="447">
        <f>IFERROR(__xludf.DUMMYFUNCTION("""COMPUTED_VALUE"""),11.0)</f>
        <v>11</v>
      </c>
      <c r="AF959" s="447">
        <f>IFERROR(__xludf.DUMMYFUNCTION("""COMPUTED_VALUE"""),1.0)</f>
        <v>1</v>
      </c>
      <c r="AG959" s="443" t="s">
        <v>129</v>
      </c>
      <c r="AH959" s="443" t="s">
        <v>291</v>
      </c>
      <c r="AI959" s="443"/>
      <c r="AJ959" s="443"/>
      <c r="AK959" s="443"/>
      <c r="AL959" s="443"/>
      <c r="AM959" s="443"/>
      <c r="AN959" s="443"/>
      <c r="AO959" s="443"/>
      <c r="AP959" s="443"/>
      <c r="AQ959" s="443"/>
      <c r="AR959" s="443"/>
      <c r="AS959" s="443"/>
      <c r="AT959" s="443"/>
      <c r="AU959" s="443"/>
      <c r="AV959" s="443"/>
      <c r="AW959" s="443"/>
      <c r="AX959" s="443"/>
      <c r="AY959" s="443"/>
      <c r="AZ959" s="443"/>
      <c r="BA959" s="443"/>
      <c r="BB959" s="443"/>
      <c r="BC959" s="443"/>
      <c r="BD959" s="443"/>
      <c r="BE959" s="443"/>
    </row>
    <row r="960">
      <c r="A960" s="445">
        <f t="shared" si="5"/>
        <v>46250</v>
      </c>
      <c r="B960" s="449">
        <v>0.0</v>
      </c>
      <c r="C960" s="443"/>
      <c r="D960" s="462"/>
      <c r="E960" s="436" t="str">
        <f t="array" ref="E960">IF(B960=0,"",(J960+K960)/60)</f>
        <v/>
      </c>
      <c r="F960" s="437" t="str">
        <f t="shared" si="1"/>
        <v/>
      </c>
      <c r="G960" s="438" t="str">
        <f t="shared" si="9"/>
        <v>#DIV/0!</v>
      </c>
      <c r="H960" s="438" t="str">
        <f t="shared" si="3"/>
        <v/>
      </c>
      <c r="I960" s="436" t="str">
        <f t="shared" si="11"/>
        <v/>
      </c>
      <c r="J960" s="464"/>
      <c r="K960" s="464"/>
      <c r="L960" s="443"/>
      <c r="M960" s="447">
        <f>IFERROR(__xludf.DUMMYFUNCTION("""COMPUTED_VALUE"""),57.0)</f>
        <v>57</v>
      </c>
      <c r="N960" s="447">
        <f>IFERROR(__xludf.DUMMYFUNCTION("""COMPUTED_VALUE"""),57.0)</f>
        <v>57</v>
      </c>
      <c r="O960" s="447">
        <f>IFERROR(__xludf.DUMMYFUNCTION("""COMPUTED_VALUE"""),0.0)</f>
        <v>0</v>
      </c>
      <c r="P960" s="447">
        <f>IFERROR(__xludf.DUMMYFUNCTION("""COMPUTED_VALUE"""),0.0)</f>
        <v>0</v>
      </c>
      <c r="Q960" s="447">
        <f>IFERROR(__xludf.DUMMYFUNCTION("""COMPUTED_VALUE"""),0.0)</f>
        <v>0</v>
      </c>
      <c r="R960" s="447">
        <f>IFERROR(__xludf.DUMMYFUNCTION("""COMPUTED_VALUE"""),0.0)</f>
        <v>0</v>
      </c>
      <c r="S960" s="447">
        <f>IFERROR(__xludf.DUMMYFUNCTION("""COMPUTED_VALUE"""),1.0)</f>
        <v>1</v>
      </c>
      <c r="T960" s="447">
        <f>IFERROR(__xludf.DUMMYFUNCTION("""COMPUTED_VALUE"""),0.0)</f>
        <v>0</v>
      </c>
      <c r="U960" s="447">
        <f>IFERROR(__xludf.DUMMYFUNCTION("""COMPUTED_VALUE"""),0.0)</f>
        <v>0</v>
      </c>
      <c r="V960" s="447">
        <f>IFERROR(__xludf.DUMMYFUNCTION("""COMPUTED_VALUE"""),2.0)</f>
        <v>2</v>
      </c>
      <c r="W960" s="447">
        <f>IFERROR(__xludf.DUMMYFUNCTION("""COMPUTED_VALUE"""),0.0)</f>
        <v>0</v>
      </c>
      <c r="X960" s="447">
        <f>IFERROR(__xludf.DUMMYFUNCTION("""COMPUTED_VALUE"""),1.0)</f>
        <v>1</v>
      </c>
      <c r="Y960" s="447">
        <f>IFERROR(__xludf.DUMMYFUNCTION("""COMPUTED_VALUE"""),0.0)</f>
        <v>0</v>
      </c>
      <c r="Z960" s="447">
        <f>IFERROR(__xludf.DUMMYFUNCTION("""COMPUTED_VALUE"""),0.0)</f>
        <v>0</v>
      </c>
      <c r="AA960" s="447">
        <f>IFERROR(__xludf.DUMMYFUNCTION("""COMPUTED_VALUE"""),0.0)</f>
        <v>0</v>
      </c>
      <c r="AB960" s="447">
        <f>IFERROR(__xludf.DUMMYFUNCTION("""COMPUTED_VALUE"""),0.0)</f>
        <v>0</v>
      </c>
      <c r="AC960" s="447">
        <f>IFERROR(__xludf.DUMMYFUNCTION("""COMPUTED_VALUE"""),0.0)</f>
        <v>0</v>
      </c>
      <c r="AD960" s="447">
        <f>IFERROR(__xludf.DUMMYFUNCTION("""COMPUTED_VALUE"""),0.0)</f>
        <v>0</v>
      </c>
      <c r="AE960" s="447">
        <f>IFERROR(__xludf.DUMMYFUNCTION("""COMPUTED_VALUE"""),4.0)</f>
        <v>4</v>
      </c>
      <c r="AF960" s="447">
        <f>IFERROR(__xludf.DUMMYFUNCTION("""COMPUTED_VALUE"""),0.0)</f>
        <v>0</v>
      </c>
      <c r="AG960" s="443" t="s">
        <v>129</v>
      </c>
      <c r="AH960" s="443" t="s">
        <v>291</v>
      </c>
      <c r="AI960" s="443"/>
      <c r="AJ960" s="443"/>
      <c r="AK960" s="443"/>
      <c r="AL960" s="443"/>
      <c r="AM960" s="443"/>
      <c r="AN960" s="443"/>
      <c r="AO960" s="443"/>
      <c r="AP960" s="443"/>
      <c r="AQ960" s="443"/>
      <c r="AR960" s="443"/>
      <c r="AS960" s="443"/>
      <c r="AT960" s="443"/>
      <c r="AU960" s="443"/>
      <c r="AV960" s="443"/>
      <c r="AW960" s="443"/>
      <c r="AX960" s="443"/>
      <c r="AY960" s="443"/>
      <c r="AZ960" s="443"/>
      <c r="BA960" s="443"/>
      <c r="BB960" s="443"/>
      <c r="BC960" s="443"/>
      <c r="BD960" s="443"/>
      <c r="BE960" s="443"/>
    </row>
    <row r="961">
      <c r="A961" s="445">
        <f t="shared" si="5"/>
        <v>46251</v>
      </c>
      <c r="B961" s="449">
        <v>628.0</v>
      </c>
      <c r="C961" s="462">
        <v>0.5416666666666666</v>
      </c>
      <c r="D961" s="462">
        <v>0.9993055555555556</v>
      </c>
      <c r="E961" s="436">
        <f t="array" ref="E961">IF(B961=0,"",(J961+K961)/60)</f>
        <v>0</v>
      </c>
      <c r="F961" s="437">
        <f t="shared" si="1"/>
        <v>10.98333333</v>
      </c>
      <c r="G961" s="438">
        <f t="shared" si="9"/>
        <v>57.17754173</v>
      </c>
      <c r="H961" s="438">
        <f t="shared" si="3"/>
        <v>57.17754173</v>
      </c>
      <c r="I961" s="436">
        <f t="shared" si="11"/>
        <v>1.361370041</v>
      </c>
      <c r="J961" s="460">
        <v>0.0</v>
      </c>
      <c r="K961" s="460">
        <v>0.0</v>
      </c>
      <c r="L961" s="443"/>
      <c r="M961" s="447">
        <f>IFERROR(__xludf.DUMMYFUNCTION("""COMPUTED_VALUE"""),57.0)</f>
        <v>57</v>
      </c>
      <c r="N961" s="447">
        <f>IFERROR(__xludf.DUMMYFUNCTION("""COMPUTED_VALUE"""),55.0)</f>
        <v>55</v>
      </c>
      <c r="O961" s="447">
        <f>IFERROR(__xludf.DUMMYFUNCTION("""COMPUTED_VALUE"""),0.0)</f>
        <v>0</v>
      </c>
      <c r="P961" s="447">
        <f>IFERROR(__xludf.DUMMYFUNCTION("""COMPUTED_VALUE"""),0.0)</f>
        <v>0</v>
      </c>
      <c r="Q961" s="447">
        <f>IFERROR(__xludf.DUMMYFUNCTION("""COMPUTED_VALUE"""),0.0)</f>
        <v>0</v>
      </c>
      <c r="R961" s="447">
        <f>IFERROR(__xludf.DUMMYFUNCTION("""COMPUTED_VALUE"""),0.0)</f>
        <v>0</v>
      </c>
      <c r="S961" s="447">
        <f>IFERROR(__xludf.DUMMYFUNCTION("""COMPUTED_VALUE"""),2.0)</f>
        <v>2</v>
      </c>
      <c r="T961" s="447">
        <f>IFERROR(__xludf.DUMMYFUNCTION("""COMPUTED_VALUE"""),0.0)</f>
        <v>0</v>
      </c>
      <c r="U961" s="447">
        <f>IFERROR(__xludf.DUMMYFUNCTION("""COMPUTED_VALUE"""),2.0)</f>
        <v>2</v>
      </c>
      <c r="V961" s="447">
        <f>IFERROR(__xludf.DUMMYFUNCTION("""COMPUTED_VALUE"""),2.0)</f>
        <v>2</v>
      </c>
      <c r="W961" s="447">
        <f>IFERROR(__xludf.DUMMYFUNCTION("""COMPUTED_VALUE"""),0.0)</f>
        <v>0</v>
      </c>
      <c r="X961" s="447">
        <f>IFERROR(__xludf.DUMMYFUNCTION("""COMPUTED_VALUE"""),1.0)</f>
        <v>1</v>
      </c>
      <c r="Y961" s="447">
        <f>IFERROR(__xludf.DUMMYFUNCTION("""COMPUTED_VALUE"""),0.0)</f>
        <v>0</v>
      </c>
      <c r="Z961" s="447">
        <f>IFERROR(__xludf.DUMMYFUNCTION("""COMPUTED_VALUE"""),0.0)</f>
        <v>0</v>
      </c>
      <c r="AA961" s="447">
        <f>IFERROR(__xludf.DUMMYFUNCTION("""COMPUTED_VALUE"""),0.0)</f>
        <v>0</v>
      </c>
      <c r="AB961" s="447">
        <f>IFERROR(__xludf.DUMMYFUNCTION("""COMPUTED_VALUE"""),0.0)</f>
        <v>0</v>
      </c>
      <c r="AC961" s="447">
        <f>IFERROR(__xludf.DUMMYFUNCTION("""COMPUTED_VALUE"""),0.0)</f>
        <v>0</v>
      </c>
      <c r="AD961" s="447">
        <f>IFERROR(__xludf.DUMMYFUNCTION("""COMPUTED_VALUE"""),42.0)</f>
        <v>42</v>
      </c>
      <c r="AE961" s="447">
        <f>IFERROR(__xludf.DUMMYFUNCTION("""COMPUTED_VALUE"""),7.0)</f>
        <v>7</v>
      </c>
      <c r="AF961" s="447">
        <f>IFERROR(__xludf.DUMMYFUNCTION("""COMPUTED_VALUE"""),2.0)</f>
        <v>2</v>
      </c>
      <c r="AG961" s="443" t="s">
        <v>129</v>
      </c>
      <c r="AH961" s="443" t="s">
        <v>291</v>
      </c>
      <c r="AI961" s="443"/>
      <c r="AJ961" s="443"/>
      <c r="AK961" s="443"/>
      <c r="AL961" s="443"/>
      <c r="AM961" s="443"/>
      <c r="AN961" s="443"/>
      <c r="AO961" s="443"/>
      <c r="AP961" s="443"/>
      <c r="AQ961" s="443"/>
      <c r="AR961" s="443"/>
      <c r="AS961" s="443"/>
      <c r="AT961" s="443"/>
      <c r="AU961" s="443"/>
      <c r="AV961" s="443"/>
      <c r="AW961" s="443"/>
      <c r="AX961" s="443"/>
      <c r="AY961" s="443"/>
      <c r="AZ961" s="443"/>
      <c r="BA961" s="443"/>
      <c r="BB961" s="443"/>
      <c r="BC961" s="443"/>
      <c r="BD961" s="443"/>
      <c r="BE961" s="443"/>
    </row>
    <row r="962">
      <c r="A962" s="445">
        <f t="shared" si="5"/>
        <v>46252</v>
      </c>
      <c r="B962" s="449">
        <v>480.0</v>
      </c>
      <c r="C962" s="462">
        <v>0.625</v>
      </c>
      <c r="D962" s="462">
        <v>0.9993055555555556</v>
      </c>
      <c r="E962" s="436">
        <f t="array" ref="E962">IF(B962=0,"",(J962+K962)/60)</f>
        <v>0</v>
      </c>
      <c r="F962" s="437">
        <f t="shared" si="1"/>
        <v>8.983333333</v>
      </c>
      <c r="G962" s="438">
        <f t="shared" si="9"/>
        <v>53.432282</v>
      </c>
      <c r="H962" s="438">
        <f t="shared" si="3"/>
        <v>53.432282</v>
      </c>
      <c r="I962" s="436">
        <f t="shared" si="11"/>
        <v>1.30322639</v>
      </c>
      <c r="J962" s="460">
        <v>0.0</v>
      </c>
      <c r="K962" s="460">
        <v>0.0</v>
      </c>
      <c r="L962" s="443"/>
      <c r="M962" s="447">
        <f>IFERROR(__xludf.DUMMYFUNCTION("""COMPUTED_VALUE"""),57.0)</f>
        <v>57</v>
      </c>
      <c r="N962" s="447">
        <f>IFERROR(__xludf.DUMMYFUNCTION("""COMPUTED_VALUE"""),55.0)</f>
        <v>55</v>
      </c>
      <c r="O962" s="447">
        <f>IFERROR(__xludf.DUMMYFUNCTION("""COMPUTED_VALUE"""),0.0)</f>
        <v>0</v>
      </c>
      <c r="P962" s="447">
        <f>IFERROR(__xludf.DUMMYFUNCTION("""COMPUTED_VALUE"""),0.0)</f>
        <v>0</v>
      </c>
      <c r="Q962" s="447">
        <f>IFERROR(__xludf.DUMMYFUNCTION("""COMPUTED_VALUE"""),0.0)</f>
        <v>0</v>
      </c>
      <c r="R962" s="447">
        <f>IFERROR(__xludf.DUMMYFUNCTION("""COMPUTED_VALUE"""),0.0)</f>
        <v>0</v>
      </c>
      <c r="S962" s="447">
        <f>IFERROR(__xludf.DUMMYFUNCTION("""COMPUTED_VALUE"""),5.0)</f>
        <v>5</v>
      </c>
      <c r="T962" s="447">
        <f>IFERROR(__xludf.DUMMYFUNCTION("""COMPUTED_VALUE"""),1.0)</f>
        <v>1</v>
      </c>
      <c r="U962" s="447">
        <f>IFERROR(__xludf.DUMMYFUNCTION("""COMPUTED_VALUE"""),2.0)</f>
        <v>2</v>
      </c>
      <c r="V962" s="447">
        <f>IFERROR(__xludf.DUMMYFUNCTION("""COMPUTED_VALUE"""),2.0)</f>
        <v>2</v>
      </c>
      <c r="W962" s="447">
        <f>IFERROR(__xludf.DUMMYFUNCTION("""COMPUTED_VALUE"""),0.0)</f>
        <v>0</v>
      </c>
      <c r="X962" s="447">
        <f>IFERROR(__xludf.DUMMYFUNCTION("""COMPUTED_VALUE"""),1.0)</f>
        <v>1</v>
      </c>
      <c r="Y962" s="447">
        <f>IFERROR(__xludf.DUMMYFUNCTION("""COMPUTED_VALUE"""),0.0)</f>
        <v>0</v>
      </c>
      <c r="Z962" s="447">
        <f>IFERROR(__xludf.DUMMYFUNCTION("""COMPUTED_VALUE"""),0.0)</f>
        <v>0</v>
      </c>
      <c r="AA962" s="447">
        <f>IFERROR(__xludf.DUMMYFUNCTION("""COMPUTED_VALUE"""),0.0)</f>
        <v>0</v>
      </c>
      <c r="AB962" s="447">
        <f>IFERROR(__xludf.DUMMYFUNCTION("""COMPUTED_VALUE"""),0.0)</f>
        <v>0</v>
      </c>
      <c r="AC962" s="447">
        <f>IFERROR(__xludf.DUMMYFUNCTION("""COMPUTED_VALUE"""),0.0)</f>
        <v>0</v>
      </c>
      <c r="AD962" s="447">
        <f>IFERROR(__xludf.DUMMYFUNCTION("""COMPUTED_VALUE"""),41.0)</f>
        <v>41</v>
      </c>
      <c r="AE962" s="447">
        <f>IFERROR(__xludf.DUMMYFUNCTION("""COMPUTED_VALUE"""),11.0)</f>
        <v>11</v>
      </c>
      <c r="AF962" s="447">
        <f>IFERROR(__xludf.DUMMYFUNCTION("""COMPUTED_VALUE"""),2.0)</f>
        <v>2</v>
      </c>
      <c r="AG962" s="443" t="s">
        <v>129</v>
      </c>
      <c r="AH962" s="443" t="s">
        <v>291</v>
      </c>
      <c r="AI962" s="443"/>
      <c r="AJ962" s="443"/>
      <c r="AK962" s="443"/>
      <c r="AL962" s="443"/>
      <c r="AM962" s="443"/>
      <c r="AN962" s="443"/>
      <c r="AO962" s="443"/>
      <c r="AP962" s="443"/>
      <c r="AQ962" s="443"/>
      <c r="AR962" s="443"/>
      <c r="AS962" s="443"/>
      <c r="AT962" s="443"/>
      <c r="AU962" s="443"/>
      <c r="AV962" s="443"/>
      <c r="AW962" s="443"/>
      <c r="AX962" s="443"/>
      <c r="AY962" s="443"/>
      <c r="AZ962" s="443"/>
      <c r="BA962" s="443"/>
      <c r="BB962" s="443"/>
      <c r="BC962" s="443"/>
      <c r="BD962" s="443"/>
      <c r="BE962" s="443"/>
    </row>
    <row r="963">
      <c r="A963" s="445">
        <f t="shared" si="5"/>
        <v>46253</v>
      </c>
      <c r="B963" s="449">
        <v>531.0</v>
      </c>
      <c r="C963" s="462">
        <v>0.625</v>
      </c>
      <c r="D963" s="462">
        <v>1.0034722222222223</v>
      </c>
      <c r="E963" s="436">
        <f t="array" ref="E963">IF(B963=0,"",(J963+K963)/60)</f>
        <v>1.233333333</v>
      </c>
      <c r="F963" s="437">
        <f t="shared" si="1"/>
        <v>9.083333333</v>
      </c>
      <c r="G963" s="438">
        <f t="shared" si="9"/>
        <v>58.4587156</v>
      </c>
      <c r="H963" s="438">
        <f t="shared" si="3"/>
        <v>67.6433121</v>
      </c>
      <c r="I963" s="436">
        <f t="shared" si="11"/>
        <v>1.425822332</v>
      </c>
      <c r="J963" s="460">
        <v>35.0</v>
      </c>
      <c r="K963" s="460">
        <v>39.0</v>
      </c>
      <c r="L963" s="443"/>
      <c r="M963" s="447">
        <f>IFERROR(__xludf.DUMMYFUNCTION("""COMPUTED_VALUE"""),57.0)</f>
        <v>57</v>
      </c>
      <c r="N963" s="447">
        <f>IFERROR(__xludf.DUMMYFUNCTION("""COMPUTED_VALUE"""),55.0)</f>
        <v>55</v>
      </c>
      <c r="O963" s="447">
        <f>IFERROR(__xludf.DUMMYFUNCTION("""COMPUTED_VALUE"""),0.0)</f>
        <v>0</v>
      </c>
      <c r="P963" s="447">
        <f>IFERROR(__xludf.DUMMYFUNCTION("""COMPUTED_VALUE"""),0.0)</f>
        <v>0</v>
      </c>
      <c r="Q963" s="447">
        <f>IFERROR(__xludf.DUMMYFUNCTION("""COMPUTED_VALUE"""),0.0)</f>
        <v>0</v>
      </c>
      <c r="R963" s="447">
        <f>IFERROR(__xludf.DUMMYFUNCTION("""COMPUTED_VALUE"""),0.0)</f>
        <v>0</v>
      </c>
      <c r="S963" s="447">
        <f>IFERROR(__xludf.DUMMYFUNCTION("""COMPUTED_VALUE"""),5.0)</f>
        <v>5</v>
      </c>
      <c r="T963" s="447">
        <f>IFERROR(__xludf.DUMMYFUNCTION("""COMPUTED_VALUE"""),0.0)</f>
        <v>0</v>
      </c>
      <c r="U963" s="447">
        <f>IFERROR(__xludf.DUMMYFUNCTION("""COMPUTED_VALUE"""),2.0)</f>
        <v>2</v>
      </c>
      <c r="V963" s="447">
        <f>IFERROR(__xludf.DUMMYFUNCTION("""COMPUTED_VALUE"""),2.0)</f>
        <v>2</v>
      </c>
      <c r="W963" s="447">
        <f>IFERROR(__xludf.DUMMYFUNCTION("""COMPUTED_VALUE"""),0.0)</f>
        <v>0</v>
      </c>
      <c r="X963" s="447">
        <f>IFERROR(__xludf.DUMMYFUNCTION("""COMPUTED_VALUE"""),1.0)</f>
        <v>1</v>
      </c>
      <c r="Y963" s="447">
        <f>IFERROR(__xludf.DUMMYFUNCTION("""COMPUTED_VALUE"""),0.0)</f>
        <v>0</v>
      </c>
      <c r="Z963" s="447">
        <f>IFERROR(__xludf.DUMMYFUNCTION("""COMPUTED_VALUE"""),0.0)</f>
        <v>0</v>
      </c>
      <c r="AA963" s="447">
        <f>IFERROR(__xludf.DUMMYFUNCTION("""COMPUTED_VALUE"""),0.0)</f>
        <v>0</v>
      </c>
      <c r="AB963" s="447">
        <f>IFERROR(__xludf.DUMMYFUNCTION("""COMPUTED_VALUE"""),0.0)</f>
        <v>0</v>
      </c>
      <c r="AC963" s="447">
        <f>IFERROR(__xludf.DUMMYFUNCTION("""COMPUTED_VALUE"""),0.0)</f>
        <v>0</v>
      </c>
      <c r="AD963" s="447">
        <f>IFERROR(__xludf.DUMMYFUNCTION("""COMPUTED_VALUE"""),41.0)</f>
        <v>41</v>
      </c>
      <c r="AE963" s="447">
        <f>IFERROR(__xludf.DUMMYFUNCTION("""COMPUTED_VALUE"""),10.0)</f>
        <v>10</v>
      </c>
      <c r="AF963" s="447">
        <f>IFERROR(__xludf.DUMMYFUNCTION("""COMPUTED_VALUE"""),2.0)</f>
        <v>2</v>
      </c>
      <c r="AG963" s="443" t="s">
        <v>129</v>
      </c>
      <c r="AH963" s="443" t="s">
        <v>291</v>
      </c>
      <c r="AI963" s="443"/>
      <c r="AJ963" s="443"/>
      <c r="AK963" s="443"/>
      <c r="AL963" s="443"/>
      <c r="AM963" s="443"/>
      <c r="AN963" s="443"/>
      <c r="AO963" s="443"/>
      <c r="AP963" s="443"/>
      <c r="AQ963" s="443"/>
      <c r="AR963" s="443"/>
      <c r="AS963" s="443"/>
      <c r="AT963" s="443"/>
      <c r="AU963" s="443"/>
      <c r="AV963" s="443"/>
      <c r="AW963" s="443"/>
      <c r="AX963" s="443"/>
      <c r="AY963" s="443"/>
      <c r="AZ963" s="443"/>
      <c r="BA963" s="443"/>
      <c r="BB963" s="443"/>
      <c r="BC963" s="443"/>
      <c r="BD963" s="443"/>
      <c r="BE963" s="443"/>
    </row>
    <row r="964">
      <c r="A964" s="445">
        <f t="shared" si="5"/>
        <v>46254</v>
      </c>
      <c r="B964" s="449">
        <v>438.0</v>
      </c>
      <c r="C964" s="462">
        <v>0.5833333333333334</v>
      </c>
      <c r="D964" s="462">
        <v>0.9145833333333333</v>
      </c>
      <c r="E964" s="436">
        <f t="array" ref="E964">IF(B964=0,"",(J964+K964)/60)</f>
        <v>0.7</v>
      </c>
      <c r="F964" s="437">
        <f t="shared" si="1"/>
        <v>7.95</v>
      </c>
      <c r="G964" s="438">
        <f t="shared" si="9"/>
        <v>55.09433962</v>
      </c>
      <c r="H964" s="438">
        <f t="shared" si="3"/>
        <v>60.4137931</v>
      </c>
      <c r="I964" s="436">
        <f t="shared" si="11"/>
        <v>1.281263712</v>
      </c>
      <c r="J964" s="460">
        <v>30.0</v>
      </c>
      <c r="K964" s="460">
        <v>12.0</v>
      </c>
      <c r="L964" s="443"/>
      <c r="M964" s="447">
        <f>IFERROR(__xludf.DUMMYFUNCTION("""COMPUTED_VALUE"""),57.0)</f>
        <v>57</v>
      </c>
      <c r="N964" s="447">
        <f>IFERROR(__xludf.DUMMYFUNCTION("""COMPUTED_VALUE"""),54.0)</f>
        <v>54</v>
      </c>
      <c r="O964" s="447">
        <f>IFERROR(__xludf.DUMMYFUNCTION("""COMPUTED_VALUE"""),0.0)</f>
        <v>0</v>
      </c>
      <c r="P964" s="447">
        <f>IFERROR(__xludf.DUMMYFUNCTION("""COMPUTED_VALUE"""),0.0)</f>
        <v>0</v>
      </c>
      <c r="Q964" s="447">
        <f>IFERROR(__xludf.DUMMYFUNCTION("""COMPUTED_VALUE"""),0.0)</f>
        <v>0</v>
      </c>
      <c r="R964" s="447">
        <f>IFERROR(__xludf.DUMMYFUNCTION("""COMPUTED_VALUE"""),0.0)</f>
        <v>0</v>
      </c>
      <c r="S964" s="447">
        <f>IFERROR(__xludf.DUMMYFUNCTION("""COMPUTED_VALUE"""),2.0)</f>
        <v>2</v>
      </c>
      <c r="T964" s="447">
        <f>IFERROR(__xludf.DUMMYFUNCTION("""COMPUTED_VALUE"""),0.0)</f>
        <v>0</v>
      </c>
      <c r="U964" s="447">
        <f>IFERROR(__xludf.DUMMYFUNCTION("""COMPUTED_VALUE"""),3.0)</f>
        <v>3</v>
      </c>
      <c r="V964" s="447">
        <f>IFERROR(__xludf.DUMMYFUNCTION("""COMPUTED_VALUE"""),2.0)</f>
        <v>2</v>
      </c>
      <c r="W964" s="447">
        <f>IFERROR(__xludf.DUMMYFUNCTION("""COMPUTED_VALUE"""),0.0)</f>
        <v>0</v>
      </c>
      <c r="X964" s="447">
        <f>IFERROR(__xludf.DUMMYFUNCTION("""COMPUTED_VALUE"""),1.0)</f>
        <v>1</v>
      </c>
      <c r="Y964" s="447">
        <f>IFERROR(__xludf.DUMMYFUNCTION("""COMPUTED_VALUE"""),0.0)</f>
        <v>0</v>
      </c>
      <c r="Z964" s="447">
        <f>IFERROR(__xludf.DUMMYFUNCTION("""COMPUTED_VALUE"""),1.0)</f>
        <v>1</v>
      </c>
      <c r="AA964" s="447">
        <f>IFERROR(__xludf.DUMMYFUNCTION("""COMPUTED_VALUE"""),0.0)</f>
        <v>0</v>
      </c>
      <c r="AB964" s="447">
        <f>IFERROR(__xludf.DUMMYFUNCTION("""COMPUTED_VALUE"""),0.0)</f>
        <v>0</v>
      </c>
      <c r="AC964" s="447">
        <f>IFERROR(__xludf.DUMMYFUNCTION("""COMPUTED_VALUE"""),0.0)</f>
        <v>0</v>
      </c>
      <c r="AD964" s="447">
        <f>IFERROR(__xludf.DUMMYFUNCTION("""COMPUTED_VALUE"""),43.0)</f>
        <v>43</v>
      </c>
      <c r="AE964" s="447">
        <f>IFERROR(__xludf.DUMMYFUNCTION("""COMPUTED_VALUE"""),9.0)</f>
        <v>9</v>
      </c>
      <c r="AF964" s="447">
        <f>IFERROR(__xludf.DUMMYFUNCTION("""COMPUTED_VALUE"""),3.0)</f>
        <v>3</v>
      </c>
      <c r="AG964" s="443" t="s">
        <v>129</v>
      </c>
      <c r="AH964" s="443" t="s">
        <v>291</v>
      </c>
      <c r="AI964" s="443"/>
      <c r="AJ964" s="443"/>
      <c r="AK964" s="443"/>
      <c r="AL964" s="443"/>
      <c r="AM964" s="443"/>
      <c r="AN964" s="443"/>
      <c r="AO964" s="443"/>
      <c r="AP964" s="443"/>
      <c r="AQ964" s="443"/>
      <c r="AR964" s="443"/>
      <c r="AS964" s="443"/>
      <c r="AT964" s="443"/>
      <c r="AU964" s="443"/>
      <c r="AV964" s="443"/>
      <c r="AW964" s="443"/>
      <c r="AX964" s="443"/>
      <c r="AY964" s="443"/>
      <c r="AZ964" s="443"/>
      <c r="BA964" s="443"/>
      <c r="BB964" s="443"/>
      <c r="BC964" s="443"/>
      <c r="BD964" s="443"/>
      <c r="BE964" s="443"/>
    </row>
    <row r="965">
      <c r="A965" s="445">
        <f t="shared" si="5"/>
        <v>46255</v>
      </c>
      <c r="B965" s="449">
        <v>500.0</v>
      </c>
      <c r="C965" s="462">
        <v>0.625</v>
      </c>
      <c r="D965" s="462">
        <v>0.9993055555555556</v>
      </c>
      <c r="E965" s="436">
        <f t="array" ref="E965">IF(B965=0,"",(J965+K965)/60)</f>
        <v>1.683333333</v>
      </c>
      <c r="F965" s="437">
        <f t="shared" si="1"/>
        <v>8.983333333</v>
      </c>
      <c r="G965" s="438">
        <f t="shared" si="9"/>
        <v>55.65862709</v>
      </c>
      <c r="H965" s="438">
        <f t="shared" si="3"/>
        <v>68.49315068</v>
      </c>
      <c r="I965" s="436">
        <f t="shared" si="11"/>
        <v>1.264968797</v>
      </c>
      <c r="J965" s="460">
        <v>30.0</v>
      </c>
      <c r="K965" s="460">
        <v>71.0</v>
      </c>
      <c r="L965" s="443"/>
      <c r="M965" s="447">
        <f>IFERROR(__xludf.DUMMYFUNCTION("""COMPUTED_VALUE"""),57.0)</f>
        <v>57</v>
      </c>
      <c r="N965" s="447">
        <f>IFERROR(__xludf.DUMMYFUNCTION("""COMPUTED_VALUE"""),54.0)</f>
        <v>54</v>
      </c>
      <c r="O965" s="447">
        <f>IFERROR(__xludf.DUMMYFUNCTION("""COMPUTED_VALUE"""),0.0)</f>
        <v>0</v>
      </c>
      <c r="P965" s="447">
        <f>IFERROR(__xludf.DUMMYFUNCTION("""COMPUTED_VALUE"""),0.0)</f>
        <v>0</v>
      </c>
      <c r="Q965" s="447">
        <f>IFERROR(__xludf.DUMMYFUNCTION("""COMPUTED_VALUE"""),0.0)</f>
        <v>0</v>
      </c>
      <c r="R965" s="447">
        <f>IFERROR(__xludf.DUMMYFUNCTION("""COMPUTED_VALUE"""),0.0)</f>
        <v>0</v>
      </c>
      <c r="S965" s="447">
        <f>IFERROR(__xludf.DUMMYFUNCTION("""COMPUTED_VALUE"""),2.0)</f>
        <v>2</v>
      </c>
      <c r="T965" s="447">
        <f>IFERROR(__xludf.DUMMYFUNCTION("""COMPUTED_VALUE"""),0.0)</f>
        <v>0</v>
      </c>
      <c r="U965" s="447">
        <f>IFERROR(__xludf.DUMMYFUNCTION("""COMPUTED_VALUE"""),3.0)</f>
        <v>3</v>
      </c>
      <c r="V965" s="447">
        <f>IFERROR(__xludf.DUMMYFUNCTION("""COMPUTED_VALUE"""),2.0)</f>
        <v>2</v>
      </c>
      <c r="W965" s="447">
        <f>IFERROR(__xludf.DUMMYFUNCTION("""COMPUTED_VALUE"""),0.0)</f>
        <v>0</v>
      </c>
      <c r="X965" s="447">
        <f>IFERROR(__xludf.DUMMYFUNCTION("""COMPUTED_VALUE"""),1.0)</f>
        <v>1</v>
      </c>
      <c r="Y965" s="447">
        <f>IFERROR(__xludf.DUMMYFUNCTION("""COMPUTED_VALUE"""),0.0)</f>
        <v>0</v>
      </c>
      <c r="Z965" s="447">
        <f>IFERROR(__xludf.DUMMYFUNCTION("""COMPUTED_VALUE"""),0.0)</f>
        <v>0</v>
      </c>
      <c r="AA965" s="447">
        <f>IFERROR(__xludf.DUMMYFUNCTION("""COMPUTED_VALUE"""),0.0)</f>
        <v>0</v>
      </c>
      <c r="AB965" s="447">
        <f>IFERROR(__xludf.DUMMYFUNCTION("""COMPUTED_VALUE"""),0.0)</f>
        <v>0</v>
      </c>
      <c r="AC965" s="447">
        <f>IFERROR(__xludf.DUMMYFUNCTION("""COMPUTED_VALUE"""),0.0)</f>
        <v>0</v>
      </c>
      <c r="AD965" s="447">
        <f>IFERROR(__xludf.DUMMYFUNCTION("""COMPUTED_VALUE"""),44.0)</f>
        <v>44</v>
      </c>
      <c r="AE965" s="447">
        <f>IFERROR(__xludf.DUMMYFUNCTION("""COMPUTED_VALUE"""),8.0)</f>
        <v>8</v>
      </c>
      <c r="AF965" s="447">
        <f>IFERROR(__xludf.DUMMYFUNCTION("""COMPUTED_VALUE"""),3.0)</f>
        <v>3</v>
      </c>
      <c r="AG965" s="443" t="s">
        <v>129</v>
      </c>
      <c r="AH965" s="443" t="s">
        <v>291</v>
      </c>
      <c r="AI965" s="443"/>
      <c r="AJ965" s="443"/>
      <c r="AK965" s="443"/>
      <c r="AL965" s="443"/>
      <c r="AM965" s="443"/>
      <c r="AN965" s="443"/>
      <c r="AO965" s="443"/>
      <c r="AP965" s="443"/>
      <c r="AQ965" s="443"/>
      <c r="AR965" s="443"/>
      <c r="AS965" s="443"/>
      <c r="AT965" s="443"/>
      <c r="AU965" s="443"/>
      <c r="AV965" s="443"/>
      <c r="AW965" s="443"/>
      <c r="AX965" s="443"/>
      <c r="AY965" s="443"/>
      <c r="AZ965" s="443"/>
      <c r="BA965" s="443"/>
      <c r="BB965" s="443"/>
      <c r="BC965" s="443"/>
      <c r="BD965" s="443"/>
      <c r="BE965" s="443"/>
    </row>
    <row r="966">
      <c r="A966" s="445">
        <f t="shared" si="5"/>
        <v>46256</v>
      </c>
      <c r="B966" s="449">
        <v>312.0</v>
      </c>
      <c r="C966" s="462">
        <v>0.5833333333333334</v>
      </c>
      <c r="D966" s="462">
        <v>0.8076388888888889</v>
      </c>
      <c r="E966" s="436">
        <f t="array" ref="E966">IF(B966=0,"",(J966+K966)/60)</f>
        <v>0.1166666667</v>
      </c>
      <c r="F966" s="437">
        <f t="shared" si="1"/>
        <v>5.383333333</v>
      </c>
      <c r="G966" s="438">
        <f t="shared" si="9"/>
        <v>57.95665635</v>
      </c>
      <c r="H966" s="438">
        <f t="shared" si="3"/>
        <v>59.24050633</v>
      </c>
      <c r="I966" s="436">
        <f t="shared" si="11"/>
        <v>1.317196735</v>
      </c>
      <c r="J966" s="460">
        <v>0.0</v>
      </c>
      <c r="K966" s="460">
        <v>7.0</v>
      </c>
      <c r="L966" s="443"/>
      <c r="M966" s="447">
        <f>IFERROR(__xludf.DUMMYFUNCTION("""COMPUTED_VALUE"""),57.0)</f>
        <v>57</v>
      </c>
      <c r="N966" s="447">
        <f>IFERROR(__xludf.DUMMYFUNCTION("""COMPUTED_VALUE"""),54.0)</f>
        <v>54</v>
      </c>
      <c r="O966" s="447">
        <f>IFERROR(__xludf.DUMMYFUNCTION("""COMPUTED_VALUE"""),0.0)</f>
        <v>0</v>
      </c>
      <c r="P966" s="447">
        <f>IFERROR(__xludf.DUMMYFUNCTION("""COMPUTED_VALUE"""),0.0)</f>
        <v>0</v>
      </c>
      <c r="Q966" s="447">
        <f>IFERROR(__xludf.DUMMYFUNCTION("""COMPUTED_VALUE"""),0.0)</f>
        <v>0</v>
      </c>
      <c r="R966" s="447">
        <f>IFERROR(__xludf.DUMMYFUNCTION("""COMPUTED_VALUE"""),0.0)</f>
        <v>0</v>
      </c>
      <c r="S966" s="447">
        <f>IFERROR(__xludf.DUMMYFUNCTION("""COMPUTED_VALUE"""),2.0)</f>
        <v>2</v>
      </c>
      <c r="T966" s="447">
        <f>IFERROR(__xludf.DUMMYFUNCTION("""COMPUTED_VALUE"""),0.0)</f>
        <v>0</v>
      </c>
      <c r="U966" s="447">
        <f>IFERROR(__xludf.DUMMYFUNCTION("""COMPUTED_VALUE"""),3.0)</f>
        <v>3</v>
      </c>
      <c r="V966" s="447">
        <f>IFERROR(__xludf.DUMMYFUNCTION("""COMPUTED_VALUE"""),2.0)</f>
        <v>2</v>
      </c>
      <c r="W966" s="447">
        <f>IFERROR(__xludf.DUMMYFUNCTION("""COMPUTED_VALUE"""),0.0)</f>
        <v>0</v>
      </c>
      <c r="X966" s="447">
        <f>IFERROR(__xludf.DUMMYFUNCTION("""COMPUTED_VALUE"""),1.0)</f>
        <v>1</v>
      </c>
      <c r="Y966" s="447">
        <f>IFERROR(__xludf.DUMMYFUNCTION("""COMPUTED_VALUE"""),0.0)</f>
        <v>0</v>
      </c>
      <c r="Z966" s="447">
        <f>IFERROR(__xludf.DUMMYFUNCTION("""COMPUTED_VALUE"""),0.0)</f>
        <v>0</v>
      </c>
      <c r="AA966" s="447">
        <f>IFERROR(__xludf.DUMMYFUNCTION("""COMPUTED_VALUE"""),0.0)</f>
        <v>0</v>
      </c>
      <c r="AB966" s="447">
        <f>IFERROR(__xludf.DUMMYFUNCTION("""COMPUTED_VALUE"""),0.0)</f>
        <v>0</v>
      </c>
      <c r="AC966" s="447">
        <f>IFERROR(__xludf.DUMMYFUNCTION("""COMPUTED_VALUE"""),0.0)</f>
        <v>0</v>
      </c>
      <c r="AD966" s="447">
        <f>IFERROR(__xludf.DUMMYFUNCTION("""COMPUTED_VALUE"""),44.0)</f>
        <v>44</v>
      </c>
      <c r="AE966" s="447">
        <f>IFERROR(__xludf.DUMMYFUNCTION("""COMPUTED_VALUE"""),8.0)</f>
        <v>8</v>
      </c>
      <c r="AF966" s="447">
        <f>IFERROR(__xludf.DUMMYFUNCTION("""COMPUTED_VALUE"""),3.0)</f>
        <v>3</v>
      </c>
      <c r="AG966" s="443" t="s">
        <v>129</v>
      </c>
      <c r="AH966" s="443" t="s">
        <v>291</v>
      </c>
      <c r="AI966" s="443"/>
      <c r="AJ966" s="443"/>
      <c r="AK966" s="443"/>
      <c r="AL966" s="443"/>
      <c r="AM966" s="443"/>
      <c r="AN966" s="443"/>
      <c r="AO966" s="443"/>
      <c r="AP966" s="443"/>
      <c r="AQ966" s="443"/>
      <c r="AR966" s="443"/>
      <c r="AS966" s="443"/>
      <c r="AT966" s="443"/>
      <c r="AU966" s="443"/>
      <c r="AV966" s="443"/>
      <c r="AW966" s="443"/>
      <c r="AX966" s="443"/>
      <c r="AY966" s="443"/>
      <c r="AZ966" s="443"/>
      <c r="BA966" s="443"/>
      <c r="BB966" s="443"/>
      <c r="BC966" s="443"/>
      <c r="BD966" s="443"/>
      <c r="BE966" s="443"/>
    </row>
    <row r="967">
      <c r="A967" s="445">
        <f t="shared" si="5"/>
        <v>46257</v>
      </c>
      <c r="B967" s="449">
        <v>0.0</v>
      </c>
      <c r="C967" s="443"/>
      <c r="D967" s="462"/>
      <c r="E967" s="436" t="str">
        <f t="array" ref="E967">IF(B967=0,"",(J967+K967)/60)</f>
        <v/>
      </c>
      <c r="F967" s="437" t="str">
        <f t="shared" si="1"/>
        <v/>
      </c>
      <c r="G967" s="438" t="str">
        <f t="shared" si="9"/>
        <v>#DIV/0!</v>
      </c>
      <c r="H967" s="438" t="str">
        <f t="shared" si="3"/>
        <v/>
      </c>
      <c r="I967" s="436" t="str">
        <f t="shared" si="11"/>
        <v/>
      </c>
      <c r="J967" s="464"/>
      <c r="K967" s="464"/>
      <c r="L967" s="443"/>
      <c r="M967" s="447">
        <f>IFERROR(__xludf.DUMMYFUNCTION("""COMPUTED_VALUE"""),57.0)</f>
        <v>57</v>
      </c>
      <c r="N967" s="447">
        <f>IFERROR(__xludf.DUMMYFUNCTION("""COMPUTED_VALUE"""),54.0)</f>
        <v>54</v>
      </c>
      <c r="O967" s="447">
        <f>IFERROR(__xludf.DUMMYFUNCTION("""COMPUTED_VALUE"""),0.0)</f>
        <v>0</v>
      </c>
      <c r="P967" s="447">
        <f>IFERROR(__xludf.DUMMYFUNCTION("""COMPUTED_VALUE"""),0.0)</f>
        <v>0</v>
      </c>
      <c r="Q967" s="447">
        <f>IFERROR(__xludf.DUMMYFUNCTION("""COMPUTED_VALUE"""),0.0)</f>
        <v>0</v>
      </c>
      <c r="R967" s="447">
        <f>IFERROR(__xludf.DUMMYFUNCTION("""COMPUTED_VALUE"""),0.0)</f>
        <v>0</v>
      </c>
      <c r="S967" s="447">
        <f>IFERROR(__xludf.DUMMYFUNCTION("""COMPUTED_VALUE"""),1.0)</f>
        <v>1</v>
      </c>
      <c r="T967" s="447">
        <f>IFERROR(__xludf.DUMMYFUNCTION("""COMPUTED_VALUE"""),0.0)</f>
        <v>0</v>
      </c>
      <c r="U967" s="447">
        <f>IFERROR(__xludf.DUMMYFUNCTION("""COMPUTED_VALUE"""),3.0)</f>
        <v>3</v>
      </c>
      <c r="V967" s="447">
        <f>IFERROR(__xludf.DUMMYFUNCTION("""COMPUTED_VALUE"""),2.0)</f>
        <v>2</v>
      </c>
      <c r="W967" s="447">
        <f>IFERROR(__xludf.DUMMYFUNCTION("""COMPUTED_VALUE"""),0.0)</f>
        <v>0</v>
      </c>
      <c r="X967" s="447">
        <f>IFERROR(__xludf.DUMMYFUNCTION("""COMPUTED_VALUE"""),0.0)</f>
        <v>0</v>
      </c>
      <c r="Y967" s="447">
        <f>IFERROR(__xludf.DUMMYFUNCTION("""COMPUTED_VALUE"""),0.0)</f>
        <v>0</v>
      </c>
      <c r="Z967" s="447">
        <f>IFERROR(__xludf.DUMMYFUNCTION("""COMPUTED_VALUE"""),0.0)</f>
        <v>0</v>
      </c>
      <c r="AA967" s="447">
        <f>IFERROR(__xludf.DUMMYFUNCTION("""COMPUTED_VALUE"""),0.0)</f>
        <v>0</v>
      </c>
      <c r="AB967" s="447">
        <f>IFERROR(__xludf.DUMMYFUNCTION("""COMPUTED_VALUE"""),0.0)</f>
        <v>0</v>
      </c>
      <c r="AC967" s="447">
        <f>IFERROR(__xludf.DUMMYFUNCTION("""COMPUTED_VALUE"""),0.0)</f>
        <v>0</v>
      </c>
      <c r="AD967" s="447">
        <f>IFERROR(__xludf.DUMMYFUNCTION("""COMPUTED_VALUE"""),0.0)</f>
        <v>0</v>
      </c>
      <c r="AE967" s="447">
        <f>IFERROR(__xludf.DUMMYFUNCTION("""COMPUTED_VALUE"""),6.0)</f>
        <v>6</v>
      </c>
      <c r="AF967" s="447">
        <f>IFERROR(__xludf.DUMMYFUNCTION("""COMPUTED_VALUE"""),3.0)</f>
        <v>3</v>
      </c>
      <c r="AG967" s="443" t="s">
        <v>129</v>
      </c>
      <c r="AH967" s="443" t="s">
        <v>291</v>
      </c>
      <c r="AI967" s="443"/>
      <c r="AJ967" s="443"/>
      <c r="AK967" s="443"/>
      <c r="AL967" s="443"/>
      <c r="AM967" s="443"/>
      <c r="AN967" s="443"/>
      <c r="AO967" s="443"/>
      <c r="AP967" s="443"/>
      <c r="AQ967" s="443"/>
      <c r="AR967" s="443"/>
      <c r="AS967" s="443"/>
      <c r="AT967" s="443"/>
      <c r="AU967" s="443"/>
      <c r="AV967" s="443"/>
      <c r="AW967" s="443"/>
      <c r="AX967" s="443"/>
      <c r="AY967" s="443"/>
      <c r="AZ967" s="443"/>
      <c r="BA967" s="443"/>
      <c r="BB967" s="443"/>
      <c r="BC967" s="443"/>
      <c r="BD967" s="443"/>
      <c r="BE967" s="443"/>
    </row>
    <row r="968">
      <c r="A968" s="445">
        <f t="shared" si="5"/>
        <v>46258</v>
      </c>
      <c r="B968" s="449">
        <v>628.0</v>
      </c>
      <c r="C968" s="462">
        <v>0.5416666666666666</v>
      </c>
      <c r="D968" s="462">
        <v>0.9722222222222222</v>
      </c>
      <c r="E968" s="436">
        <f t="array" ref="E968">IF(B968=0,"",(J968+K968)/60)</f>
        <v>1.2</v>
      </c>
      <c r="F968" s="437">
        <f t="shared" si="1"/>
        <v>10.33333333</v>
      </c>
      <c r="G968" s="438">
        <f t="shared" si="9"/>
        <v>60.77419355</v>
      </c>
      <c r="H968" s="438">
        <f t="shared" si="3"/>
        <v>68.75912409</v>
      </c>
      <c r="I968" s="436">
        <f t="shared" si="11"/>
        <v>1.381231672</v>
      </c>
      <c r="J968" s="460">
        <v>60.0</v>
      </c>
      <c r="K968" s="460">
        <v>12.0</v>
      </c>
      <c r="L968" s="443"/>
      <c r="M968" s="447">
        <f>IFERROR(__xludf.DUMMYFUNCTION("""COMPUTED_VALUE"""),57.0)</f>
        <v>57</v>
      </c>
      <c r="N968" s="447">
        <f>IFERROR(__xludf.DUMMYFUNCTION("""COMPUTED_VALUE"""),55.0)</f>
        <v>55</v>
      </c>
      <c r="O968" s="447">
        <f>IFERROR(__xludf.DUMMYFUNCTION("""COMPUTED_VALUE"""),0.0)</f>
        <v>0</v>
      </c>
      <c r="P968" s="447">
        <f>IFERROR(__xludf.DUMMYFUNCTION("""COMPUTED_VALUE"""),0.0)</f>
        <v>0</v>
      </c>
      <c r="Q968" s="447">
        <f>IFERROR(__xludf.DUMMYFUNCTION("""COMPUTED_VALUE"""),0.0)</f>
        <v>0</v>
      </c>
      <c r="R968" s="447">
        <f>IFERROR(__xludf.DUMMYFUNCTION("""COMPUTED_VALUE"""),0.0)</f>
        <v>0</v>
      </c>
      <c r="S968" s="447">
        <f>IFERROR(__xludf.DUMMYFUNCTION("""COMPUTED_VALUE"""),2.0)</f>
        <v>2</v>
      </c>
      <c r="T968" s="447">
        <f>IFERROR(__xludf.DUMMYFUNCTION("""COMPUTED_VALUE"""),0.0)</f>
        <v>0</v>
      </c>
      <c r="U968" s="447">
        <f>IFERROR(__xludf.DUMMYFUNCTION("""COMPUTED_VALUE"""),2.0)</f>
        <v>2</v>
      </c>
      <c r="V968" s="447">
        <f>IFERROR(__xludf.DUMMYFUNCTION("""COMPUTED_VALUE"""),2.0)</f>
        <v>2</v>
      </c>
      <c r="W968" s="447">
        <f>IFERROR(__xludf.DUMMYFUNCTION("""COMPUTED_VALUE"""),0.0)</f>
        <v>0</v>
      </c>
      <c r="X968" s="447">
        <f>IFERROR(__xludf.DUMMYFUNCTION("""COMPUTED_VALUE"""),1.0)</f>
        <v>1</v>
      </c>
      <c r="Y968" s="447">
        <f>IFERROR(__xludf.DUMMYFUNCTION("""COMPUTED_VALUE"""),0.0)</f>
        <v>0</v>
      </c>
      <c r="Z968" s="447">
        <f>IFERROR(__xludf.DUMMYFUNCTION("""COMPUTED_VALUE"""),0.0)</f>
        <v>0</v>
      </c>
      <c r="AA968" s="447">
        <f>IFERROR(__xludf.DUMMYFUNCTION("""COMPUTED_VALUE"""),0.0)</f>
        <v>0</v>
      </c>
      <c r="AB968" s="447">
        <f>IFERROR(__xludf.DUMMYFUNCTION("""COMPUTED_VALUE"""),1.0)</f>
        <v>1</v>
      </c>
      <c r="AC968" s="447">
        <f>IFERROR(__xludf.DUMMYFUNCTION("""COMPUTED_VALUE"""),0.0)</f>
        <v>0</v>
      </c>
      <c r="AD968" s="447">
        <f>IFERROR(__xludf.DUMMYFUNCTION("""COMPUTED_VALUE"""),44.0)</f>
        <v>44</v>
      </c>
      <c r="AE968" s="447">
        <f>IFERROR(__xludf.DUMMYFUNCTION("""COMPUTED_VALUE"""),7.0)</f>
        <v>7</v>
      </c>
      <c r="AF968" s="447">
        <f>IFERROR(__xludf.DUMMYFUNCTION("""COMPUTED_VALUE"""),2.0)</f>
        <v>2</v>
      </c>
      <c r="AG968" s="443" t="s">
        <v>129</v>
      </c>
      <c r="AH968" s="443" t="s">
        <v>291</v>
      </c>
      <c r="AI968" s="443"/>
      <c r="AJ968" s="443"/>
      <c r="AK968" s="443"/>
      <c r="AL968" s="443"/>
      <c r="AM968" s="443"/>
      <c r="AN968" s="443"/>
      <c r="AO968" s="443"/>
      <c r="AP968" s="443"/>
      <c r="AQ968" s="443"/>
      <c r="AR968" s="443"/>
      <c r="AS968" s="443"/>
      <c r="AT968" s="443"/>
      <c r="AU968" s="443"/>
      <c r="AV968" s="443"/>
      <c r="AW968" s="443"/>
      <c r="AX968" s="443"/>
      <c r="AY968" s="443"/>
      <c r="AZ968" s="443"/>
      <c r="BA968" s="443"/>
      <c r="BB968" s="443"/>
      <c r="BC968" s="443"/>
      <c r="BD968" s="443"/>
      <c r="BE968" s="443"/>
    </row>
    <row r="969">
      <c r="A969" s="445">
        <f t="shared" si="5"/>
        <v>46259</v>
      </c>
      <c r="B969" s="449">
        <v>479.0</v>
      </c>
      <c r="C969" s="462">
        <v>0.5833333333333334</v>
      </c>
      <c r="D969" s="462">
        <v>0.9597222222222223</v>
      </c>
      <c r="E969" s="436">
        <f t="array" ref="E969">IF(B969=0,"",(J969+K969)/60)</f>
        <v>1.133333333</v>
      </c>
      <c r="F969" s="437">
        <f t="shared" si="1"/>
        <v>9.033333333</v>
      </c>
      <c r="G969" s="438">
        <f t="shared" si="9"/>
        <v>53.02583026</v>
      </c>
      <c r="H969" s="438">
        <f t="shared" si="3"/>
        <v>60.63291139</v>
      </c>
      <c r="I969" s="436">
        <f t="shared" si="11"/>
        <v>1.15273544</v>
      </c>
      <c r="J969" s="460">
        <v>30.0</v>
      </c>
      <c r="K969" s="460">
        <v>38.0</v>
      </c>
      <c r="L969" s="443"/>
      <c r="M969" s="447">
        <f>IFERROR(__xludf.DUMMYFUNCTION("""COMPUTED_VALUE"""),57.0)</f>
        <v>57</v>
      </c>
      <c r="N969" s="447">
        <f>IFERROR(__xludf.DUMMYFUNCTION("""COMPUTED_VALUE"""),55.0)</f>
        <v>55</v>
      </c>
      <c r="O969" s="447">
        <f>IFERROR(__xludf.DUMMYFUNCTION("""COMPUTED_VALUE"""),0.0)</f>
        <v>0</v>
      </c>
      <c r="P969" s="447">
        <f>IFERROR(__xludf.DUMMYFUNCTION("""COMPUTED_VALUE"""),0.0)</f>
        <v>0</v>
      </c>
      <c r="Q969" s="447">
        <f>IFERROR(__xludf.DUMMYFUNCTION("""COMPUTED_VALUE"""),0.0)</f>
        <v>0</v>
      </c>
      <c r="R969" s="447">
        <f>IFERROR(__xludf.DUMMYFUNCTION("""COMPUTED_VALUE"""),0.0)</f>
        <v>0</v>
      </c>
      <c r="S969" s="447">
        <f>IFERROR(__xludf.DUMMYFUNCTION("""COMPUTED_VALUE"""),1.0)</f>
        <v>1</v>
      </c>
      <c r="T969" s="447">
        <f>IFERROR(__xludf.DUMMYFUNCTION("""COMPUTED_VALUE"""),0.0)</f>
        <v>0</v>
      </c>
      <c r="U969" s="447">
        <f>IFERROR(__xludf.DUMMYFUNCTION("""COMPUTED_VALUE"""),2.0)</f>
        <v>2</v>
      </c>
      <c r="V969" s="447">
        <f>IFERROR(__xludf.DUMMYFUNCTION("""COMPUTED_VALUE"""),2.0)</f>
        <v>2</v>
      </c>
      <c r="W969" s="447">
        <f>IFERROR(__xludf.DUMMYFUNCTION("""COMPUTED_VALUE"""),0.0)</f>
        <v>0</v>
      </c>
      <c r="X969" s="447">
        <f>IFERROR(__xludf.DUMMYFUNCTION("""COMPUTED_VALUE"""),1.0)</f>
        <v>1</v>
      </c>
      <c r="Y969" s="447">
        <f>IFERROR(__xludf.DUMMYFUNCTION("""COMPUTED_VALUE"""),0.0)</f>
        <v>0</v>
      </c>
      <c r="Z969" s="447">
        <f>IFERROR(__xludf.DUMMYFUNCTION("""COMPUTED_VALUE"""),0.0)</f>
        <v>0</v>
      </c>
      <c r="AA969" s="447">
        <f>IFERROR(__xludf.DUMMYFUNCTION("""COMPUTED_VALUE"""),0.0)</f>
        <v>0</v>
      </c>
      <c r="AB969" s="447">
        <f>IFERROR(__xludf.DUMMYFUNCTION("""COMPUTED_VALUE"""),0.0)</f>
        <v>0</v>
      </c>
      <c r="AC969" s="447">
        <f>IFERROR(__xludf.DUMMYFUNCTION("""COMPUTED_VALUE"""),0.0)</f>
        <v>0</v>
      </c>
      <c r="AD969" s="447">
        <f>IFERROR(__xludf.DUMMYFUNCTION("""COMPUTED_VALUE"""),46.0)</f>
        <v>46</v>
      </c>
      <c r="AE969" s="447">
        <f>IFERROR(__xludf.DUMMYFUNCTION("""COMPUTED_VALUE"""),6.0)</f>
        <v>6</v>
      </c>
      <c r="AF969" s="447">
        <f>IFERROR(__xludf.DUMMYFUNCTION("""COMPUTED_VALUE"""),2.0)</f>
        <v>2</v>
      </c>
      <c r="AG969" s="443" t="s">
        <v>129</v>
      </c>
      <c r="AH969" s="443" t="s">
        <v>291</v>
      </c>
      <c r="AI969" s="443"/>
      <c r="AJ969" s="443"/>
      <c r="AK969" s="443"/>
      <c r="AL969" s="443"/>
      <c r="AM969" s="443"/>
      <c r="AN969" s="443"/>
      <c r="AO969" s="443"/>
      <c r="AP969" s="443"/>
      <c r="AQ969" s="443"/>
      <c r="AR969" s="443"/>
      <c r="AS969" s="443"/>
      <c r="AT969" s="443"/>
      <c r="AU969" s="443"/>
      <c r="AV969" s="443"/>
      <c r="AW969" s="443"/>
      <c r="AX969" s="443"/>
      <c r="AY969" s="443"/>
      <c r="AZ969" s="443"/>
      <c r="BA969" s="443"/>
      <c r="BB969" s="443"/>
      <c r="BC969" s="443"/>
      <c r="BD969" s="443"/>
      <c r="BE969" s="443"/>
    </row>
    <row r="970">
      <c r="A970" s="445">
        <f t="shared" si="5"/>
        <v>46260</v>
      </c>
      <c r="B970" s="449">
        <v>393.0</v>
      </c>
      <c r="C970" s="462">
        <v>0.5833333333333334</v>
      </c>
      <c r="D970" s="462">
        <v>0.925</v>
      </c>
      <c r="E970" s="436">
        <f t="array" ref="E970">IF(B970=0,"",(J970+K970)/60)</f>
        <v>2.566666667</v>
      </c>
      <c r="F970" s="437">
        <f t="shared" si="1"/>
        <v>8.2</v>
      </c>
      <c r="G970" s="438">
        <f t="shared" si="9"/>
        <v>47.92682927</v>
      </c>
      <c r="H970" s="438">
        <f t="shared" si="3"/>
        <v>69.76331361</v>
      </c>
      <c r="I970" s="436">
        <f t="shared" si="11"/>
        <v>1.041887593</v>
      </c>
      <c r="J970" s="460">
        <v>30.0</v>
      </c>
      <c r="K970" s="460">
        <v>124.0</v>
      </c>
      <c r="L970" s="443"/>
      <c r="M970" s="447">
        <f>IFERROR(__xludf.DUMMYFUNCTION("""COMPUTED_VALUE"""),57.0)</f>
        <v>57</v>
      </c>
      <c r="N970" s="447">
        <f>IFERROR(__xludf.DUMMYFUNCTION("""COMPUTED_VALUE"""),55.0)</f>
        <v>55</v>
      </c>
      <c r="O970" s="447">
        <f>IFERROR(__xludf.DUMMYFUNCTION("""COMPUTED_VALUE"""),0.0)</f>
        <v>0</v>
      </c>
      <c r="P970" s="447">
        <f>IFERROR(__xludf.DUMMYFUNCTION("""COMPUTED_VALUE"""),0.0)</f>
        <v>0</v>
      </c>
      <c r="Q970" s="447">
        <f>IFERROR(__xludf.DUMMYFUNCTION("""COMPUTED_VALUE"""),0.0)</f>
        <v>0</v>
      </c>
      <c r="R970" s="447">
        <f>IFERROR(__xludf.DUMMYFUNCTION("""COMPUTED_VALUE"""),0.0)</f>
        <v>0</v>
      </c>
      <c r="S970" s="447">
        <f>IFERROR(__xludf.DUMMYFUNCTION("""COMPUTED_VALUE"""),1.0)</f>
        <v>1</v>
      </c>
      <c r="T970" s="447">
        <f>IFERROR(__xludf.DUMMYFUNCTION("""COMPUTED_VALUE"""),0.0)</f>
        <v>0</v>
      </c>
      <c r="U970" s="447">
        <f>IFERROR(__xludf.DUMMYFUNCTION("""COMPUTED_VALUE"""),2.0)</f>
        <v>2</v>
      </c>
      <c r="V970" s="447">
        <f>IFERROR(__xludf.DUMMYFUNCTION("""COMPUTED_VALUE"""),2.0)</f>
        <v>2</v>
      </c>
      <c r="W970" s="447">
        <f>IFERROR(__xludf.DUMMYFUNCTION("""COMPUTED_VALUE"""),0.0)</f>
        <v>0</v>
      </c>
      <c r="X970" s="447">
        <f>IFERROR(__xludf.DUMMYFUNCTION("""COMPUTED_VALUE"""),1.0)</f>
        <v>1</v>
      </c>
      <c r="Y970" s="447">
        <f>IFERROR(__xludf.DUMMYFUNCTION("""COMPUTED_VALUE"""),0.0)</f>
        <v>0</v>
      </c>
      <c r="Z970" s="447">
        <f>IFERROR(__xludf.DUMMYFUNCTION("""COMPUTED_VALUE"""),0.0)</f>
        <v>0</v>
      </c>
      <c r="AA970" s="447">
        <f>IFERROR(__xludf.DUMMYFUNCTION("""COMPUTED_VALUE"""),0.0)</f>
        <v>0</v>
      </c>
      <c r="AB970" s="447">
        <f>IFERROR(__xludf.DUMMYFUNCTION("""COMPUTED_VALUE"""),0.0)</f>
        <v>0</v>
      </c>
      <c r="AC970" s="447">
        <f>IFERROR(__xludf.DUMMYFUNCTION("""COMPUTED_VALUE"""),0.0)</f>
        <v>0</v>
      </c>
      <c r="AD970" s="447">
        <f>IFERROR(__xludf.DUMMYFUNCTION("""COMPUTED_VALUE"""),46.0)</f>
        <v>46</v>
      </c>
      <c r="AE970" s="447">
        <f>IFERROR(__xludf.DUMMYFUNCTION("""COMPUTED_VALUE"""),6.0)</f>
        <v>6</v>
      </c>
      <c r="AF970" s="447">
        <f>IFERROR(__xludf.DUMMYFUNCTION("""COMPUTED_VALUE"""),2.0)</f>
        <v>2</v>
      </c>
      <c r="AG970" s="443" t="s">
        <v>129</v>
      </c>
      <c r="AH970" s="443" t="s">
        <v>291</v>
      </c>
      <c r="AI970" s="443"/>
      <c r="AJ970" s="443"/>
      <c r="AK970" s="443"/>
      <c r="AL970" s="443"/>
      <c r="AM970" s="443"/>
      <c r="AN970" s="443"/>
      <c r="AO970" s="443"/>
      <c r="AP970" s="443"/>
      <c r="AQ970" s="443"/>
      <c r="AR970" s="443"/>
      <c r="AS970" s="443"/>
      <c r="AT970" s="443"/>
      <c r="AU970" s="443"/>
      <c r="AV970" s="443"/>
      <c r="AW970" s="443"/>
      <c r="AX970" s="443"/>
      <c r="AY970" s="443"/>
      <c r="AZ970" s="443"/>
      <c r="BA970" s="443"/>
      <c r="BB970" s="443"/>
      <c r="BC970" s="443"/>
      <c r="BD970" s="443"/>
      <c r="BE970" s="443"/>
    </row>
    <row r="971">
      <c r="A971" s="445">
        <f t="shared" si="5"/>
        <v>46261</v>
      </c>
      <c r="B971" s="449">
        <v>440.0</v>
      </c>
      <c r="C971" s="462">
        <v>0.6319444444444444</v>
      </c>
      <c r="D971" s="462">
        <v>0.9395833333333333</v>
      </c>
      <c r="E971" s="436">
        <f t="array" ref="E971">IF(B971=0,"",(J971+K971)/60)</f>
        <v>0.8333333333</v>
      </c>
      <c r="F971" s="437">
        <f t="shared" si="1"/>
        <v>7.383333333</v>
      </c>
      <c r="G971" s="438">
        <f t="shared" si="9"/>
        <v>59.59367946</v>
      </c>
      <c r="H971" s="438">
        <f t="shared" si="3"/>
        <v>67.17557252</v>
      </c>
      <c r="I971" s="436">
        <f t="shared" si="11"/>
        <v>1.241534989</v>
      </c>
      <c r="J971" s="460">
        <v>30.0</v>
      </c>
      <c r="K971" s="460">
        <v>20.0</v>
      </c>
      <c r="L971" s="443"/>
      <c r="M971" s="447">
        <f>IFERROR(__xludf.DUMMYFUNCTION("""COMPUTED_VALUE"""),57.0)</f>
        <v>57</v>
      </c>
      <c r="N971" s="447">
        <f>IFERROR(__xludf.DUMMYFUNCTION("""COMPUTED_VALUE"""),55.0)</f>
        <v>55</v>
      </c>
      <c r="O971" s="447">
        <f>IFERROR(__xludf.DUMMYFUNCTION("""COMPUTED_VALUE"""),0.0)</f>
        <v>0</v>
      </c>
      <c r="P971" s="447">
        <f>IFERROR(__xludf.DUMMYFUNCTION("""COMPUTED_VALUE"""),0.0)</f>
        <v>0</v>
      </c>
      <c r="Q971" s="447">
        <f>IFERROR(__xludf.DUMMYFUNCTION("""COMPUTED_VALUE"""),0.0)</f>
        <v>0</v>
      </c>
      <c r="R971" s="447">
        <f>IFERROR(__xludf.DUMMYFUNCTION("""COMPUTED_VALUE"""),0.0)</f>
        <v>0</v>
      </c>
      <c r="S971" s="447">
        <f>IFERROR(__xludf.DUMMYFUNCTION("""COMPUTED_VALUE"""),1.0)</f>
        <v>1</v>
      </c>
      <c r="T971" s="447">
        <f>IFERROR(__xludf.DUMMYFUNCTION("""COMPUTED_VALUE"""),0.0)</f>
        <v>0</v>
      </c>
      <c r="U971" s="447">
        <f>IFERROR(__xludf.DUMMYFUNCTION("""COMPUTED_VALUE"""),2.0)</f>
        <v>2</v>
      </c>
      <c r="V971" s="447">
        <f>IFERROR(__xludf.DUMMYFUNCTION("""COMPUTED_VALUE"""),0.0)</f>
        <v>0</v>
      </c>
      <c r="W971" s="447">
        <f>IFERROR(__xludf.DUMMYFUNCTION("""COMPUTED_VALUE"""),0.0)</f>
        <v>0</v>
      </c>
      <c r="X971" s="447">
        <f>IFERROR(__xludf.DUMMYFUNCTION("""COMPUTED_VALUE"""),1.0)</f>
        <v>1</v>
      </c>
      <c r="Y971" s="447">
        <f>IFERROR(__xludf.DUMMYFUNCTION("""COMPUTED_VALUE"""),0.0)</f>
        <v>0</v>
      </c>
      <c r="Z971" s="447">
        <f>IFERROR(__xludf.DUMMYFUNCTION("""COMPUTED_VALUE"""),0.0)</f>
        <v>0</v>
      </c>
      <c r="AA971" s="447">
        <f>IFERROR(__xludf.DUMMYFUNCTION("""COMPUTED_VALUE"""),0.0)</f>
        <v>0</v>
      </c>
      <c r="AB971" s="447">
        <f>IFERROR(__xludf.DUMMYFUNCTION("""COMPUTED_VALUE"""),0.0)</f>
        <v>0</v>
      </c>
      <c r="AC971" s="447">
        <f>IFERROR(__xludf.DUMMYFUNCTION("""COMPUTED_VALUE"""),0.0)</f>
        <v>0</v>
      </c>
      <c r="AD971" s="447">
        <f>IFERROR(__xludf.DUMMYFUNCTION("""COMPUTED_VALUE"""),48.0)</f>
        <v>48</v>
      </c>
      <c r="AE971" s="447">
        <f>IFERROR(__xludf.DUMMYFUNCTION("""COMPUTED_VALUE"""),4.0)</f>
        <v>4</v>
      </c>
      <c r="AF971" s="447">
        <f>IFERROR(__xludf.DUMMYFUNCTION("""COMPUTED_VALUE"""),2.0)</f>
        <v>2</v>
      </c>
      <c r="AG971" s="443" t="s">
        <v>129</v>
      </c>
      <c r="AH971" s="443" t="s">
        <v>291</v>
      </c>
      <c r="AI971" s="443"/>
      <c r="AJ971" s="443"/>
      <c r="AK971" s="443"/>
      <c r="AL971" s="443"/>
      <c r="AM971" s="443"/>
      <c r="AN971" s="443"/>
      <c r="AO971" s="443"/>
      <c r="AP971" s="443"/>
      <c r="AQ971" s="443"/>
      <c r="AR971" s="443"/>
      <c r="AS971" s="443"/>
      <c r="AT971" s="443"/>
      <c r="AU971" s="443"/>
      <c r="AV971" s="443"/>
      <c r="AW971" s="443"/>
      <c r="AX971" s="443"/>
      <c r="AY971" s="443"/>
      <c r="AZ971" s="443"/>
      <c r="BA971" s="443"/>
      <c r="BB971" s="443"/>
      <c r="BC971" s="443"/>
      <c r="BD971" s="443"/>
      <c r="BE971" s="443"/>
    </row>
    <row r="972">
      <c r="A972" s="445" t="str">
        <f t="shared" si="5"/>
        <v/>
      </c>
      <c r="B972" s="443"/>
      <c r="C972" s="443"/>
      <c r="D972" s="462"/>
      <c r="E972" s="436" t="str">
        <f t="array" ref="E972">IF(B972=0,"",(J972+K972)/60)</f>
        <v/>
      </c>
      <c r="F972" s="437" t="str">
        <f t="shared" si="1"/>
        <v/>
      </c>
      <c r="G972" s="438" t="str">
        <f t="shared" si="9"/>
        <v/>
      </c>
      <c r="H972" s="438" t="str">
        <f t="shared" si="3"/>
        <v/>
      </c>
      <c r="I972" s="436" t="str">
        <f t="shared" si="11"/>
        <v/>
      </c>
      <c r="J972" s="464"/>
      <c r="K972" s="464"/>
      <c r="L972" s="443"/>
      <c r="M972" s="447">
        <f>IFERROR(__xludf.DUMMYFUNCTION("""COMPUTED_VALUE"""),57.0)</f>
        <v>57</v>
      </c>
      <c r="N972" s="447">
        <f>IFERROR(__xludf.DUMMYFUNCTION("""COMPUTED_VALUE"""),57.0)</f>
        <v>57</v>
      </c>
      <c r="O972" s="447">
        <f>IFERROR(__xludf.DUMMYFUNCTION("""COMPUTED_VALUE"""),0.0)</f>
        <v>0</v>
      </c>
      <c r="P972" s="447">
        <f>IFERROR(__xludf.DUMMYFUNCTION("""COMPUTED_VALUE"""),0.0)</f>
        <v>0</v>
      </c>
      <c r="Q972" s="447">
        <f>IFERROR(__xludf.DUMMYFUNCTION("""COMPUTED_VALUE"""),0.0)</f>
        <v>0</v>
      </c>
      <c r="R972" s="447">
        <f>IFERROR(__xludf.DUMMYFUNCTION("""COMPUTED_VALUE"""),0.0)</f>
        <v>0</v>
      </c>
      <c r="S972" s="447">
        <f>IFERROR(__xludf.DUMMYFUNCTION("""COMPUTED_VALUE"""),0.0)</f>
        <v>0</v>
      </c>
      <c r="T972" s="447">
        <f>IFERROR(__xludf.DUMMYFUNCTION("""COMPUTED_VALUE"""),0.0)</f>
        <v>0</v>
      </c>
      <c r="U972" s="447">
        <f>IFERROR(__xludf.DUMMYFUNCTION("""COMPUTED_VALUE"""),0.0)</f>
        <v>0</v>
      </c>
      <c r="V972" s="447">
        <f>IFERROR(__xludf.DUMMYFUNCTION("""COMPUTED_VALUE"""),0.0)</f>
        <v>0</v>
      </c>
      <c r="W972" s="447">
        <f>IFERROR(__xludf.DUMMYFUNCTION("""COMPUTED_VALUE"""),0.0)</f>
        <v>0</v>
      </c>
      <c r="X972" s="447">
        <f>IFERROR(__xludf.DUMMYFUNCTION("""COMPUTED_VALUE"""),0.0)</f>
        <v>0</v>
      </c>
      <c r="Y972" s="447">
        <f>IFERROR(__xludf.DUMMYFUNCTION("""COMPUTED_VALUE"""),0.0)</f>
        <v>0</v>
      </c>
      <c r="Z972" s="447">
        <f>IFERROR(__xludf.DUMMYFUNCTION("""COMPUTED_VALUE"""),0.0)</f>
        <v>0</v>
      </c>
      <c r="AA972" s="447">
        <f>IFERROR(__xludf.DUMMYFUNCTION("""COMPUTED_VALUE"""),0.0)</f>
        <v>0</v>
      </c>
      <c r="AB972" s="447">
        <f>IFERROR(__xludf.DUMMYFUNCTION("""COMPUTED_VALUE"""),0.0)</f>
        <v>0</v>
      </c>
      <c r="AC972" s="447">
        <f>IFERROR(__xludf.DUMMYFUNCTION("""COMPUTED_VALUE"""),0.0)</f>
        <v>0</v>
      </c>
      <c r="AD972" s="447">
        <f>IFERROR(__xludf.DUMMYFUNCTION("""COMPUTED_VALUE"""),0.0)</f>
        <v>0</v>
      </c>
      <c r="AE972" s="447">
        <f>IFERROR(__xludf.DUMMYFUNCTION("""COMPUTED_VALUE"""),0.0)</f>
        <v>0</v>
      </c>
      <c r="AF972" s="447">
        <f>IFERROR(__xludf.DUMMYFUNCTION("""COMPUTED_VALUE"""),0.0)</f>
        <v>0</v>
      </c>
      <c r="AG972" s="443" t="s">
        <v>289</v>
      </c>
      <c r="AH972" s="443" t="s">
        <v>289</v>
      </c>
      <c r="AI972" s="443"/>
      <c r="AJ972" s="443"/>
      <c r="AK972" s="443"/>
      <c r="AL972" s="443"/>
      <c r="AM972" s="443"/>
      <c r="AN972" s="443"/>
      <c r="AO972" s="443"/>
      <c r="AP972" s="443"/>
      <c r="AQ972" s="443"/>
      <c r="AR972" s="443"/>
      <c r="AS972" s="443"/>
      <c r="AT972" s="443"/>
      <c r="AU972" s="443"/>
      <c r="AV972" s="443"/>
      <c r="AW972" s="443"/>
      <c r="AX972" s="443"/>
      <c r="AY972" s="443"/>
      <c r="AZ972" s="443"/>
      <c r="BA972" s="443"/>
      <c r="BB972" s="443"/>
      <c r="BC972" s="443"/>
      <c r="BD972" s="443"/>
      <c r="BE972" s="443"/>
    </row>
    <row r="973">
      <c r="A973" s="445" t="str">
        <f t="shared" si="5"/>
        <v/>
      </c>
      <c r="B973" s="443"/>
      <c r="C973" s="443"/>
      <c r="D973" s="462"/>
      <c r="E973" s="436" t="str">
        <f t="array" ref="E973">IF(B973=0,"",(J973+K973)/60)</f>
        <v/>
      </c>
      <c r="F973" s="437" t="str">
        <f t="shared" si="1"/>
        <v/>
      </c>
      <c r="G973" s="438" t="str">
        <f t="shared" si="9"/>
        <v/>
      </c>
      <c r="H973" s="438" t="str">
        <f t="shared" si="3"/>
        <v/>
      </c>
      <c r="I973" s="436" t="str">
        <f t="shared" si="11"/>
        <v/>
      </c>
      <c r="J973" s="464"/>
      <c r="K973" s="464"/>
      <c r="L973" s="443"/>
      <c r="M973" s="447">
        <f>IFERROR(__xludf.DUMMYFUNCTION("""COMPUTED_VALUE"""),57.0)</f>
        <v>57</v>
      </c>
      <c r="N973" s="447">
        <f>IFERROR(__xludf.DUMMYFUNCTION("""COMPUTED_VALUE"""),57.0)</f>
        <v>57</v>
      </c>
      <c r="O973" s="447">
        <f>IFERROR(__xludf.DUMMYFUNCTION("""COMPUTED_VALUE"""),0.0)</f>
        <v>0</v>
      </c>
      <c r="P973" s="447">
        <f>IFERROR(__xludf.DUMMYFUNCTION("""COMPUTED_VALUE"""),0.0)</f>
        <v>0</v>
      </c>
      <c r="Q973" s="447">
        <f>IFERROR(__xludf.DUMMYFUNCTION("""COMPUTED_VALUE"""),0.0)</f>
        <v>0</v>
      </c>
      <c r="R973" s="447">
        <f>IFERROR(__xludf.DUMMYFUNCTION("""COMPUTED_VALUE"""),0.0)</f>
        <v>0</v>
      </c>
      <c r="S973" s="447">
        <f>IFERROR(__xludf.DUMMYFUNCTION("""COMPUTED_VALUE"""),0.0)</f>
        <v>0</v>
      </c>
      <c r="T973" s="447">
        <f>IFERROR(__xludf.DUMMYFUNCTION("""COMPUTED_VALUE"""),0.0)</f>
        <v>0</v>
      </c>
      <c r="U973" s="447">
        <f>IFERROR(__xludf.DUMMYFUNCTION("""COMPUTED_VALUE"""),0.0)</f>
        <v>0</v>
      </c>
      <c r="V973" s="447">
        <f>IFERROR(__xludf.DUMMYFUNCTION("""COMPUTED_VALUE"""),0.0)</f>
        <v>0</v>
      </c>
      <c r="W973" s="447">
        <f>IFERROR(__xludf.DUMMYFUNCTION("""COMPUTED_VALUE"""),0.0)</f>
        <v>0</v>
      </c>
      <c r="X973" s="447">
        <f>IFERROR(__xludf.DUMMYFUNCTION("""COMPUTED_VALUE"""),0.0)</f>
        <v>0</v>
      </c>
      <c r="Y973" s="447">
        <f>IFERROR(__xludf.DUMMYFUNCTION("""COMPUTED_VALUE"""),0.0)</f>
        <v>0</v>
      </c>
      <c r="Z973" s="447">
        <f>IFERROR(__xludf.DUMMYFUNCTION("""COMPUTED_VALUE"""),0.0)</f>
        <v>0</v>
      </c>
      <c r="AA973" s="447">
        <f>IFERROR(__xludf.DUMMYFUNCTION("""COMPUTED_VALUE"""),0.0)</f>
        <v>0</v>
      </c>
      <c r="AB973" s="447">
        <f>IFERROR(__xludf.DUMMYFUNCTION("""COMPUTED_VALUE"""),0.0)</f>
        <v>0</v>
      </c>
      <c r="AC973" s="447">
        <f>IFERROR(__xludf.DUMMYFUNCTION("""COMPUTED_VALUE"""),0.0)</f>
        <v>0</v>
      </c>
      <c r="AD973" s="447">
        <f>IFERROR(__xludf.DUMMYFUNCTION("""COMPUTED_VALUE"""),0.0)</f>
        <v>0</v>
      </c>
      <c r="AE973" s="447">
        <f>IFERROR(__xludf.DUMMYFUNCTION("""COMPUTED_VALUE"""),0.0)</f>
        <v>0</v>
      </c>
      <c r="AF973" s="447">
        <f>IFERROR(__xludf.DUMMYFUNCTION("""COMPUTED_VALUE"""),0.0)</f>
        <v>0</v>
      </c>
      <c r="AG973" s="443" t="s">
        <v>289</v>
      </c>
      <c r="AH973" s="443" t="s">
        <v>289</v>
      </c>
      <c r="AI973" s="443"/>
      <c r="AJ973" s="443"/>
      <c r="AK973" s="443"/>
      <c r="AL973" s="443"/>
      <c r="AM973" s="443"/>
      <c r="AN973" s="443"/>
      <c r="AO973" s="443"/>
      <c r="AP973" s="443"/>
      <c r="AQ973" s="443"/>
      <c r="AR973" s="443"/>
      <c r="AS973" s="443"/>
      <c r="AT973" s="443"/>
      <c r="AU973" s="443"/>
      <c r="AV973" s="443"/>
      <c r="AW973" s="443"/>
      <c r="AX973" s="443"/>
      <c r="AY973" s="443"/>
      <c r="AZ973" s="443"/>
      <c r="BA973" s="443"/>
      <c r="BB973" s="443"/>
      <c r="BC973" s="443"/>
      <c r="BD973" s="443"/>
      <c r="BE973" s="443"/>
    </row>
    <row r="974">
      <c r="A974" s="445" t="str">
        <f t="shared" si="5"/>
        <v/>
      </c>
      <c r="B974" s="443"/>
      <c r="C974" s="443"/>
      <c r="D974" s="462"/>
      <c r="E974" s="436" t="str">
        <f t="array" ref="E974">IF(B974=0,"",(J974+K974)/60)</f>
        <v/>
      </c>
      <c r="F974" s="437" t="str">
        <f t="shared" si="1"/>
        <v/>
      </c>
      <c r="G974" s="438" t="str">
        <f t="shared" si="9"/>
        <v/>
      </c>
      <c r="H974" s="438" t="str">
        <f t="shared" si="3"/>
        <v/>
      </c>
      <c r="I974" s="436" t="str">
        <f t="shared" si="11"/>
        <v/>
      </c>
      <c r="J974" s="464"/>
      <c r="K974" s="464"/>
      <c r="L974" s="443"/>
      <c r="M974" s="447">
        <f>IFERROR(__xludf.DUMMYFUNCTION("""COMPUTED_VALUE"""),57.0)</f>
        <v>57</v>
      </c>
      <c r="N974" s="447">
        <f>IFERROR(__xludf.DUMMYFUNCTION("""COMPUTED_VALUE"""),57.0)</f>
        <v>57</v>
      </c>
      <c r="O974" s="447">
        <f>IFERROR(__xludf.DUMMYFUNCTION("""COMPUTED_VALUE"""),0.0)</f>
        <v>0</v>
      </c>
      <c r="P974" s="447">
        <f>IFERROR(__xludf.DUMMYFUNCTION("""COMPUTED_VALUE"""),0.0)</f>
        <v>0</v>
      </c>
      <c r="Q974" s="447">
        <f>IFERROR(__xludf.DUMMYFUNCTION("""COMPUTED_VALUE"""),0.0)</f>
        <v>0</v>
      </c>
      <c r="R974" s="447">
        <f>IFERROR(__xludf.DUMMYFUNCTION("""COMPUTED_VALUE"""),0.0)</f>
        <v>0</v>
      </c>
      <c r="S974" s="447">
        <f>IFERROR(__xludf.DUMMYFUNCTION("""COMPUTED_VALUE"""),0.0)</f>
        <v>0</v>
      </c>
      <c r="T974" s="447">
        <f>IFERROR(__xludf.DUMMYFUNCTION("""COMPUTED_VALUE"""),0.0)</f>
        <v>0</v>
      </c>
      <c r="U974" s="447">
        <f>IFERROR(__xludf.DUMMYFUNCTION("""COMPUTED_VALUE"""),0.0)</f>
        <v>0</v>
      </c>
      <c r="V974" s="447">
        <f>IFERROR(__xludf.DUMMYFUNCTION("""COMPUTED_VALUE"""),0.0)</f>
        <v>0</v>
      </c>
      <c r="W974" s="447">
        <f>IFERROR(__xludf.DUMMYFUNCTION("""COMPUTED_VALUE"""),0.0)</f>
        <v>0</v>
      </c>
      <c r="X974" s="447">
        <f>IFERROR(__xludf.DUMMYFUNCTION("""COMPUTED_VALUE"""),0.0)</f>
        <v>0</v>
      </c>
      <c r="Y974" s="447">
        <f>IFERROR(__xludf.DUMMYFUNCTION("""COMPUTED_VALUE"""),0.0)</f>
        <v>0</v>
      </c>
      <c r="Z974" s="447">
        <f>IFERROR(__xludf.DUMMYFUNCTION("""COMPUTED_VALUE"""),0.0)</f>
        <v>0</v>
      </c>
      <c r="AA974" s="447">
        <f>IFERROR(__xludf.DUMMYFUNCTION("""COMPUTED_VALUE"""),0.0)</f>
        <v>0</v>
      </c>
      <c r="AB974" s="447">
        <f>IFERROR(__xludf.DUMMYFUNCTION("""COMPUTED_VALUE"""),0.0)</f>
        <v>0</v>
      </c>
      <c r="AC974" s="447">
        <f>IFERROR(__xludf.DUMMYFUNCTION("""COMPUTED_VALUE"""),0.0)</f>
        <v>0</v>
      </c>
      <c r="AD974" s="447">
        <f>IFERROR(__xludf.DUMMYFUNCTION("""COMPUTED_VALUE"""),0.0)</f>
        <v>0</v>
      </c>
      <c r="AE974" s="447">
        <f>IFERROR(__xludf.DUMMYFUNCTION("""COMPUTED_VALUE"""),0.0)</f>
        <v>0</v>
      </c>
      <c r="AF974" s="447">
        <f>IFERROR(__xludf.DUMMYFUNCTION("""COMPUTED_VALUE"""),0.0)</f>
        <v>0</v>
      </c>
      <c r="AG974" s="443" t="s">
        <v>289</v>
      </c>
      <c r="AH974" s="443" t="s">
        <v>289</v>
      </c>
      <c r="AI974" s="443"/>
      <c r="AJ974" s="443"/>
      <c r="AK974" s="443"/>
      <c r="AL974" s="443"/>
      <c r="AM974" s="443"/>
      <c r="AN974" s="443"/>
      <c r="AO974" s="443"/>
      <c r="AP974" s="443"/>
      <c r="AQ974" s="443"/>
      <c r="AR974" s="443"/>
      <c r="AS974" s="443"/>
      <c r="AT974" s="443"/>
      <c r="AU974" s="443"/>
      <c r="AV974" s="443"/>
      <c r="AW974" s="443"/>
      <c r="AX974" s="443"/>
      <c r="AY974" s="443"/>
      <c r="AZ974" s="443"/>
      <c r="BA974" s="443"/>
      <c r="BB974" s="443"/>
      <c r="BC974" s="443"/>
      <c r="BD974" s="443"/>
      <c r="BE974" s="443"/>
    </row>
    <row r="975">
      <c r="A975" s="445" t="str">
        <f t="shared" si="5"/>
        <v/>
      </c>
      <c r="B975" s="443"/>
      <c r="C975" s="443"/>
      <c r="D975" s="462"/>
      <c r="E975" s="436" t="str">
        <f t="array" ref="E975">IF(B975=0,"",(J975+K975)/60)</f>
        <v/>
      </c>
      <c r="F975" s="437" t="str">
        <f t="shared" si="1"/>
        <v/>
      </c>
      <c r="G975" s="438" t="str">
        <f t="shared" si="9"/>
        <v/>
      </c>
      <c r="H975" s="438" t="str">
        <f t="shared" si="3"/>
        <v/>
      </c>
      <c r="I975" s="436" t="str">
        <f t="shared" si="11"/>
        <v/>
      </c>
      <c r="J975" s="464"/>
      <c r="K975" s="464"/>
      <c r="L975" s="443"/>
      <c r="M975" s="447">
        <f>IFERROR(__xludf.DUMMYFUNCTION("""COMPUTED_VALUE"""),57.0)</f>
        <v>57</v>
      </c>
      <c r="N975" s="447">
        <f>IFERROR(__xludf.DUMMYFUNCTION("""COMPUTED_VALUE"""),57.0)</f>
        <v>57</v>
      </c>
      <c r="O975" s="447">
        <f>IFERROR(__xludf.DUMMYFUNCTION("""COMPUTED_VALUE"""),0.0)</f>
        <v>0</v>
      </c>
      <c r="P975" s="447">
        <f>IFERROR(__xludf.DUMMYFUNCTION("""COMPUTED_VALUE"""),0.0)</f>
        <v>0</v>
      </c>
      <c r="Q975" s="447">
        <f>IFERROR(__xludf.DUMMYFUNCTION("""COMPUTED_VALUE"""),0.0)</f>
        <v>0</v>
      </c>
      <c r="R975" s="447">
        <f>IFERROR(__xludf.DUMMYFUNCTION("""COMPUTED_VALUE"""),0.0)</f>
        <v>0</v>
      </c>
      <c r="S975" s="447">
        <f>IFERROR(__xludf.DUMMYFUNCTION("""COMPUTED_VALUE"""),0.0)</f>
        <v>0</v>
      </c>
      <c r="T975" s="447">
        <f>IFERROR(__xludf.DUMMYFUNCTION("""COMPUTED_VALUE"""),0.0)</f>
        <v>0</v>
      </c>
      <c r="U975" s="447">
        <f>IFERROR(__xludf.DUMMYFUNCTION("""COMPUTED_VALUE"""),0.0)</f>
        <v>0</v>
      </c>
      <c r="V975" s="447">
        <f>IFERROR(__xludf.DUMMYFUNCTION("""COMPUTED_VALUE"""),0.0)</f>
        <v>0</v>
      </c>
      <c r="W975" s="447">
        <f>IFERROR(__xludf.DUMMYFUNCTION("""COMPUTED_VALUE"""),0.0)</f>
        <v>0</v>
      </c>
      <c r="X975" s="447">
        <f>IFERROR(__xludf.DUMMYFUNCTION("""COMPUTED_VALUE"""),0.0)</f>
        <v>0</v>
      </c>
      <c r="Y975" s="447">
        <f>IFERROR(__xludf.DUMMYFUNCTION("""COMPUTED_VALUE"""),0.0)</f>
        <v>0</v>
      </c>
      <c r="Z975" s="447">
        <f>IFERROR(__xludf.DUMMYFUNCTION("""COMPUTED_VALUE"""),0.0)</f>
        <v>0</v>
      </c>
      <c r="AA975" s="447">
        <f>IFERROR(__xludf.DUMMYFUNCTION("""COMPUTED_VALUE"""),0.0)</f>
        <v>0</v>
      </c>
      <c r="AB975" s="447">
        <f>IFERROR(__xludf.DUMMYFUNCTION("""COMPUTED_VALUE"""),0.0)</f>
        <v>0</v>
      </c>
      <c r="AC975" s="447">
        <f>IFERROR(__xludf.DUMMYFUNCTION("""COMPUTED_VALUE"""),0.0)</f>
        <v>0</v>
      </c>
      <c r="AD975" s="447">
        <f>IFERROR(__xludf.DUMMYFUNCTION("""COMPUTED_VALUE"""),0.0)</f>
        <v>0</v>
      </c>
      <c r="AE975" s="447">
        <f>IFERROR(__xludf.DUMMYFUNCTION("""COMPUTED_VALUE"""),0.0)</f>
        <v>0</v>
      </c>
      <c r="AF975" s="447">
        <f>IFERROR(__xludf.DUMMYFUNCTION("""COMPUTED_VALUE"""),0.0)</f>
        <v>0</v>
      </c>
      <c r="AG975" s="443" t="s">
        <v>289</v>
      </c>
      <c r="AH975" s="443" t="s">
        <v>289</v>
      </c>
      <c r="AI975" s="443"/>
      <c r="AJ975" s="443"/>
      <c r="AK975" s="443"/>
      <c r="AL975" s="443"/>
      <c r="AM975" s="443"/>
      <c r="AN975" s="443"/>
      <c r="AO975" s="443"/>
      <c r="AP975" s="443"/>
      <c r="AQ975" s="443"/>
      <c r="AR975" s="443"/>
      <c r="AS975" s="443"/>
      <c r="AT975" s="443"/>
      <c r="AU975" s="443"/>
      <c r="AV975" s="443"/>
      <c r="AW975" s="443"/>
      <c r="AX975" s="443"/>
      <c r="AY975" s="443"/>
      <c r="AZ975" s="443"/>
      <c r="BA975" s="443"/>
      <c r="BB975" s="443"/>
      <c r="BC975" s="443"/>
      <c r="BD975" s="443"/>
      <c r="BE975" s="443"/>
    </row>
    <row r="976">
      <c r="A976" s="445" t="str">
        <f t="shared" si="5"/>
        <v/>
      </c>
      <c r="B976" s="443"/>
      <c r="C976" s="443"/>
      <c r="D976" s="462"/>
      <c r="E976" s="436" t="str">
        <f t="array" ref="E976">IF(B976=0,"",(J976+K976)/60)</f>
        <v/>
      </c>
      <c r="F976" s="437" t="str">
        <f t="shared" si="1"/>
        <v/>
      </c>
      <c r="G976" s="438" t="str">
        <f t="shared" si="9"/>
        <v/>
      </c>
      <c r="H976" s="438" t="str">
        <f t="shared" si="3"/>
        <v/>
      </c>
      <c r="I976" s="436" t="str">
        <f t="shared" si="11"/>
        <v/>
      </c>
      <c r="J976" s="464"/>
      <c r="K976" s="464"/>
      <c r="L976" s="443"/>
      <c r="M976" s="443"/>
      <c r="N976" s="443"/>
      <c r="O976" s="443"/>
      <c r="P976" s="443"/>
      <c r="Q976" s="443"/>
      <c r="R976" s="443"/>
      <c r="S976" s="443"/>
      <c r="T976" s="443"/>
      <c r="U976" s="443"/>
      <c r="V976" s="443"/>
      <c r="W976" s="443"/>
      <c r="X976" s="443"/>
      <c r="Y976" s="443"/>
      <c r="Z976" s="443"/>
      <c r="AA976" s="443"/>
      <c r="AB976" s="443"/>
      <c r="AC976" s="443"/>
      <c r="AD976" s="443"/>
      <c r="AE976" s="443"/>
      <c r="AF976" s="443"/>
      <c r="AG976" s="443" t="s">
        <v>289</v>
      </c>
      <c r="AH976" s="443" t="s">
        <v>289</v>
      </c>
      <c r="AI976" s="443"/>
      <c r="AJ976" s="443"/>
      <c r="AK976" s="443"/>
      <c r="AL976" s="443"/>
      <c r="AM976" s="443"/>
      <c r="AN976" s="443"/>
      <c r="AO976" s="443"/>
      <c r="AP976" s="443"/>
      <c r="AQ976" s="443"/>
      <c r="AR976" s="443"/>
      <c r="AS976" s="443"/>
      <c r="AT976" s="443"/>
      <c r="AU976" s="443"/>
      <c r="AV976" s="443"/>
      <c r="AW976" s="443"/>
      <c r="AX976" s="443"/>
      <c r="AY976" s="443"/>
      <c r="AZ976" s="443"/>
      <c r="BA976" s="443"/>
      <c r="BB976" s="443"/>
      <c r="BC976" s="443"/>
      <c r="BD976" s="443"/>
      <c r="BE976" s="443"/>
    </row>
    <row r="977">
      <c r="A977" s="445" t="str">
        <f t="shared" si="5"/>
        <v/>
      </c>
      <c r="B977" s="443"/>
      <c r="C977" s="443"/>
      <c r="D977" s="462"/>
      <c r="E977" s="436" t="str">
        <f t="array" ref="E977">IF(B977=0,"",(J977+K977)/60)</f>
        <v/>
      </c>
      <c r="F977" s="437" t="str">
        <f t="shared" si="1"/>
        <v/>
      </c>
      <c r="G977" s="438" t="str">
        <f t="shared" si="9"/>
        <v/>
      </c>
      <c r="H977" s="438" t="str">
        <f t="shared" si="3"/>
        <v/>
      </c>
      <c r="I977" s="436" t="str">
        <f t="shared" si="11"/>
        <v/>
      </c>
      <c r="J977" s="464"/>
      <c r="K977" s="464"/>
      <c r="L977" s="443"/>
      <c r="M977" s="443"/>
      <c r="N977" s="443"/>
      <c r="O977" s="443"/>
      <c r="P977" s="443"/>
      <c r="Q977" s="443"/>
      <c r="R977" s="443"/>
      <c r="S977" s="443"/>
      <c r="T977" s="443"/>
      <c r="U977" s="443"/>
      <c r="V977" s="443"/>
      <c r="W977" s="443"/>
      <c r="X977" s="443"/>
      <c r="Y977" s="443"/>
      <c r="Z977" s="443"/>
      <c r="AA977" s="443"/>
      <c r="AB977" s="443"/>
      <c r="AC977" s="443"/>
      <c r="AD977" s="443"/>
      <c r="AE977" s="443"/>
      <c r="AF977" s="443"/>
      <c r="AG977" s="443" t="s">
        <v>289</v>
      </c>
      <c r="AH977" s="443" t="s">
        <v>289</v>
      </c>
      <c r="AI977" s="443"/>
      <c r="AJ977" s="443"/>
      <c r="AK977" s="443"/>
      <c r="AL977" s="443"/>
      <c r="AM977" s="443"/>
      <c r="AN977" s="443"/>
      <c r="AO977" s="443"/>
      <c r="AP977" s="443"/>
      <c r="AQ977" s="443"/>
      <c r="AR977" s="443"/>
      <c r="AS977" s="443"/>
      <c r="AT977" s="443"/>
      <c r="AU977" s="443"/>
      <c r="AV977" s="443"/>
      <c r="AW977" s="443"/>
      <c r="AX977" s="443"/>
      <c r="AY977" s="443"/>
      <c r="AZ977" s="443"/>
      <c r="BA977" s="443"/>
      <c r="BB977" s="443"/>
      <c r="BC977" s="443"/>
      <c r="BD977" s="443"/>
      <c r="BE977" s="443"/>
    </row>
    <row r="978">
      <c r="A978" s="445" t="str">
        <f t="shared" si="5"/>
        <v/>
      </c>
      <c r="B978" s="443"/>
      <c r="C978" s="443"/>
      <c r="D978" s="462"/>
      <c r="E978" s="436" t="str">
        <f t="array" ref="E978">IF(B978=0,"",(J978+K978)/60)</f>
        <v/>
      </c>
      <c r="F978" s="437" t="str">
        <f t="shared" si="1"/>
        <v/>
      </c>
      <c r="G978" s="438" t="str">
        <f t="shared" si="9"/>
        <v/>
      </c>
      <c r="H978" s="438" t="str">
        <f t="shared" si="3"/>
        <v/>
      </c>
      <c r="I978" s="436" t="str">
        <f t="shared" si="11"/>
        <v/>
      </c>
      <c r="J978" s="464"/>
      <c r="K978" s="464"/>
      <c r="L978" s="443"/>
      <c r="M978" s="443"/>
      <c r="N978" s="443"/>
      <c r="O978" s="443"/>
      <c r="P978" s="443"/>
      <c r="Q978" s="443"/>
      <c r="R978" s="443"/>
      <c r="S978" s="443"/>
      <c r="T978" s="443"/>
      <c r="U978" s="443"/>
      <c r="V978" s="443"/>
      <c r="W978" s="443"/>
      <c r="X978" s="443"/>
      <c r="Y978" s="443"/>
      <c r="Z978" s="443"/>
      <c r="AA978" s="443"/>
      <c r="AB978" s="443"/>
      <c r="AC978" s="443"/>
      <c r="AD978" s="443"/>
      <c r="AE978" s="443"/>
      <c r="AF978" s="443"/>
      <c r="AG978" s="443" t="s">
        <v>289</v>
      </c>
      <c r="AH978" s="443" t="s">
        <v>289</v>
      </c>
      <c r="AI978" s="443"/>
      <c r="AJ978" s="443"/>
      <c r="AK978" s="443"/>
      <c r="AL978" s="443"/>
      <c r="AM978" s="443"/>
      <c r="AN978" s="443"/>
      <c r="AO978" s="443"/>
      <c r="AP978" s="443"/>
      <c r="AQ978" s="443"/>
      <c r="AR978" s="443"/>
      <c r="AS978" s="443"/>
      <c r="AT978" s="443"/>
      <c r="AU978" s="443"/>
      <c r="AV978" s="443"/>
      <c r="AW978" s="443"/>
      <c r="AX978" s="443"/>
      <c r="AY978" s="443"/>
      <c r="AZ978" s="443"/>
      <c r="BA978" s="443"/>
      <c r="BB978" s="443"/>
      <c r="BC978" s="443"/>
      <c r="BD978" s="443"/>
      <c r="BE978" s="443"/>
    </row>
    <row r="979">
      <c r="A979" s="445" t="str">
        <f t="shared" si="5"/>
        <v/>
      </c>
      <c r="B979" s="443"/>
      <c r="C979" s="443"/>
      <c r="D979" s="462"/>
      <c r="E979" s="436" t="str">
        <f t="array" ref="E979">IF(B979=0,"",(J979+K979)/60)</f>
        <v/>
      </c>
      <c r="F979" s="437" t="str">
        <f t="shared" si="1"/>
        <v/>
      </c>
      <c r="G979" s="438" t="str">
        <f t="shared" si="9"/>
        <v/>
      </c>
      <c r="H979" s="438" t="str">
        <f t="shared" si="3"/>
        <v/>
      </c>
      <c r="I979" s="436" t="str">
        <f t="shared" si="11"/>
        <v/>
      </c>
      <c r="J979" s="464"/>
      <c r="K979" s="464"/>
      <c r="L979" s="443"/>
      <c r="M979" s="443"/>
      <c r="N979" s="443"/>
      <c r="O979" s="443"/>
      <c r="P979" s="443"/>
      <c r="Q979" s="443"/>
      <c r="R979" s="443"/>
      <c r="S979" s="443"/>
      <c r="T979" s="443"/>
      <c r="U979" s="443"/>
      <c r="V979" s="443"/>
      <c r="W979" s="443"/>
      <c r="X979" s="443"/>
      <c r="Y979" s="443"/>
      <c r="Z979" s="443"/>
      <c r="AA979" s="443"/>
      <c r="AB979" s="443"/>
      <c r="AC979" s="443"/>
      <c r="AD979" s="443"/>
      <c r="AE979" s="443"/>
      <c r="AF979" s="443"/>
      <c r="AG979" s="443" t="s">
        <v>289</v>
      </c>
      <c r="AH979" s="443" t="s">
        <v>289</v>
      </c>
      <c r="AI979" s="443"/>
      <c r="AJ979" s="443"/>
      <c r="AK979" s="443"/>
      <c r="AL979" s="443"/>
      <c r="AM979" s="443"/>
      <c r="AN979" s="443"/>
      <c r="AO979" s="443"/>
      <c r="AP979" s="443"/>
      <c r="AQ979" s="443"/>
      <c r="AR979" s="443"/>
      <c r="AS979" s="443"/>
      <c r="AT979" s="443"/>
      <c r="AU979" s="443"/>
      <c r="AV979" s="443"/>
      <c r="AW979" s="443"/>
      <c r="AX979" s="443"/>
      <c r="AY979" s="443"/>
      <c r="AZ979" s="443"/>
      <c r="BA979" s="443"/>
      <c r="BB979" s="443"/>
      <c r="BC979" s="443"/>
      <c r="BD979" s="443"/>
      <c r="BE979" s="443"/>
    </row>
    <row r="980">
      <c r="A980" s="445" t="str">
        <f t="shared" si="5"/>
        <v/>
      </c>
      <c r="B980" s="443"/>
      <c r="C980" s="443"/>
      <c r="D980" s="462"/>
      <c r="E980" s="436" t="str">
        <f t="array" ref="E980">IF(B980=0,"",(J980+K980)/60)</f>
        <v/>
      </c>
      <c r="F980" s="437" t="str">
        <f t="shared" si="1"/>
        <v/>
      </c>
      <c r="G980" s="438" t="str">
        <f t="shared" si="9"/>
        <v/>
      </c>
      <c r="H980" s="438" t="str">
        <f t="shared" si="3"/>
        <v/>
      </c>
      <c r="I980" s="436" t="str">
        <f t="shared" si="11"/>
        <v/>
      </c>
      <c r="J980" s="464"/>
      <c r="K980" s="464"/>
      <c r="L980" s="443"/>
      <c r="M980" s="443"/>
      <c r="N980" s="443"/>
      <c r="O980" s="443"/>
      <c r="P980" s="443"/>
      <c r="Q980" s="443"/>
      <c r="R980" s="443"/>
      <c r="S980" s="443"/>
      <c r="T980" s="443"/>
      <c r="U980" s="443"/>
      <c r="V980" s="443"/>
      <c r="W980" s="443"/>
      <c r="X980" s="443"/>
      <c r="Y980" s="443"/>
      <c r="Z980" s="443"/>
      <c r="AA980" s="443"/>
      <c r="AB980" s="443"/>
      <c r="AC980" s="443"/>
      <c r="AD980" s="443"/>
      <c r="AE980" s="443"/>
      <c r="AF980" s="443"/>
      <c r="AG980" s="443" t="s">
        <v>289</v>
      </c>
      <c r="AH980" s="443" t="s">
        <v>289</v>
      </c>
      <c r="AI980" s="443"/>
      <c r="AJ980" s="443"/>
      <c r="AK980" s="443"/>
      <c r="AL980" s="443"/>
      <c r="AM980" s="443"/>
      <c r="AN980" s="443"/>
      <c r="AO980" s="443"/>
      <c r="AP980" s="443"/>
      <c r="AQ980" s="443"/>
      <c r="AR980" s="443"/>
      <c r="AS980" s="443"/>
      <c r="AT980" s="443"/>
      <c r="AU980" s="443"/>
      <c r="AV980" s="443"/>
      <c r="AW980" s="443"/>
      <c r="AX980" s="443"/>
      <c r="AY980" s="443"/>
      <c r="AZ980" s="443"/>
      <c r="BA980" s="443"/>
      <c r="BB980" s="443"/>
      <c r="BC980" s="443"/>
      <c r="BD980" s="443"/>
      <c r="BE980" s="443"/>
    </row>
    <row r="981">
      <c r="A981" s="445" t="str">
        <f t="shared" si="5"/>
        <v/>
      </c>
      <c r="B981" s="443"/>
      <c r="C981" s="443"/>
      <c r="D981" s="462"/>
      <c r="E981" s="436" t="str">
        <f t="array" ref="E981">IF(B981=0,"",(J981+K981)/60)</f>
        <v/>
      </c>
      <c r="F981" s="437" t="str">
        <f t="shared" si="1"/>
        <v/>
      </c>
      <c r="G981" s="438" t="str">
        <f t="shared" si="9"/>
        <v/>
      </c>
      <c r="H981" s="438" t="str">
        <f t="shared" si="3"/>
        <v/>
      </c>
      <c r="I981" s="436" t="str">
        <f t="shared" si="11"/>
        <v/>
      </c>
      <c r="J981" s="464"/>
      <c r="K981" s="464"/>
      <c r="L981" s="443"/>
      <c r="M981" s="443"/>
      <c r="N981" s="443"/>
      <c r="O981" s="443"/>
      <c r="P981" s="443"/>
      <c r="Q981" s="443"/>
      <c r="R981" s="443"/>
      <c r="S981" s="443"/>
      <c r="T981" s="443"/>
      <c r="U981" s="443"/>
      <c r="V981" s="443"/>
      <c r="W981" s="443"/>
      <c r="X981" s="443"/>
      <c r="Y981" s="443"/>
      <c r="Z981" s="443"/>
      <c r="AA981" s="443"/>
      <c r="AB981" s="443"/>
      <c r="AC981" s="443"/>
      <c r="AD981" s="443"/>
      <c r="AE981" s="443"/>
      <c r="AF981" s="443"/>
      <c r="AG981" s="443" t="s">
        <v>289</v>
      </c>
      <c r="AH981" s="443" t="s">
        <v>289</v>
      </c>
      <c r="AI981" s="443"/>
      <c r="AJ981" s="443"/>
      <c r="AK981" s="443"/>
      <c r="AL981" s="443"/>
      <c r="AM981" s="443"/>
      <c r="AN981" s="443"/>
      <c r="AO981" s="443"/>
      <c r="AP981" s="443"/>
      <c r="AQ981" s="443"/>
      <c r="AR981" s="443"/>
      <c r="AS981" s="443"/>
      <c r="AT981" s="443"/>
      <c r="AU981" s="443"/>
      <c r="AV981" s="443"/>
      <c r="AW981" s="443"/>
      <c r="AX981" s="443"/>
      <c r="AY981" s="443"/>
      <c r="AZ981" s="443"/>
      <c r="BA981" s="443"/>
      <c r="BB981" s="443"/>
      <c r="BC981" s="443"/>
      <c r="BD981" s="443"/>
      <c r="BE981" s="443"/>
    </row>
    <row r="982">
      <c r="A982" s="445" t="str">
        <f t="shared" si="5"/>
        <v/>
      </c>
      <c r="B982" s="443"/>
      <c r="C982" s="443"/>
      <c r="D982" s="462"/>
      <c r="E982" s="436" t="str">
        <f t="array" ref="E982">IF(B982=0,"",(J982+K982)/60)</f>
        <v/>
      </c>
      <c r="F982" s="437" t="str">
        <f t="shared" si="1"/>
        <v/>
      </c>
      <c r="G982" s="438" t="str">
        <f t="shared" si="9"/>
        <v/>
      </c>
      <c r="H982" s="438" t="str">
        <f t="shared" si="3"/>
        <v/>
      </c>
      <c r="I982" s="436" t="str">
        <f t="shared" si="11"/>
        <v/>
      </c>
      <c r="J982" s="464"/>
      <c r="K982" s="464"/>
      <c r="L982" s="443"/>
      <c r="M982" s="443"/>
      <c r="N982" s="443"/>
      <c r="O982" s="443"/>
      <c r="P982" s="443"/>
      <c r="Q982" s="443"/>
      <c r="R982" s="443"/>
      <c r="S982" s="443"/>
      <c r="T982" s="443"/>
      <c r="U982" s="443"/>
      <c r="V982" s="443"/>
      <c r="W982" s="443"/>
      <c r="X982" s="443"/>
      <c r="Y982" s="443"/>
      <c r="Z982" s="443"/>
      <c r="AA982" s="443"/>
      <c r="AB982" s="443"/>
      <c r="AC982" s="443"/>
      <c r="AD982" s="443"/>
      <c r="AE982" s="443"/>
      <c r="AF982" s="443"/>
      <c r="AG982" s="443" t="s">
        <v>289</v>
      </c>
      <c r="AH982" s="443" t="s">
        <v>289</v>
      </c>
      <c r="AI982" s="443"/>
      <c r="AJ982" s="443"/>
      <c r="AK982" s="443"/>
      <c r="AL982" s="443"/>
      <c r="AM982" s="443"/>
      <c r="AN982" s="443"/>
      <c r="AO982" s="443"/>
      <c r="AP982" s="443"/>
      <c r="AQ982" s="443"/>
      <c r="AR982" s="443"/>
      <c r="AS982" s="443"/>
      <c r="AT982" s="443"/>
      <c r="AU982" s="443"/>
      <c r="AV982" s="443"/>
      <c r="AW982" s="443"/>
      <c r="AX982" s="443"/>
      <c r="AY982" s="443"/>
      <c r="AZ982" s="443"/>
      <c r="BA982" s="443"/>
      <c r="BB982" s="443"/>
      <c r="BC982" s="443"/>
      <c r="BD982" s="443"/>
      <c r="BE982" s="443"/>
    </row>
    <row r="983">
      <c r="A983" s="445" t="str">
        <f t="shared" si="5"/>
        <v/>
      </c>
      <c r="B983" s="443"/>
      <c r="C983" s="443"/>
      <c r="D983" s="462"/>
      <c r="E983" s="436" t="str">
        <f t="array" ref="E983">IF(B983=0,"",(J983+K983)/60)</f>
        <v/>
      </c>
      <c r="F983" s="437" t="str">
        <f t="shared" si="1"/>
        <v/>
      </c>
      <c r="G983" s="438" t="str">
        <f t="shared" si="9"/>
        <v/>
      </c>
      <c r="H983" s="438" t="str">
        <f t="shared" si="3"/>
        <v/>
      </c>
      <c r="I983" s="436" t="str">
        <f t="shared" si="11"/>
        <v/>
      </c>
      <c r="J983" s="464"/>
      <c r="K983" s="464"/>
      <c r="L983" s="443"/>
      <c r="M983" s="443"/>
      <c r="N983" s="443"/>
      <c r="O983" s="443"/>
      <c r="P983" s="443"/>
      <c r="Q983" s="443"/>
      <c r="R983" s="443"/>
      <c r="S983" s="443"/>
      <c r="T983" s="443"/>
      <c r="U983" s="443"/>
      <c r="V983" s="443"/>
      <c r="W983" s="443"/>
      <c r="X983" s="443"/>
      <c r="Y983" s="443"/>
      <c r="Z983" s="443"/>
      <c r="AA983" s="443"/>
      <c r="AB983" s="443"/>
      <c r="AC983" s="443"/>
      <c r="AD983" s="443"/>
      <c r="AE983" s="443"/>
      <c r="AF983" s="443"/>
      <c r="AG983" s="443" t="s">
        <v>289</v>
      </c>
      <c r="AH983" s="443" t="s">
        <v>289</v>
      </c>
      <c r="AI983" s="443"/>
      <c r="AJ983" s="443"/>
      <c r="AK983" s="443"/>
      <c r="AL983" s="443"/>
      <c r="AM983" s="443"/>
      <c r="AN983" s="443"/>
      <c r="AO983" s="443"/>
      <c r="AP983" s="443"/>
      <c r="AQ983" s="443"/>
      <c r="AR983" s="443"/>
      <c r="AS983" s="443"/>
      <c r="AT983" s="443"/>
      <c r="AU983" s="443"/>
      <c r="AV983" s="443"/>
      <c r="AW983" s="443"/>
      <c r="AX983" s="443"/>
      <c r="AY983" s="443"/>
      <c r="AZ983" s="443"/>
      <c r="BA983" s="443"/>
      <c r="BB983" s="443"/>
      <c r="BC983" s="443"/>
      <c r="BD983" s="443"/>
      <c r="BE983" s="443"/>
    </row>
    <row r="984">
      <c r="A984" s="445" t="str">
        <f t="shared" si="5"/>
        <v/>
      </c>
      <c r="B984" s="443"/>
      <c r="C984" s="443"/>
      <c r="D984" s="462"/>
      <c r="E984" s="436" t="str">
        <f t="array" ref="E984">IF(B984=0,"",(J984+K984)/60)</f>
        <v/>
      </c>
      <c r="F984" s="437" t="str">
        <f t="shared" si="1"/>
        <v/>
      </c>
      <c r="G984" s="438" t="str">
        <f t="shared" si="9"/>
        <v/>
      </c>
      <c r="H984" s="438" t="str">
        <f t="shared" si="3"/>
        <v/>
      </c>
      <c r="I984" s="436" t="str">
        <f t="shared" si="11"/>
        <v/>
      </c>
      <c r="J984" s="464"/>
      <c r="K984" s="464"/>
      <c r="L984" s="443"/>
      <c r="M984" s="443"/>
      <c r="N984" s="443"/>
      <c r="O984" s="443"/>
      <c r="P984" s="443"/>
      <c r="Q984" s="443"/>
      <c r="R984" s="443"/>
      <c r="S984" s="443"/>
      <c r="T984" s="443"/>
      <c r="U984" s="443"/>
      <c r="V984" s="443"/>
      <c r="W984" s="443"/>
      <c r="X984" s="443"/>
      <c r="Y984" s="443"/>
      <c r="Z984" s="443"/>
      <c r="AA984" s="443"/>
      <c r="AB984" s="443"/>
      <c r="AC984" s="443"/>
      <c r="AD984" s="443"/>
      <c r="AE984" s="443"/>
      <c r="AF984" s="443"/>
      <c r="AG984" s="443" t="s">
        <v>289</v>
      </c>
      <c r="AH984" s="443" t="s">
        <v>289</v>
      </c>
      <c r="AI984" s="443"/>
      <c r="AJ984" s="443"/>
      <c r="AK984" s="443"/>
      <c r="AL984" s="443"/>
      <c r="AM984" s="443"/>
      <c r="AN984" s="443"/>
      <c r="AO984" s="443"/>
      <c r="AP984" s="443"/>
      <c r="AQ984" s="443"/>
      <c r="AR984" s="443"/>
      <c r="AS984" s="443"/>
      <c r="AT984" s="443"/>
      <c r="AU984" s="443"/>
      <c r="AV984" s="443"/>
      <c r="AW984" s="443"/>
      <c r="AX984" s="443"/>
      <c r="AY984" s="443"/>
      <c r="AZ984" s="443"/>
      <c r="BA984" s="443"/>
      <c r="BB984" s="443"/>
      <c r="BC984" s="443"/>
      <c r="BD984" s="443"/>
      <c r="BE984" s="443"/>
    </row>
    <row r="985">
      <c r="A985" s="445" t="str">
        <f t="shared" si="5"/>
        <v/>
      </c>
      <c r="B985" s="443"/>
      <c r="C985" s="443"/>
      <c r="D985" s="462"/>
      <c r="E985" s="436" t="str">
        <f t="array" ref="E985">IF(B985=0,"",(J985+K985)/60)</f>
        <v/>
      </c>
      <c r="F985" s="437" t="str">
        <f t="shared" si="1"/>
        <v/>
      </c>
      <c r="G985" s="438" t="str">
        <f t="shared" si="9"/>
        <v/>
      </c>
      <c r="H985" s="438" t="str">
        <f t="shared" si="3"/>
        <v/>
      </c>
      <c r="I985" s="436" t="str">
        <f t="shared" si="11"/>
        <v/>
      </c>
      <c r="J985" s="464"/>
      <c r="K985" s="464"/>
      <c r="L985" s="443"/>
      <c r="M985" s="443"/>
      <c r="N985" s="443"/>
      <c r="O985" s="443"/>
      <c r="P985" s="443"/>
      <c r="Q985" s="443"/>
      <c r="R985" s="443"/>
      <c r="S985" s="443"/>
      <c r="T985" s="443"/>
      <c r="U985" s="443"/>
      <c r="V985" s="443"/>
      <c r="W985" s="443"/>
      <c r="X985" s="443"/>
      <c r="Y985" s="443"/>
      <c r="Z985" s="443"/>
      <c r="AA985" s="443"/>
      <c r="AB985" s="443"/>
      <c r="AC985" s="443"/>
      <c r="AD985" s="443"/>
      <c r="AE985" s="443"/>
      <c r="AF985" s="443"/>
      <c r="AG985" s="443" t="s">
        <v>289</v>
      </c>
      <c r="AH985" s="443" t="s">
        <v>289</v>
      </c>
      <c r="AI985" s="443"/>
      <c r="AJ985" s="443"/>
      <c r="AK985" s="443"/>
      <c r="AL985" s="443"/>
      <c r="AM985" s="443"/>
      <c r="AN985" s="443"/>
      <c r="AO985" s="443"/>
      <c r="AP985" s="443"/>
      <c r="AQ985" s="443"/>
      <c r="AR985" s="443"/>
      <c r="AS985" s="443"/>
      <c r="AT985" s="443"/>
      <c r="AU985" s="443"/>
      <c r="AV985" s="443"/>
      <c r="AW985" s="443"/>
      <c r="AX985" s="443"/>
      <c r="AY985" s="443"/>
      <c r="AZ985" s="443"/>
      <c r="BA985" s="443"/>
      <c r="BB985" s="443"/>
      <c r="BC985" s="443"/>
      <c r="BD985" s="443"/>
      <c r="BE985" s="443"/>
    </row>
    <row r="986">
      <c r="A986" s="445" t="str">
        <f t="shared" si="5"/>
        <v/>
      </c>
      <c r="B986" s="443"/>
      <c r="C986" s="443"/>
      <c r="D986" s="462"/>
      <c r="E986" s="436" t="str">
        <f t="array" ref="E986">IF(B986=0,"",(J986+K986)/60)</f>
        <v/>
      </c>
      <c r="F986" s="437" t="str">
        <f t="shared" si="1"/>
        <v/>
      </c>
      <c r="G986" s="438" t="str">
        <f t="shared" si="9"/>
        <v/>
      </c>
      <c r="H986" s="438" t="str">
        <f t="shared" si="3"/>
        <v/>
      </c>
      <c r="I986" s="436" t="str">
        <f t="shared" si="11"/>
        <v/>
      </c>
      <c r="J986" s="464"/>
      <c r="K986" s="464"/>
      <c r="L986" s="443"/>
      <c r="M986" s="443"/>
      <c r="N986" s="443"/>
      <c r="O986" s="443"/>
      <c r="P986" s="443"/>
      <c r="Q986" s="443"/>
      <c r="R986" s="443"/>
      <c r="S986" s="443"/>
      <c r="T986" s="443"/>
      <c r="U986" s="443"/>
      <c r="V986" s="443"/>
      <c r="W986" s="443"/>
      <c r="X986" s="443"/>
      <c r="Y986" s="443"/>
      <c r="Z986" s="443"/>
      <c r="AA986" s="443"/>
      <c r="AB986" s="443"/>
      <c r="AC986" s="443"/>
      <c r="AD986" s="443"/>
      <c r="AE986" s="443"/>
      <c r="AF986" s="443"/>
      <c r="AG986" s="443" t="s">
        <v>289</v>
      </c>
      <c r="AH986" s="443" t="s">
        <v>289</v>
      </c>
      <c r="AI986" s="443"/>
      <c r="AJ986" s="443"/>
      <c r="AK986" s="443"/>
      <c r="AL986" s="443"/>
      <c r="AM986" s="443"/>
      <c r="AN986" s="443"/>
      <c r="AO986" s="443"/>
      <c r="AP986" s="443"/>
      <c r="AQ986" s="443"/>
      <c r="AR986" s="443"/>
      <c r="AS986" s="443"/>
      <c r="AT986" s="443"/>
      <c r="AU986" s="443"/>
      <c r="AV986" s="443"/>
      <c r="AW986" s="443"/>
      <c r="AX986" s="443"/>
      <c r="AY986" s="443"/>
      <c r="AZ986" s="443"/>
      <c r="BA986" s="443"/>
      <c r="BB986" s="443"/>
      <c r="BC986" s="443"/>
      <c r="BD986" s="443"/>
      <c r="BE986" s="443"/>
    </row>
    <row r="987">
      <c r="A987" s="445" t="str">
        <f t="shared" si="5"/>
        <v/>
      </c>
      <c r="B987" s="443"/>
      <c r="C987" s="443"/>
      <c r="D987" s="462"/>
      <c r="E987" s="436" t="str">
        <f t="array" ref="E987">IF(B987=0,"",(J987+K987)/60)</f>
        <v/>
      </c>
      <c r="F987" s="437" t="str">
        <f t="shared" si="1"/>
        <v/>
      </c>
      <c r="G987" s="438" t="str">
        <f t="shared" si="9"/>
        <v/>
      </c>
      <c r="H987" s="438" t="str">
        <f t="shared" si="3"/>
        <v/>
      </c>
      <c r="I987" s="436" t="str">
        <f t="shared" si="11"/>
        <v/>
      </c>
      <c r="J987" s="464"/>
      <c r="K987" s="464"/>
      <c r="L987" s="443"/>
      <c r="M987" s="443"/>
      <c r="N987" s="443"/>
      <c r="O987" s="443"/>
      <c r="P987" s="443"/>
      <c r="Q987" s="443"/>
      <c r="R987" s="443"/>
      <c r="S987" s="443"/>
      <c r="T987" s="443"/>
      <c r="U987" s="443"/>
      <c r="V987" s="443"/>
      <c r="W987" s="443"/>
      <c r="X987" s="443"/>
      <c r="Y987" s="443"/>
      <c r="Z987" s="443"/>
      <c r="AA987" s="443"/>
      <c r="AB987" s="443"/>
      <c r="AC987" s="443"/>
      <c r="AD987" s="443"/>
      <c r="AE987" s="443"/>
      <c r="AF987" s="443"/>
      <c r="AG987" s="443" t="s">
        <v>289</v>
      </c>
      <c r="AH987" s="443" t="s">
        <v>289</v>
      </c>
      <c r="AI987" s="443"/>
      <c r="AJ987" s="443"/>
      <c r="AK987" s="443"/>
      <c r="AL987" s="443"/>
      <c r="AM987" s="443"/>
      <c r="AN987" s="443"/>
      <c r="AO987" s="443"/>
      <c r="AP987" s="443"/>
      <c r="AQ987" s="443"/>
      <c r="AR987" s="443"/>
      <c r="AS987" s="443"/>
      <c r="AT987" s="443"/>
      <c r="AU987" s="443"/>
      <c r="AV987" s="443"/>
      <c r="AW987" s="443"/>
      <c r="AX987" s="443"/>
      <c r="AY987" s="443"/>
      <c r="AZ987" s="443"/>
      <c r="BA987" s="443"/>
      <c r="BB987" s="443"/>
      <c r="BC987" s="443"/>
      <c r="BD987" s="443"/>
      <c r="BE987" s="443"/>
    </row>
    <row r="988">
      <c r="A988" s="445" t="str">
        <f t="shared" si="5"/>
        <v/>
      </c>
      <c r="B988" s="443"/>
      <c r="C988" s="443"/>
      <c r="D988" s="462"/>
      <c r="E988" s="436" t="str">
        <f t="array" ref="E988">IF(B988=0,"",(J988+K988)/60)</f>
        <v/>
      </c>
      <c r="F988" s="437" t="str">
        <f t="shared" si="1"/>
        <v/>
      </c>
      <c r="G988" s="438" t="str">
        <f t="shared" si="9"/>
        <v/>
      </c>
      <c r="H988" s="438" t="str">
        <f t="shared" si="3"/>
        <v/>
      </c>
      <c r="I988" s="436" t="str">
        <f t="shared" si="11"/>
        <v/>
      </c>
      <c r="J988" s="464"/>
      <c r="K988" s="464"/>
      <c r="L988" s="443"/>
      <c r="M988" s="443"/>
      <c r="N988" s="443"/>
      <c r="O988" s="443"/>
      <c r="P988" s="443"/>
      <c r="Q988" s="443"/>
      <c r="R988" s="443"/>
      <c r="S988" s="443"/>
      <c r="T988" s="443"/>
      <c r="U988" s="443"/>
      <c r="V988" s="443"/>
      <c r="W988" s="443"/>
      <c r="X988" s="443"/>
      <c r="Y988" s="443"/>
      <c r="Z988" s="443"/>
      <c r="AA988" s="443"/>
      <c r="AB988" s="443"/>
      <c r="AC988" s="443"/>
      <c r="AD988" s="443"/>
      <c r="AE988" s="443"/>
      <c r="AF988" s="443"/>
      <c r="AG988" s="443" t="s">
        <v>289</v>
      </c>
      <c r="AH988" s="443" t="s">
        <v>289</v>
      </c>
      <c r="AI988" s="443"/>
      <c r="AJ988" s="443"/>
      <c r="AK988" s="443"/>
      <c r="AL988" s="443"/>
      <c r="AM988" s="443"/>
      <c r="AN988" s="443"/>
      <c r="AO988" s="443"/>
      <c r="AP988" s="443"/>
      <c r="AQ988" s="443"/>
      <c r="AR988" s="443"/>
      <c r="AS988" s="443"/>
      <c r="AT988" s="443"/>
      <c r="AU988" s="443"/>
      <c r="AV988" s="443"/>
      <c r="AW988" s="443"/>
      <c r="AX988" s="443"/>
      <c r="AY988" s="443"/>
      <c r="AZ988" s="443"/>
      <c r="BA988" s="443"/>
      <c r="BB988" s="443"/>
      <c r="BC988" s="443"/>
      <c r="BD988" s="443"/>
      <c r="BE988" s="443"/>
    </row>
    <row r="989">
      <c r="A989" s="445" t="str">
        <f t="shared" si="5"/>
        <v/>
      </c>
      <c r="B989" s="443"/>
      <c r="C989" s="443"/>
      <c r="D989" s="462"/>
      <c r="E989" s="436" t="str">
        <f t="array" ref="E989">IF(B989=0,"",(J989+K989)/60)</f>
        <v/>
      </c>
      <c r="F989" s="437" t="str">
        <f t="shared" si="1"/>
        <v/>
      </c>
      <c r="G989" s="438" t="str">
        <f t="shared" si="9"/>
        <v/>
      </c>
      <c r="H989" s="438" t="str">
        <f t="shared" si="3"/>
        <v/>
      </c>
      <c r="I989" s="436" t="str">
        <f t="shared" si="11"/>
        <v/>
      </c>
      <c r="J989" s="464"/>
      <c r="K989" s="464"/>
      <c r="L989" s="443"/>
      <c r="M989" s="443"/>
      <c r="N989" s="443"/>
      <c r="O989" s="443"/>
      <c r="P989" s="443"/>
      <c r="Q989" s="443"/>
      <c r="R989" s="443"/>
      <c r="S989" s="443"/>
      <c r="T989" s="443"/>
      <c r="U989" s="443"/>
      <c r="V989" s="443"/>
      <c r="W989" s="443"/>
      <c r="X989" s="443"/>
      <c r="Y989" s="443"/>
      <c r="Z989" s="443"/>
      <c r="AA989" s="443"/>
      <c r="AB989" s="443"/>
      <c r="AC989" s="443"/>
      <c r="AD989" s="443"/>
      <c r="AE989" s="443"/>
      <c r="AF989" s="443"/>
      <c r="AG989" s="443" t="s">
        <v>289</v>
      </c>
      <c r="AH989" s="443" t="s">
        <v>289</v>
      </c>
      <c r="AI989" s="443"/>
      <c r="AJ989" s="443"/>
      <c r="AK989" s="443"/>
      <c r="AL989" s="443"/>
      <c r="AM989" s="443"/>
      <c r="AN989" s="443"/>
      <c r="AO989" s="443"/>
      <c r="AP989" s="443"/>
      <c r="AQ989" s="443"/>
      <c r="AR989" s="443"/>
      <c r="AS989" s="443"/>
      <c r="AT989" s="443"/>
      <c r="AU989" s="443"/>
      <c r="AV989" s="443"/>
      <c r="AW989" s="443"/>
      <c r="AX989" s="443"/>
      <c r="AY989" s="443"/>
      <c r="AZ989" s="443"/>
      <c r="BA989" s="443"/>
      <c r="BB989" s="443"/>
      <c r="BC989" s="443"/>
      <c r="BD989" s="443"/>
      <c r="BE989" s="443"/>
    </row>
    <row r="990">
      <c r="A990" s="445" t="str">
        <f t="shared" si="5"/>
        <v/>
      </c>
      <c r="B990" s="443"/>
      <c r="C990" s="443"/>
      <c r="D990" s="462"/>
      <c r="E990" s="436" t="str">
        <f t="array" ref="E990">IF(B990=0,"",(J990+K990)/60)</f>
        <v/>
      </c>
      <c r="F990" s="437" t="str">
        <f t="shared" si="1"/>
        <v/>
      </c>
      <c r="G990" s="438" t="str">
        <f t="shared" si="9"/>
        <v/>
      </c>
      <c r="H990" s="438" t="str">
        <f t="shared" si="3"/>
        <v/>
      </c>
      <c r="I990" s="436" t="str">
        <f t="shared" si="11"/>
        <v/>
      </c>
      <c r="J990" s="464"/>
      <c r="K990" s="464"/>
      <c r="L990" s="443"/>
      <c r="M990" s="443"/>
      <c r="N990" s="443"/>
      <c r="O990" s="443"/>
      <c r="P990" s="443"/>
      <c r="Q990" s="443"/>
      <c r="R990" s="443"/>
      <c r="S990" s="443"/>
      <c r="T990" s="443"/>
      <c r="U990" s="443"/>
      <c r="V990" s="443"/>
      <c r="W990" s="443"/>
      <c r="X990" s="443"/>
      <c r="Y990" s="443"/>
      <c r="Z990" s="443"/>
      <c r="AA990" s="443"/>
      <c r="AB990" s="443"/>
      <c r="AC990" s="443"/>
      <c r="AD990" s="443"/>
      <c r="AE990" s="443"/>
      <c r="AF990" s="443"/>
      <c r="AG990" s="443" t="s">
        <v>289</v>
      </c>
      <c r="AH990" s="443" t="s">
        <v>289</v>
      </c>
      <c r="AI990" s="443"/>
      <c r="AJ990" s="443"/>
      <c r="AK990" s="443"/>
      <c r="AL990" s="443"/>
      <c r="AM990" s="443"/>
      <c r="AN990" s="443"/>
      <c r="AO990" s="443"/>
      <c r="AP990" s="443"/>
      <c r="AQ990" s="443"/>
      <c r="AR990" s="443"/>
      <c r="AS990" s="443"/>
      <c r="AT990" s="443"/>
      <c r="AU990" s="443"/>
      <c r="AV990" s="443"/>
      <c r="AW990" s="443"/>
      <c r="AX990" s="443"/>
      <c r="AY990" s="443"/>
      <c r="AZ990" s="443"/>
      <c r="BA990" s="443"/>
      <c r="BB990" s="443"/>
      <c r="BC990" s="443"/>
      <c r="BD990" s="443"/>
      <c r="BE990" s="443"/>
    </row>
    <row r="991">
      <c r="A991" s="445" t="str">
        <f t="shared" si="5"/>
        <v/>
      </c>
      <c r="B991" s="443"/>
      <c r="C991" s="443"/>
      <c r="D991" s="462"/>
      <c r="E991" s="436" t="str">
        <f t="array" ref="E991">IF(B991=0,"",(J991+K991)/60)</f>
        <v/>
      </c>
      <c r="F991" s="437" t="str">
        <f t="shared" si="1"/>
        <v/>
      </c>
      <c r="G991" s="438" t="str">
        <f t="shared" si="9"/>
        <v/>
      </c>
      <c r="H991" s="438" t="str">
        <f t="shared" si="3"/>
        <v/>
      </c>
      <c r="I991" s="436" t="str">
        <f t="shared" si="11"/>
        <v/>
      </c>
      <c r="J991" s="464"/>
      <c r="K991" s="464"/>
      <c r="L991" s="443"/>
      <c r="M991" s="443"/>
      <c r="N991" s="443"/>
      <c r="O991" s="443"/>
      <c r="P991" s="443"/>
      <c r="Q991" s="443"/>
      <c r="R991" s="443"/>
      <c r="S991" s="443"/>
      <c r="T991" s="443"/>
      <c r="U991" s="443"/>
      <c r="V991" s="443"/>
      <c r="W991" s="443"/>
      <c r="X991" s="443"/>
      <c r="Y991" s="443"/>
      <c r="Z991" s="443"/>
      <c r="AA991" s="443"/>
      <c r="AB991" s="443"/>
      <c r="AC991" s="443"/>
      <c r="AD991" s="443"/>
      <c r="AE991" s="443"/>
      <c r="AF991" s="443"/>
      <c r="AG991" s="443" t="s">
        <v>289</v>
      </c>
      <c r="AH991" s="443" t="s">
        <v>289</v>
      </c>
      <c r="AI991" s="443"/>
      <c r="AJ991" s="443"/>
      <c r="AK991" s="443"/>
      <c r="AL991" s="443"/>
      <c r="AM991" s="443"/>
      <c r="AN991" s="443"/>
      <c r="AO991" s="443"/>
      <c r="AP991" s="443"/>
      <c r="AQ991" s="443"/>
      <c r="AR991" s="443"/>
      <c r="AS991" s="443"/>
      <c r="AT991" s="443"/>
      <c r="AU991" s="443"/>
      <c r="AV991" s="443"/>
      <c r="AW991" s="443"/>
      <c r="AX991" s="443"/>
      <c r="AY991" s="443"/>
      <c r="AZ991" s="443"/>
      <c r="BA991" s="443"/>
      <c r="BB991" s="443"/>
      <c r="BC991" s="443"/>
      <c r="BD991" s="443"/>
      <c r="BE991" s="443"/>
    </row>
    <row r="992">
      <c r="A992" s="445" t="str">
        <f t="shared" si="5"/>
        <v/>
      </c>
      <c r="B992" s="443"/>
      <c r="C992" s="443"/>
      <c r="D992" s="462"/>
      <c r="E992" s="436" t="str">
        <f t="array" ref="E992">IF(B992=0,"",(J992+K992)/60)</f>
        <v/>
      </c>
      <c r="F992" s="437" t="str">
        <f t="shared" si="1"/>
        <v/>
      </c>
      <c r="G992" s="438" t="str">
        <f t="shared" si="9"/>
        <v/>
      </c>
      <c r="H992" s="438" t="str">
        <f t="shared" si="3"/>
        <v/>
      </c>
      <c r="I992" s="436" t="str">
        <f t="shared" si="11"/>
        <v/>
      </c>
      <c r="J992" s="464"/>
      <c r="K992" s="464"/>
      <c r="L992" s="443"/>
      <c r="M992" s="443"/>
      <c r="N992" s="443"/>
      <c r="O992" s="443"/>
      <c r="P992" s="443"/>
      <c r="Q992" s="443"/>
      <c r="R992" s="443"/>
      <c r="S992" s="443"/>
      <c r="T992" s="443"/>
      <c r="U992" s="443"/>
      <c r="V992" s="443"/>
      <c r="W992" s="443"/>
      <c r="X992" s="443"/>
      <c r="Y992" s="443"/>
      <c r="Z992" s="443"/>
      <c r="AA992" s="443"/>
      <c r="AB992" s="443"/>
      <c r="AC992" s="443"/>
      <c r="AD992" s="443"/>
      <c r="AE992" s="443"/>
      <c r="AF992" s="443"/>
      <c r="AG992" s="443" t="s">
        <v>289</v>
      </c>
      <c r="AH992" s="443" t="s">
        <v>289</v>
      </c>
      <c r="AI992" s="443"/>
      <c r="AJ992" s="443"/>
      <c r="AK992" s="443"/>
      <c r="AL992" s="443"/>
      <c r="AM992" s="443"/>
      <c r="AN992" s="443"/>
      <c r="AO992" s="443"/>
      <c r="AP992" s="443"/>
      <c r="AQ992" s="443"/>
      <c r="AR992" s="443"/>
      <c r="AS992" s="443"/>
      <c r="AT992" s="443"/>
      <c r="AU992" s="443"/>
      <c r="AV992" s="443"/>
      <c r="AW992" s="443"/>
      <c r="AX992" s="443"/>
      <c r="AY992" s="443"/>
      <c r="AZ992" s="443"/>
      <c r="BA992" s="443"/>
      <c r="BB992" s="443"/>
      <c r="BC992" s="443"/>
      <c r="BD992" s="443"/>
      <c r="BE992" s="443"/>
    </row>
    <row r="993">
      <c r="A993" s="445" t="str">
        <f t="shared" si="5"/>
        <v/>
      </c>
      <c r="B993" s="443"/>
      <c r="C993" s="443"/>
      <c r="D993" s="462"/>
      <c r="E993" s="436" t="str">
        <f t="array" ref="E993">IF(B993=0,"",(J993+K993)/60)</f>
        <v/>
      </c>
      <c r="F993" s="437" t="str">
        <f t="shared" si="1"/>
        <v/>
      </c>
      <c r="G993" s="438" t="str">
        <f t="shared" si="9"/>
        <v/>
      </c>
      <c r="H993" s="438" t="str">
        <f t="shared" si="3"/>
        <v/>
      </c>
      <c r="I993" s="436" t="str">
        <f t="shared" si="11"/>
        <v/>
      </c>
      <c r="J993" s="464"/>
      <c r="K993" s="464"/>
      <c r="L993" s="443"/>
      <c r="M993" s="443"/>
      <c r="N993" s="443"/>
      <c r="O993" s="443"/>
      <c r="P993" s="443"/>
      <c r="Q993" s="443"/>
      <c r="R993" s="443"/>
      <c r="S993" s="443"/>
      <c r="T993" s="443"/>
      <c r="U993" s="443"/>
      <c r="V993" s="443"/>
      <c r="W993" s="443"/>
      <c r="X993" s="443"/>
      <c r="Y993" s="443"/>
      <c r="Z993" s="443"/>
      <c r="AA993" s="443"/>
      <c r="AB993" s="443"/>
      <c r="AC993" s="443"/>
      <c r="AD993" s="443"/>
      <c r="AE993" s="443"/>
      <c r="AF993" s="443"/>
      <c r="AG993" s="443" t="s">
        <v>289</v>
      </c>
      <c r="AH993" s="443" t="s">
        <v>289</v>
      </c>
      <c r="AI993" s="443"/>
      <c r="AJ993" s="443"/>
      <c r="AK993" s="443"/>
      <c r="AL993" s="443"/>
      <c r="AM993" s="443"/>
      <c r="AN993" s="443"/>
      <c r="AO993" s="443"/>
      <c r="AP993" s="443"/>
      <c r="AQ993" s="443"/>
      <c r="AR993" s="443"/>
      <c r="AS993" s="443"/>
      <c r="AT993" s="443"/>
      <c r="AU993" s="443"/>
      <c r="AV993" s="443"/>
      <c r="AW993" s="443"/>
      <c r="AX993" s="443"/>
      <c r="AY993" s="443"/>
      <c r="AZ993" s="443"/>
      <c r="BA993" s="443"/>
      <c r="BB993" s="443"/>
      <c r="BC993" s="443"/>
      <c r="BD993" s="443"/>
      <c r="BE993" s="443"/>
    </row>
    <row r="994">
      <c r="A994" s="445" t="str">
        <f t="shared" si="5"/>
        <v/>
      </c>
      <c r="B994" s="443"/>
      <c r="C994" s="443"/>
      <c r="D994" s="462"/>
      <c r="E994" s="436" t="str">
        <f t="array" ref="E994">IF(B994=0,"",(J994+K994)/60)</f>
        <v/>
      </c>
      <c r="F994" s="437" t="str">
        <f t="shared" si="1"/>
        <v/>
      </c>
      <c r="G994" s="438" t="str">
        <f t="shared" si="9"/>
        <v/>
      </c>
      <c r="H994" s="438" t="str">
        <f t="shared" si="3"/>
        <v/>
      </c>
      <c r="I994" s="436" t="str">
        <f t="shared" si="11"/>
        <v/>
      </c>
      <c r="J994" s="464"/>
      <c r="K994" s="464"/>
      <c r="L994" s="443"/>
      <c r="M994" s="443"/>
      <c r="N994" s="443"/>
      <c r="O994" s="443"/>
      <c r="P994" s="443"/>
      <c r="Q994" s="443"/>
      <c r="R994" s="443"/>
      <c r="S994" s="443"/>
      <c r="T994" s="443"/>
      <c r="U994" s="443"/>
      <c r="V994" s="443"/>
      <c r="W994" s="443"/>
      <c r="X994" s="443"/>
      <c r="Y994" s="443"/>
      <c r="Z994" s="443"/>
      <c r="AA994" s="443"/>
      <c r="AB994" s="443"/>
      <c r="AC994" s="443"/>
      <c r="AD994" s="443"/>
      <c r="AE994" s="443"/>
      <c r="AF994" s="443"/>
      <c r="AG994" s="443" t="s">
        <v>289</v>
      </c>
      <c r="AH994" s="443" t="s">
        <v>289</v>
      </c>
      <c r="AI994" s="443"/>
      <c r="AJ994" s="443"/>
      <c r="AK994" s="443"/>
      <c r="AL994" s="443"/>
      <c r="AM994" s="443"/>
      <c r="AN994" s="443"/>
      <c r="AO994" s="443"/>
      <c r="AP994" s="443"/>
      <c r="AQ994" s="443"/>
      <c r="AR994" s="443"/>
      <c r="AS994" s="443"/>
      <c r="AT994" s="443"/>
      <c r="AU994" s="443"/>
      <c r="AV994" s="443"/>
      <c r="AW994" s="443"/>
      <c r="AX994" s="443"/>
      <c r="AY994" s="443"/>
      <c r="AZ994" s="443"/>
      <c r="BA994" s="443"/>
      <c r="BB994" s="443"/>
      <c r="BC994" s="443"/>
      <c r="BD994" s="443"/>
      <c r="BE994" s="443"/>
    </row>
    <row r="995">
      <c r="A995" s="445" t="str">
        <f t="shared" si="5"/>
        <v/>
      </c>
      <c r="B995" s="443"/>
      <c r="C995" s="443"/>
      <c r="D995" s="462"/>
      <c r="E995" s="436" t="str">
        <f t="array" ref="E995">IF(B995=0,"",(J995+K995)/60)</f>
        <v/>
      </c>
      <c r="F995" s="437" t="str">
        <f t="shared" si="1"/>
        <v/>
      </c>
      <c r="G995" s="438" t="str">
        <f t="shared" si="9"/>
        <v/>
      </c>
      <c r="H995" s="438" t="str">
        <f t="shared" si="3"/>
        <v/>
      </c>
      <c r="I995" s="436" t="str">
        <f t="shared" si="11"/>
        <v/>
      </c>
      <c r="J995" s="464"/>
      <c r="K995" s="464"/>
      <c r="L995" s="443"/>
      <c r="M995" s="443"/>
      <c r="N995" s="443"/>
      <c r="O995" s="443"/>
      <c r="P995" s="443"/>
      <c r="Q995" s="443"/>
      <c r="R995" s="443"/>
      <c r="S995" s="443"/>
      <c r="T995" s="443"/>
      <c r="U995" s="443"/>
      <c r="V995" s="443"/>
      <c r="W995" s="443"/>
      <c r="X995" s="443"/>
      <c r="Y995" s="443"/>
      <c r="Z995" s="443"/>
      <c r="AA995" s="443"/>
      <c r="AB995" s="443"/>
      <c r="AC995" s="443"/>
      <c r="AD995" s="443"/>
      <c r="AE995" s="443"/>
      <c r="AF995" s="443"/>
      <c r="AG995" s="443" t="s">
        <v>289</v>
      </c>
      <c r="AH995" s="443" t="s">
        <v>289</v>
      </c>
      <c r="AI995" s="443"/>
      <c r="AJ995" s="443"/>
      <c r="AK995" s="443"/>
      <c r="AL995" s="443"/>
      <c r="AM995" s="443"/>
      <c r="AN995" s="443"/>
      <c r="AO995" s="443"/>
      <c r="AP995" s="443"/>
      <c r="AQ995" s="443"/>
      <c r="AR995" s="443"/>
      <c r="AS995" s="443"/>
      <c r="AT995" s="443"/>
      <c r="AU995" s="443"/>
      <c r="AV995" s="443"/>
      <c r="AW995" s="443"/>
      <c r="AX995" s="443"/>
      <c r="AY995" s="443"/>
      <c r="AZ995" s="443"/>
      <c r="BA995" s="443"/>
      <c r="BB995" s="443"/>
      <c r="BC995" s="443"/>
      <c r="BD995" s="443"/>
      <c r="BE995" s="443"/>
    </row>
    <row r="996">
      <c r="A996" s="445" t="str">
        <f t="shared" si="5"/>
        <v/>
      </c>
      <c r="B996" s="443"/>
      <c r="C996" s="443"/>
      <c r="D996" s="462"/>
      <c r="E996" s="436" t="str">
        <f t="array" ref="E996">IF(B996=0,"",(J996+K996)/60)</f>
        <v/>
      </c>
      <c r="F996" s="437" t="str">
        <f t="shared" si="1"/>
        <v/>
      </c>
      <c r="G996" s="438" t="str">
        <f t="shared" si="9"/>
        <v/>
      </c>
      <c r="H996" s="438" t="str">
        <f t="shared" si="3"/>
        <v/>
      </c>
      <c r="I996" s="436" t="str">
        <f t="shared" si="11"/>
        <v/>
      </c>
      <c r="J996" s="464"/>
      <c r="K996" s="464"/>
      <c r="L996" s="443"/>
      <c r="M996" s="443"/>
      <c r="N996" s="443"/>
      <c r="O996" s="443"/>
      <c r="P996" s="443"/>
      <c r="Q996" s="443"/>
      <c r="R996" s="443"/>
      <c r="S996" s="443"/>
      <c r="T996" s="443"/>
      <c r="U996" s="443"/>
      <c r="V996" s="443"/>
      <c r="W996" s="443"/>
      <c r="X996" s="443"/>
      <c r="Y996" s="443"/>
      <c r="Z996" s="443"/>
      <c r="AA996" s="443"/>
      <c r="AB996" s="443"/>
      <c r="AC996" s="443"/>
      <c r="AD996" s="443"/>
      <c r="AE996" s="443"/>
      <c r="AF996" s="443"/>
      <c r="AG996" s="443" t="s">
        <v>289</v>
      </c>
      <c r="AH996" s="443" t="s">
        <v>289</v>
      </c>
      <c r="AI996" s="443"/>
      <c r="AJ996" s="443"/>
      <c r="AK996" s="443"/>
      <c r="AL996" s="443"/>
      <c r="AM996" s="443"/>
      <c r="AN996" s="443"/>
      <c r="AO996" s="443"/>
      <c r="AP996" s="443"/>
      <c r="AQ996" s="443"/>
      <c r="AR996" s="443"/>
      <c r="AS996" s="443"/>
      <c r="AT996" s="443"/>
      <c r="AU996" s="443"/>
      <c r="AV996" s="443"/>
      <c r="AW996" s="443"/>
      <c r="AX996" s="443"/>
      <c r="AY996" s="443"/>
      <c r="AZ996" s="443"/>
      <c r="BA996" s="443"/>
      <c r="BB996" s="443"/>
      <c r="BC996" s="443"/>
      <c r="BD996" s="443"/>
      <c r="BE996" s="443"/>
    </row>
    <row r="997">
      <c r="A997" s="445" t="str">
        <f t="shared" si="5"/>
        <v/>
      </c>
      <c r="B997" s="443"/>
      <c r="C997" s="443"/>
      <c r="D997" s="462"/>
      <c r="E997" s="436" t="str">
        <f t="array" ref="E997">IF(B997=0,"",(J997+K997)/60)</f>
        <v/>
      </c>
      <c r="F997" s="437" t="str">
        <f t="shared" si="1"/>
        <v/>
      </c>
      <c r="G997" s="438" t="str">
        <f t="shared" si="9"/>
        <v/>
      </c>
      <c r="H997" s="438" t="str">
        <f t="shared" si="3"/>
        <v/>
      </c>
      <c r="I997" s="436" t="str">
        <f t="shared" si="11"/>
        <v/>
      </c>
      <c r="J997" s="464"/>
      <c r="K997" s="464"/>
      <c r="L997" s="443"/>
      <c r="M997" s="443"/>
      <c r="N997" s="443"/>
      <c r="O997" s="443"/>
      <c r="P997" s="443"/>
      <c r="Q997" s="443"/>
      <c r="R997" s="443"/>
      <c r="S997" s="443"/>
      <c r="T997" s="443"/>
      <c r="U997" s="443"/>
      <c r="V997" s="443"/>
      <c r="W997" s="443"/>
      <c r="X997" s="443"/>
      <c r="Y997" s="443"/>
      <c r="Z997" s="443"/>
      <c r="AA997" s="443"/>
      <c r="AB997" s="443"/>
      <c r="AC997" s="443"/>
      <c r="AD997" s="443"/>
      <c r="AE997" s="443"/>
      <c r="AF997" s="443"/>
      <c r="AG997" s="443" t="s">
        <v>289</v>
      </c>
      <c r="AH997" s="443" t="s">
        <v>289</v>
      </c>
      <c r="AI997" s="443"/>
      <c r="AJ997" s="443"/>
      <c r="AK997" s="443"/>
      <c r="AL997" s="443"/>
      <c r="AM997" s="443"/>
      <c r="AN997" s="443"/>
      <c r="AO997" s="443"/>
      <c r="AP997" s="443"/>
      <c r="AQ997" s="443"/>
      <c r="AR997" s="443"/>
      <c r="AS997" s="443"/>
      <c r="AT997" s="443"/>
      <c r="AU997" s="443"/>
      <c r="AV997" s="443"/>
      <c r="AW997" s="443"/>
      <c r="AX997" s="443"/>
      <c r="AY997" s="443"/>
      <c r="AZ997" s="443"/>
      <c r="BA997" s="443"/>
      <c r="BB997" s="443"/>
      <c r="BC997" s="443"/>
      <c r="BD997" s="443"/>
      <c r="BE997" s="443"/>
    </row>
    <row r="998">
      <c r="A998" s="445" t="str">
        <f t="shared" si="5"/>
        <v/>
      </c>
      <c r="B998" s="443"/>
      <c r="C998" s="443"/>
      <c r="D998" s="462"/>
      <c r="E998" s="436" t="str">
        <f t="array" ref="E998">IF(B998=0,"",(J998+K998)/60)</f>
        <v/>
      </c>
      <c r="F998" s="437" t="str">
        <f t="shared" si="1"/>
        <v/>
      </c>
      <c r="G998" s="438" t="str">
        <f t="shared" si="9"/>
        <v/>
      </c>
      <c r="H998" s="438" t="str">
        <f t="shared" si="3"/>
        <v/>
      </c>
      <c r="I998" s="436" t="str">
        <f t="shared" si="11"/>
        <v/>
      </c>
      <c r="J998" s="464"/>
      <c r="K998" s="464"/>
      <c r="L998" s="443"/>
      <c r="M998" s="443"/>
      <c r="N998" s="443"/>
      <c r="O998" s="443"/>
      <c r="P998" s="443"/>
      <c r="Q998" s="443"/>
      <c r="R998" s="443"/>
      <c r="S998" s="443"/>
      <c r="T998" s="443"/>
      <c r="U998" s="443"/>
      <c r="V998" s="443"/>
      <c r="W998" s="443"/>
      <c r="X998" s="443"/>
      <c r="Y998" s="443"/>
      <c r="Z998" s="443"/>
      <c r="AA998" s="443"/>
      <c r="AB998" s="443"/>
      <c r="AC998" s="443"/>
      <c r="AD998" s="443"/>
      <c r="AE998" s="443"/>
      <c r="AF998" s="443"/>
      <c r="AG998" s="443" t="s">
        <v>289</v>
      </c>
      <c r="AH998" s="443" t="s">
        <v>289</v>
      </c>
      <c r="AI998" s="443"/>
      <c r="AJ998" s="443"/>
      <c r="AK998" s="443"/>
      <c r="AL998" s="443"/>
      <c r="AM998" s="443"/>
      <c r="AN998" s="443"/>
      <c r="AO998" s="443"/>
      <c r="AP998" s="443"/>
      <c r="AQ998" s="443"/>
      <c r="AR998" s="443"/>
      <c r="AS998" s="443"/>
      <c r="AT998" s="443"/>
      <c r="AU998" s="443"/>
      <c r="AV998" s="443"/>
      <c r="AW998" s="443"/>
      <c r="AX998" s="443"/>
      <c r="AY998" s="443"/>
      <c r="AZ998" s="443"/>
      <c r="BA998" s="443"/>
      <c r="BB998" s="443"/>
      <c r="BC998" s="443"/>
      <c r="BD998" s="443"/>
      <c r="BE998" s="443"/>
    </row>
    <row r="999">
      <c r="A999" s="445" t="str">
        <f t="shared" si="5"/>
        <v/>
      </c>
      <c r="B999" s="443"/>
      <c r="C999" s="443"/>
      <c r="D999" s="462"/>
      <c r="E999" s="436" t="str">
        <f t="array" ref="E999">IF(B999=0,"",(J999+K999)/60)</f>
        <v/>
      </c>
      <c r="F999" s="437" t="str">
        <f t="shared" si="1"/>
        <v/>
      </c>
      <c r="G999" s="438" t="str">
        <f t="shared" si="9"/>
        <v/>
      </c>
      <c r="H999" s="438" t="str">
        <f t="shared" si="3"/>
        <v/>
      </c>
      <c r="I999" s="436" t="str">
        <f t="shared" si="11"/>
        <v/>
      </c>
      <c r="J999" s="464"/>
      <c r="K999" s="464"/>
      <c r="L999" s="443"/>
      <c r="M999" s="443"/>
      <c r="N999" s="443"/>
      <c r="O999" s="443"/>
      <c r="P999" s="443"/>
      <c r="Q999" s="443"/>
      <c r="R999" s="443"/>
      <c r="S999" s="443"/>
      <c r="T999" s="443"/>
      <c r="U999" s="443"/>
      <c r="V999" s="443"/>
      <c r="W999" s="443"/>
      <c r="X999" s="443"/>
      <c r="Y999" s="443"/>
      <c r="Z999" s="443"/>
      <c r="AA999" s="443"/>
      <c r="AB999" s="443"/>
      <c r="AC999" s="443"/>
      <c r="AD999" s="443"/>
      <c r="AE999" s="443"/>
      <c r="AF999" s="443"/>
      <c r="AG999" s="443" t="s">
        <v>289</v>
      </c>
      <c r="AH999" s="443" t="s">
        <v>289</v>
      </c>
      <c r="AI999" s="443"/>
      <c r="AJ999" s="443"/>
      <c r="AK999" s="443"/>
      <c r="AL999" s="443"/>
      <c r="AM999" s="443"/>
      <c r="AN999" s="443"/>
      <c r="AO999" s="443"/>
      <c r="AP999" s="443"/>
      <c r="AQ999" s="443"/>
      <c r="AR999" s="443"/>
      <c r="AS999" s="443"/>
      <c r="AT999" s="443"/>
      <c r="AU999" s="443"/>
      <c r="AV999" s="443"/>
      <c r="AW999" s="443"/>
      <c r="AX999" s="443"/>
      <c r="AY999" s="443"/>
      <c r="AZ999" s="443"/>
      <c r="BA999" s="443"/>
      <c r="BB999" s="443"/>
      <c r="BC999" s="443"/>
      <c r="BD999" s="443"/>
      <c r="BE999" s="443"/>
    </row>
    <row r="1000">
      <c r="A1000" s="445" t="str">
        <f t="shared" si="5"/>
        <v/>
      </c>
      <c r="B1000" s="443"/>
      <c r="C1000" s="443"/>
      <c r="D1000" s="462"/>
      <c r="E1000" s="436" t="str">
        <f t="array" ref="E1000">IF(B1000=0,"",(J1000+K1000)/60)</f>
        <v/>
      </c>
      <c r="F1000" s="437" t="str">
        <f t="shared" si="1"/>
        <v/>
      </c>
      <c r="G1000" s="438" t="str">
        <f t="shared" si="9"/>
        <v/>
      </c>
      <c r="H1000" s="438" t="str">
        <f t="shared" si="3"/>
        <v/>
      </c>
      <c r="I1000" s="436" t="str">
        <f t="shared" si="11"/>
        <v/>
      </c>
      <c r="J1000" s="464"/>
      <c r="K1000" s="464"/>
      <c r="L1000" s="443"/>
      <c r="M1000" s="443"/>
      <c r="N1000" s="443"/>
      <c r="O1000" s="443"/>
      <c r="P1000" s="443"/>
      <c r="Q1000" s="443"/>
      <c r="R1000" s="443"/>
      <c r="S1000" s="443"/>
      <c r="T1000" s="443"/>
      <c r="U1000" s="443"/>
      <c r="V1000" s="443"/>
      <c r="W1000" s="443"/>
      <c r="X1000" s="443"/>
      <c r="Y1000" s="443"/>
      <c r="Z1000" s="443"/>
      <c r="AA1000" s="443"/>
      <c r="AB1000" s="443"/>
      <c r="AC1000" s="443"/>
      <c r="AD1000" s="443"/>
      <c r="AE1000" s="443"/>
      <c r="AF1000" s="443"/>
      <c r="AG1000" s="443" t="s">
        <v>289</v>
      </c>
      <c r="AH1000" s="443" t="s">
        <v>289</v>
      </c>
      <c r="AI1000" s="443"/>
      <c r="AJ1000" s="443"/>
      <c r="AK1000" s="443"/>
      <c r="AL1000" s="443"/>
      <c r="AM1000" s="443"/>
      <c r="AN1000" s="443"/>
      <c r="AO1000" s="443"/>
      <c r="AP1000" s="443"/>
      <c r="AQ1000" s="443"/>
      <c r="AR1000" s="443"/>
      <c r="AS1000" s="443"/>
      <c r="AT1000" s="443"/>
      <c r="AU1000" s="443"/>
      <c r="AV1000" s="443"/>
      <c r="AW1000" s="443"/>
      <c r="AX1000" s="443"/>
      <c r="AY1000" s="443"/>
      <c r="AZ1000" s="443"/>
      <c r="BA1000" s="443"/>
      <c r="BB1000" s="443"/>
      <c r="BC1000" s="443"/>
      <c r="BD1000" s="443"/>
      <c r="BE1000" s="443"/>
    </row>
    <row r="1001">
      <c r="A1001" s="445" t="str">
        <f t="shared" si="5"/>
        <v/>
      </c>
      <c r="B1001" s="443"/>
      <c r="C1001" s="443"/>
      <c r="D1001" s="462"/>
      <c r="E1001" s="436" t="str">
        <f t="array" ref="E1001">IF(B1001=0,"",(J1001+K1001)/60)</f>
        <v/>
      </c>
      <c r="F1001" s="437" t="str">
        <f t="shared" si="1"/>
        <v/>
      </c>
      <c r="G1001" s="438" t="str">
        <f t="shared" si="9"/>
        <v/>
      </c>
      <c r="H1001" s="438" t="str">
        <f t="shared" si="3"/>
        <v/>
      </c>
      <c r="I1001" s="436" t="str">
        <f t="shared" si="11"/>
        <v/>
      </c>
      <c r="J1001" s="464"/>
      <c r="K1001" s="464"/>
      <c r="L1001" s="443"/>
      <c r="M1001" s="443"/>
      <c r="N1001" s="443"/>
      <c r="O1001" s="443"/>
      <c r="P1001" s="443"/>
      <c r="Q1001" s="443"/>
      <c r="R1001" s="443"/>
      <c r="S1001" s="443"/>
      <c r="T1001" s="443"/>
      <c r="U1001" s="443"/>
      <c r="V1001" s="443"/>
      <c r="W1001" s="443"/>
      <c r="X1001" s="443"/>
      <c r="Y1001" s="443"/>
      <c r="Z1001" s="443"/>
      <c r="AA1001" s="443"/>
      <c r="AB1001" s="443"/>
      <c r="AC1001" s="443"/>
      <c r="AD1001" s="443"/>
      <c r="AE1001" s="443"/>
      <c r="AF1001" s="443"/>
      <c r="AG1001" s="443" t="s">
        <v>289</v>
      </c>
      <c r="AH1001" s="443" t="s">
        <v>289</v>
      </c>
      <c r="AI1001" s="443"/>
      <c r="AJ1001" s="443"/>
      <c r="AK1001" s="443"/>
      <c r="AL1001" s="443"/>
      <c r="AM1001" s="443"/>
      <c r="AN1001" s="443"/>
      <c r="AO1001" s="443"/>
      <c r="AP1001" s="443"/>
      <c r="AQ1001" s="443"/>
      <c r="AR1001" s="443"/>
      <c r="AS1001" s="443"/>
      <c r="AT1001" s="443"/>
      <c r="AU1001" s="443"/>
      <c r="AV1001" s="443"/>
      <c r="AW1001" s="443"/>
      <c r="AX1001" s="443"/>
      <c r="AY1001" s="443"/>
      <c r="AZ1001" s="443"/>
      <c r="BA1001" s="443"/>
      <c r="BB1001" s="443"/>
      <c r="BC1001" s="443"/>
      <c r="BD1001" s="443"/>
      <c r="BE1001" s="443"/>
    </row>
    <row r="1002">
      <c r="A1002" s="445" t="str">
        <f t="shared" si="5"/>
        <v/>
      </c>
      <c r="B1002" s="443"/>
      <c r="C1002" s="443"/>
      <c r="D1002" s="462"/>
      <c r="E1002" s="436" t="str">
        <f t="array" ref="E1002">IF(B1002=0,"",(J1002+K1002)/60)</f>
        <v/>
      </c>
      <c r="F1002" s="437" t="str">
        <f t="shared" si="1"/>
        <v/>
      </c>
      <c r="G1002" s="438" t="str">
        <f t="shared" si="9"/>
        <v/>
      </c>
      <c r="H1002" s="438" t="str">
        <f t="shared" si="3"/>
        <v/>
      </c>
      <c r="I1002" s="436" t="str">
        <f t="shared" si="11"/>
        <v/>
      </c>
      <c r="J1002" s="464"/>
      <c r="K1002" s="464"/>
      <c r="L1002" s="443"/>
      <c r="M1002" s="443"/>
      <c r="N1002" s="443"/>
      <c r="O1002" s="443"/>
      <c r="P1002" s="443"/>
      <c r="Q1002" s="443"/>
      <c r="R1002" s="443"/>
      <c r="S1002" s="443"/>
      <c r="T1002" s="443"/>
      <c r="U1002" s="443"/>
      <c r="V1002" s="443"/>
      <c r="W1002" s="443"/>
      <c r="X1002" s="443"/>
      <c r="Y1002" s="443"/>
      <c r="Z1002" s="443"/>
      <c r="AA1002" s="443"/>
      <c r="AB1002" s="443"/>
      <c r="AC1002" s="443"/>
      <c r="AD1002" s="443"/>
      <c r="AE1002" s="443"/>
      <c r="AF1002" s="443"/>
      <c r="AG1002" s="443" t="s">
        <v>289</v>
      </c>
      <c r="AH1002" s="443" t="s">
        <v>289</v>
      </c>
      <c r="AI1002" s="443"/>
      <c r="AJ1002" s="443"/>
      <c r="AK1002" s="443"/>
      <c r="AL1002" s="443"/>
      <c r="AM1002" s="443"/>
      <c r="AN1002" s="443"/>
      <c r="AO1002" s="443"/>
      <c r="AP1002" s="443"/>
      <c r="AQ1002" s="443"/>
      <c r="AR1002" s="443"/>
      <c r="AS1002" s="443"/>
      <c r="AT1002" s="443"/>
      <c r="AU1002" s="443"/>
      <c r="AV1002" s="443"/>
      <c r="AW1002" s="443"/>
      <c r="AX1002" s="443"/>
      <c r="AY1002" s="443"/>
      <c r="AZ1002" s="443"/>
      <c r="BA1002" s="443"/>
      <c r="BB1002" s="443"/>
      <c r="BC1002" s="443"/>
      <c r="BD1002" s="443"/>
      <c r="BE1002" s="443"/>
    </row>
    <row r="1003">
      <c r="A1003" s="445" t="str">
        <f t="shared" si="5"/>
        <v/>
      </c>
      <c r="B1003" s="443"/>
      <c r="C1003" s="443"/>
      <c r="D1003" s="462"/>
      <c r="E1003" s="436" t="str">
        <f t="array" ref="E1003">IF(B1003=0,"",(J1003+K1003)/60)</f>
        <v/>
      </c>
      <c r="F1003" s="437" t="str">
        <f t="shared" si="1"/>
        <v/>
      </c>
      <c r="G1003" s="438" t="str">
        <f t="shared" si="9"/>
        <v/>
      </c>
      <c r="H1003" s="438" t="str">
        <f t="shared" si="3"/>
        <v/>
      </c>
      <c r="I1003" s="436" t="str">
        <f t="shared" si="11"/>
        <v/>
      </c>
      <c r="J1003" s="464"/>
      <c r="K1003" s="464"/>
      <c r="L1003" s="443"/>
      <c r="M1003" s="443"/>
      <c r="N1003" s="443"/>
      <c r="O1003" s="443"/>
      <c r="P1003" s="443"/>
      <c r="Q1003" s="443"/>
      <c r="R1003" s="443"/>
      <c r="S1003" s="443"/>
      <c r="T1003" s="443"/>
      <c r="U1003" s="443"/>
      <c r="V1003" s="443"/>
      <c r="W1003" s="443"/>
      <c r="X1003" s="443"/>
      <c r="Y1003" s="443"/>
      <c r="Z1003" s="443"/>
      <c r="AA1003" s="443"/>
      <c r="AB1003" s="443"/>
      <c r="AC1003" s="443"/>
      <c r="AD1003" s="443"/>
      <c r="AE1003" s="443"/>
      <c r="AF1003" s="443"/>
      <c r="AG1003" s="443" t="s">
        <v>289</v>
      </c>
      <c r="AH1003" s="443" t="s">
        <v>289</v>
      </c>
      <c r="AI1003" s="443"/>
      <c r="AJ1003" s="443"/>
      <c r="AK1003" s="443"/>
      <c r="AL1003" s="443"/>
      <c r="AM1003" s="443"/>
      <c r="AN1003" s="443"/>
      <c r="AO1003" s="443"/>
      <c r="AP1003" s="443"/>
      <c r="AQ1003" s="443"/>
      <c r="AR1003" s="443"/>
      <c r="AS1003" s="443"/>
      <c r="AT1003" s="443"/>
      <c r="AU1003" s="443"/>
      <c r="AV1003" s="443"/>
      <c r="AW1003" s="443"/>
      <c r="AX1003" s="443"/>
      <c r="AY1003" s="443"/>
      <c r="AZ1003" s="443"/>
      <c r="BA1003" s="443"/>
      <c r="BB1003" s="443"/>
      <c r="BC1003" s="443"/>
      <c r="BD1003" s="443"/>
      <c r="BE1003" s="443"/>
    </row>
    <row r="1004">
      <c r="A1004" s="445" t="str">
        <f t="shared" si="5"/>
        <v/>
      </c>
      <c r="B1004" s="443"/>
      <c r="C1004" s="443"/>
      <c r="D1004" s="462"/>
      <c r="E1004" s="436" t="str">
        <f t="array" ref="E1004">IF(B1004=0,"",(J1004+K1004)/60)</f>
        <v/>
      </c>
      <c r="F1004" s="437" t="str">
        <f t="shared" si="1"/>
        <v/>
      </c>
      <c r="G1004" s="438" t="str">
        <f t="shared" si="9"/>
        <v/>
      </c>
      <c r="H1004" s="438" t="str">
        <f t="shared" si="3"/>
        <v/>
      </c>
      <c r="I1004" s="436" t="str">
        <f t="shared" si="11"/>
        <v/>
      </c>
      <c r="J1004" s="464"/>
      <c r="K1004" s="464"/>
      <c r="L1004" s="443"/>
      <c r="M1004" s="443"/>
      <c r="N1004" s="443"/>
      <c r="O1004" s="443"/>
      <c r="P1004" s="443"/>
      <c r="Q1004" s="443"/>
      <c r="R1004" s="443"/>
      <c r="S1004" s="443"/>
      <c r="T1004" s="443"/>
      <c r="U1004" s="443"/>
      <c r="V1004" s="443"/>
      <c r="W1004" s="443"/>
      <c r="X1004" s="443"/>
      <c r="Y1004" s="443"/>
      <c r="Z1004" s="443"/>
      <c r="AA1004" s="443"/>
      <c r="AB1004" s="443"/>
      <c r="AC1004" s="443"/>
      <c r="AD1004" s="443"/>
      <c r="AE1004" s="443"/>
      <c r="AF1004" s="443"/>
      <c r="AG1004" s="443" t="s">
        <v>289</v>
      </c>
      <c r="AH1004" s="443" t="s">
        <v>289</v>
      </c>
      <c r="AI1004" s="443"/>
      <c r="AJ1004" s="443"/>
      <c r="AK1004" s="443"/>
      <c r="AL1004" s="443"/>
      <c r="AM1004" s="443"/>
      <c r="AN1004" s="443"/>
      <c r="AO1004" s="443"/>
      <c r="AP1004" s="443"/>
      <c r="AQ1004" s="443"/>
      <c r="AR1004" s="443"/>
      <c r="AS1004" s="443"/>
      <c r="AT1004" s="443"/>
      <c r="AU1004" s="443"/>
      <c r="AV1004" s="443"/>
      <c r="AW1004" s="443"/>
      <c r="AX1004" s="443"/>
      <c r="AY1004" s="443"/>
      <c r="AZ1004" s="443"/>
      <c r="BA1004" s="443"/>
      <c r="BB1004" s="443"/>
      <c r="BC1004" s="443"/>
      <c r="BD1004" s="443"/>
      <c r="BE1004" s="443"/>
    </row>
    <row r="1005">
      <c r="A1005" s="445" t="str">
        <f t="shared" si="5"/>
        <v/>
      </c>
      <c r="B1005" s="443"/>
      <c r="C1005" s="443"/>
      <c r="D1005" s="462"/>
      <c r="E1005" s="436" t="str">
        <f t="array" ref="E1005">IF(B1005=0,"",(J1005+K1005)/60)</f>
        <v/>
      </c>
      <c r="F1005" s="437" t="str">
        <f t="shared" si="1"/>
        <v/>
      </c>
      <c r="G1005" s="438" t="str">
        <f t="shared" si="9"/>
        <v/>
      </c>
      <c r="H1005" s="438" t="str">
        <f t="shared" si="3"/>
        <v/>
      </c>
      <c r="I1005" s="436" t="str">
        <f t="shared" si="11"/>
        <v/>
      </c>
      <c r="J1005" s="464"/>
      <c r="K1005" s="464"/>
      <c r="L1005" s="443"/>
      <c r="M1005" s="443"/>
      <c r="N1005" s="443"/>
      <c r="O1005" s="443"/>
      <c r="P1005" s="443"/>
      <c r="Q1005" s="443"/>
      <c r="R1005" s="443"/>
      <c r="S1005" s="443"/>
      <c r="T1005" s="443"/>
      <c r="U1005" s="443"/>
      <c r="V1005" s="443"/>
      <c r="W1005" s="443"/>
      <c r="X1005" s="443"/>
      <c r="Y1005" s="443"/>
      <c r="Z1005" s="443"/>
      <c r="AA1005" s="443"/>
      <c r="AB1005" s="443"/>
      <c r="AC1005" s="443"/>
      <c r="AD1005" s="443"/>
      <c r="AE1005" s="443"/>
      <c r="AF1005" s="443"/>
      <c r="AG1005" s="443" t="s">
        <v>289</v>
      </c>
      <c r="AH1005" s="443" t="s">
        <v>289</v>
      </c>
      <c r="AI1005" s="443"/>
      <c r="AJ1005" s="443"/>
      <c r="AK1005" s="443"/>
      <c r="AL1005" s="443"/>
      <c r="AM1005" s="443"/>
      <c r="AN1005" s="443"/>
      <c r="AO1005" s="443"/>
      <c r="AP1005" s="443"/>
      <c r="AQ1005" s="443"/>
      <c r="AR1005" s="443"/>
      <c r="AS1005" s="443"/>
      <c r="AT1005" s="443"/>
      <c r="AU1005" s="443"/>
      <c r="AV1005" s="443"/>
      <c r="AW1005" s="443"/>
      <c r="AX1005" s="443"/>
      <c r="AY1005" s="443"/>
      <c r="AZ1005" s="443"/>
      <c r="BA1005" s="443"/>
      <c r="BB1005" s="443"/>
      <c r="BC1005" s="443"/>
      <c r="BD1005" s="443"/>
      <c r="BE1005" s="443"/>
    </row>
    <row r="1006">
      <c r="A1006" s="445" t="str">
        <f t="shared" si="5"/>
        <v/>
      </c>
      <c r="B1006" s="443"/>
      <c r="C1006" s="443"/>
      <c r="D1006" s="462"/>
      <c r="E1006" s="436" t="str">
        <f t="array" ref="E1006">IF(B1006=0,"",(J1006+K1006)/60)</f>
        <v/>
      </c>
      <c r="F1006" s="437" t="str">
        <f t="shared" si="1"/>
        <v/>
      </c>
      <c r="G1006" s="438" t="str">
        <f t="shared" si="9"/>
        <v/>
      </c>
      <c r="H1006" s="438" t="str">
        <f t="shared" si="3"/>
        <v/>
      </c>
      <c r="I1006" s="436" t="str">
        <f t="shared" si="11"/>
        <v/>
      </c>
      <c r="J1006" s="464"/>
      <c r="K1006" s="464"/>
      <c r="L1006" s="443"/>
      <c r="M1006" s="443"/>
      <c r="N1006" s="443"/>
      <c r="O1006" s="443"/>
      <c r="P1006" s="443"/>
      <c r="Q1006" s="443"/>
      <c r="R1006" s="443"/>
      <c r="S1006" s="443"/>
      <c r="T1006" s="443"/>
      <c r="U1006" s="443"/>
      <c r="V1006" s="443"/>
      <c r="W1006" s="443"/>
      <c r="X1006" s="443"/>
      <c r="Y1006" s="443"/>
      <c r="Z1006" s="443"/>
      <c r="AA1006" s="443"/>
      <c r="AB1006" s="443"/>
      <c r="AC1006" s="443"/>
      <c r="AD1006" s="443"/>
      <c r="AE1006" s="443"/>
      <c r="AF1006" s="443"/>
      <c r="AG1006" s="443" t="s">
        <v>289</v>
      </c>
      <c r="AH1006" s="443" t="s">
        <v>289</v>
      </c>
      <c r="AI1006" s="443"/>
      <c r="AJ1006" s="443"/>
      <c r="AK1006" s="443"/>
      <c r="AL1006" s="443"/>
      <c r="AM1006" s="443"/>
      <c r="AN1006" s="443"/>
      <c r="AO1006" s="443"/>
      <c r="AP1006" s="443"/>
      <c r="AQ1006" s="443"/>
      <c r="AR1006" s="443"/>
      <c r="AS1006" s="443"/>
      <c r="AT1006" s="443"/>
      <c r="AU1006" s="443"/>
      <c r="AV1006" s="443"/>
      <c r="AW1006" s="443"/>
      <c r="AX1006" s="443"/>
      <c r="AY1006" s="443"/>
      <c r="AZ1006" s="443"/>
      <c r="BA1006" s="443"/>
      <c r="BB1006" s="443"/>
      <c r="BC1006" s="443"/>
      <c r="BD1006" s="443"/>
      <c r="BE1006" s="443"/>
    </row>
    <row r="1007">
      <c r="A1007" s="445" t="str">
        <f t="shared" si="5"/>
        <v/>
      </c>
      <c r="B1007" s="443"/>
      <c r="C1007" s="443"/>
      <c r="D1007" s="462"/>
      <c r="E1007" s="436" t="str">
        <f t="array" ref="E1007">IF(B1007=0,"",(J1007+K1007)/60)</f>
        <v/>
      </c>
      <c r="F1007" s="437" t="str">
        <f t="shared" si="1"/>
        <v/>
      </c>
      <c r="G1007" s="438" t="str">
        <f t="shared" si="9"/>
        <v/>
      </c>
      <c r="H1007" s="438" t="str">
        <f t="shared" si="3"/>
        <v/>
      </c>
      <c r="I1007" s="436" t="str">
        <f t="shared" si="11"/>
        <v/>
      </c>
      <c r="J1007" s="464"/>
      <c r="K1007" s="464"/>
      <c r="L1007" s="443"/>
      <c r="M1007" s="443"/>
      <c r="N1007" s="443"/>
      <c r="O1007" s="443"/>
      <c r="P1007" s="443"/>
      <c r="Q1007" s="443"/>
      <c r="R1007" s="443"/>
      <c r="S1007" s="443"/>
      <c r="T1007" s="443"/>
      <c r="U1007" s="443"/>
      <c r="V1007" s="443"/>
      <c r="W1007" s="443"/>
      <c r="X1007" s="443"/>
      <c r="Y1007" s="443"/>
      <c r="Z1007" s="443"/>
      <c r="AA1007" s="443"/>
      <c r="AB1007" s="443"/>
      <c r="AC1007" s="443"/>
      <c r="AD1007" s="443"/>
      <c r="AE1007" s="443"/>
      <c r="AF1007" s="443"/>
      <c r="AG1007" s="443" t="s">
        <v>289</v>
      </c>
      <c r="AH1007" s="443" t="s">
        <v>289</v>
      </c>
      <c r="AI1007" s="443"/>
      <c r="AJ1007" s="443"/>
      <c r="AK1007" s="443"/>
      <c r="AL1007" s="443"/>
      <c r="AM1007" s="443"/>
      <c r="AN1007" s="443"/>
      <c r="AO1007" s="443"/>
      <c r="AP1007" s="443"/>
      <c r="AQ1007" s="443"/>
      <c r="AR1007" s="443"/>
      <c r="AS1007" s="443"/>
      <c r="AT1007" s="443"/>
      <c r="AU1007" s="443"/>
      <c r="AV1007" s="443"/>
      <c r="AW1007" s="443"/>
      <c r="AX1007" s="443"/>
      <c r="AY1007" s="443"/>
      <c r="AZ1007" s="443"/>
      <c r="BA1007" s="443"/>
      <c r="BB1007" s="443"/>
      <c r="BC1007" s="443"/>
      <c r="BD1007" s="443"/>
      <c r="BE1007" s="443"/>
    </row>
    <row r="1008">
      <c r="A1008" s="445" t="str">
        <f t="shared" si="5"/>
        <v/>
      </c>
      <c r="B1008" s="443"/>
      <c r="C1008" s="443"/>
      <c r="D1008" s="462"/>
      <c r="E1008" s="436" t="str">
        <f t="array" ref="E1008">IF(B1008=0,"",(J1008+K1008)/60)</f>
        <v/>
      </c>
      <c r="F1008" s="437" t="str">
        <f t="shared" si="1"/>
        <v/>
      </c>
      <c r="G1008" s="438" t="str">
        <f t="shared" si="9"/>
        <v/>
      </c>
      <c r="H1008" s="438" t="str">
        <f t="shared" si="3"/>
        <v/>
      </c>
      <c r="I1008" s="436" t="str">
        <f t="shared" si="11"/>
        <v/>
      </c>
      <c r="J1008" s="464"/>
      <c r="K1008" s="464"/>
      <c r="L1008" s="443"/>
      <c r="M1008" s="443"/>
      <c r="N1008" s="443"/>
      <c r="O1008" s="443"/>
      <c r="P1008" s="443"/>
      <c r="Q1008" s="443"/>
      <c r="R1008" s="443"/>
      <c r="S1008" s="443"/>
      <c r="T1008" s="443"/>
      <c r="U1008" s="443"/>
      <c r="V1008" s="443"/>
      <c r="W1008" s="443"/>
      <c r="X1008" s="443"/>
      <c r="Y1008" s="443"/>
      <c r="Z1008" s="443"/>
      <c r="AA1008" s="443"/>
      <c r="AB1008" s="443"/>
      <c r="AC1008" s="443"/>
      <c r="AD1008" s="443"/>
      <c r="AE1008" s="443"/>
      <c r="AF1008" s="443"/>
      <c r="AG1008" s="443" t="s">
        <v>289</v>
      </c>
      <c r="AH1008" s="443" t="s">
        <v>289</v>
      </c>
      <c r="AI1008" s="443"/>
      <c r="AJ1008" s="443"/>
      <c r="AK1008" s="443"/>
      <c r="AL1008" s="443"/>
      <c r="AM1008" s="443"/>
      <c r="AN1008" s="443"/>
      <c r="AO1008" s="443"/>
      <c r="AP1008" s="443"/>
      <c r="AQ1008" s="443"/>
      <c r="AR1008" s="443"/>
      <c r="AS1008" s="443"/>
      <c r="AT1008" s="443"/>
      <c r="AU1008" s="443"/>
      <c r="AV1008" s="443"/>
      <c r="AW1008" s="443"/>
      <c r="AX1008" s="443"/>
      <c r="AY1008" s="443"/>
      <c r="AZ1008" s="443"/>
      <c r="BA1008" s="443"/>
      <c r="BB1008" s="443"/>
      <c r="BC1008" s="443"/>
      <c r="BD1008" s="443"/>
      <c r="BE1008" s="443"/>
    </row>
    <row r="1009">
      <c r="A1009" s="445" t="str">
        <f t="shared" si="5"/>
        <v/>
      </c>
      <c r="B1009" s="443"/>
      <c r="C1009" s="443"/>
      <c r="D1009" s="462"/>
      <c r="E1009" s="436" t="str">
        <f t="array" ref="E1009">IF(B1009=0,"",(J1009+K1009)/60)</f>
        <v/>
      </c>
      <c r="F1009" s="437" t="str">
        <f t="shared" si="1"/>
        <v/>
      </c>
      <c r="G1009" s="438" t="str">
        <f t="shared" si="9"/>
        <v/>
      </c>
      <c r="H1009" s="438" t="str">
        <f t="shared" si="3"/>
        <v/>
      </c>
      <c r="I1009" s="436" t="str">
        <f t="shared" si="11"/>
        <v/>
      </c>
      <c r="J1009" s="464"/>
      <c r="K1009" s="464"/>
      <c r="L1009" s="443"/>
      <c r="M1009" s="443"/>
      <c r="N1009" s="443"/>
      <c r="O1009" s="443"/>
      <c r="P1009" s="443"/>
      <c r="Q1009" s="443"/>
      <c r="R1009" s="443"/>
      <c r="S1009" s="443"/>
      <c r="T1009" s="443"/>
      <c r="U1009" s="443"/>
      <c r="V1009" s="443"/>
      <c r="W1009" s="443"/>
      <c r="X1009" s="443"/>
      <c r="Y1009" s="443"/>
      <c r="Z1009" s="443"/>
      <c r="AA1009" s="443"/>
      <c r="AB1009" s="443"/>
      <c r="AC1009" s="443"/>
      <c r="AD1009" s="443"/>
      <c r="AE1009" s="443"/>
      <c r="AF1009" s="443"/>
      <c r="AG1009" s="443" t="s">
        <v>289</v>
      </c>
      <c r="AH1009" s="443" t="s">
        <v>289</v>
      </c>
      <c r="AI1009" s="443"/>
      <c r="AJ1009" s="443"/>
      <c r="AK1009" s="443"/>
      <c r="AL1009" s="443"/>
      <c r="AM1009" s="443"/>
      <c r="AN1009" s="443"/>
      <c r="AO1009" s="443"/>
      <c r="AP1009" s="443"/>
      <c r="AQ1009" s="443"/>
      <c r="AR1009" s="443"/>
      <c r="AS1009" s="443"/>
      <c r="AT1009" s="443"/>
      <c r="AU1009" s="443"/>
      <c r="AV1009" s="443"/>
      <c r="AW1009" s="443"/>
      <c r="AX1009" s="443"/>
      <c r="AY1009" s="443"/>
      <c r="AZ1009" s="443"/>
      <c r="BA1009" s="443"/>
      <c r="BB1009" s="443"/>
      <c r="BC1009" s="443"/>
      <c r="BD1009" s="443"/>
      <c r="BE1009" s="443"/>
    </row>
    <row r="1010">
      <c r="A1010" s="445" t="str">
        <f t="shared" si="5"/>
        <v/>
      </c>
      <c r="B1010" s="443"/>
      <c r="C1010" s="443"/>
      <c r="D1010" s="462"/>
      <c r="E1010" s="436" t="str">
        <f t="array" ref="E1010">IF(B1010=0,"",(J1010+K1010)/60)</f>
        <v/>
      </c>
      <c r="F1010" s="437" t="str">
        <f t="shared" si="1"/>
        <v/>
      </c>
      <c r="G1010" s="438" t="str">
        <f t="shared" si="9"/>
        <v/>
      </c>
      <c r="H1010" s="438" t="str">
        <f t="shared" si="3"/>
        <v/>
      </c>
      <c r="I1010" s="436" t="str">
        <f t="shared" si="11"/>
        <v/>
      </c>
      <c r="J1010" s="464"/>
      <c r="K1010" s="464"/>
      <c r="L1010" s="443"/>
      <c r="M1010" s="443"/>
      <c r="N1010" s="443"/>
      <c r="O1010" s="443"/>
      <c r="P1010" s="443"/>
      <c r="Q1010" s="443"/>
      <c r="R1010" s="443"/>
      <c r="S1010" s="443"/>
      <c r="T1010" s="443"/>
      <c r="U1010" s="443"/>
      <c r="V1010" s="443"/>
      <c r="W1010" s="443"/>
      <c r="X1010" s="443"/>
      <c r="Y1010" s="443"/>
      <c r="Z1010" s="443"/>
      <c r="AA1010" s="443"/>
      <c r="AB1010" s="443"/>
      <c r="AC1010" s="443"/>
      <c r="AD1010" s="443"/>
      <c r="AE1010" s="443"/>
      <c r="AF1010" s="443"/>
      <c r="AG1010" s="443" t="s">
        <v>289</v>
      </c>
      <c r="AH1010" s="443" t="s">
        <v>289</v>
      </c>
      <c r="AI1010" s="443"/>
      <c r="AJ1010" s="443"/>
      <c r="AK1010" s="443"/>
      <c r="AL1010" s="443"/>
      <c r="AM1010" s="443"/>
      <c r="AN1010" s="443"/>
      <c r="AO1010" s="443"/>
      <c r="AP1010" s="443"/>
      <c r="AQ1010" s="443"/>
      <c r="AR1010" s="443"/>
      <c r="AS1010" s="443"/>
      <c r="AT1010" s="443"/>
      <c r="AU1010" s="443"/>
      <c r="AV1010" s="443"/>
      <c r="AW1010" s="443"/>
      <c r="AX1010" s="443"/>
      <c r="AY1010" s="443"/>
      <c r="AZ1010" s="443"/>
      <c r="BA1010" s="443"/>
      <c r="BB1010" s="443"/>
      <c r="BC1010" s="443"/>
      <c r="BD1010" s="443"/>
      <c r="BE1010" s="443"/>
    </row>
    <row r="1011">
      <c r="A1011" s="445" t="str">
        <f t="shared" si="5"/>
        <v/>
      </c>
      <c r="B1011" s="443"/>
      <c r="C1011" s="443"/>
      <c r="D1011" s="462"/>
      <c r="E1011" s="436" t="str">
        <f t="array" ref="E1011">IF(B1011=0,"",(J1011+K1011)/60)</f>
        <v/>
      </c>
      <c r="F1011" s="437" t="str">
        <f t="shared" si="1"/>
        <v/>
      </c>
      <c r="G1011" s="438" t="str">
        <f t="shared" si="9"/>
        <v/>
      </c>
      <c r="H1011" s="438" t="str">
        <f t="shared" si="3"/>
        <v/>
      </c>
      <c r="I1011" s="436" t="str">
        <f t="shared" si="11"/>
        <v/>
      </c>
      <c r="J1011" s="464"/>
      <c r="K1011" s="464"/>
      <c r="L1011" s="443"/>
      <c r="M1011" s="443"/>
      <c r="N1011" s="443"/>
      <c r="O1011" s="443"/>
      <c r="P1011" s="443"/>
      <c r="Q1011" s="443"/>
      <c r="R1011" s="443"/>
      <c r="S1011" s="443"/>
      <c r="T1011" s="443"/>
      <c r="U1011" s="443"/>
      <c r="V1011" s="443"/>
      <c r="W1011" s="443"/>
      <c r="X1011" s="443"/>
      <c r="Y1011" s="443"/>
      <c r="Z1011" s="443"/>
      <c r="AA1011" s="443"/>
      <c r="AB1011" s="443"/>
      <c r="AC1011" s="443"/>
      <c r="AD1011" s="443"/>
      <c r="AE1011" s="443"/>
      <c r="AF1011" s="443"/>
      <c r="AG1011" s="443" t="s">
        <v>289</v>
      </c>
      <c r="AH1011" s="443" t="s">
        <v>289</v>
      </c>
      <c r="AI1011" s="443"/>
      <c r="AJ1011" s="443"/>
      <c r="AK1011" s="443"/>
      <c r="AL1011" s="443"/>
      <c r="AM1011" s="443"/>
      <c r="AN1011" s="443"/>
      <c r="AO1011" s="443"/>
      <c r="AP1011" s="443"/>
      <c r="AQ1011" s="443"/>
      <c r="AR1011" s="443"/>
      <c r="AS1011" s="443"/>
      <c r="AT1011" s="443"/>
      <c r="AU1011" s="443"/>
      <c r="AV1011" s="443"/>
      <c r="AW1011" s="443"/>
      <c r="AX1011" s="443"/>
      <c r="AY1011" s="443"/>
      <c r="AZ1011" s="443"/>
      <c r="BA1011" s="443"/>
      <c r="BB1011" s="443"/>
      <c r="BC1011" s="443"/>
      <c r="BD1011" s="443"/>
      <c r="BE1011" s="443"/>
    </row>
    <row r="1012">
      <c r="A1012" s="445" t="str">
        <f t="shared" si="5"/>
        <v/>
      </c>
      <c r="B1012" s="443"/>
      <c r="C1012" s="443"/>
      <c r="D1012" s="462"/>
      <c r="E1012" s="436" t="str">
        <f t="array" ref="E1012">IF(B1012=0,"",(J1012+K1012)/60)</f>
        <v/>
      </c>
      <c r="F1012" s="437" t="str">
        <f t="shared" si="1"/>
        <v/>
      </c>
      <c r="G1012" s="438" t="str">
        <f t="shared" si="9"/>
        <v/>
      </c>
      <c r="H1012" s="438" t="str">
        <f t="shared" si="3"/>
        <v/>
      </c>
      <c r="I1012" s="436" t="str">
        <f t="shared" si="11"/>
        <v/>
      </c>
      <c r="J1012" s="464"/>
      <c r="K1012" s="464"/>
      <c r="L1012" s="443"/>
      <c r="M1012" s="443"/>
      <c r="N1012" s="443"/>
      <c r="O1012" s="443"/>
      <c r="P1012" s="443"/>
      <c r="Q1012" s="443"/>
      <c r="R1012" s="443"/>
      <c r="S1012" s="443"/>
      <c r="T1012" s="443"/>
      <c r="U1012" s="443"/>
      <c r="V1012" s="443"/>
      <c r="W1012" s="443"/>
      <c r="X1012" s="443"/>
      <c r="Y1012" s="443"/>
      <c r="Z1012" s="443"/>
      <c r="AA1012" s="443"/>
      <c r="AB1012" s="443"/>
      <c r="AC1012" s="443"/>
      <c r="AD1012" s="443"/>
      <c r="AE1012" s="443"/>
      <c r="AF1012" s="443"/>
      <c r="AG1012" s="443" t="s">
        <v>289</v>
      </c>
      <c r="AH1012" s="443" t="s">
        <v>289</v>
      </c>
      <c r="AI1012" s="443"/>
      <c r="AJ1012" s="443"/>
      <c r="AK1012" s="443"/>
      <c r="AL1012" s="443"/>
      <c r="AM1012" s="443"/>
      <c r="AN1012" s="443"/>
      <c r="AO1012" s="443"/>
      <c r="AP1012" s="443"/>
      <c r="AQ1012" s="443"/>
      <c r="AR1012" s="443"/>
      <c r="AS1012" s="443"/>
      <c r="AT1012" s="443"/>
      <c r="AU1012" s="443"/>
      <c r="AV1012" s="443"/>
      <c r="AW1012" s="443"/>
      <c r="AX1012" s="443"/>
      <c r="AY1012" s="443"/>
      <c r="AZ1012" s="443"/>
      <c r="BA1012" s="443"/>
      <c r="BB1012" s="443"/>
      <c r="BC1012" s="443"/>
      <c r="BD1012" s="443"/>
      <c r="BE1012" s="443"/>
    </row>
    <row r="1013">
      <c r="A1013" s="445" t="str">
        <f t="shared" si="5"/>
        <v/>
      </c>
      <c r="B1013" s="443"/>
      <c r="C1013" s="443"/>
      <c r="D1013" s="462"/>
      <c r="E1013" s="436" t="str">
        <f t="array" ref="E1013">IF(B1013=0,"",(J1013+K1013)/60)</f>
        <v/>
      </c>
      <c r="F1013" s="437" t="str">
        <f t="shared" si="1"/>
        <v/>
      </c>
      <c r="G1013" s="438" t="str">
        <f t="shared" si="9"/>
        <v/>
      </c>
      <c r="H1013" s="438" t="str">
        <f t="shared" si="3"/>
        <v/>
      </c>
      <c r="I1013" s="436" t="str">
        <f t="shared" si="11"/>
        <v/>
      </c>
      <c r="J1013" s="464"/>
      <c r="K1013" s="464"/>
      <c r="L1013" s="443"/>
      <c r="M1013" s="443"/>
      <c r="N1013" s="443"/>
      <c r="O1013" s="443"/>
      <c r="P1013" s="443"/>
      <c r="Q1013" s="443"/>
      <c r="R1013" s="443"/>
      <c r="S1013" s="443"/>
      <c r="T1013" s="443"/>
      <c r="U1013" s="443"/>
      <c r="V1013" s="443"/>
      <c r="W1013" s="443"/>
      <c r="X1013" s="443"/>
      <c r="Y1013" s="443"/>
      <c r="Z1013" s="443"/>
      <c r="AA1013" s="443"/>
      <c r="AB1013" s="443"/>
      <c r="AC1013" s="443"/>
      <c r="AD1013" s="443"/>
      <c r="AE1013" s="443"/>
      <c r="AF1013" s="443"/>
      <c r="AG1013" s="443" t="s">
        <v>289</v>
      </c>
      <c r="AH1013" s="443" t="s">
        <v>289</v>
      </c>
      <c r="AI1013" s="443"/>
      <c r="AJ1013" s="443"/>
      <c r="AK1013" s="443"/>
      <c r="AL1013" s="443"/>
      <c r="AM1013" s="443"/>
      <c r="AN1013" s="443"/>
      <c r="AO1013" s="443"/>
      <c r="AP1013" s="443"/>
      <c r="AQ1013" s="443"/>
      <c r="AR1013" s="443"/>
      <c r="AS1013" s="443"/>
      <c r="AT1013" s="443"/>
      <c r="AU1013" s="443"/>
      <c r="AV1013" s="443"/>
      <c r="AW1013" s="443"/>
      <c r="AX1013" s="443"/>
      <c r="AY1013" s="443"/>
      <c r="AZ1013" s="443"/>
      <c r="BA1013" s="443"/>
      <c r="BB1013" s="443"/>
      <c r="BC1013" s="443"/>
      <c r="BD1013" s="443"/>
      <c r="BE1013" s="443"/>
    </row>
    <row r="1014">
      <c r="A1014" s="445" t="str">
        <f t="shared" si="5"/>
        <v/>
      </c>
      <c r="B1014" s="443"/>
      <c r="C1014" s="443"/>
      <c r="D1014" s="462"/>
      <c r="E1014" s="436" t="str">
        <f t="array" ref="E1014">IF(B1014=0,"",(J1014+K1014)/60)</f>
        <v/>
      </c>
      <c r="F1014" s="437" t="str">
        <f t="shared" si="1"/>
        <v/>
      </c>
      <c r="G1014" s="438" t="str">
        <f t="shared" si="9"/>
        <v/>
      </c>
      <c r="H1014" s="438" t="str">
        <f t="shared" si="3"/>
        <v/>
      </c>
      <c r="I1014" s="436" t="str">
        <f t="shared" si="11"/>
        <v/>
      </c>
      <c r="J1014" s="464"/>
      <c r="K1014" s="464"/>
      <c r="L1014" s="443"/>
      <c r="M1014" s="443"/>
      <c r="N1014" s="443"/>
      <c r="O1014" s="443"/>
      <c r="P1014" s="443"/>
      <c r="Q1014" s="443"/>
      <c r="R1014" s="443"/>
      <c r="S1014" s="443"/>
      <c r="T1014" s="443"/>
      <c r="U1014" s="443"/>
      <c r="V1014" s="443"/>
      <c r="W1014" s="443"/>
      <c r="X1014" s="443"/>
      <c r="Y1014" s="443"/>
      <c r="Z1014" s="443"/>
      <c r="AA1014" s="443"/>
      <c r="AB1014" s="443"/>
      <c r="AC1014" s="443"/>
      <c r="AD1014" s="443"/>
      <c r="AE1014" s="443"/>
      <c r="AF1014" s="443"/>
      <c r="AG1014" s="443" t="s">
        <v>289</v>
      </c>
      <c r="AH1014" s="443" t="s">
        <v>289</v>
      </c>
      <c r="AI1014" s="443"/>
      <c r="AJ1014" s="443"/>
      <c r="AK1014" s="443"/>
      <c r="AL1014" s="443"/>
      <c r="AM1014" s="443"/>
      <c r="AN1014" s="443"/>
      <c r="AO1014" s="443"/>
      <c r="AP1014" s="443"/>
      <c r="AQ1014" s="443"/>
      <c r="AR1014" s="443"/>
      <c r="AS1014" s="443"/>
      <c r="AT1014" s="443"/>
      <c r="AU1014" s="443"/>
      <c r="AV1014" s="443"/>
      <c r="AW1014" s="443"/>
      <c r="AX1014" s="443"/>
      <c r="AY1014" s="443"/>
      <c r="AZ1014" s="443"/>
      <c r="BA1014" s="443"/>
      <c r="BB1014" s="443"/>
      <c r="BC1014" s="443"/>
      <c r="BD1014" s="443"/>
      <c r="BE1014" s="443"/>
    </row>
    <row r="1015">
      <c r="A1015" s="445" t="str">
        <f t="shared" si="5"/>
        <v/>
      </c>
      <c r="B1015" s="443"/>
      <c r="C1015" s="443"/>
      <c r="D1015" s="462"/>
      <c r="E1015" s="436" t="str">
        <f t="array" ref="E1015">IF(B1015=0,"",(J1015+K1015)/60)</f>
        <v/>
      </c>
      <c r="F1015" s="437" t="str">
        <f t="shared" si="1"/>
        <v/>
      </c>
      <c r="G1015" s="438" t="str">
        <f t="shared" si="9"/>
        <v/>
      </c>
      <c r="H1015" s="438" t="str">
        <f t="shared" si="3"/>
        <v/>
      </c>
      <c r="I1015" s="436" t="str">
        <f t="shared" si="11"/>
        <v/>
      </c>
      <c r="J1015" s="464"/>
      <c r="K1015" s="464"/>
      <c r="L1015" s="443"/>
      <c r="M1015" s="443"/>
      <c r="N1015" s="443"/>
      <c r="O1015" s="443"/>
      <c r="P1015" s="443"/>
      <c r="Q1015" s="443"/>
      <c r="R1015" s="443"/>
      <c r="S1015" s="443"/>
      <c r="T1015" s="443"/>
      <c r="U1015" s="443"/>
      <c r="V1015" s="443"/>
      <c r="W1015" s="443"/>
      <c r="X1015" s="443"/>
      <c r="Y1015" s="443"/>
      <c r="Z1015" s="443"/>
      <c r="AA1015" s="443"/>
      <c r="AB1015" s="443"/>
      <c r="AC1015" s="443"/>
      <c r="AD1015" s="443"/>
      <c r="AE1015" s="443"/>
      <c r="AF1015" s="443"/>
      <c r="AG1015" s="443" t="s">
        <v>289</v>
      </c>
      <c r="AH1015" s="443" t="s">
        <v>289</v>
      </c>
      <c r="AI1015" s="443"/>
      <c r="AJ1015" s="443"/>
      <c r="AK1015" s="443"/>
      <c r="AL1015" s="443"/>
      <c r="AM1015" s="443"/>
      <c r="AN1015" s="443"/>
      <c r="AO1015" s="443"/>
      <c r="AP1015" s="443"/>
      <c r="AQ1015" s="443"/>
      <c r="AR1015" s="443"/>
      <c r="AS1015" s="443"/>
      <c r="AT1015" s="443"/>
      <c r="AU1015" s="443"/>
      <c r="AV1015" s="443"/>
      <c r="AW1015" s="443"/>
      <c r="AX1015" s="443"/>
      <c r="AY1015" s="443"/>
      <c r="AZ1015" s="443"/>
      <c r="BA1015" s="443"/>
      <c r="BB1015" s="443"/>
      <c r="BC1015" s="443"/>
      <c r="BD1015" s="443"/>
      <c r="BE1015" s="443"/>
    </row>
    <row r="1016">
      <c r="A1016" s="445" t="str">
        <f t="shared" si="5"/>
        <v/>
      </c>
      <c r="B1016" s="443"/>
      <c r="C1016" s="443"/>
      <c r="D1016" s="462"/>
      <c r="E1016" s="436" t="str">
        <f t="array" ref="E1016">IF(B1016=0,"",(J1016+K1016)/60)</f>
        <v/>
      </c>
      <c r="F1016" s="437" t="str">
        <f t="shared" si="1"/>
        <v/>
      </c>
      <c r="G1016" s="438" t="str">
        <f t="shared" si="9"/>
        <v/>
      </c>
      <c r="H1016" s="438" t="str">
        <f t="shared" si="3"/>
        <v/>
      </c>
      <c r="I1016" s="436" t="str">
        <f t="shared" si="11"/>
        <v/>
      </c>
      <c r="J1016" s="464"/>
      <c r="K1016" s="464"/>
      <c r="L1016" s="443"/>
      <c r="M1016" s="443"/>
      <c r="N1016" s="443"/>
      <c r="O1016" s="443"/>
      <c r="P1016" s="443"/>
      <c r="Q1016" s="443"/>
      <c r="R1016" s="443"/>
      <c r="S1016" s="443"/>
      <c r="T1016" s="443"/>
      <c r="U1016" s="443"/>
      <c r="V1016" s="443"/>
      <c r="W1016" s="443"/>
      <c r="X1016" s="443"/>
      <c r="Y1016" s="443"/>
      <c r="Z1016" s="443"/>
      <c r="AA1016" s="443"/>
      <c r="AB1016" s="443"/>
      <c r="AC1016" s="443"/>
      <c r="AD1016" s="443"/>
      <c r="AE1016" s="443"/>
      <c r="AF1016" s="443"/>
      <c r="AG1016" s="443" t="s">
        <v>289</v>
      </c>
      <c r="AH1016" s="443" t="s">
        <v>289</v>
      </c>
      <c r="AI1016" s="443"/>
      <c r="AJ1016" s="443"/>
      <c r="AK1016" s="443"/>
      <c r="AL1016" s="443"/>
      <c r="AM1016" s="443"/>
      <c r="AN1016" s="443"/>
      <c r="AO1016" s="443"/>
      <c r="AP1016" s="443"/>
      <c r="AQ1016" s="443"/>
      <c r="AR1016" s="443"/>
      <c r="AS1016" s="443"/>
      <c r="AT1016" s="443"/>
      <c r="AU1016" s="443"/>
      <c r="AV1016" s="443"/>
      <c r="AW1016" s="443"/>
      <c r="AX1016" s="443"/>
      <c r="AY1016" s="443"/>
      <c r="AZ1016" s="443"/>
      <c r="BA1016" s="443"/>
      <c r="BB1016" s="443"/>
      <c r="BC1016" s="443"/>
      <c r="BD1016" s="443"/>
      <c r="BE1016" s="443"/>
    </row>
    <row r="1017">
      <c r="A1017" s="445" t="str">
        <f t="shared" si="5"/>
        <v/>
      </c>
      <c r="B1017" s="443"/>
      <c r="C1017" s="443"/>
      <c r="D1017" s="462"/>
      <c r="E1017" s="436" t="str">
        <f t="array" ref="E1017">IF(B1017=0,"",(J1017+K1017)/60)</f>
        <v/>
      </c>
      <c r="F1017" s="437" t="str">
        <f t="shared" si="1"/>
        <v/>
      </c>
      <c r="G1017" s="438" t="str">
        <f t="shared" si="9"/>
        <v/>
      </c>
      <c r="H1017" s="438" t="str">
        <f t="shared" si="3"/>
        <v/>
      </c>
      <c r="I1017" s="436" t="str">
        <f t="shared" si="11"/>
        <v/>
      </c>
      <c r="J1017" s="464"/>
      <c r="K1017" s="464"/>
      <c r="L1017" s="443"/>
      <c r="M1017" s="443"/>
      <c r="N1017" s="443"/>
      <c r="O1017" s="443"/>
      <c r="P1017" s="443"/>
      <c r="Q1017" s="443"/>
      <c r="R1017" s="443"/>
      <c r="S1017" s="443"/>
      <c r="T1017" s="443"/>
      <c r="U1017" s="443"/>
      <c r="V1017" s="443"/>
      <c r="W1017" s="443"/>
      <c r="X1017" s="443"/>
      <c r="Y1017" s="443"/>
      <c r="Z1017" s="443"/>
      <c r="AA1017" s="443"/>
      <c r="AB1017" s="443"/>
      <c r="AC1017" s="443"/>
      <c r="AD1017" s="443"/>
      <c r="AE1017" s="443"/>
      <c r="AF1017" s="443"/>
      <c r="AG1017" s="443" t="s">
        <v>289</v>
      </c>
      <c r="AH1017" s="443" t="s">
        <v>289</v>
      </c>
      <c r="AI1017" s="443"/>
      <c r="AJ1017" s="443"/>
      <c r="AK1017" s="443"/>
      <c r="AL1017" s="443"/>
      <c r="AM1017" s="443"/>
      <c r="AN1017" s="443"/>
      <c r="AO1017" s="443"/>
      <c r="AP1017" s="443"/>
      <c r="AQ1017" s="443"/>
      <c r="AR1017" s="443"/>
      <c r="AS1017" s="443"/>
      <c r="AT1017" s="443"/>
      <c r="AU1017" s="443"/>
      <c r="AV1017" s="443"/>
      <c r="AW1017" s="443"/>
      <c r="AX1017" s="443"/>
      <c r="AY1017" s="443"/>
      <c r="AZ1017" s="443"/>
      <c r="BA1017" s="443"/>
      <c r="BB1017" s="443"/>
      <c r="BC1017" s="443"/>
      <c r="BD1017" s="443"/>
      <c r="BE1017" s="443"/>
    </row>
    <row r="1018">
      <c r="A1018" s="445" t="str">
        <f t="shared" si="5"/>
        <v/>
      </c>
      <c r="B1018" s="443"/>
      <c r="C1018" s="443"/>
      <c r="D1018" s="462"/>
      <c r="E1018" s="436" t="str">
        <f t="array" ref="E1018">IF(B1018=0,"",(J1018+K1018)/60)</f>
        <v/>
      </c>
      <c r="F1018" s="437" t="str">
        <f t="shared" si="1"/>
        <v/>
      </c>
      <c r="G1018" s="438" t="str">
        <f t="shared" si="9"/>
        <v/>
      </c>
      <c r="H1018" s="438" t="str">
        <f t="shared" si="3"/>
        <v/>
      </c>
      <c r="I1018" s="436" t="str">
        <f t="shared" si="11"/>
        <v/>
      </c>
      <c r="J1018" s="464"/>
      <c r="K1018" s="464"/>
      <c r="L1018" s="443"/>
      <c r="M1018" s="443"/>
      <c r="N1018" s="443"/>
      <c r="O1018" s="443"/>
      <c r="P1018" s="443"/>
      <c r="Q1018" s="443"/>
      <c r="R1018" s="443"/>
      <c r="S1018" s="443"/>
      <c r="T1018" s="443"/>
      <c r="U1018" s="443"/>
      <c r="V1018" s="443"/>
      <c r="W1018" s="443"/>
      <c r="X1018" s="443"/>
      <c r="Y1018" s="443"/>
      <c r="Z1018" s="443"/>
      <c r="AA1018" s="443"/>
      <c r="AB1018" s="443"/>
      <c r="AC1018" s="443"/>
      <c r="AD1018" s="443"/>
      <c r="AE1018" s="443"/>
      <c r="AF1018" s="443"/>
      <c r="AG1018" s="443" t="s">
        <v>289</v>
      </c>
      <c r="AH1018" s="443" t="s">
        <v>289</v>
      </c>
      <c r="AI1018" s="443"/>
      <c r="AJ1018" s="443"/>
      <c r="AK1018" s="443"/>
      <c r="AL1018" s="443"/>
      <c r="AM1018" s="443"/>
      <c r="AN1018" s="443"/>
      <c r="AO1018" s="443"/>
      <c r="AP1018" s="443"/>
      <c r="AQ1018" s="443"/>
      <c r="AR1018" s="443"/>
      <c r="AS1018" s="443"/>
      <c r="AT1018" s="443"/>
      <c r="AU1018" s="443"/>
      <c r="AV1018" s="443"/>
      <c r="AW1018" s="443"/>
      <c r="AX1018" s="443"/>
      <c r="AY1018" s="443"/>
      <c r="AZ1018" s="443"/>
      <c r="BA1018" s="443"/>
      <c r="BB1018" s="443"/>
      <c r="BC1018" s="443"/>
      <c r="BD1018" s="443"/>
      <c r="BE1018" s="443"/>
    </row>
    <row r="1019">
      <c r="A1019" s="445" t="str">
        <f t="shared" si="5"/>
        <v/>
      </c>
      <c r="B1019" s="443"/>
      <c r="C1019" s="443"/>
      <c r="D1019" s="462"/>
      <c r="E1019" s="436" t="str">
        <f t="array" ref="E1019">IF(B1019=0,"",(J1019+K1019)/60)</f>
        <v/>
      </c>
      <c r="F1019" s="437" t="str">
        <f t="shared" si="1"/>
        <v/>
      </c>
      <c r="G1019" s="438" t="str">
        <f t="shared" si="9"/>
        <v/>
      </c>
      <c r="H1019" s="438" t="str">
        <f t="shared" si="3"/>
        <v/>
      </c>
      <c r="I1019" s="436" t="str">
        <f t="shared" si="11"/>
        <v/>
      </c>
      <c r="J1019" s="464"/>
      <c r="K1019" s="464"/>
      <c r="L1019" s="443"/>
      <c r="M1019" s="443"/>
      <c r="N1019" s="443"/>
      <c r="O1019" s="443"/>
      <c r="P1019" s="443"/>
      <c r="Q1019" s="443"/>
      <c r="R1019" s="443"/>
      <c r="S1019" s="443"/>
      <c r="T1019" s="443"/>
      <c r="U1019" s="443"/>
      <c r="V1019" s="443"/>
      <c r="W1019" s="443"/>
      <c r="X1019" s="443"/>
      <c r="Y1019" s="443"/>
      <c r="Z1019" s="443"/>
      <c r="AA1019" s="443"/>
      <c r="AB1019" s="443"/>
      <c r="AC1019" s="443"/>
      <c r="AD1019" s="443"/>
      <c r="AE1019" s="443"/>
      <c r="AF1019" s="443"/>
      <c r="AG1019" s="443" t="s">
        <v>289</v>
      </c>
      <c r="AH1019" s="443" t="s">
        <v>289</v>
      </c>
      <c r="AI1019" s="443"/>
      <c r="AJ1019" s="443"/>
      <c r="AK1019" s="443"/>
      <c r="AL1019" s="443"/>
      <c r="AM1019" s="443"/>
      <c r="AN1019" s="443"/>
      <c r="AO1019" s="443"/>
      <c r="AP1019" s="443"/>
      <c r="AQ1019" s="443"/>
      <c r="AR1019" s="443"/>
      <c r="AS1019" s="443"/>
      <c r="AT1019" s="443"/>
      <c r="AU1019" s="443"/>
      <c r="AV1019" s="443"/>
      <c r="AW1019" s="443"/>
      <c r="AX1019" s="443"/>
      <c r="AY1019" s="443"/>
      <c r="AZ1019" s="443"/>
      <c r="BA1019" s="443"/>
      <c r="BB1019" s="443"/>
      <c r="BC1019" s="443"/>
      <c r="BD1019" s="443"/>
      <c r="BE1019" s="443"/>
    </row>
    <row r="1020">
      <c r="A1020" s="445" t="str">
        <f t="shared" si="5"/>
        <v/>
      </c>
      <c r="B1020" s="443"/>
      <c r="C1020" s="443"/>
      <c r="D1020" s="462"/>
      <c r="E1020" s="436" t="str">
        <f t="array" ref="E1020">IF(B1020=0,"",(J1020+K1020)/60)</f>
        <v/>
      </c>
      <c r="F1020" s="437" t="str">
        <f t="shared" si="1"/>
        <v/>
      </c>
      <c r="G1020" s="438" t="str">
        <f t="shared" si="9"/>
        <v/>
      </c>
      <c r="H1020" s="438" t="str">
        <f t="shared" si="3"/>
        <v/>
      </c>
      <c r="I1020" s="436" t="str">
        <f t="shared" si="11"/>
        <v/>
      </c>
      <c r="J1020" s="464"/>
      <c r="K1020" s="464"/>
      <c r="L1020" s="443"/>
      <c r="M1020" s="443"/>
      <c r="N1020" s="443"/>
      <c r="O1020" s="443"/>
      <c r="P1020" s="443"/>
      <c r="Q1020" s="443"/>
      <c r="R1020" s="443"/>
      <c r="S1020" s="443"/>
      <c r="T1020" s="443"/>
      <c r="U1020" s="443"/>
      <c r="V1020" s="443"/>
      <c r="W1020" s="443"/>
      <c r="X1020" s="443"/>
      <c r="Y1020" s="443"/>
      <c r="Z1020" s="443"/>
      <c r="AA1020" s="443"/>
      <c r="AB1020" s="443"/>
      <c r="AC1020" s="443"/>
      <c r="AD1020" s="443"/>
      <c r="AE1020" s="443"/>
      <c r="AF1020" s="443"/>
      <c r="AG1020" s="443" t="s">
        <v>289</v>
      </c>
      <c r="AH1020" s="443" t="s">
        <v>289</v>
      </c>
      <c r="AI1020" s="443"/>
      <c r="AJ1020" s="443"/>
      <c r="AK1020" s="443"/>
      <c r="AL1020" s="443"/>
      <c r="AM1020" s="443"/>
      <c r="AN1020" s="443"/>
      <c r="AO1020" s="443"/>
      <c r="AP1020" s="443"/>
      <c r="AQ1020" s="443"/>
      <c r="AR1020" s="443"/>
      <c r="AS1020" s="443"/>
      <c r="AT1020" s="443"/>
      <c r="AU1020" s="443"/>
      <c r="AV1020" s="443"/>
      <c r="AW1020" s="443"/>
      <c r="AX1020" s="443"/>
      <c r="AY1020" s="443"/>
      <c r="AZ1020" s="443"/>
      <c r="BA1020" s="443"/>
      <c r="BB1020" s="443"/>
      <c r="BC1020" s="443"/>
      <c r="BD1020" s="443"/>
      <c r="BE1020" s="443"/>
    </row>
    <row r="1021">
      <c r="A1021" s="445" t="str">
        <f t="shared" si="5"/>
        <v/>
      </c>
      <c r="B1021" s="443"/>
      <c r="C1021" s="443"/>
      <c r="D1021" s="462"/>
      <c r="E1021" s="436" t="str">
        <f t="array" ref="E1021">IF(B1021=0,"",(J1021+K1021)/60)</f>
        <v/>
      </c>
      <c r="F1021" s="437" t="str">
        <f t="shared" si="1"/>
        <v/>
      </c>
      <c r="G1021" s="438" t="str">
        <f t="shared" si="9"/>
        <v/>
      </c>
      <c r="H1021" s="438" t="str">
        <f t="shared" si="3"/>
        <v/>
      </c>
      <c r="I1021" s="436" t="str">
        <f t="shared" si="11"/>
        <v/>
      </c>
      <c r="J1021" s="464"/>
      <c r="K1021" s="464"/>
      <c r="L1021" s="443"/>
      <c r="M1021" s="443"/>
      <c r="N1021" s="443"/>
      <c r="O1021" s="443"/>
      <c r="P1021" s="443"/>
      <c r="Q1021" s="443"/>
      <c r="R1021" s="443"/>
      <c r="S1021" s="443"/>
      <c r="T1021" s="443"/>
      <c r="U1021" s="443"/>
      <c r="V1021" s="443"/>
      <c r="W1021" s="443"/>
      <c r="X1021" s="443"/>
      <c r="Y1021" s="443"/>
      <c r="Z1021" s="443"/>
      <c r="AA1021" s="443"/>
      <c r="AB1021" s="443"/>
      <c r="AC1021" s="443"/>
      <c r="AD1021" s="443"/>
      <c r="AE1021" s="443"/>
      <c r="AF1021" s="443"/>
      <c r="AG1021" s="443" t="s">
        <v>289</v>
      </c>
      <c r="AH1021" s="443" t="s">
        <v>289</v>
      </c>
      <c r="AI1021" s="443"/>
      <c r="AJ1021" s="443"/>
      <c r="AK1021" s="443"/>
      <c r="AL1021" s="443"/>
      <c r="AM1021" s="443"/>
      <c r="AN1021" s="443"/>
      <c r="AO1021" s="443"/>
      <c r="AP1021" s="443"/>
      <c r="AQ1021" s="443"/>
      <c r="AR1021" s="443"/>
      <c r="AS1021" s="443"/>
      <c r="AT1021" s="443"/>
      <c r="AU1021" s="443"/>
      <c r="AV1021" s="443"/>
      <c r="AW1021" s="443"/>
      <c r="AX1021" s="443"/>
      <c r="AY1021" s="443"/>
      <c r="AZ1021" s="443"/>
      <c r="BA1021" s="443"/>
      <c r="BB1021" s="443"/>
      <c r="BC1021" s="443"/>
      <c r="BD1021" s="443"/>
      <c r="BE1021" s="443"/>
    </row>
    <row r="1022">
      <c r="A1022" s="445" t="str">
        <f t="shared" si="5"/>
        <v/>
      </c>
      <c r="B1022" s="443"/>
      <c r="C1022" s="443"/>
      <c r="D1022" s="462"/>
      <c r="E1022" s="436" t="str">
        <f t="array" ref="E1022">IF(B1022=0,"",(J1022+K1022)/60)</f>
        <v/>
      </c>
      <c r="F1022" s="437" t="str">
        <f t="shared" si="1"/>
        <v/>
      </c>
      <c r="G1022" s="438" t="str">
        <f t="shared" si="9"/>
        <v/>
      </c>
      <c r="H1022" s="438" t="str">
        <f t="shared" si="3"/>
        <v/>
      </c>
      <c r="I1022" s="436" t="str">
        <f t="shared" si="11"/>
        <v/>
      </c>
      <c r="J1022" s="464"/>
      <c r="K1022" s="464"/>
      <c r="L1022" s="443"/>
      <c r="M1022" s="443"/>
      <c r="N1022" s="443"/>
      <c r="O1022" s="443"/>
      <c r="P1022" s="443"/>
      <c r="Q1022" s="443"/>
      <c r="R1022" s="443"/>
      <c r="S1022" s="443"/>
      <c r="T1022" s="443"/>
      <c r="U1022" s="443"/>
      <c r="V1022" s="443"/>
      <c r="W1022" s="443"/>
      <c r="X1022" s="443"/>
      <c r="Y1022" s="443"/>
      <c r="Z1022" s="443"/>
      <c r="AA1022" s="443"/>
      <c r="AB1022" s="443"/>
      <c r="AC1022" s="443"/>
      <c r="AD1022" s="443"/>
      <c r="AE1022" s="443"/>
      <c r="AF1022" s="443"/>
      <c r="AG1022" s="443" t="s">
        <v>289</v>
      </c>
      <c r="AH1022" s="443" t="s">
        <v>289</v>
      </c>
      <c r="AI1022" s="443"/>
      <c r="AJ1022" s="443"/>
      <c r="AK1022" s="443"/>
      <c r="AL1022" s="443"/>
      <c r="AM1022" s="443"/>
      <c r="AN1022" s="443"/>
      <c r="AO1022" s="443"/>
      <c r="AP1022" s="443"/>
      <c r="AQ1022" s="443"/>
      <c r="AR1022" s="443"/>
      <c r="AS1022" s="443"/>
      <c r="AT1022" s="443"/>
      <c r="AU1022" s="443"/>
      <c r="AV1022" s="443"/>
      <c r="AW1022" s="443"/>
      <c r="AX1022" s="443"/>
      <c r="AY1022" s="443"/>
      <c r="AZ1022" s="443"/>
      <c r="BA1022" s="443"/>
      <c r="BB1022" s="443"/>
      <c r="BC1022" s="443"/>
      <c r="BD1022" s="443"/>
      <c r="BE1022" s="443"/>
    </row>
    <row r="1023">
      <c r="A1023" s="445" t="str">
        <f t="shared" si="5"/>
        <v/>
      </c>
      <c r="B1023" s="443"/>
      <c r="C1023" s="443"/>
      <c r="D1023" s="462"/>
      <c r="E1023" s="436" t="str">
        <f t="array" ref="E1023">IF(B1023=0,"",(J1023+K1023)/60)</f>
        <v/>
      </c>
      <c r="F1023" s="437" t="str">
        <f t="shared" si="1"/>
        <v/>
      </c>
      <c r="G1023" s="438" t="str">
        <f t="shared" si="9"/>
        <v/>
      </c>
      <c r="H1023" s="438" t="str">
        <f t="shared" si="3"/>
        <v/>
      </c>
      <c r="I1023" s="436" t="str">
        <f t="shared" si="11"/>
        <v/>
      </c>
      <c r="J1023" s="464"/>
      <c r="K1023" s="464"/>
      <c r="L1023" s="443"/>
      <c r="M1023" s="443"/>
      <c r="N1023" s="443"/>
      <c r="O1023" s="443"/>
      <c r="P1023" s="443"/>
      <c r="Q1023" s="443"/>
      <c r="R1023" s="443"/>
      <c r="S1023" s="443"/>
      <c r="T1023" s="443"/>
      <c r="U1023" s="443"/>
      <c r="V1023" s="443"/>
      <c r="W1023" s="443"/>
      <c r="X1023" s="443"/>
      <c r="Y1023" s="443"/>
      <c r="Z1023" s="443"/>
      <c r="AA1023" s="443"/>
      <c r="AB1023" s="443"/>
      <c r="AC1023" s="443"/>
      <c r="AD1023" s="443"/>
      <c r="AE1023" s="443"/>
      <c r="AF1023" s="443"/>
      <c r="AG1023" s="443" t="s">
        <v>289</v>
      </c>
      <c r="AH1023" s="443" t="s">
        <v>289</v>
      </c>
      <c r="AI1023" s="443"/>
      <c r="AJ1023" s="443"/>
      <c r="AK1023" s="443"/>
      <c r="AL1023" s="443"/>
      <c r="AM1023" s="443"/>
      <c r="AN1023" s="443"/>
      <c r="AO1023" s="443"/>
      <c r="AP1023" s="443"/>
      <c r="AQ1023" s="443"/>
      <c r="AR1023" s="443"/>
      <c r="AS1023" s="443"/>
      <c r="AT1023" s="443"/>
      <c r="AU1023" s="443"/>
      <c r="AV1023" s="443"/>
      <c r="AW1023" s="443"/>
      <c r="AX1023" s="443"/>
      <c r="AY1023" s="443"/>
      <c r="AZ1023" s="443"/>
      <c r="BA1023" s="443"/>
      <c r="BB1023" s="443"/>
      <c r="BC1023" s="443"/>
      <c r="BD1023" s="443"/>
      <c r="BE1023" s="443"/>
    </row>
    <row r="1024">
      <c r="A1024" s="445" t="str">
        <f t="shared" si="5"/>
        <v/>
      </c>
      <c r="B1024" s="443"/>
      <c r="C1024" s="443"/>
      <c r="D1024" s="462"/>
      <c r="E1024" s="436" t="str">
        <f t="array" ref="E1024">IF(B1024=0,"",(J1024+K1024)/60)</f>
        <v/>
      </c>
      <c r="F1024" s="437" t="str">
        <f t="shared" si="1"/>
        <v/>
      </c>
      <c r="G1024" s="438" t="str">
        <f t="shared" si="9"/>
        <v/>
      </c>
      <c r="H1024" s="438" t="str">
        <f t="shared" si="3"/>
        <v/>
      </c>
      <c r="I1024" s="436" t="str">
        <f t="shared" si="11"/>
        <v/>
      </c>
      <c r="J1024" s="464"/>
      <c r="K1024" s="464"/>
      <c r="L1024" s="443"/>
      <c r="M1024" s="443"/>
      <c r="N1024" s="443"/>
      <c r="O1024" s="443"/>
      <c r="P1024" s="443"/>
      <c r="Q1024" s="443"/>
      <c r="R1024" s="443"/>
      <c r="S1024" s="443"/>
      <c r="T1024" s="443"/>
      <c r="U1024" s="443"/>
      <c r="V1024" s="443"/>
      <c r="W1024" s="443"/>
      <c r="X1024" s="443"/>
      <c r="Y1024" s="443"/>
      <c r="Z1024" s="443"/>
      <c r="AA1024" s="443"/>
      <c r="AB1024" s="443"/>
      <c r="AC1024" s="443"/>
      <c r="AD1024" s="443"/>
      <c r="AE1024" s="443"/>
      <c r="AF1024" s="443"/>
      <c r="AG1024" s="443" t="s">
        <v>289</v>
      </c>
      <c r="AH1024" s="443" t="s">
        <v>289</v>
      </c>
      <c r="AI1024" s="443"/>
      <c r="AJ1024" s="443"/>
      <c r="AK1024" s="443"/>
      <c r="AL1024" s="443"/>
      <c r="AM1024" s="443"/>
      <c r="AN1024" s="443"/>
      <c r="AO1024" s="443"/>
      <c r="AP1024" s="443"/>
      <c r="AQ1024" s="443"/>
      <c r="AR1024" s="443"/>
      <c r="AS1024" s="443"/>
      <c r="AT1024" s="443"/>
      <c r="AU1024" s="443"/>
      <c r="AV1024" s="443"/>
      <c r="AW1024" s="443"/>
      <c r="AX1024" s="443"/>
      <c r="AY1024" s="443"/>
      <c r="AZ1024" s="443"/>
      <c r="BA1024" s="443"/>
      <c r="BB1024" s="443"/>
      <c r="BC1024" s="443"/>
      <c r="BD1024" s="443"/>
      <c r="BE1024" s="443"/>
    </row>
    <row r="1025">
      <c r="A1025" s="445" t="str">
        <f t="shared" si="5"/>
        <v/>
      </c>
      <c r="B1025" s="443"/>
      <c r="C1025" s="443"/>
      <c r="D1025" s="462"/>
      <c r="E1025" s="436" t="str">
        <f t="array" ref="E1025">IF(B1025=0,"",(J1025+K1025)/60)</f>
        <v/>
      </c>
      <c r="F1025" s="437" t="str">
        <f t="shared" si="1"/>
        <v/>
      </c>
      <c r="G1025" s="438" t="str">
        <f t="shared" si="9"/>
        <v/>
      </c>
      <c r="H1025" s="438" t="str">
        <f t="shared" si="3"/>
        <v/>
      </c>
      <c r="I1025" s="436" t="str">
        <f t="shared" si="11"/>
        <v/>
      </c>
      <c r="J1025" s="464"/>
      <c r="K1025" s="464"/>
      <c r="L1025" s="443"/>
      <c r="M1025" s="443"/>
      <c r="N1025" s="443"/>
      <c r="O1025" s="443"/>
      <c r="P1025" s="443"/>
      <c r="Q1025" s="443"/>
      <c r="R1025" s="443"/>
      <c r="S1025" s="443"/>
      <c r="T1025" s="443"/>
      <c r="U1025" s="443"/>
      <c r="V1025" s="443"/>
      <c r="W1025" s="443"/>
      <c r="X1025" s="443"/>
      <c r="Y1025" s="443"/>
      <c r="Z1025" s="443"/>
      <c r="AA1025" s="443"/>
      <c r="AB1025" s="443"/>
      <c r="AC1025" s="443"/>
      <c r="AD1025" s="443"/>
      <c r="AE1025" s="443"/>
      <c r="AF1025" s="443"/>
      <c r="AG1025" s="443" t="s">
        <v>289</v>
      </c>
      <c r="AH1025" s="443" t="s">
        <v>289</v>
      </c>
      <c r="AI1025" s="443"/>
      <c r="AJ1025" s="443"/>
      <c r="AK1025" s="443"/>
      <c r="AL1025" s="443"/>
      <c r="AM1025" s="443"/>
      <c r="AN1025" s="443"/>
      <c r="AO1025" s="443"/>
      <c r="AP1025" s="443"/>
      <c r="AQ1025" s="443"/>
      <c r="AR1025" s="443"/>
      <c r="AS1025" s="443"/>
      <c r="AT1025" s="443"/>
      <c r="AU1025" s="443"/>
      <c r="AV1025" s="443"/>
      <c r="AW1025" s="443"/>
      <c r="AX1025" s="443"/>
      <c r="AY1025" s="443"/>
      <c r="AZ1025" s="443"/>
      <c r="BA1025" s="443"/>
      <c r="BB1025" s="443"/>
      <c r="BC1025" s="443"/>
      <c r="BD1025" s="443"/>
      <c r="BE1025" s="443"/>
    </row>
    <row r="1026">
      <c r="A1026" s="445" t="str">
        <f t="shared" si="5"/>
        <v/>
      </c>
      <c r="B1026" s="443"/>
      <c r="C1026" s="443"/>
      <c r="D1026" s="462"/>
      <c r="E1026" s="436" t="str">
        <f t="array" ref="E1026">IF(B1026=0,"",(J1026+K1026)/60)</f>
        <v/>
      </c>
      <c r="F1026" s="437" t="str">
        <f t="shared" si="1"/>
        <v/>
      </c>
      <c r="G1026" s="438" t="str">
        <f t="shared" si="9"/>
        <v/>
      </c>
      <c r="H1026" s="438" t="str">
        <f t="shared" si="3"/>
        <v/>
      </c>
      <c r="I1026" s="436" t="str">
        <f t="shared" si="11"/>
        <v/>
      </c>
      <c r="J1026" s="464"/>
      <c r="K1026" s="464"/>
      <c r="L1026" s="443"/>
      <c r="M1026" s="443"/>
      <c r="N1026" s="443"/>
      <c r="O1026" s="443"/>
      <c r="P1026" s="443"/>
      <c r="Q1026" s="443"/>
      <c r="R1026" s="443"/>
      <c r="S1026" s="443"/>
      <c r="T1026" s="443"/>
      <c r="U1026" s="443"/>
      <c r="V1026" s="443"/>
      <c r="W1026" s="443"/>
      <c r="X1026" s="443"/>
      <c r="Y1026" s="443"/>
      <c r="Z1026" s="443"/>
      <c r="AA1026" s="443"/>
      <c r="AB1026" s="443"/>
      <c r="AC1026" s="443"/>
      <c r="AD1026" s="443"/>
      <c r="AE1026" s="443"/>
      <c r="AF1026" s="443"/>
      <c r="AG1026" s="443" t="s">
        <v>289</v>
      </c>
      <c r="AH1026" s="443" t="s">
        <v>289</v>
      </c>
      <c r="AI1026" s="443"/>
      <c r="AJ1026" s="443"/>
      <c r="AK1026" s="443"/>
      <c r="AL1026" s="443"/>
      <c r="AM1026" s="443"/>
      <c r="AN1026" s="443"/>
      <c r="AO1026" s="443"/>
      <c r="AP1026" s="443"/>
      <c r="AQ1026" s="443"/>
      <c r="AR1026" s="443"/>
      <c r="AS1026" s="443"/>
      <c r="AT1026" s="443"/>
      <c r="AU1026" s="443"/>
      <c r="AV1026" s="443"/>
      <c r="AW1026" s="443"/>
      <c r="AX1026" s="443"/>
      <c r="AY1026" s="443"/>
      <c r="AZ1026" s="443"/>
      <c r="BA1026" s="443"/>
      <c r="BB1026" s="443"/>
      <c r="BC1026" s="443"/>
      <c r="BD1026" s="443"/>
      <c r="BE1026" s="443"/>
    </row>
    <row r="1027">
      <c r="A1027" s="445" t="str">
        <f t="shared" si="5"/>
        <v/>
      </c>
      <c r="B1027" s="443"/>
      <c r="C1027" s="443"/>
      <c r="D1027" s="462"/>
      <c r="E1027" s="436" t="str">
        <f t="array" ref="E1027">IF(B1027=0,"",(J1027+K1027)/60)</f>
        <v/>
      </c>
      <c r="F1027" s="437" t="str">
        <f t="shared" si="1"/>
        <v/>
      </c>
      <c r="G1027" s="438" t="str">
        <f t="shared" si="9"/>
        <v/>
      </c>
      <c r="H1027" s="438" t="str">
        <f t="shared" si="3"/>
        <v/>
      </c>
      <c r="I1027" s="436" t="str">
        <f t="shared" si="11"/>
        <v/>
      </c>
      <c r="J1027" s="464"/>
      <c r="K1027" s="464"/>
      <c r="L1027" s="443"/>
      <c r="M1027" s="443"/>
      <c r="N1027" s="443"/>
      <c r="O1027" s="443"/>
      <c r="P1027" s="443"/>
      <c r="Q1027" s="443"/>
      <c r="R1027" s="443"/>
      <c r="S1027" s="443"/>
      <c r="T1027" s="443"/>
      <c r="U1027" s="443"/>
      <c r="V1027" s="443"/>
      <c r="W1027" s="443"/>
      <c r="X1027" s="443"/>
      <c r="Y1027" s="443"/>
      <c r="Z1027" s="443"/>
      <c r="AA1027" s="443"/>
      <c r="AB1027" s="443"/>
      <c r="AC1027" s="443"/>
      <c r="AD1027" s="443"/>
      <c r="AE1027" s="443"/>
      <c r="AF1027" s="443"/>
      <c r="AG1027" s="443" t="s">
        <v>289</v>
      </c>
      <c r="AH1027" s="443" t="s">
        <v>289</v>
      </c>
      <c r="AI1027" s="443"/>
      <c r="AJ1027" s="443"/>
      <c r="AK1027" s="443"/>
      <c r="AL1027" s="443"/>
      <c r="AM1027" s="443"/>
      <c r="AN1027" s="443"/>
      <c r="AO1027" s="443"/>
      <c r="AP1027" s="443"/>
      <c r="AQ1027" s="443"/>
      <c r="AR1027" s="443"/>
      <c r="AS1027" s="443"/>
      <c r="AT1027" s="443"/>
      <c r="AU1027" s="443"/>
      <c r="AV1027" s="443"/>
      <c r="AW1027" s="443"/>
      <c r="AX1027" s="443"/>
      <c r="AY1027" s="443"/>
      <c r="AZ1027" s="443"/>
      <c r="BA1027" s="443"/>
      <c r="BB1027" s="443"/>
      <c r="BC1027" s="443"/>
      <c r="BD1027" s="443"/>
      <c r="BE1027" s="443"/>
    </row>
    <row r="1028">
      <c r="A1028" s="445" t="str">
        <f t="shared" si="5"/>
        <v/>
      </c>
      <c r="B1028" s="443"/>
      <c r="C1028" s="443"/>
      <c r="D1028" s="462"/>
      <c r="E1028" s="436" t="str">
        <f t="array" ref="E1028">IF(B1028=0,"",(J1028+K1028)/60)</f>
        <v/>
      </c>
      <c r="F1028" s="437" t="str">
        <f t="shared" si="1"/>
        <v/>
      </c>
      <c r="G1028" s="438" t="str">
        <f t="shared" si="9"/>
        <v/>
      </c>
      <c r="H1028" s="438" t="str">
        <f t="shared" si="3"/>
        <v/>
      </c>
      <c r="I1028" s="436" t="str">
        <f t="shared" si="11"/>
        <v/>
      </c>
      <c r="J1028" s="464"/>
      <c r="K1028" s="464"/>
      <c r="L1028" s="443"/>
      <c r="M1028" s="443"/>
      <c r="N1028" s="443"/>
      <c r="O1028" s="443"/>
      <c r="P1028" s="443"/>
      <c r="Q1028" s="443"/>
      <c r="R1028" s="443"/>
      <c r="S1028" s="443"/>
      <c r="T1028" s="443"/>
      <c r="U1028" s="443"/>
      <c r="V1028" s="443"/>
      <c r="W1028" s="443"/>
      <c r="X1028" s="443"/>
      <c r="Y1028" s="443"/>
      <c r="Z1028" s="443"/>
      <c r="AA1028" s="443"/>
      <c r="AB1028" s="443"/>
      <c r="AC1028" s="443"/>
      <c r="AD1028" s="443"/>
      <c r="AE1028" s="443"/>
      <c r="AF1028" s="443"/>
      <c r="AG1028" s="443" t="s">
        <v>289</v>
      </c>
      <c r="AH1028" s="443" t="s">
        <v>289</v>
      </c>
      <c r="AI1028" s="443"/>
      <c r="AJ1028" s="443"/>
      <c r="AK1028" s="443"/>
      <c r="AL1028" s="443"/>
      <c r="AM1028" s="443"/>
      <c r="AN1028" s="443"/>
      <c r="AO1028" s="443"/>
      <c r="AP1028" s="443"/>
      <c r="AQ1028" s="443"/>
      <c r="AR1028" s="443"/>
      <c r="AS1028" s="443"/>
      <c r="AT1028" s="443"/>
      <c r="AU1028" s="443"/>
      <c r="AV1028" s="443"/>
      <c r="AW1028" s="443"/>
      <c r="AX1028" s="443"/>
      <c r="AY1028" s="443"/>
      <c r="AZ1028" s="443"/>
      <c r="BA1028" s="443"/>
      <c r="BB1028" s="443"/>
      <c r="BC1028" s="443"/>
      <c r="BD1028" s="443"/>
      <c r="BE1028" s="443"/>
    </row>
    <row r="1029">
      <c r="A1029" s="445" t="str">
        <f t="shared" si="5"/>
        <v/>
      </c>
      <c r="B1029" s="443"/>
      <c r="C1029" s="443"/>
      <c r="D1029" s="462"/>
      <c r="E1029" s="436" t="str">
        <f t="array" ref="E1029">IF(B1029=0,"",(J1029+K1029)/60)</f>
        <v/>
      </c>
      <c r="F1029" s="437" t="str">
        <f t="shared" si="1"/>
        <v/>
      </c>
      <c r="G1029" s="438" t="str">
        <f t="shared" si="9"/>
        <v/>
      </c>
      <c r="H1029" s="438" t="str">
        <f t="shared" si="3"/>
        <v/>
      </c>
      <c r="I1029" s="436" t="str">
        <f t="shared" si="11"/>
        <v/>
      </c>
      <c r="J1029" s="464"/>
      <c r="K1029" s="464"/>
      <c r="L1029" s="443"/>
      <c r="M1029" s="443"/>
      <c r="N1029" s="443"/>
      <c r="O1029" s="443"/>
      <c r="P1029" s="443"/>
      <c r="Q1029" s="443"/>
      <c r="R1029" s="443"/>
      <c r="S1029" s="443"/>
      <c r="T1029" s="443"/>
      <c r="U1029" s="443"/>
      <c r="V1029" s="443"/>
      <c r="W1029" s="443"/>
      <c r="X1029" s="443"/>
      <c r="Y1029" s="443"/>
      <c r="Z1029" s="443"/>
      <c r="AA1029" s="443"/>
      <c r="AB1029" s="443"/>
      <c r="AC1029" s="443"/>
      <c r="AD1029" s="443"/>
      <c r="AE1029" s="443"/>
      <c r="AF1029" s="443"/>
      <c r="AG1029" s="443" t="s">
        <v>289</v>
      </c>
      <c r="AH1029" s="443" t="s">
        <v>289</v>
      </c>
      <c r="AI1029" s="443"/>
      <c r="AJ1029" s="443"/>
      <c r="AK1029" s="443"/>
      <c r="AL1029" s="443"/>
      <c r="AM1029" s="443"/>
      <c r="AN1029" s="443"/>
      <c r="AO1029" s="443"/>
      <c r="AP1029" s="443"/>
      <c r="AQ1029" s="443"/>
      <c r="AR1029" s="443"/>
      <c r="AS1029" s="443"/>
      <c r="AT1029" s="443"/>
      <c r="AU1029" s="443"/>
      <c r="AV1029" s="443"/>
      <c r="AW1029" s="443"/>
      <c r="AX1029" s="443"/>
      <c r="AY1029" s="443"/>
      <c r="AZ1029" s="443"/>
      <c r="BA1029" s="443"/>
      <c r="BB1029" s="443"/>
      <c r="BC1029" s="443"/>
      <c r="BD1029" s="443"/>
      <c r="BE1029" s="443"/>
    </row>
    <row r="1030">
      <c r="A1030" s="445" t="str">
        <f t="shared" si="5"/>
        <v/>
      </c>
      <c r="B1030" s="443"/>
      <c r="C1030" s="443"/>
      <c r="D1030" s="462"/>
      <c r="E1030" s="436" t="str">
        <f t="array" ref="E1030">IF(B1030=0,"",(J1030+K1030)/60)</f>
        <v/>
      </c>
      <c r="F1030" s="437" t="str">
        <f t="shared" si="1"/>
        <v/>
      </c>
      <c r="G1030" s="438" t="str">
        <f t="shared" si="9"/>
        <v/>
      </c>
      <c r="H1030" s="438" t="str">
        <f t="shared" si="3"/>
        <v/>
      </c>
      <c r="I1030" s="436" t="str">
        <f t="shared" si="11"/>
        <v/>
      </c>
      <c r="J1030" s="464"/>
      <c r="K1030" s="464"/>
      <c r="L1030" s="443"/>
      <c r="M1030" s="443"/>
      <c r="N1030" s="443"/>
      <c r="O1030" s="443"/>
      <c r="P1030" s="443"/>
      <c r="Q1030" s="443"/>
      <c r="R1030" s="443"/>
      <c r="S1030" s="443"/>
      <c r="T1030" s="443"/>
      <c r="U1030" s="443"/>
      <c r="V1030" s="443"/>
      <c r="W1030" s="443"/>
      <c r="X1030" s="443"/>
      <c r="Y1030" s="443"/>
      <c r="Z1030" s="443"/>
      <c r="AA1030" s="443"/>
      <c r="AB1030" s="443"/>
      <c r="AC1030" s="443"/>
      <c r="AD1030" s="443"/>
      <c r="AE1030" s="443"/>
      <c r="AF1030" s="443"/>
      <c r="AG1030" s="443" t="s">
        <v>289</v>
      </c>
      <c r="AH1030" s="443" t="s">
        <v>289</v>
      </c>
      <c r="AI1030" s="443"/>
      <c r="AJ1030" s="443"/>
      <c r="AK1030" s="443"/>
      <c r="AL1030" s="443"/>
      <c r="AM1030" s="443"/>
      <c r="AN1030" s="443"/>
      <c r="AO1030" s="443"/>
      <c r="AP1030" s="443"/>
      <c r="AQ1030" s="443"/>
      <c r="AR1030" s="443"/>
      <c r="AS1030" s="443"/>
      <c r="AT1030" s="443"/>
      <c r="AU1030" s="443"/>
      <c r="AV1030" s="443"/>
      <c r="AW1030" s="443"/>
      <c r="AX1030" s="443"/>
      <c r="AY1030" s="443"/>
      <c r="AZ1030" s="443"/>
      <c r="BA1030" s="443"/>
      <c r="BB1030" s="443"/>
      <c r="BC1030" s="443"/>
      <c r="BD1030" s="443"/>
      <c r="BE1030" s="443"/>
    </row>
    <row r="1031">
      <c r="A1031" s="445" t="str">
        <f t="shared" si="5"/>
        <v/>
      </c>
      <c r="B1031" s="443"/>
      <c r="C1031" s="443"/>
      <c r="D1031" s="462"/>
      <c r="E1031" s="436" t="str">
        <f t="array" ref="E1031">IF(B1031=0,"",(J1031+K1031)/60)</f>
        <v/>
      </c>
      <c r="F1031" s="437" t="str">
        <f t="shared" si="1"/>
        <v/>
      </c>
      <c r="G1031" s="438" t="str">
        <f t="shared" si="9"/>
        <v/>
      </c>
      <c r="H1031" s="438" t="str">
        <f t="shared" si="3"/>
        <v/>
      </c>
      <c r="I1031" s="436" t="str">
        <f t="shared" si="11"/>
        <v/>
      </c>
      <c r="J1031" s="464"/>
      <c r="K1031" s="464"/>
      <c r="L1031" s="443"/>
      <c r="M1031" s="443"/>
      <c r="N1031" s="443"/>
      <c r="O1031" s="443"/>
      <c r="P1031" s="443"/>
      <c r="Q1031" s="443"/>
      <c r="R1031" s="443"/>
      <c r="S1031" s="443"/>
      <c r="T1031" s="443"/>
      <c r="U1031" s="443"/>
      <c r="V1031" s="443"/>
      <c r="W1031" s="443"/>
      <c r="X1031" s="443"/>
      <c r="Y1031" s="443"/>
      <c r="Z1031" s="443"/>
      <c r="AA1031" s="443"/>
      <c r="AB1031" s="443"/>
      <c r="AC1031" s="443"/>
      <c r="AD1031" s="443"/>
      <c r="AE1031" s="443"/>
      <c r="AF1031" s="443"/>
      <c r="AG1031" s="443" t="s">
        <v>289</v>
      </c>
      <c r="AH1031" s="443" t="s">
        <v>289</v>
      </c>
      <c r="AI1031" s="443"/>
      <c r="AJ1031" s="443"/>
      <c r="AK1031" s="443"/>
      <c r="AL1031" s="443"/>
      <c r="AM1031" s="443"/>
      <c r="AN1031" s="443"/>
      <c r="AO1031" s="443"/>
      <c r="AP1031" s="443"/>
      <c r="AQ1031" s="443"/>
      <c r="AR1031" s="443"/>
      <c r="AS1031" s="443"/>
      <c r="AT1031" s="443"/>
      <c r="AU1031" s="443"/>
      <c r="AV1031" s="443"/>
      <c r="AW1031" s="443"/>
      <c r="AX1031" s="443"/>
      <c r="AY1031" s="443"/>
      <c r="AZ1031" s="443"/>
      <c r="BA1031" s="443"/>
      <c r="BB1031" s="443"/>
      <c r="BC1031" s="443"/>
      <c r="BD1031" s="443"/>
      <c r="BE1031" s="443"/>
    </row>
    <row r="1032">
      <c r="A1032" s="445" t="str">
        <f t="shared" si="5"/>
        <v/>
      </c>
      <c r="B1032" s="443"/>
      <c r="C1032" s="443"/>
      <c r="D1032" s="462"/>
      <c r="E1032" s="436" t="str">
        <f t="array" ref="E1032">IF(B1032=0,"",(J1032+K1032)/60)</f>
        <v/>
      </c>
      <c r="F1032" s="437" t="str">
        <f t="shared" si="1"/>
        <v/>
      </c>
      <c r="G1032" s="438" t="str">
        <f t="shared" si="9"/>
        <v/>
      </c>
      <c r="H1032" s="438" t="str">
        <f t="shared" si="3"/>
        <v/>
      </c>
      <c r="I1032" s="436" t="str">
        <f t="shared" si="11"/>
        <v/>
      </c>
      <c r="J1032" s="464"/>
      <c r="K1032" s="464"/>
      <c r="L1032" s="443"/>
      <c r="M1032" s="443"/>
      <c r="N1032" s="443"/>
      <c r="O1032" s="443"/>
      <c r="P1032" s="443"/>
      <c r="Q1032" s="443"/>
      <c r="R1032" s="443"/>
      <c r="S1032" s="443"/>
      <c r="T1032" s="443"/>
      <c r="U1032" s="443"/>
      <c r="V1032" s="443"/>
      <c r="W1032" s="443"/>
      <c r="X1032" s="443"/>
      <c r="Y1032" s="443"/>
      <c r="Z1032" s="443"/>
      <c r="AA1032" s="443"/>
      <c r="AB1032" s="443"/>
      <c r="AC1032" s="443"/>
      <c r="AD1032" s="443"/>
      <c r="AE1032" s="443"/>
      <c r="AF1032" s="443"/>
      <c r="AG1032" s="443" t="s">
        <v>289</v>
      </c>
      <c r="AH1032" s="443" t="s">
        <v>289</v>
      </c>
      <c r="AI1032" s="443"/>
      <c r="AJ1032" s="443"/>
      <c r="AK1032" s="443"/>
      <c r="AL1032" s="443"/>
      <c r="AM1032" s="443"/>
      <c r="AN1032" s="443"/>
      <c r="AO1032" s="443"/>
      <c r="AP1032" s="443"/>
      <c r="AQ1032" s="443"/>
      <c r="AR1032" s="443"/>
      <c r="AS1032" s="443"/>
      <c r="AT1032" s="443"/>
      <c r="AU1032" s="443"/>
      <c r="AV1032" s="443"/>
      <c r="AW1032" s="443"/>
      <c r="AX1032" s="443"/>
      <c r="AY1032" s="443"/>
      <c r="AZ1032" s="443"/>
      <c r="BA1032" s="443"/>
      <c r="BB1032" s="443"/>
      <c r="BC1032" s="443"/>
      <c r="BD1032" s="443"/>
      <c r="BE1032" s="443"/>
    </row>
    <row r="1033">
      <c r="A1033" s="445" t="str">
        <f t="shared" si="5"/>
        <v/>
      </c>
      <c r="B1033" s="443"/>
      <c r="C1033" s="443"/>
      <c r="D1033" s="462"/>
      <c r="E1033" s="436" t="str">
        <f t="array" ref="E1033">IF(B1033=0,"",(J1033+K1033)/60)</f>
        <v/>
      </c>
      <c r="F1033" s="437" t="str">
        <f t="shared" si="1"/>
        <v/>
      </c>
      <c r="G1033" s="438" t="str">
        <f t="shared" si="9"/>
        <v/>
      </c>
      <c r="H1033" s="438" t="str">
        <f t="shared" si="3"/>
        <v/>
      </c>
      <c r="I1033" s="436" t="str">
        <f t="shared" si="11"/>
        <v/>
      </c>
      <c r="J1033" s="464"/>
      <c r="K1033" s="464"/>
      <c r="L1033" s="443"/>
      <c r="M1033" s="443"/>
      <c r="N1033" s="443"/>
      <c r="O1033" s="443"/>
      <c r="P1033" s="443"/>
      <c r="Q1033" s="443"/>
      <c r="R1033" s="443"/>
      <c r="S1033" s="443"/>
      <c r="T1033" s="443"/>
      <c r="U1033" s="443"/>
      <c r="V1033" s="443"/>
      <c r="W1033" s="443"/>
      <c r="X1033" s="443"/>
      <c r="Y1033" s="443"/>
      <c r="Z1033" s="443"/>
      <c r="AA1033" s="443"/>
      <c r="AB1033" s="443"/>
      <c r="AC1033" s="443"/>
      <c r="AD1033" s="443"/>
      <c r="AE1033" s="443"/>
      <c r="AF1033" s="443"/>
      <c r="AG1033" s="443" t="s">
        <v>289</v>
      </c>
      <c r="AH1033" s="443" t="s">
        <v>289</v>
      </c>
      <c r="AI1033" s="443"/>
      <c r="AJ1033" s="443"/>
      <c r="AK1033" s="443"/>
      <c r="AL1033" s="443"/>
      <c r="AM1033" s="443"/>
      <c r="AN1033" s="443"/>
      <c r="AO1033" s="443"/>
      <c r="AP1033" s="443"/>
      <c r="AQ1033" s="443"/>
      <c r="AR1033" s="443"/>
      <c r="AS1033" s="443"/>
      <c r="AT1033" s="443"/>
      <c r="AU1033" s="443"/>
      <c r="AV1033" s="443"/>
      <c r="AW1033" s="443"/>
      <c r="AX1033" s="443"/>
      <c r="AY1033" s="443"/>
      <c r="AZ1033" s="443"/>
      <c r="BA1033" s="443"/>
      <c r="BB1033" s="443"/>
      <c r="BC1033" s="443"/>
      <c r="BD1033" s="443"/>
      <c r="BE1033" s="443"/>
    </row>
    <row r="1034">
      <c r="A1034" s="445" t="str">
        <f t="shared" si="5"/>
        <v/>
      </c>
      <c r="B1034" s="443"/>
      <c r="C1034" s="443"/>
      <c r="D1034" s="462"/>
      <c r="E1034" s="436" t="str">
        <f t="array" ref="E1034">IF(B1034=0,"",(J1034+K1034)/60)</f>
        <v/>
      </c>
      <c r="F1034" s="437" t="str">
        <f t="shared" si="1"/>
        <v/>
      </c>
      <c r="G1034" s="438" t="str">
        <f t="shared" si="9"/>
        <v/>
      </c>
      <c r="H1034" s="438" t="str">
        <f t="shared" si="3"/>
        <v/>
      </c>
      <c r="I1034" s="436" t="str">
        <f t="shared" si="11"/>
        <v/>
      </c>
      <c r="J1034" s="464"/>
      <c r="K1034" s="464"/>
      <c r="L1034" s="443"/>
      <c r="M1034" s="443"/>
      <c r="N1034" s="443"/>
      <c r="O1034" s="443"/>
      <c r="P1034" s="443"/>
      <c r="Q1034" s="443"/>
      <c r="R1034" s="443"/>
      <c r="S1034" s="443"/>
      <c r="T1034" s="443"/>
      <c r="U1034" s="443"/>
      <c r="V1034" s="443"/>
      <c r="W1034" s="443"/>
      <c r="X1034" s="443"/>
      <c r="Y1034" s="443"/>
      <c r="Z1034" s="443"/>
      <c r="AA1034" s="443"/>
      <c r="AB1034" s="443"/>
      <c r="AC1034" s="443"/>
      <c r="AD1034" s="443"/>
      <c r="AE1034" s="443"/>
      <c r="AF1034" s="443"/>
      <c r="AG1034" s="443" t="s">
        <v>289</v>
      </c>
      <c r="AH1034" s="443" t="s">
        <v>289</v>
      </c>
      <c r="AI1034" s="443"/>
      <c r="AJ1034" s="443"/>
      <c r="AK1034" s="443"/>
      <c r="AL1034" s="443"/>
      <c r="AM1034" s="443"/>
      <c r="AN1034" s="443"/>
      <c r="AO1034" s="443"/>
      <c r="AP1034" s="443"/>
      <c r="AQ1034" s="443"/>
      <c r="AR1034" s="443"/>
      <c r="AS1034" s="443"/>
      <c r="AT1034" s="443"/>
      <c r="AU1034" s="443"/>
      <c r="AV1034" s="443"/>
      <c r="AW1034" s="443"/>
      <c r="AX1034" s="443"/>
      <c r="AY1034" s="443"/>
      <c r="AZ1034" s="443"/>
      <c r="BA1034" s="443"/>
      <c r="BB1034" s="443"/>
      <c r="BC1034" s="443"/>
      <c r="BD1034" s="443"/>
      <c r="BE1034" s="443"/>
    </row>
    <row r="1035">
      <c r="A1035" s="445" t="str">
        <f t="shared" si="5"/>
        <v/>
      </c>
      <c r="B1035" s="443"/>
      <c r="C1035" s="443"/>
      <c r="D1035" s="462"/>
      <c r="E1035" s="436" t="str">
        <f t="array" ref="E1035">IF(B1035=0,"",(J1035+K1035)/60)</f>
        <v/>
      </c>
      <c r="F1035" s="437" t="str">
        <f t="shared" si="1"/>
        <v/>
      </c>
      <c r="G1035" s="438" t="str">
        <f t="shared" si="9"/>
        <v/>
      </c>
      <c r="H1035" s="438" t="str">
        <f t="shared" si="3"/>
        <v/>
      </c>
      <c r="I1035" s="436" t="str">
        <f t="shared" si="11"/>
        <v/>
      </c>
      <c r="J1035" s="464"/>
      <c r="K1035" s="464"/>
      <c r="L1035" s="443"/>
      <c r="M1035" s="443"/>
      <c r="N1035" s="443"/>
      <c r="O1035" s="443"/>
      <c r="P1035" s="443"/>
      <c r="Q1035" s="443"/>
      <c r="R1035" s="443"/>
      <c r="S1035" s="443"/>
      <c r="T1035" s="443"/>
      <c r="U1035" s="443"/>
      <c r="V1035" s="443"/>
      <c r="W1035" s="443"/>
      <c r="X1035" s="443"/>
      <c r="Y1035" s="443"/>
      <c r="Z1035" s="443"/>
      <c r="AA1035" s="443"/>
      <c r="AB1035" s="443"/>
      <c r="AC1035" s="443"/>
      <c r="AD1035" s="443"/>
      <c r="AE1035" s="443"/>
      <c r="AF1035" s="443"/>
      <c r="AG1035" s="443" t="s">
        <v>289</v>
      </c>
      <c r="AH1035" s="443" t="s">
        <v>289</v>
      </c>
      <c r="AI1035" s="443"/>
      <c r="AJ1035" s="443"/>
      <c r="AK1035" s="443"/>
      <c r="AL1035" s="443"/>
      <c r="AM1035" s="443"/>
      <c r="AN1035" s="443"/>
      <c r="AO1035" s="443"/>
      <c r="AP1035" s="443"/>
      <c r="AQ1035" s="443"/>
      <c r="AR1035" s="443"/>
      <c r="AS1035" s="443"/>
      <c r="AT1035" s="443"/>
      <c r="AU1035" s="443"/>
      <c r="AV1035" s="443"/>
      <c r="AW1035" s="443"/>
      <c r="AX1035" s="443"/>
      <c r="AY1035" s="443"/>
      <c r="AZ1035" s="443"/>
      <c r="BA1035" s="443"/>
      <c r="BB1035" s="443"/>
      <c r="BC1035" s="443"/>
      <c r="BD1035" s="443"/>
      <c r="BE1035" s="443"/>
    </row>
    <row r="1036">
      <c r="A1036" s="445" t="str">
        <f t="shared" si="5"/>
        <v/>
      </c>
      <c r="B1036" s="443"/>
      <c r="C1036" s="443"/>
      <c r="D1036" s="462"/>
      <c r="E1036" s="436" t="str">
        <f t="array" ref="E1036">IF(B1036=0,"",(J1036+K1036)/60)</f>
        <v/>
      </c>
      <c r="F1036" s="437" t="str">
        <f t="shared" si="1"/>
        <v/>
      </c>
      <c r="G1036" s="438" t="str">
        <f t="shared" si="9"/>
        <v/>
      </c>
      <c r="H1036" s="438" t="str">
        <f t="shared" si="3"/>
        <v/>
      </c>
      <c r="I1036" s="436" t="str">
        <f t="shared" si="11"/>
        <v/>
      </c>
      <c r="J1036" s="464"/>
      <c r="K1036" s="464"/>
      <c r="L1036" s="443"/>
      <c r="M1036" s="443"/>
      <c r="N1036" s="443"/>
      <c r="O1036" s="443"/>
      <c r="P1036" s="443"/>
      <c r="Q1036" s="443"/>
      <c r="R1036" s="443"/>
      <c r="S1036" s="443"/>
      <c r="T1036" s="443"/>
      <c r="U1036" s="443"/>
      <c r="V1036" s="443"/>
      <c r="W1036" s="443"/>
      <c r="X1036" s="443"/>
      <c r="Y1036" s="443"/>
      <c r="Z1036" s="443"/>
      <c r="AA1036" s="443"/>
      <c r="AB1036" s="443"/>
      <c r="AC1036" s="443"/>
      <c r="AD1036" s="443"/>
      <c r="AE1036" s="443"/>
      <c r="AF1036" s="443"/>
      <c r="AG1036" s="443" t="s">
        <v>289</v>
      </c>
      <c r="AH1036" s="443" t="s">
        <v>289</v>
      </c>
      <c r="AI1036" s="443"/>
      <c r="AJ1036" s="443"/>
      <c r="AK1036" s="443"/>
      <c r="AL1036" s="443"/>
      <c r="AM1036" s="443"/>
      <c r="AN1036" s="443"/>
      <c r="AO1036" s="443"/>
      <c r="AP1036" s="443"/>
      <c r="AQ1036" s="443"/>
      <c r="AR1036" s="443"/>
      <c r="AS1036" s="443"/>
      <c r="AT1036" s="443"/>
      <c r="AU1036" s="443"/>
      <c r="AV1036" s="443"/>
      <c r="AW1036" s="443"/>
      <c r="AX1036" s="443"/>
      <c r="AY1036" s="443"/>
      <c r="AZ1036" s="443"/>
      <c r="BA1036" s="443"/>
      <c r="BB1036" s="443"/>
      <c r="BC1036" s="443"/>
      <c r="BD1036" s="443"/>
      <c r="BE1036" s="443"/>
    </row>
    <row r="1037">
      <c r="A1037" s="445" t="str">
        <f t="shared" si="5"/>
        <v/>
      </c>
      <c r="B1037" s="443"/>
      <c r="C1037" s="443"/>
      <c r="D1037" s="462"/>
      <c r="E1037" s="436" t="str">
        <f t="array" ref="E1037">IF(B1037=0,"",(J1037+K1037)/60)</f>
        <v/>
      </c>
      <c r="F1037" s="437" t="str">
        <f t="shared" si="1"/>
        <v/>
      </c>
      <c r="G1037" s="438" t="str">
        <f t="shared" si="9"/>
        <v/>
      </c>
      <c r="H1037" s="438" t="str">
        <f t="shared" si="3"/>
        <v/>
      </c>
      <c r="I1037" s="436" t="str">
        <f t="shared" si="11"/>
        <v/>
      </c>
      <c r="J1037" s="464"/>
      <c r="K1037" s="464"/>
      <c r="L1037" s="443"/>
      <c r="M1037" s="443"/>
      <c r="N1037" s="443"/>
      <c r="O1037" s="443"/>
      <c r="P1037" s="443"/>
      <c r="Q1037" s="443"/>
      <c r="R1037" s="443"/>
      <c r="S1037" s="443"/>
      <c r="T1037" s="443"/>
      <c r="U1037" s="443"/>
      <c r="V1037" s="443"/>
      <c r="W1037" s="443"/>
      <c r="X1037" s="443"/>
      <c r="Y1037" s="443"/>
      <c r="Z1037" s="443"/>
      <c r="AA1037" s="443"/>
      <c r="AB1037" s="443"/>
      <c r="AC1037" s="443"/>
      <c r="AD1037" s="443"/>
      <c r="AE1037" s="443"/>
      <c r="AF1037" s="443"/>
      <c r="AG1037" s="443" t="s">
        <v>289</v>
      </c>
      <c r="AH1037" s="443" t="s">
        <v>289</v>
      </c>
      <c r="AI1037" s="443"/>
      <c r="AJ1037" s="443"/>
      <c r="AK1037" s="443"/>
      <c r="AL1037" s="443"/>
      <c r="AM1037" s="443"/>
      <c r="AN1037" s="443"/>
      <c r="AO1037" s="443"/>
      <c r="AP1037" s="443"/>
      <c r="AQ1037" s="443"/>
      <c r="AR1037" s="443"/>
      <c r="AS1037" s="443"/>
      <c r="AT1037" s="443"/>
      <c r="AU1037" s="443"/>
      <c r="AV1037" s="443"/>
      <c r="AW1037" s="443"/>
      <c r="AX1037" s="443"/>
      <c r="AY1037" s="443"/>
      <c r="AZ1037" s="443"/>
      <c r="BA1037" s="443"/>
      <c r="BB1037" s="443"/>
      <c r="BC1037" s="443"/>
      <c r="BD1037" s="443"/>
      <c r="BE1037" s="443"/>
    </row>
    <row r="1038">
      <c r="A1038" s="445" t="str">
        <f t="shared" si="5"/>
        <v/>
      </c>
      <c r="B1038" s="443"/>
      <c r="C1038" s="443"/>
      <c r="D1038" s="462"/>
      <c r="E1038" s="436" t="str">
        <f t="array" ref="E1038">IF(B1038=0,"",(J1038+K1038)/60)</f>
        <v/>
      </c>
      <c r="F1038" s="437" t="str">
        <f t="shared" si="1"/>
        <v/>
      </c>
      <c r="G1038" s="438" t="str">
        <f t="shared" si="9"/>
        <v/>
      </c>
      <c r="H1038" s="438" t="str">
        <f t="shared" si="3"/>
        <v/>
      </c>
      <c r="I1038" s="436" t="str">
        <f t="shared" si="11"/>
        <v/>
      </c>
      <c r="J1038" s="464"/>
      <c r="K1038" s="464"/>
      <c r="L1038" s="443"/>
      <c r="M1038" s="443"/>
      <c r="N1038" s="443"/>
      <c r="O1038" s="443"/>
      <c r="P1038" s="443"/>
      <c r="Q1038" s="443"/>
      <c r="R1038" s="443"/>
      <c r="S1038" s="443"/>
      <c r="T1038" s="443"/>
      <c r="U1038" s="443"/>
      <c r="V1038" s="443"/>
      <c r="W1038" s="443"/>
      <c r="X1038" s="443"/>
      <c r="Y1038" s="443"/>
      <c r="Z1038" s="443"/>
      <c r="AA1038" s="443"/>
      <c r="AB1038" s="443"/>
      <c r="AC1038" s="443"/>
      <c r="AD1038" s="443"/>
      <c r="AE1038" s="443"/>
      <c r="AF1038" s="443"/>
      <c r="AG1038" s="443" t="s">
        <v>289</v>
      </c>
      <c r="AH1038" s="443" t="s">
        <v>289</v>
      </c>
      <c r="AI1038" s="443"/>
      <c r="AJ1038" s="443"/>
      <c r="AK1038" s="443"/>
      <c r="AL1038" s="443"/>
      <c r="AM1038" s="443"/>
      <c r="AN1038" s="443"/>
      <c r="AO1038" s="443"/>
      <c r="AP1038" s="443"/>
      <c r="AQ1038" s="443"/>
      <c r="AR1038" s="443"/>
      <c r="AS1038" s="443"/>
      <c r="AT1038" s="443"/>
      <c r="AU1038" s="443"/>
      <c r="AV1038" s="443"/>
      <c r="AW1038" s="443"/>
      <c r="AX1038" s="443"/>
      <c r="AY1038" s="443"/>
      <c r="AZ1038" s="443"/>
      <c r="BA1038" s="443"/>
      <c r="BB1038" s="443"/>
      <c r="BC1038" s="443"/>
      <c r="BD1038" s="443"/>
      <c r="BE1038" s="443"/>
    </row>
    <row r="1039">
      <c r="A1039" s="445" t="str">
        <f t="shared" si="5"/>
        <v/>
      </c>
      <c r="B1039" s="443"/>
      <c r="C1039" s="443"/>
      <c r="D1039" s="462"/>
      <c r="E1039" s="436" t="str">
        <f t="array" ref="E1039">IF(B1039=0,"",(J1039+K1039)/60)</f>
        <v/>
      </c>
      <c r="F1039" s="437" t="str">
        <f t="shared" si="1"/>
        <v/>
      </c>
      <c r="G1039" s="438" t="str">
        <f t="shared" si="9"/>
        <v/>
      </c>
      <c r="H1039" s="438" t="str">
        <f t="shared" si="3"/>
        <v/>
      </c>
      <c r="I1039" s="436" t="str">
        <f t="shared" si="11"/>
        <v/>
      </c>
      <c r="J1039" s="464"/>
      <c r="K1039" s="464"/>
      <c r="L1039" s="443"/>
      <c r="M1039" s="443"/>
      <c r="N1039" s="443"/>
      <c r="O1039" s="443"/>
      <c r="P1039" s="443"/>
      <c r="Q1039" s="443"/>
      <c r="R1039" s="443"/>
      <c r="S1039" s="443"/>
      <c r="T1039" s="443"/>
      <c r="U1039" s="443"/>
      <c r="V1039" s="443"/>
      <c r="W1039" s="443"/>
      <c r="X1039" s="443"/>
      <c r="Y1039" s="443"/>
      <c r="Z1039" s="443"/>
      <c r="AA1039" s="443"/>
      <c r="AB1039" s="443"/>
      <c r="AC1039" s="443"/>
      <c r="AD1039" s="443"/>
      <c r="AE1039" s="443"/>
      <c r="AF1039" s="443"/>
      <c r="AG1039" s="443" t="s">
        <v>289</v>
      </c>
      <c r="AH1039" s="443" t="s">
        <v>289</v>
      </c>
      <c r="AI1039" s="443"/>
      <c r="AJ1039" s="443"/>
      <c r="AK1039" s="443"/>
      <c r="AL1039" s="443"/>
      <c r="AM1039" s="443"/>
      <c r="AN1039" s="443"/>
      <c r="AO1039" s="443"/>
      <c r="AP1039" s="443"/>
      <c r="AQ1039" s="443"/>
      <c r="AR1039" s="443"/>
      <c r="AS1039" s="443"/>
      <c r="AT1039" s="443"/>
      <c r="AU1039" s="443"/>
      <c r="AV1039" s="443"/>
      <c r="AW1039" s="443"/>
      <c r="AX1039" s="443"/>
      <c r="AY1039" s="443"/>
      <c r="AZ1039" s="443"/>
      <c r="BA1039" s="443"/>
      <c r="BB1039" s="443"/>
      <c r="BC1039" s="443"/>
      <c r="BD1039" s="443"/>
      <c r="BE1039" s="443"/>
    </row>
    <row r="1040">
      <c r="A1040" s="445" t="str">
        <f t="shared" si="5"/>
        <v/>
      </c>
      <c r="B1040" s="443"/>
      <c r="C1040" s="443"/>
      <c r="D1040" s="462"/>
      <c r="E1040" s="436" t="str">
        <f t="array" ref="E1040">IF(B1040=0,"",(J1040+K1040)/60)</f>
        <v/>
      </c>
      <c r="F1040" s="437" t="str">
        <f t="shared" si="1"/>
        <v/>
      </c>
      <c r="G1040" s="438" t="str">
        <f t="shared" si="9"/>
        <v/>
      </c>
      <c r="H1040" s="438" t="str">
        <f t="shared" si="3"/>
        <v/>
      </c>
      <c r="I1040" s="436" t="str">
        <f t="shared" si="11"/>
        <v/>
      </c>
      <c r="J1040" s="464"/>
      <c r="K1040" s="464"/>
      <c r="L1040" s="443"/>
      <c r="M1040" s="443"/>
      <c r="N1040" s="443"/>
      <c r="O1040" s="443"/>
      <c r="P1040" s="443"/>
      <c r="Q1040" s="443"/>
      <c r="R1040" s="443"/>
      <c r="S1040" s="443"/>
      <c r="T1040" s="443"/>
      <c r="U1040" s="443"/>
      <c r="V1040" s="443"/>
      <c r="W1040" s="443"/>
      <c r="X1040" s="443"/>
      <c r="Y1040" s="443"/>
      <c r="Z1040" s="443"/>
      <c r="AA1040" s="443"/>
      <c r="AB1040" s="443"/>
      <c r="AC1040" s="443"/>
      <c r="AD1040" s="443"/>
      <c r="AE1040" s="443"/>
      <c r="AF1040" s="443"/>
      <c r="AG1040" s="443" t="s">
        <v>289</v>
      </c>
      <c r="AH1040" s="443" t="s">
        <v>289</v>
      </c>
      <c r="AI1040" s="443"/>
      <c r="AJ1040" s="443"/>
      <c r="AK1040" s="443"/>
      <c r="AL1040" s="443"/>
      <c r="AM1040" s="443"/>
      <c r="AN1040" s="443"/>
      <c r="AO1040" s="443"/>
      <c r="AP1040" s="443"/>
      <c r="AQ1040" s="443"/>
      <c r="AR1040" s="443"/>
      <c r="AS1040" s="443"/>
      <c r="AT1040" s="443"/>
      <c r="AU1040" s="443"/>
      <c r="AV1040" s="443"/>
      <c r="AW1040" s="443"/>
      <c r="AX1040" s="443"/>
      <c r="AY1040" s="443"/>
      <c r="AZ1040" s="443"/>
      <c r="BA1040" s="443"/>
      <c r="BB1040" s="443"/>
      <c r="BC1040" s="443"/>
      <c r="BD1040" s="443"/>
      <c r="BE1040" s="443"/>
    </row>
    <row r="1041">
      <c r="A1041" s="445" t="str">
        <f t="shared" si="5"/>
        <v/>
      </c>
      <c r="B1041" s="443"/>
      <c r="C1041" s="443"/>
      <c r="D1041" s="462"/>
      <c r="E1041" s="436" t="str">
        <f t="array" ref="E1041">IF(B1041=0,"",(J1041+K1041)/60)</f>
        <v/>
      </c>
      <c r="F1041" s="437" t="str">
        <f t="shared" si="1"/>
        <v/>
      </c>
      <c r="G1041" s="438" t="str">
        <f t="shared" si="9"/>
        <v/>
      </c>
      <c r="H1041" s="438" t="str">
        <f t="shared" si="3"/>
        <v/>
      </c>
      <c r="I1041" s="436" t="str">
        <f t="shared" si="11"/>
        <v/>
      </c>
      <c r="J1041" s="464"/>
      <c r="K1041" s="464"/>
      <c r="L1041" s="443"/>
      <c r="M1041" s="443"/>
      <c r="N1041" s="443"/>
      <c r="O1041" s="443"/>
      <c r="P1041" s="443"/>
      <c r="Q1041" s="443"/>
      <c r="R1041" s="443"/>
      <c r="S1041" s="443"/>
      <c r="T1041" s="443"/>
      <c r="U1041" s="443"/>
      <c r="V1041" s="443"/>
      <c r="W1041" s="443"/>
      <c r="X1041" s="443"/>
      <c r="Y1041" s="443"/>
      <c r="Z1041" s="443"/>
      <c r="AA1041" s="443"/>
      <c r="AB1041" s="443"/>
      <c r="AC1041" s="443"/>
      <c r="AD1041" s="443"/>
      <c r="AE1041" s="443"/>
      <c r="AF1041" s="443"/>
      <c r="AG1041" s="443" t="s">
        <v>289</v>
      </c>
      <c r="AH1041" s="443" t="s">
        <v>289</v>
      </c>
      <c r="AI1041" s="443"/>
      <c r="AJ1041" s="443"/>
      <c r="AK1041" s="443"/>
      <c r="AL1041" s="443"/>
      <c r="AM1041" s="443"/>
      <c r="AN1041" s="443"/>
      <c r="AO1041" s="443"/>
      <c r="AP1041" s="443"/>
      <c r="AQ1041" s="443"/>
      <c r="AR1041" s="443"/>
      <c r="AS1041" s="443"/>
      <c r="AT1041" s="443"/>
      <c r="AU1041" s="443"/>
      <c r="AV1041" s="443"/>
      <c r="AW1041" s="443"/>
      <c r="AX1041" s="443"/>
      <c r="AY1041" s="443"/>
      <c r="AZ1041" s="443"/>
      <c r="BA1041" s="443"/>
      <c r="BB1041" s="443"/>
      <c r="BC1041" s="443"/>
      <c r="BD1041" s="443"/>
      <c r="BE1041" s="443"/>
    </row>
    <row r="1042">
      <c r="A1042" s="445" t="str">
        <f t="shared" si="5"/>
        <v/>
      </c>
      <c r="B1042" s="443"/>
      <c r="C1042" s="443"/>
      <c r="D1042" s="462"/>
      <c r="E1042" s="436" t="str">
        <f t="array" ref="E1042">IF(B1042=0,"",(J1042+K1042)/60)</f>
        <v/>
      </c>
      <c r="F1042" s="437" t="str">
        <f t="shared" si="1"/>
        <v/>
      </c>
      <c r="G1042" s="438" t="str">
        <f t="shared" si="9"/>
        <v/>
      </c>
      <c r="H1042" s="438" t="str">
        <f t="shared" si="3"/>
        <v/>
      </c>
      <c r="I1042" s="436" t="str">
        <f t="shared" si="11"/>
        <v/>
      </c>
      <c r="J1042" s="464"/>
      <c r="K1042" s="464"/>
      <c r="L1042" s="443"/>
      <c r="M1042" s="443"/>
      <c r="N1042" s="443"/>
      <c r="O1042" s="443"/>
      <c r="P1042" s="443"/>
      <c r="Q1042" s="443"/>
      <c r="R1042" s="443"/>
      <c r="S1042" s="443"/>
      <c r="T1042" s="443"/>
      <c r="U1042" s="443"/>
      <c r="V1042" s="443"/>
      <c r="W1042" s="443"/>
      <c r="X1042" s="443"/>
      <c r="Y1042" s="443"/>
      <c r="Z1042" s="443"/>
      <c r="AA1042" s="443"/>
      <c r="AB1042" s="443"/>
      <c r="AC1042" s="443"/>
      <c r="AD1042" s="443"/>
      <c r="AE1042" s="443"/>
      <c r="AF1042" s="443"/>
      <c r="AG1042" s="443" t="s">
        <v>289</v>
      </c>
      <c r="AH1042" s="443" t="s">
        <v>289</v>
      </c>
      <c r="AI1042" s="443"/>
      <c r="AJ1042" s="443"/>
      <c r="AK1042" s="443"/>
      <c r="AL1042" s="443"/>
      <c r="AM1042" s="443"/>
      <c r="AN1042" s="443"/>
      <c r="AO1042" s="443"/>
      <c r="AP1042" s="443"/>
      <c r="AQ1042" s="443"/>
      <c r="AR1042" s="443"/>
      <c r="AS1042" s="443"/>
      <c r="AT1042" s="443"/>
      <c r="AU1042" s="443"/>
      <c r="AV1042" s="443"/>
      <c r="AW1042" s="443"/>
      <c r="AX1042" s="443"/>
      <c r="AY1042" s="443"/>
      <c r="AZ1042" s="443"/>
      <c r="BA1042" s="443"/>
      <c r="BB1042" s="443"/>
      <c r="BC1042" s="443"/>
      <c r="BD1042" s="443"/>
      <c r="BE1042" s="443"/>
    </row>
    <row r="1043">
      <c r="A1043" s="445" t="str">
        <f t="shared" si="5"/>
        <v/>
      </c>
      <c r="B1043" s="443"/>
      <c r="C1043" s="443"/>
      <c r="D1043" s="462"/>
      <c r="E1043" s="436" t="str">
        <f t="array" ref="E1043">IF(B1043=0,"",(J1043+K1043)/60)</f>
        <v/>
      </c>
      <c r="F1043" s="437" t="str">
        <f t="shared" si="1"/>
        <v/>
      </c>
      <c r="G1043" s="438" t="str">
        <f t="shared" si="9"/>
        <v/>
      </c>
      <c r="H1043" s="438" t="str">
        <f t="shared" si="3"/>
        <v/>
      </c>
      <c r="I1043" s="436" t="str">
        <f t="shared" si="11"/>
        <v/>
      </c>
      <c r="J1043" s="464"/>
      <c r="K1043" s="464"/>
      <c r="L1043" s="443"/>
      <c r="M1043" s="443"/>
      <c r="N1043" s="443"/>
      <c r="O1043" s="443"/>
      <c r="P1043" s="443"/>
      <c r="Q1043" s="443"/>
      <c r="R1043" s="443"/>
      <c r="S1043" s="443"/>
      <c r="T1043" s="443"/>
      <c r="U1043" s="443"/>
      <c r="V1043" s="443"/>
      <c r="W1043" s="443"/>
      <c r="X1043" s="443"/>
      <c r="Y1043" s="443"/>
      <c r="Z1043" s="443"/>
      <c r="AA1043" s="443"/>
      <c r="AB1043" s="443"/>
      <c r="AC1043" s="443"/>
      <c r="AD1043" s="443"/>
      <c r="AE1043" s="443"/>
      <c r="AF1043" s="443"/>
      <c r="AG1043" s="443" t="s">
        <v>289</v>
      </c>
      <c r="AH1043" s="443" t="s">
        <v>289</v>
      </c>
      <c r="AI1043" s="443"/>
      <c r="AJ1043" s="443"/>
      <c r="AK1043" s="443"/>
      <c r="AL1043" s="443"/>
      <c r="AM1043" s="443"/>
      <c r="AN1043" s="443"/>
      <c r="AO1043" s="443"/>
      <c r="AP1043" s="443"/>
      <c r="AQ1043" s="443"/>
      <c r="AR1043" s="443"/>
      <c r="AS1043" s="443"/>
      <c r="AT1043" s="443"/>
      <c r="AU1043" s="443"/>
      <c r="AV1043" s="443"/>
      <c r="AW1043" s="443"/>
      <c r="AX1043" s="443"/>
      <c r="AY1043" s="443"/>
      <c r="AZ1043" s="443"/>
      <c r="BA1043" s="443"/>
      <c r="BB1043" s="443"/>
      <c r="BC1043" s="443"/>
      <c r="BD1043" s="443"/>
      <c r="BE1043" s="443"/>
    </row>
    <row r="1044">
      <c r="A1044" s="445" t="str">
        <f t="shared" si="5"/>
        <v/>
      </c>
      <c r="B1044" s="443"/>
      <c r="C1044" s="443"/>
      <c r="D1044" s="462"/>
      <c r="E1044" s="436" t="str">
        <f t="array" ref="E1044">IF(B1044=0,"",(J1044+K1044)/60)</f>
        <v/>
      </c>
      <c r="F1044" s="437" t="str">
        <f t="shared" si="1"/>
        <v/>
      </c>
      <c r="G1044" s="438" t="str">
        <f t="shared" si="9"/>
        <v/>
      </c>
      <c r="H1044" s="438" t="str">
        <f t="shared" si="3"/>
        <v/>
      </c>
      <c r="I1044" s="436" t="str">
        <f t="shared" si="11"/>
        <v/>
      </c>
      <c r="J1044" s="464"/>
      <c r="K1044" s="464"/>
      <c r="L1044" s="443"/>
      <c r="M1044" s="443"/>
      <c r="N1044" s="443"/>
      <c r="O1044" s="443"/>
      <c r="P1044" s="443"/>
      <c r="Q1044" s="443"/>
      <c r="R1044" s="443"/>
      <c r="S1044" s="443"/>
      <c r="T1044" s="443"/>
      <c r="U1044" s="443"/>
      <c r="V1044" s="443"/>
      <c r="W1044" s="443"/>
      <c r="X1044" s="443"/>
      <c r="Y1044" s="443"/>
      <c r="Z1044" s="443"/>
      <c r="AA1044" s="443"/>
      <c r="AB1044" s="443"/>
      <c r="AC1044" s="443"/>
      <c r="AD1044" s="443"/>
      <c r="AE1044" s="443"/>
      <c r="AF1044" s="443"/>
      <c r="AG1044" s="443" t="s">
        <v>289</v>
      </c>
      <c r="AH1044" s="443" t="s">
        <v>289</v>
      </c>
      <c r="AI1044" s="443"/>
      <c r="AJ1044" s="443"/>
      <c r="AK1044" s="443"/>
      <c r="AL1044" s="443"/>
      <c r="AM1044" s="443"/>
      <c r="AN1044" s="443"/>
      <c r="AO1044" s="443"/>
      <c r="AP1044" s="443"/>
      <c r="AQ1044" s="443"/>
      <c r="AR1044" s="443"/>
      <c r="AS1044" s="443"/>
      <c r="AT1044" s="443"/>
      <c r="AU1044" s="443"/>
      <c r="AV1044" s="443"/>
      <c r="AW1044" s="443"/>
      <c r="AX1044" s="443"/>
      <c r="AY1044" s="443"/>
      <c r="AZ1044" s="443"/>
      <c r="BA1044" s="443"/>
      <c r="BB1044" s="443"/>
      <c r="BC1044" s="443"/>
      <c r="BD1044" s="443"/>
      <c r="BE1044" s="443"/>
    </row>
    <row r="1045">
      <c r="A1045" s="445" t="str">
        <f t="shared" si="5"/>
        <v/>
      </c>
      <c r="B1045" s="443"/>
      <c r="C1045" s="443"/>
      <c r="D1045" s="462"/>
      <c r="E1045" s="436" t="str">
        <f t="array" ref="E1045">IF(B1045=0,"",(J1045+K1045)/60)</f>
        <v/>
      </c>
      <c r="F1045" s="437" t="str">
        <f t="shared" si="1"/>
        <v/>
      </c>
      <c r="G1045" s="438" t="str">
        <f t="shared" si="9"/>
        <v/>
      </c>
      <c r="H1045" s="438" t="str">
        <f t="shared" si="3"/>
        <v/>
      </c>
      <c r="I1045" s="436" t="str">
        <f t="shared" si="11"/>
        <v/>
      </c>
      <c r="J1045" s="464"/>
      <c r="K1045" s="464"/>
      <c r="L1045" s="443"/>
      <c r="M1045" s="443"/>
      <c r="N1045" s="443"/>
      <c r="O1045" s="443"/>
      <c r="P1045" s="443"/>
      <c r="Q1045" s="443"/>
      <c r="R1045" s="443"/>
      <c r="S1045" s="443"/>
      <c r="T1045" s="443"/>
      <c r="U1045" s="443"/>
      <c r="V1045" s="443"/>
      <c r="W1045" s="443"/>
      <c r="X1045" s="443"/>
      <c r="Y1045" s="443"/>
      <c r="Z1045" s="443"/>
      <c r="AA1045" s="443"/>
      <c r="AB1045" s="443"/>
      <c r="AC1045" s="443"/>
      <c r="AD1045" s="443"/>
      <c r="AE1045" s="443"/>
      <c r="AF1045" s="443"/>
      <c r="AG1045" s="443" t="s">
        <v>289</v>
      </c>
      <c r="AH1045" s="443" t="s">
        <v>289</v>
      </c>
      <c r="AI1045" s="443"/>
      <c r="AJ1045" s="443"/>
      <c r="AK1045" s="443"/>
      <c r="AL1045" s="443"/>
      <c r="AM1045" s="443"/>
      <c r="AN1045" s="443"/>
      <c r="AO1045" s="443"/>
      <c r="AP1045" s="443"/>
      <c r="AQ1045" s="443"/>
      <c r="AR1045" s="443"/>
      <c r="AS1045" s="443"/>
      <c r="AT1045" s="443"/>
      <c r="AU1045" s="443"/>
      <c r="AV1045" s="443"/>
      <c r="AW1045" s="443"/>
      <c r="AX1045" s="443"/>
      <c r="AY1045" s="443"/>
      <c r="AZ1045" s="443"/>
      <c r="BA1045" s="443"/>
      <c r="BB1045" s="443"/>
      <c r="BC1045" s="443"/>
      <c r="BD1045" s="443"/>
      <c r="BE1045" s="443"/>
    </row>
    <row r="1046">
      <c r="A1046" s="445" t="str">
        <f t="shared" si="5"/>
        <v/>
      </c>
      <c r="B1046" s="443"/>
      <c r="C1046" s="443"/>
      <c r="D1046" s="462"/>
      <c r="E1046" s="436" t="str">
        <f t="array" ref="E1046">IF(B1046=0,"",(J1046+K1046)/60)</f>
        <v/>
      </c>
      <c r="F1046" s="437" t="str">
        <f t="shared" si="1"/>
        <v/>
      </c>
      <c r="G1046" s="438" t="str">
        <f t="shared" si="9"/>
        <v/>
      </c>
      <c r="H1046" s="438" t="str">
        <f t="shared" si="3"/>
        <v/>
      </c>
      <c r="I1046" s="436" t="str">
        <f t="shared" si="11"/>
        <v/>
      </c>
      <c r="J1046" s="464"/>
      <c r="K1046" s="464"/>
      <c r="L1046" s="443"/>
      <c r="M1046" s="443"/>
      <c r="N1046" s="443"/>
      <c r="O1046" s="443"/>
      <c r="P1046" s="443"/>
      <c r="Q1046" s="443"/>
      <c r="R1046" s="443"/>
      <c r="S1046" s="443"/>
      <c r="T1046" s="443"/>
      <c r="U1046" s="443"/>
      <c r="V1046" s="443"/>
      <c r="W1046" s="443"/>
      <c r="X1046" s="443"/>
      <c r="Y1046" s="443"/>
      <c r="Z1046" s="443"/>
      <c r="AA1046" s="443"/>
      <c r="AB1046" s="443"/>
      <c r="AC1046" s="443"/>
      <c r="AD1046" s="443"/>
      <c r="AE1046" s="443"/>
      <c r="AF1046" s="443"/>
      <c r="AG1046" s="443" t="s">
        <v>289</v>
      </c>
      <c r="AH1046" s="443" t="s">
        <v>289</v>
      </c>
      <c r="AI1046" s="443"/>
      <c r="AJ1046" s="443"/>
      <c r="AK1046" s="443"/>
      <c r="AL1046" s="443"/>
      <c r="AM1046" s="443"/>
      <c r="AN1046" s="443"/>
      <c r="AO1046" s="443"/>
      <c r="AP1046" s="443"/>
      <c r="AQ1046" s="443"/>
      <c r="AR1046" s="443"/>
      <c r="AS1046" s="443"/>
      <c r="AT1046" s="443"/>
      <c r="AU1046" s="443"/>
      <c r="AV1046" s="443"/>
      <c r="AW1046" s="443"/>
      <c r="AX1046" s="443"/>
      <c r="AY1046" s="443"/>
      <c r="AZ1046" s="443"/>
      <c r="BA1046" s="443"/>
      <c r="BB1046" s="443"/>
      <c r="BC1046" s="443"/>
      <c r="BD1046" s="443"/>
      <c r="BE1046" s="443"/>
    </row>
    <row r="1047">
      <c r="A1047" s="445" t="str">
        <f t="shared" si="5"/>
        <v/>
      </c>
      <c r="B1047" s="443"/>
      <c r="C1047" s="443"/>
      <c r="D1047" s="462"/>
      <c r="E1047" s="436" t="str">
        <f t="array" ref="E1047">IF(B1047=0,"",(J1047+K1047)/60)</f>
        <v/>
      </c>
      <c r="F1047" s="437" t="str">
        <f t="shared" si="1"/>
        <v/>
      </c>
      <c r="G1047" s="438" t="str">
        <f t="shared" si="9"/>
        <v/>
      </c>
      <c r="H1047" s="438" t="str">
        <f t="shared" si="3"/>
        <v/>
      </c>
      <c r="I1047" s="436" t="str">
        <f t="shared" si="11"/>
        <v/>
      </c>
      <c r="J1047" s="464"/>
      <c r="K1047" s="464"/>
      <c r="L1047" s="443"/>
      <c r="M1047" s="443"/>
      <c r="N1047" s="443"/>
      <c r="O1047" s="443"/>
      <c r="P1047" s="443"/>
      <c r="Q1047" s="443"/>
      <c r="R1047" s="443"/>
      <c r="S1047" s="443"/>
      <c r="T1047" s="443"/>
      <c r="U1047" s="443"/>
      <c r="V1047" s="443"/>
      <c r="W1047" s="443"/>
      <c r="X1047" s="443"/>
      <c r="Y1047" s="443"/>
      <c r="Z1047" s="443"/>
      <c r="AA1047" s="443"/>
      <c r="AB1047" s="443"/>
      <c r="AC1047" s="443"/>
      <c r="AD1047" s="443"/>
      <c r="AE1047" s="443"/>
      <c r="AF1047" s="443"/>
      <c r="AG1047" s="443" t="s">
        <v>289</v>
      </c>
      <c r="AH1047" s="443" t="s">
        <v>289</v>
      </c>
      <c r="AI1047" s="443"/>
      <c r="AJ1047" s="443"/>
      <c r="AK1047" s="443"/>
      <c r="AL1047" s="443"/>
      <c r="AM1047" s="443"/>
      <c r="AN1047" s="443"/>
      <c r="AO1047" s="443"/>
      <c r="AP1047" s="443"/>
      <c r="AQ1047" s="443"/>
      <c r="AR1047" s="443"/>
      <c r="AS1047" s="443"/>
      <c r="AT1047" s="443"/>
      <c r="AU1047" s="443"/>
      <c r="AV1047" s="443"/>
      <c r="AW1047" s="443"/>
      <c r="AX1047" s="443"/>
      <c r="AY1047" s="443"/>
      <c r="AZ1047" s="443"/>
      <c r="BA1047" s="443"/>
      <c r="BB1047" s="443"/>
      <c r="BC1047" s="443"/>
      <c r="BD1047" s="443"/>
      <c r="BE1047" s="443"/>
    </row>
    <row r="1048">
      <c r="A1048" s="445" t="str">
        <f t="shared" si="5"/>
        <v/>
      </c>
      <c r="B1048" s="443"/>
      <c r="C1048" s="443"/>
      <c r="D1048" s="462"/>
      <c r="E1048" s="436" t="str">
        <f t="array" ref="E1048">IF(B1048=0,"",(J1048+K1048)/60)</f>
        <v/>
      </c>
      <c r="F1048" s="437" t="str">
        <f t="shared" si="1"/>
        <v/>
      </c>
      <c r="G1048" s="438" t="str">
        <f t="shared" si="9"/>
        <v/>
      </c>
      <c r="H1048" s="438" t="str">
        <f t="shared" si="3"/>
        <v/>
      </c>
      <c r="I1048" s="436" t="str">
        <f t="shared" si="11"/>
        <v/>
      </c>
      <c r="J1048" s="464"/>
      <c r="K1048" s="464"/>
      <c r="L1048" s="443"/>
      <c r="M1048" s="443"/>
      <c r="N1048" s="443"/>
      <c r="O1048" s="443"/>
      <c r="P1048" s="443"/>
      <c r="Q1048" s="443"/>
      <c r="R1048" s="443"/>
      <c r="S1048" s="443"/>
      <c r="T1048" s="443"/>
      <c r="U1048" s="443"/>
      <c r="V1048" s="443"/>
      <c r="W1048" s="443"/>
      <c r="X1048" s="443"/>
      <c r="Y1048" s="443"/>
      <c r="Z1048" s="443"/>
      <c r="AA1048" s="443"/>
      <c r="AB1048" s="443"/>
      <c r="AC1048" s="443"/>
      <c r="AD1048" s="443"/>
      <c r="AE1048" s="443"/>
      <c r="AF1048" s="443"/>
      <c r="AG1048" s="443" t="s">
        <v>289</v>
      </c>
      <c r="AH1048" s="443" t="s">
        <v>289</v>
      </c>
      <c r="AI1048" s="443"/>
      <c r="AJ1048" s="443"/>
      <c r="AK1048" s="443"/>
      <c r="AL1048" s="443"/>
      <c r="AM1048" s="443"/>
      <c r="AN1048" s="443"/>
      <c r="AO1048" s="443"/>
      <c r="AP1048" s="443"/>
      <c r="AQ1048" s="443"/>
      <c r="AR1048" s="443"/>
      <c r="AS1048" s="443"/>
      <c r="AT1048" s="443"/>
      <c r="AU1048" s="443"/>
      <c r="AV1048" s="443"/>
      <c r="AW1048" s="443"/>
      <c r="AX1048" s="443"/>
      <c r="AY1048" s="443"/>
      <c r="AZ1048" s="443"/>
      <c r="BA1048" s="443"/>
      <c r="BB1048" s="443"/>
      <c r="BC1048" s="443"/>
      <c r="BD1048" s="443"/>
      <c r="BE1048" s="443"/>
    </row>
    <row r="1049">
      <c r="A1049" s="445" t="str">
        <f t="shared" si="5"/>
        <v/>
      </c>
      <c r="B1049" s="443"/>
      <c r="C1049" s="443"/>
      <c r="D1049" s="462"/>
      <c r="E1049" s="436" t="str">
        <f t="array" ref="E1049">IF(B1049=0,"",(J1049+K1049)/60)</f>
        <v/>
      </c>
      <c r="F1049" s="437" t="str">
        <f t="shared" si="1"/>
        <v/>
      </c>
      <c r="G1049" s="438" t="str">
        <f t="shared" si="9"/>
        <v/>
      </c>
      <c r="H1049" s="438" t="str">
        <f t="shared" si="3"/>
        <v/>
      </c>
      <c r="I1049" s="436" t="str">
        <f t="shared" si="11"/>
        <v/>
      </c>
      <c r="J1049" s="464"/>
      <c r="K1049" s="464"/>
      <c r="L1049" s="443"/>
      <c r="M1049" s="443"/>
      <c r="N1049" s="443"/>
      <c r="O1049" s="443"/>
      <c r="P1049" s="443"/>
      <c r="Q1049" s="443"/>
      <c r="R1049" s="443"/>
      <c r="S1049" s="443"/>
      <c r="T1049" s="443"/>
      <c r="U1049" s="443"/>
      <c r="V1049" s="443"/>
      <c r="W1049" s="443"/>
      <c r="X1049" s="443"/>
      <c r="Y1049" s="443"/>
      <c r="Z1049" s="443"/>
      <c r="AA1049" s="443"/>
      <c r="AB1049" s="443"/>
      <c r="AC1049" s="443"/>
      <c r="AD1049" s="443"/>
      <c r="AE1049" s="443"/>
      <c r="AF1049" s="443"/>
      <c r="AG1049" s="443" t="s">
        <v>289</v>
      </c>
      <c r="AH1049" s="443" t="s">
        <v>289</v>
      </c>
      <c r="AI1049" s="443"/>
      <c r="AJ1049" s="443"/>
      <c r="AK1049" s="443"/>
      <c r="AL1049" s="443"/>
      <c r="AM1049" s="443"/>
      <c r="AN1049" s="443"/>
      <c r="AO1049" s="443"/>
      <c r="AP1049" s="443"/>
      <c r="AQ1049" s="443"/>
      <c r="AR1049" s="443"/>
      <c r="AS1049" s="443"/>
      <c r="AT1049" s="443"/>
      <c r="AU1049" s="443"/>
      <c r="AV1049" s="443"/>
      <c r="AW1049" s="443"/>
      <c r="AX1049" s="443"/>
      <c r="AY1049" s="443"/>
      <c r="AZ1049" s="443"/>
      <c r="BA1049" s="443"/>
      <c r="BB1049" s="443"/>
      <c r="BC1049" s="443"/>
      <c r="BD1049" s="443"/>
      <c r="BE1049" s="443"/>
    </row>
    <row r="1050">
      <c r="A1050" s="445" t="str">
        <f t="shared" si="5"/>
        <v/>
      </c>
      <c r="B1050" s="443"/>
      <c r="C1050" s="443"/>
      <c r="D1050" s="462"/>
      <c r="E1050" s="436" t="str">
        <f t="array" ref="E1050">IF(B1050=0,"",(J1050+K1050)/60)</f>
        <v/>
      </c>
      <c r="F1050" s="437" t="str">
        <f t="shared" si="1"/>
        <v/>
      </c>
      <c r="G1050" s="438" t="str">
        <f t="shared" si="9"/>
        <v/>
      </c>
      <c r="H1050" s="438" t="str">
        <f t="shared" si="3"/>
        <v/>
      </c>
      <c r="I1050" s="436" t="str">
        <f t="shared" si="11"/>
        <v/>
      </c>
      <c r="J1050" s="464"/>
      <c r="K1050" s="464"/>
      <c r="L1050" s="443"/>
      <c r="M1050" s="443"/>
      <c r="N1050" s="443"/>
      <c r="O1050" s="443"/>
      <c r="P1050" s="443"/>
      <c r="Q1050" s="443"/>
      <c r="R1050" s="443"/>
      <c r="S1050" s="443"/>
      <c r="T1050" s="443"/>
      <c r="U1050" s="443"/>
      <c r="V1050" s="443"/>
      <c r="W1050" s="443"/>
      <c r="X1050" s="443"/>
      <c r="Y1050" s="443"/>
      <c r="Z1050" s="443"/>
      <c r="AA1050" s="443"/>
      <c r="AB1050" s="443"/>
      <c r="AC1050" s="443"/>
      <c r="AD1050" s="443"/>
      <c r="AE1050" s="443"/>
      <c r="AF1050" s="443"/>
      <c r="AG1050" s="443" t="s">
        <v>289</v>
      </c>
      <c r="AH1050" s="443" t="s">
        <v>289</v>
      </c>
      <c r="AI1050" s="443"/>
      <c r="AJ1050" s="443"/>
      <c r="AK1050" s="443"/>
      <c r="AL1050" s="443"/>
      <c r="AM1050" s="443"/>
      <c r="AN1050" s="443"/>
      <c r="AO1050" s="443"/>
      <c r="AP1050" s="443"/>
      <c r="AQ1050" s="443"/>
      <c r="AR1050" s="443"/>
      <c r="AS1050" s="443"/>
      <c r="AT1050" s="443"/>
      <c r="AU1050" s="443"/>
      <c r="AV1050" s="443"/>
      <c r="AW1050" s="443"/>
      <c r="AX1050" s="443"/>
      <c r="AY1050" s="443"/>
      <c r="AZ1050" s="443"/>
      <c r="BA1050" s="443"/>
      <c r="BB1050" s="443"/>
      <c r="BC1050" s="443"/>
      <c r="BD1050" s="443"/>
      <c r="BE1050" s="443"/>
    </row>
    <row r="1051">
      <c r="A1051" s="445" t="str">
        <f t="shared" si="5"/>
        <v/>
      </c>
      <c r="B1051" s="443"/>
      <c r="C1051" s="443"/>
      <c r="D1051" s="462"/>
      <c r="E1051" s="436" t="str">
        <f t="array" ref="E1051">IF(B1051=0,"",(J1051+K1051)/60)</f>
        <v/>
      </c>
      <c r="F1051" s="437" t="str">
        <f t="shared" si="1"/>
        <v/>
      </c>
      <c r="G1051" s="438" t="str">
        <f t="shared" si="9"/>
        <v/>
      </c>
      <c r="H1051" s="438" t="str">
        <f t="shared" si="3"/>
        <v/>
      </c>
      <c r="I1051" s="436" t="str">
        <f t="shared" si="11"/>
        <v/>
      </c>
      <c r="J1051" s="464"/>
      <c r="K1051" s="464"/>
      <c r="L1051" s="443"/>
      <c r="M1051" s="443"/>
      <c r="N1051" s="443"/>
      <c r="O1051" s="443"/>
      <c r="P1051" s="443"/>
      <c r="Q1051" s="443"/>
      <c r="R1051" s="443"/>
      <c r="S1051" s="443"/>
      <c r="T1051" s="443"/>
      <c r="U1051" s="443"/>
      <c r="V1051" s="443"/>
      <c r="W1051" s="443"/>
      <c r="X1051" s="443"/>
      <c r="Y1051" s="443"/>
      <c r="Z1051" s="443"/>
      <c r="AA1051" s="443"/>
      <c r="AB1051" s="443"/>
      <c r="AC1051" s="443"/>
      <c r="AD1051" s="443"/>
      <c r="AE1051" s="443"/>
      <c r="AF1051" s="443"/>
      <c r="AG1051" s="443" t="s">
        <v>289</v>
      </c>
      <c r="AH1051" s="443" t="s">
        <v>289</v>
      </c>
      <c r="AI1051" s="443"/>
      <c r="AJ1051" s="443"/>
      <c r="AK1051" s="443"/>
      <c r="AL1051" s="443"/>
      <c r="AM1051" s="443"/>
      <c r="AN1051" s="443"/>
      <c r="AO1051" s="443"/>
      <c r="AP1051" s="443"/>
      <c r="AQ1051" s="443"/>
      <c r="AR1051" s="443"/>
      <c r="AS1051" s="443"/>
      <c r="AT1051" s="443"/>
      <c r="AU1051" s="443"/>
      <c r="AV1051" s="443"/>
      <c r="AW1051" s="443"/>
      <c r="AX1051" s="443"/>
      <c r="AY1051" s="443"/>
      <c r="AZ1051" s="443"/>
      <c r="BA1051" s="443"/>
      <c r="BB1051" s="443"/>
      <c r="BC1051" s="443"/>
      <c r="BD1051" s="443"/>
      <c r="BE1051" s="443"/>
    </row>
    <row r="1052">
      <c r="A1052" s="445" t="str">
        <f t="shared" si="5"/>
        <v/>
      </c>
      <c r="B1052" s="443"/>
      <c r="C1052" s="443"/>
      <c r="D1052" s="462"/>
      <c r="E1052" s="436" t="str">
        <f t="array" ref="E1052">IF(B1052=0,"",(J1052+K1052)/60)</f>
        <v/>
      </c>
      <c r="F1052" s="437" t="str">
        <f t="shared" si="1"/>
        <v/>
      </c>
      <c r="G1052" s="438" t="str">
        <f t="shared" si="9"/>
        <v/>
      </c>
      <c r="H1052" s="438" t="str">
        <f t="shared" si="3"/>
        <v/>
      </c>
      <c r="I1052" s="436" t="str">
        <f t="shared" si="11"/>
        <v/>
      </c>
      <c r="J1052" s="464"/>
      <c r="K1052" s="464"/>
      <c r="L1052" s="443"/>
      <c r="M1052" s="443"/>
      <c r="N1052" s="443"/>
      <c r="O1052" s="443"/>
      <c r="P1052" s="443"/>
      <c r="Q1052" s="443"/>
      <c r="R1052" s="443"/>
      <c r="S1052" s="443"/>
      <c r="T1052" s="443"/>
      <c r="U1052" s="443"/>
      <c r="V1052" s="443"/>
      <c r="W1052" s="443"/>
      <c r="X1052" s="443"/>
      <c r="Y1052" s="443"/>
      <c r="Z1052" s="443"/>
      <c r="AA1052" s="443"/>
      <c r="AB1052" s="443"/>
      <c r="AC1052" s="443"/>
      <c r="AD1052" s="443"/>
      <c r="AE1052" s="443"/>
      <c r="AF1052" s="443"/>
      <c r="AG1052" s="443" t="s">
        <v>289</v>
      </c>
      <c r="AH1052" s="443" t="s">
        <v>289</v>
      </c>
      <c r="AI1052" s="443"/>
      <c r="AJ1052" s="443"/>
      <c r="AK1052" s="443"/>
      <c r="AL1052" s="443"/>
      <c r="AM1052" s="443"/>
      <c r="AN1052" s="443"/>
      <c r="AO1052" s="443"/>
      <c r="AP1052" s="443"/>
      <c r="AQ1052" s="443"/>
      <c r="AR1052" s="443"/>
      <c r="AS1052" s="443"/>
      <c r="AT1052" s="443"/>
      <c r="AU1052" s="443"/>
      <c r="AV1052" s="443"/>
      <c r="AW1052" s="443"/>
      <c r="AX1052" s="443"/>
      <c r="AY1052" s="443"/>
      <c r="AZ1052" s="443"/>
      <c r="BA1052" s="443"/>
      <c r="BB1052" s="443"/>
      <c r="BC1052" s="443"/>
      <c r="BD1052" s="443"/>
      <c r="BE1052" s="443"/>
    </row>
    <row r="1053">
      <c r="A1053" s="445" t="str">
        <f t="shared" si="5"/>
        <v/>
      </c>
      <c r="B1053" s="443"/>
      <c r="C1053" s="443"/>
      <c r="D1053" s="462"/>
      <c r="E1053" s="436" t="str">
        <f t="array" ref="E1053">IF(B1053=0,"",(J1053+K1053)/60)</f>
        <v/>
      </c>
      <c r="F1053" s="437" t="str">
        <f t="shared" si="1"/>
        <v/>
      </c>
      <c r="G1053" s="438" t="str">
        <f t="shared" si="9"/>
        <v/>
      </c>
      <c r="H1053" s="438" t="str">
        <f t="shared" si="3"/>
        <v/>
      </c>
      <c r="I1053" s="436" t="str">
        <f t="shared" si="11"/>
        <v/>
      </c>
      <c r="J1053" s="464"/>
      <c r="K1053" s="464"/>
      <c r="L1053" s="443"/>
      <c r="M1053" s="443"/>
      <c r="N1053" s="443"/>
      <c r="O1053" s="443"/>
      <c r="P1053" s="443"/>
      <c r="Q1053" s="443"/>
      <c r="R1053" s="443"/>
      <c r="S1053" s="443"/>
      <c r="T1053" s="443"/>
      <c r="U1053" s="443"/>
      <c r="V1053" s="443"/>
      <c r="W1053" s="443"/>
      <c r="X1053" s="443"/>
      <c r="Y1053" s="443"/>
      <c r="Z1053" s="443"/>
      <c r="AA1053" s="443"/>
      <c r="AB1053" s="443"/>
      <c r="AC1053" s="443"/>
      <c r="AD1053" s="443"/>
      <c r="AE1053" s="443"/>
      <c r="AF1053" s="443"/>
      <c r="AG1053" s="443" t="s">
        <v>289</v>
      </c>
      <c r="AH1053" s="443" t="s">
        <v>289</v>
      </c>
      <c r="AI1053" s="443"/>
      <c r="AJ1053" s="443"/>
      <c r="AK1053" s="443"/>
      <c r="AL1053" s="443"/>
      <c r="AM1053" s="443"/>
      <c r="AN1053" s="443"/>
      <c r="AO1053" s="443"/>
      <c r="AP1053" s="443"/>
      <c r="AQ1053" s="443"/>
      <c r="AR1053" s="443"/>
      <c r="AS1053" s="443"/>
      <c r="AT1053" s="443"/>
      <c r="AU1053" s="443"/>
      <c r="AV1053" s="443"/>
      <c r="AW1053" s="443"/>
      <c r="AX1053" s="443"/>
      <c r="AY1053" s="443"/>
      <c r="AZ1053" s="443"/>
      <c r="BA1053" s="443"/>
      <c r="BB1053" s="443"/>
      <c r="BC1053" s="443"/>
      <c r="BD1053" s="443"/>
      <c r="BE1053" s="443"/>
    </row>
    <row r="1054">
      <c r="A1054" s="445" t="str">
        <f t="shared" si="5"/>
        <v/>
      </c>
      <c r="B1054" s="443"/>
      <c r="C1054" s="443"/>
      <c r="D1054" s="462"/>
      <c r="E1054" s="436" t="str">
        <f t="array" ref="E1054">IF(B1054=0,"",(J1054+K1054)/60)</f>
        <v/>
      </c>
      <c r="F1054" s="437" t="str">
        <f t="shared" si="1"/>
        <v/>
      </c>
      <c r="G1054" s="438" t="str">
        <f t="shared" si="9"/>
        <v/>
      </c>
      <c r="H1054" s="438" t="str">
        <f t="shared" si="3"/>
        <v/>
      </c>
      <c r="I1054" s="436" t="str">
        <f t="shared" si="11"/>
        <v/>
      </c>
      <c r="J1054" s="464"/>
      <c r="K1054" s="464"/>
      <c r="L1054" s="443"/>
      <c r="M1054" s="443"/>
      <c r="N1054" s="443"/>
      <c r="O1054" s="443"/>
      <c r="P1054" s="443"/>
      <c r="Q1054" s="443"/>
      <c r="R1054" s="443"/>
      <c r="S1054" s="443"/>
      <c r="T1054" s="443"/>
      <c r="U1054" s="443"/>
      <c r="V1054" s="443"/>
      <c r="W1054" s="443"/>
      <c r="X1054" s="443"/>
      <c r="Y1054" s="443"/>
      <c r="Z1054" s="443"/>
      <c r="AA1054" s="443"/>
      <c r="AB1054" s="443"/>
      <c r="AC1054" s="443"/>
      <c r="AD1054" s="443"/>
      <c r="AE1054" s="443"/>
      <c r="AF1054" s="443"/>
      <c r="AG1054" s="443" t="s">
        <v>289</v>
      </c>
      <c r="AH1054" s="443" t="s">
        <v>289</v>
      </c>
      <c r="AI1054" s="443"/>
      <c r="AJ1054" s="443"/>
      <c r="AK1054" s="443"/>
      <c r="AL1054" s="443"/>
      <c r="AM1054" s="443"/>
      <c r="AN1054" s="443"/>
      <c r="AO1054" s="443"/>
      <c r="AP1054" s="443"/>
      <c r="AQ1054" s="443"/>
      <c r="AR1054" s="443"/>
      <c r="AS1054" s="443"/>
      <c r="AT1054" s="443"/>
      <c r="AU1054" s="443"/>
      <c r="AV1054" s="443"/>
      <c r="AW1054" s="443"/>
      <c r="AX1054" s="443"/>
      <c r="AY1054" s="443"/>
      <c r="AZ1054" s="443"/>
      <c r="BA1054" s="443"/>
      <c r="BB1054" s="443"/>
      <c r="BC1054" s="443"/>
      <c r="BD1054" s="443"/>
      <c r="BE1054" s="443"/>
    </row>
    <row r="1055">
      <c r="A1055" s="445" t="str">
        <f t="shared" si="5"/>
        <v/>
      </c>
      <c r="B1055" s="443"/>
      <c r="C1055" s="443"/>
      <c r="D1055" s="462"/>
      <c r="E1055" s="436" t="str">
        <f t="array" ref="E1055">IF(B1055=0,"",(J1055+K1055)/60)</f>
        <v/>
      </c>
      <c r="F1055" s="437" t="str">
        <f t="shared" si="1"/>
        <v/>
      </c>
      <c r="G1055" s="438" t="str">
        <f t="shared" si="9"/>
        <v/>
      </c>
      <c r="H1055" s="438" t="str">
        <f t="shared" si="3"/>
        <v/>
      </c>
      <c r="I1055" s="436" t="str">
        <f t="shared" si="11"/>
        <v/>
      </c>
      <c r="J1055" s="464"/>
      <c r="K1055" s="464"/>
      <c r="L1055" s="443"/>
      <c r="M1055" s="443"/>
      <c r="N1055" s="443"/>
      <c r="O1055" s="443"/>
      <c r="P1055" s="443"/>
      <c r="Q1055" s="443"/>
      <c r="R1055" s="443"/>
      <c r="S1055" s="443"/>
      <c r="T1055" s="443"/>
      <c r="U1055" s="443"/>
      <c r="V1055" s="443"/>
      <c r="W1055" s="443"/>
      <c r="X1055" s="443"/>
      <c r="Y1055" s="443"/>
      <c r="Z1055" s="443"/>
      <c r="AA1055" s="443"/>
      <c r="AB1055" s="443"/>
      <c r="AC1055" s="443"/>
      <c r="AD1055" s="443"/>
      <c r="AE1055" s="443"/>
      <c r="AF1055" s="443"/>
      <c r="AG1055" s="443" t="s">
        <v>289</v>
      </c>
      <c r="AH1055" s="443" t="s">
        <v>289</v>
      </c>
      <c r="AI1055" s="443"/>
      <c r="AJ1055" s="443"/>
      <c r="AK1055" s="443"/>
      <c r="AL1055" s="443"/>
      <c r="AM1055" s="443"/>
      <c r="AN1055" s="443"/>
      <c r="AO1055" s="443"/>
      <c r="AP1055" s="443"/>
      <c r="AQ1055" s="443"/>
      <c r="AR1055" s="443"/>
      <c r="AS1055" s="443"/>
      <c r="AT1055" s="443"/>
      <c r="AU1055" s="443"/>
      <c r="AV1055" s="443"/>
      <c r="AW1055" s="443"/>
      <c r="AX1055" s="443"/>
      <c r="AY1055" s="443"/>
      <c r="AZ1055" s="443"/>
      <c r="BA1055" s="443"/>
      <c r="BB1055" s="443"/>
      <c r="BC1055" s="443"/>
      <c r="BD1055" s="443"/>
      <c r="BE1055" s="443"/>
    </row>
    <row r="1056">
      <c r="A1056" s="445" t="str">
        <f t="shared" si="5"/>
        <v/>
      </c>
      <c r="B1056" s="443"/>
      <c r="C1056" s="443"/>
      <c r="D1056" s="462"/>
      <c r="E1056" s="436" t="str">
        <f t="array" ref="E1056">IF(B1056=0,"",(J1056+K1056)/60)</f>
        <v/>
      </c>
      <c r="F1056" s="437" t="str">
        <f t="shared" si="1"/>
        <v/>
      </c>
      <c r="G1056" s="438" t="str">
        <f t="shared" si="9"/>
        <v/>
      </c>
      <c r="H1056" s="438" t="str">
        <f t="shared" si="3"/>
        <v/>
      </c>
      <c r="I1056" s="436" t="str">
        <f t="shared" si="11"/>
        <v/>
      </c>
      <c r="J1056" s="464"/>
      <c r="K1056" s="464"/>
      <c r="L1056" s="443"/>
      <c r="M1056" s="443"/>
      <c r="N1056" s="443"/>
      <c r="O1056" s="443"/>
      <c r="P1056" s="443"/>
      <c r="Q1056" s="443"/>
      <c r="R1056" s="443"/>
      <c r="S1056" s="443"/>
      <c r="T1056" s="443"/>
      <c r="U1056" s="443"/>
      <c r="V1056" s="443"/>
      <c r="W1056" s="443"/>
      <c r="X1056" s="443"/>
      <c r="Y1056" s="443"/>
      <c r="Z1056" s="443"/>
      <c r="AA1056" s="443"/>
      <c r="AB1056" s="443"/>
      <c r="AC1056" s="443"/>
      <c r="AD1056" s="443"/>
      <c r="AE1056" s="443"/>
      <c r="AF1056" s="443"/>
      <c r="AG1056" s="443" t="s">
        <v>289</v>
      </c>
      <c r="AH1056" s="443" t="s">
        <v>289</v>
      </c>
      <c r="AI1056" s="443"/>
      <c r="AJ1056" s="443"/>
      <c r="AK1056" s="443"/>
      <c r="AL1056" s="443"/>
      <c r="AM1056" s="443"/>
      <c r="AN1056" s="443"/>
      <c r="AO1056" s="443"/>
      <c r="AP1056" s="443"/>
      <c r="AQ1056" s="443"/>
      <c r="AR1056" s="443"/>
      <c r="AS1056" s="443"/>
      <c r="AT1056" s="443"/>
      <c r="AU1056" s="443"/>
      <c r="AV1056" s="443"/>
      <c r="AW1056" s="443"/>
      <c r="AX1056" s="443"/>
      <c r="AY1056" s="443"/>
      <c r="AZ1056" s="443"/>
      <c r="BA1056" s="443"/>
      <c r="BB1056" s="443"/>
      <c r="BC1056" s="443"/>
      <c r="BD1056" s="443"/>
      <c r="BE1056" s="443"/>
    </row>
    <row r="1057">
      <c r="A1057" s="445" t="str">
        <f t="shared" si="5"/>
        <v/>
      </c>
      <c r="B1057" s="443"/>
      <c r="C1057" s="443"/>
      <c r="D1057" s="462"/>
      <c r="E1057" s="436" t="str">
        <f t="array" ref="E1057">IF(B1057=0,"",(J1057+K1057)/60)</f>
        <v/>
      </c>
      <c r="F1057" s="437" t="str">
        <f t="shared" si="1"/>
        <v/>
      </c>
      <c r="G1057" s="438" t="str">
        <f t="shared" si="9"/>
        <v/>
      </c>
      <c r="H1057" s="438" t="str">
        <f t="shared" si="3"/>
        <v/>
      </c>
      <c r="I1057" s="436" t="str">
        <f t="shared" si="11"/>
        <v/>
      </c>
      <c r="J1057" s="464"/>
      <c r="K1057" s="464"/>
      <c r="L1057" s="443"/>
      <c r="M1057" s="443"/>
      <c r="N1057" s="443"/>
      <c r="O1057" s="443"/>
      <c r="P1057" s="443"/>
      <c r="Q1057" s="443"/>
      <c r="R1057" s="443"/>
      <c r="S1057" s="443"/>
      <c r="T1057" s="443"/>
      <c r="U1057" s="443"/>
      <c r="V1057" s="443"/>
      <c r="W1057" s="443"/>
      <c r="X1057" s="443"/>
      <c r="Y1057" s="443"/>
      <c r="Z1057" s="443"/>
      <c r="AA1057" s="443"/>
      <c r="AB1057" s="443"/>
      <c r="AC1057" s="443"/>
      <c r="AD1057" s="443"/>
      <c r="AE1057" s="443"/>
      <c r="AF1057" s="443"/>
      <c r="AG1057" s="443" t="s">
        <v>289</v>
      </c>
      <c r="AH1057" s="443" t="s">
        <v>289</v>
      </c>
      <c r="AI1057" s="443"/>
      <c r="AJ1057" s="443"/>
      <c r="AK1057" s="443"/>
      <c r="AL1057" s="443"/>
      <c r="AM1057" s="443"/>
      <c r="AN1057" s="443"/>
      <c r="AO1057" s="443"/>
      <c r="AP1057" s="443"/>
      <c r="AQ1057" s="443"/>
      <c r="AR1057" s="443"/>
      <c r="AS1057" s="443"/>
      <c r="AT1057" s="443"/>
      <c r="AU1057" s="443"/>
      <c r="AV1057" s="443"/>
      <c r="AW1057" s="443"/>
      <c r="AX1057" s="443"/>
      <c r="AY1057" s="443"/>
      <c r="AZ1057" s="443"/>
      <c r="BA1057" s="443"/>
      <c r="BB1057" s="443"/>
      <c r="BC1057" s="443"/>
      <c r="BD1057" s="443"/>
      <c r="BE1057" s="443"/>
    </row>
    <row r="1058">
      <c r="A1058" s="445" t="str">
        <f t="shared" si="5"/>
        <v/>
      </c>
      <c r="B1058" s="443"/>
      <c r="C1058" s="443"/>
      <c r="D1058" s="462"/>
      <c r="E1058" s="436" t="str">
        <f t="array" ref="E1058">IF(B1058=0,"",(J1058+K1058)/60)</f>
        <v/>
      </c>
      <c r="F1058" s="437" t="str">
        <f t="shared" si="1"/>
        <v/>
      </c>
      <c r="G1058" s="438" t="str">
        <f t="shared" si="9"/>
        <v/>
      </c>
      <c r="H1058" s="438" t="str">
        <f t="shared" si="3"/>
        <v/>
      </c>
      <c r="I1058" s="436" t="str">
        <f t="shared" si="11"/>
        <v/>
      </c>
      <c r="J1058" s="464"/>
      <c r="K1058" s="464"/>
      <c r="L1058" s="443"/>
      <c r="M1058" s="443"/>
      <c r="N1058" s="443"/>
      <c r="O1058" s="443"/>
      <c r="P1058" s="443"/>
      <c r="Q1058" s="443"/>
      <c r="R1058" s="443"/>
      <c r="S1058" s="443"/>
      <c r="T1058" s="443"/>
      <c r="U1058" s="443"/>
      <c r="V1058" s="443"/>
      <c r="W1058" s="443"/>
      <c r="X1058" s="443"/>
      <c r="Y1058" s="443"/>
      <c r="Z1058" s="443"/>
      <c r="AA1058" s="443"/>
      <c r="AB1058" s="443"/>
      <c r="AC1058" s="443"/>
      <c r="AD1058" s="443"/>
      <c r="AE1058" s="443"/>
      <c r="AF1058" s="443"/>
      <c r="AG1058" s="443" t="s">
        <v>289</v>
      </c>
      <c r="AH1058" s="443" t="s">
        <v>289</v>
      </c>
      <c r="AI1058" s="443"/>
      <c r="AJ1058" s="443"/>
      <c r="AK1058" s="443"/>
      <c r="AL1058" s="443"/>
      <c r="AM1058" s="443"/>
      <c r="AN1058" s="443"/>
      <c r="AO1058" s="443"/>
      <c r="AP1058" s="443"/>
      <c r="AQ1058" s="443"/>
      <c r="AR1058" s="443"/>
      <c r="AS1058" s="443"/>
      <c r="AT1058" s="443"/>
      <c r="AU1058" s="443"/>
      <c r="AV1058" s="443"/>
      <c r="AW1058" s="443"/>
      <c r="AX1058" s="443"/>
      <c r="AY1058" s="443"/>
      <c r="AZ1058" s="443"/>
      <c r="BA1058" s="443"/>
      <c r="BB1058" s="443"/>
      <c r="BC1058" s="443"/>
      <c r="BD1058" s="443"/>
      <c r="BE1058" s="443"/>
    </row>
    <row r="1059">
      <c r="A1059" s="445" t="str">
        <f t="shared" si="5"/>
        <v/>
      </c>
      <c r="B1059" s="443"/>
      <c r="C1059" s="443"/>
      <c r="D1059" s="462"/>
      <c r="E1059" s="436" t="str">
        <f t="array" ref="E1059">IF(B1059=0,"",(J1059+K1059)/60)</f>
        <v/>
      </c>
      <c r="F1059" s="437" t="str">
        <f t="shared" si="1"/>
        <v/>
      </c>
      <c r="G1059" s="438" t="str">
        <f t="shared" si="9"/>
        <v/>
      </c>
      <c r="H1059" s="438" t="str">
        <f t="shared" si="3"/>
        <v/>
      </c>
      <c r="I1059" s="436" t="str">
        <f t="shared" si="11"/>
        <v/>
      </c>
      <c r="J1059" s="464"/>
      <c r="K1059" s="464"/>
      <c r="L1059" s="443"/>
      <c r="M1059" s="443"/>
      <c r="N1059" s="443"/>
      <c r="O1059" s="443"/>
      <c r="P1059" s="443"/>
      <c r="Q1059" s="443"/>
      <c r="R1059" s="443"/>
      <c r="S1059" s="443"/>
      <c r="T1059" s="443"/>
      <c r="U1059" s="443"/>
      <c r="V1059" s="443"/>
      <c r="W1059" s="443"/>
      <c r="X1059" s="443"/>
      <c r="Y1059" s="443"/>
      <c r="Z1059" s="443"/>
      <c r="AA1059" s="443"/>
      <c r="AB1059" s="443"/>
      <c r="AC1059" s="443"/>
      <c r="AD1059" s="443"/>
      <c r="AE1059" s="443"/>
      <c r="AF1059" s="443"/>
      <c r="AG1059" s="443" t="s">
        <v>289</v>
      </c>
      <c r="AH1059" s="443" t="s">
        <v>289</v>
      </c>
      <c r="AI1059" s="443"/>
      <c r="AJ1059" s="443"/>
      <c r="AK1059" s="443"/>
      <c r="AL1059" s="443"/>
      <c r="AM1059" s="443"/>
      <c r="AN1059" s="443"/>
      <c r="AO1059" s="443"/>
      <c r="AP1059" s="443"/>
      <c r="AQ1059" s="443"/>
      <c r="AR1059" s="443"/>
      <c r="AS1059" s="443"/>
      <c r="AT1059" s="443"/>
      <c r="AU1059" s="443"/>
      <c r="AV1059" s="443"/>
      <c r="AW1059" s="443"/>
      <c r="AX1059" s="443"/>
      <c r="AY1059" s="443"/>
      <c r="AZ1059" s="443"/>
      <c r="BA1059" s="443"/>
      <c r="BB1059" s="443"/>
      <c r="BC1059" s="443"/>
      <c r="BD1059" s="443"/>
      <c r="BE1059" s="443"/>
    </row>
    <row r="1060">
      <c r="A1060" s="445" t="str">
        <f t="shared" si="5"/>
        <v/>
      </c>
      <c r="B1060" s="443"/>
      <c r="C1060" s="443"/>
      <c r="D1060" s="462"/>
      <c r="E1060" s="436" t="str">
        <f t="array" ref="E1060">IF(B1060=0,"",(J1060+K1060)/60)</f>
        <v/>
      </c>
      <c r="F1060" s="437" t="str">
        <f t="shared" si="1"/>
        <v/>
      </c>
      <c r="G1060" s="438" t="str">
        <f t="shared" si="9"/>
        <v/>
      </c>
      <c r="H1060" s="438" t="str">
        <f t="shared" si="3"/>
        <v/>
      </c>
      <c r="I1060" s="436" t="str">
        <f t="shared" si="11"/>
        <v/>
      </c>
      <c r="J1060" s="464"/>
      <c r="K1060" s="464"/>
      <c r="L1060" s="443"/>
      <c r="M1060" s="443"/>
      <c r="N1060" s="443"/>
      <c r="O1060" s="443"/>
      <c r="P1060" s="443"/>
      <c r="Q1060" s="443"/>
      <c r="R1060" s="443"/>
      <c r="S1060" s="443"/>
      <c r="T1060" s="443"/>
      <c r="U1060" s="443"/>
      <c r="V1060" s="443"/>
      <c r="W1060" s="443"/>
      <c r="X1060" s="443"/>
      <c r="Y1060" s="443"/>
      <c r="Z1060" s="443"/>
      <c r="AA1060" s="443"/>
      <c r="AB1060" s="443"/>
      <c r="AC1060" s="443"/>
      <c r="AD1060" s="443"/>
      <c r="AE1060" s="443"/>
      <c r="AF1060" s="443"/>
      <c r="AG1060" s="443" t="s">
        <v>289</v>
      </c>
      <c r="AH1060" s="443" t="s">
        <v>289</v>
      </c>
      <c r="AI1060" s="443"/>
      <c r="AJ1060" s="443"/>
      <c r="AK1060" s="443"/>
      <c r="AL1060" s="443"/>
      <c r="AM1060" s="443"/>
      <c r="AN1060" s="443"/>
      <c r="AO1060" s="443"/>
      <c r="AP1060" s="443"/>
      <c r="AQ1060" s="443"/>
      <c r="AR1060" s="443"/>
      <c r="AS1060" s="443"/>
      <c r="AT1060" s="443"/>
      <c r="AU1060" s="443"/>
      <c r="AV1060" s="443"/>
      <c r="AW1060" s="443"/>
      <c r="AX1060" s="443"/>
      <c r="AY1060" s="443"/>
      <c r="AZ1060" s="443"/>
      <c r="BA1060" s="443"/>
      <c r="BB1060" s="443"/>
      <c r="BC1060" s="443"/>
      <c r="BD1060" s="443"/>
      <c r="BE1060" s="443"/>
    </row>
    <row r="1061">
      <c r="A1061" s="445" t="str">
        <f t="shared" si="5"/>
        <v/>
      </c>
      <c r="B1061" s="443"/>
      <c r="C1061" s="443"/>
      <c r="D1061" s="462"/>
      <c r="E1061" s="436" t="str">
        <f t="array" ref="E1061">IF(B1061=0,"",(J1061+K1061)/60)</f>
        <v/>
      </c>
      <c r="F1061" s="437" t="str">
        <f t="shared" si="1"/>
        <v/>
      </c>
      <c r="G1061" s="438" t="str">
        <f t="shared" si="9"/>
        <v/>
      </c>
      <c r="H1061" s="438" t="str">
        <f t="shared" si="3"/>
        <v/>
      </c>
      <c r="I1061" s="436" t="str">
        <f t="shared" si="11"/>
        <v/>
      </c>
      <c r="J1061" s="464"/>
      <c r="K1061" s="464"/>
      <c r="L1061" s="443"/>
      <c r="M1061" s="443"/>
      <c r="N1061" s="443"/>
      <c r="O1061" s="443"/>
      <c r="P1061" s="443"/>
      <c r="Q1061" s="443"/>
      <c r="R1061" s="443"/>
      <c r="S1061" s="443"/>
      <c r="T1061" s="443"/>
      <c r="U1061" s="443"/>
      <c r="V1061" s="443"/>
      <c r="W1061" s="443"/>
      <c r="X1061" s="443"/>
      <c r="Y1061" s="443"/>
      <c r="Z1061" s="443"/>
      <c r="AA1061" s="443"/>
      <c r="AB1061" s="443"/>
      <c r="AC1061" s="443"/>
      <c r="AD1061" s="443"/>
      <c r="AE1061" s="443"/>
      <c r="AF1061" s="443"/>
      <c r="AG1061" s="443" t="s">
        <v>289</v>
      </c>
      <c r="AH1061" s="443" t="s">
        <v>289</v>
      </c>
      <c r="AI1061" s="443"/>
      <c r="AJ1061" s="443"/>
      <c r="AK1061" s="443"/>
      <c r="AL1061" s="443"/>
      <c r="AM1061" s="443"/>
      <c r="AN1061" s="443"/>
      <c r="AO1061" s="443"/>
      <c r="AP1061" s="443"/>
      <c r="AQ1061" s="443"/>
      <c r="AR1061" s="443"/>
      <c r="AS1061" s="443"/>
      <c r="AT1061" s="443"/>
      <c r="AU1061" s="443"/>
      <c r="AV1061" s="443"/>
      <c r="AW1061" s="443"/>
      <c r="AX1061" s="443"/>
      <c r="AY1061" s="443"/>
      <c r="AZ1061" s="443"/>
      <c r="BA1061" s="443"/>
      <c r="BB1061" s="443"/>
      <c r="BC1061" s="443"/>
      <c r="BD1061" s="443"/>
      <c r="BE1061" s="443"/>
    </row>
    <row r="1062">
      <c r="A1062" s="445" t="str">
        <f t="shared" si="5"/>
        <v/>
      </c>
      <c r="B1062" s="443"/>
      <c r="C1062" s="443"/>
      <c r="D1062" s="462"/>
      <c r="E1062" s="436" t="str">
        <f t="array" ref="E1062">IF(B1062=0,"",(J1062+K1062)/60)</f>
        <v/>
      </c>
      <c r="F1062" s="437" t="str">
        <f t="shared" si="1"/>
        <v/>
      </c>
      <c r="G1062" s="438" t="str">
        <f t="shared" si="9"/>
        <v/>
      </c>
      <c r="H1062" s="438" t="str">
        <f t="shared" si="3"/>
        <v/>
      </c>
      <c r="I1062" s="436" t="str">
        <f t="shared" si="11"/>
        <v/>
      </c>
      <c r="J1062" s="464"/>
      <c r="K1062" s="464"/>
      <c r="L1062" s="443"/>
      <c r="M1062" s="443"/>
      <c r="N1062" s="443"/>
      <c r="O1062" s="443"/>
      <c r="P1062" s="443"/>
      <c r="Q1062" s="443"/>
      <c r="R1062" s="443"/>
      <c r="S1062" s="443"/>
      <c r="T1062" s="443"/>
      <c r="U1062" s="443"/>
      <c r="V1062" s="443"/>
      <c r="W1062" s="443"/>
      <c r="X1062" s="443"/>
      <c r="Y1062" s="443"/>
      <c r="Z1062" s="443"/>
      <c r="AA1062" s="443"/>
      <c r="AB1062" s="443"/>
      <c r="AC1062" s="443"/>
      <c r="AD1062" s="443"/>
      <c r="AE1062" s="443"/>
      <c r="AF1062" s="443"/>
      <c r="AG1062" s="443" t="s">
        <v>289</v>
      </c>
      <c r="AH1062" s="443" t="s">
        <v>289</v>
      </c>
      <c r="AI1062" s="443"/>
      <c r="AJ1062" s="443"/>
      <c r="AK1062" s="443"/>
      <c r="AL1062" s="443"/>
      <c r="AM1062" s="443"/>
      <c r="AN1062" s="443"/>
      <c r="AO1062" s="443"/>
      <c r="AP1062" s="443"/>
      <c r="AQ1062" s="443"/>
      <c r="AR1062" s="443"/>
      <c r="AS1062" s="443"/>
      <c r="AT1062" s="443"/>
      <c r="AU1062" s="443"/>
      <c r="AV1062" s="443"/>
      <c r="AW1062" s="443"/>
      <c r="AX1062" s="443"/>
      <c r="AY1062" s="443"/>
      <c r="AZ1062" s="443"/>
      <c r="BA1062" s="443"/>
      <c r="BB1062" s="443"/>
      <c r="BC1062" s="443"/>
      <c r="BD1062" s="443"/>
      <c r="BE1062" s="443"/>
    </row>
    <row r="1063">
      <c r="A1063" s="445" t="str">
        <f t="shared" si="5"/>
        <v/>
      </c>
      <c r="B1063" s="443"/>
      <c r="C1063" s="443"/>
      <c r="D1063" s="462"/>
      <c r="E1063" s="436" t="str">
        <f t="array" ref="E1063">IF(B1063=0,"",(J1063+K1063)/60)</f>
        <v/>
      </c>
      <c r="F1063" s="437" t="str">
        <f t="shared" si="1"/>
        <v/>
      </c>
      <c r="G1063" s="438" t="str">
        <f t="shared" si="9"/>
        <v/>
      </c>
      <c r="H1063" s="438" t="str">
        <f t="shared" si="3"/>
        <v/>
      </c>
      <c r="I1063" s="436" t="str">
        <f t="shared" si="11"/>
        <v/>
      </c>
      <c r="J1063" s="464"/>
      <c r="K1063" s="464"/>
      <c r="L1063" s="443"/>
      <c r="M1063" s="443"/>
      <c r="N1063" s="443"/>
      <c r="O1063" s="443"/>
      <c r="P1063" s="443"/>
      <c r="Q1063" s="443"/>
      <c r="R1063" s="443"/>
      <c r="S1063" s="443"/>
      <c r="T1063" s="443"/>
      <c r="U1063" s="443"/>
      <c r="V1063" s="443"/>
      <c r="W1063" s="443"/>
      <c r="X1063" s="443"/>
      <c r="Y1063" s="443"/>
      <c r="Z1063" s="443"/>
      <c r="AA1063" s="443"/>
      <c r="AB1063" s="443"/>
      <c r="AC1063" s="443"/>
      <c r="AD1063" s="443"/>
      <c r="AE1063" s="443"/>
      <c r="AF1063" s="443"/>
      <c r="AG1063" s="443" t="s">
        <v>289</v>
      </c>
      <c r="AH1063" s="443" t="s">
        <v>289</v>
      </c>
      <c r="AI1063" s="443"/>
      <c r="AJ1063" s="443"/>
      <c r="AK1063" s="443"/>
      <c r="AL1063" s="443"/>
      <c r="AM1063" s="443"/>
      <c r="AN1063" s="443"/>
      <c r="AO1063" s="443"/>
      <c r="AP1063" s="443"/>
      <c r="AQ1063" s="443"/>
      <c r="AR1063" s="443"/>
      <c r="AS1063" s="443"/>
      <c r="AT1063" s="443"/>
      <c r="AU1063" s="443"/>
      <c r="AV1063" s="443"/>
      <c r="AW1063" s="443"/>
      <c r="AX1063" s="443"/>
      <c r="AY1063" s="443"/>
      <c r="AZ1063" s="443"/>
      <c r="BA1063" s="443"/>
      <c r="BB1063" s="443"/>
      <c r="BC1063" s="443"/>
      <c r="BD1063" s="443"/>
      <c r="BE1063" s="443"/>
    </row>
    <row r="1064">
      <c r="A1064" s="445" t="str">
        <f t="shared" si="5"/>
        <v/>
      </c>
      <c r="B1064" s="443"/>
      <c r="C1064" s="443"/>
      <c r="D1064" s="462"/>
      <c r="E1064" s="436" t="str">
        <f t="array" ref="E1064">IF(B1064=0,"",(J1064+K1064)/60)</f>
        <v/>
      </c>
      <c r="F1064" s="437" t="str">
        <f t="shared" si="1"/>
        <v/>
      </c>
      <c r="G1064" s="438" t="str">
        <f t="shared" si="9"/>
        <v/>
      </c>
      <c r="H1064" s="438" t="str">
        <f t="shared" si="3"/>
        <v/>
      </c>
      <c r="I1064" s="436" t="str">
        <f t="shared" si="11"/>
        <v/>
      </c>
      <c r="J1064" s="464"/>
      <c r="K1064" s="464"/>
      <c r="L1064" s="443"/>
      <c r="M1064" s="443"/>
      <c r="N1064" s="443"/>
      <c r="O1064" s="443"/>
      <c r="P1064" s="443"/>
      <c r="Q1064" s="443"/>
      <c r="R1064" s="443"/>
      <c r="S1064" s="443"/>
      <c r="T1064" s="443"/>
      <c r="U1064" s="443"/>
      <c r="V1064" s="443"/>
      <c r="W1064" s="443"/>
      <c r="X1064" s="443"/>
      <c r="Y1064" s="443"/>
      <c r="Z1064" s="443"/>
      <c r="AA1064" s="443"/>
      <c r="AB1064" s="443"/>
      <c r="AC1064" s="443"/>
      <c r="AD1064" s="443"/>
      <c r="AE1064" s="443"/>
      <c r="AF1064" s="443"/>
      <c r="AG1064" s="443" t="s">
        <v>289</v>
      </c>
      <c r="AH1064" s="443" t="s">
        <v>289</v>
      </c>
      <c r="AI1064" s="443"/>
      <c r="AJ1064" s="443"/>
      <c r="AK1064" s="443"/>
      <c r="AL1064" s="443"/>
      <c r="AM1064" s="443"/>
      <c r="AN1064" s="443"/>
      <c r="AO1064" s="443"/>
      <c r="AP1064" s="443"/>
      <c r="AQ1064" s="443"/>
      <c r="AR1064" s="443"/>
      <c r="AS1064" s="443"/>
      <c r="AT1064" s="443"/>
      <c r="AU1064" s="443"/>
      <c r="AV1064" s="443"/>
      <c r="AW1064" s="443"/>
      <c r="AX1064" s="443"/>
      <c r="AY1064" s="443"/>
      <c r="AZ1064" s="443"/>
      <c r="BA1064" s="443"/>
      <c r="BB1064" s="443"/>
      <c r="BC1064" s="443"/>
      <c r="BD1064" s="443"/>
      <c r="BE1064" s="443"/>
    </row>
    <row r="1065">
      <c r="A1065" s="445" t="str">
        <f t="shared" si="5"/>
        <v/>
      </c>
      <c r="B1065" s="443"/>
      <c r="C1065" s="443"/>
      <c r="D1065" s="462"/>
      <c r="E1065" s="436" t="str">
        <f t="array" ref="E1065">IF(B1065=0,"",(J1065+K1065)/60)</f>
        <v/>
      </c>
      <c r="F1065" s="437" t="str">
        <f t="shared" si="1"/>
        <v/>
      </c>
      <c r="G1065" s="438" t="str">
        <f t="shared" si="9"/>
        <v/>
      </c>
      <c r="H1065" s="438" t="str">
        <f t="shared" si="3"/>
        <v/>
      </c>
      <c r="I1065" s="436" t="str">
        <f t="shared" si="11"/>
        <v/>
      </c>
      <c r="J1065" s="464"/>
      <c r="K1065" s="464"/>
      <c r="L1065" s="443"/>
      <c r="M1065" s="443"/>
      <c r="N1065" s="443"/>
      <c r="O1065" s="443"/>
      <c r="P1065" s="443"/>
      <c r="Q1065" s="443"/>
      <c r="R1065" s="443"/>
      <c r="S1065" s="443"/>
      <c r="T1065" s="443"/>
      <c r="U1065" s="443"/>
      <c r="V1065" s="443"/>
      <c r="W1065" s="443"/>
      <c r="X1065" s="443"/>
      <c r="Y1065" s="443"/>
      <c r="Z1065" s="443"/>
      <c r="AA1065" s="443"/>
      <c r="AB1065" s="443"/>
      <c r="AC1065" s="443"/>
      <c r="AD1065" s="443"/>
      <c r="AE1065" s="443"/>
      <c r="AF1065" s="443"/>
      <c r="AG1065" s="443" t="s">
        <v>289</v>
      </c>
      <c r="AH1065" s="443" t="s">
        <v>289</v>
      </c>
      <c r="AI1065" s="443"/>
      <c r="AJ1065" s="443"/>
      <c r="AK1065" s="443"/>
      <c r="AL1065" s="443"/>
      <c r="AM1065" s="443"/>
      <c r="AN1065" s="443"/>
      <c r="AO1065" s="443"/>
      <c r="AP1065" s="443"/>
      <c r="AQ1065" s="443"/>
      <c r="AR1065" s="443"/>
      <c r="AS1065" s="443"/>
      <c r="AT1065" s="443"/>
      <c r="AU1065" s="443"/>
      <c r="AV1065" s="443"/>
      <c r="AW1065" s="443"/>
      <c r="AX1065" s="443"/>
      <c r="AY1065" s="443"/>
      <c r="AZ1065" s="443"/>
      <c r="BA1065" s="443"/>
      <c r="BB1065" s="443"/>
      <c r="BC1065" s="443"/>
      <c r="BD1065" s="443"/>
      <c r="BE1065" s="443"/>
    </row>
    <row r="1066">
      <c r="A1066" s="445" t="str">
        <f t="shared" si="5"/>
        <v/>
      </c>
      <c r="B1066" s="443"/>
      <c r="C1066" s="443"/>
      <c r="D1066" s="462"/>
      <c r="E1066" s="436" t="str">
        <f t="array" ref="E1066">IF(B1066=0,"",(J1066+K1066)/60)</f>
        <v/>
      </c>
      <c r="F1066" s="437" t="str">
        <f t="shared" si="1"/>
        <v/>
      </c>
      <c r="G1066" s="438" t="str">
        <f t="shared" si="9"/>
        <v/>
      </c>
      <c r="H1066" s="438" t="str">
        <f t="shared" si="3"/>
        <v/>
      </c>
      <c r="I1066" s="436" t="str">
        <f t="shared" si="11"/>
        <v/>
      </c>
      <c r="J1066" s="464"/>
      <c r="K1066" s="464"/>
      <c r="L1066" s="443"/>
      <c r="M1066" s="443"/>
      <c r="N1066" s="443"/>
      <c r="O1066" s="443"/>
      <c r="P1066" s="443"/>
      <c r="Q1066" s="443"/>
      <c r="R1066" s="443"/>
      <c r="S1066" s="443"/>
      <c r="T1066" s="443"/>
      <c r="U1066" s="443"/>
      <c r="V1066" s="443"/>
      <c r="W1066" s="443"/>
      <c r="X1066" s="443"/>
      <c r="Y1066" s="443"/>
      <c r="Z1066" s="443"/>
      <c r="AA1066" s="443"/>
      <c r="AB1066" s="443"/>
      <c r="AC1066" s="443"/>
      <c r="AD1066" s="443"/>
      <c r="AE1066" s="443"/>
      <c r="AF1066" s="443"/>
      <c r="AG1066" s="443" t="s">
        <v>289</v>
      </c>
      <c r="AH1066" s="443" t="s">
        <v>289</v>
      </c>
      <c r="AI1066" s="443"/>
      <c r="AJ1066" s="443"/>
      <c r="AK1066" s="443"/>
      <c r="AL1066" s="443"/>
      <c r="AM1066" s="443"/>
      <c r="AN1066" s="443"/>
      <c r="AO1066" s="443"/>
      <c r="AP1066" s="443"/>
      <c r="AQ1066" s="443"/>
      <c r="AR1066" s="443"/>
      <c r="AS1066" s="443"/>
      <c r="AT1066" s="443"/>
      <c r="AU1066" s="443"/>
      <c r="AV1066" s="443"/>
      <c r="AW1066" s="443"/>
      <c r="AX1066" s="443"/>
      <c r="AY1066" s="443"/>
      <c r="AZ1066" s="443"/>
      <c r="BA1066" s="443"/>
      <c r="BB1066" s="443"/>
      <c r="BC1066" s="443"/>
      <c r="BD1066" s="443"/>
      <c r="BE1066" s="443"/>
    </row>
    <row r="1067">
      <c r="A1067" s="445" t="str">
        <f t="shared" si="5"/>
        <v/>
      </c>
      <c r="B1067" s="443"/>
      <c r="C1067" s="443"/>
      <c r="D1067" s="462"/>
      <c r="E1067" s="436" t="str">
        <f t="array" ref="E1067">IF(B1067=0,"",(J1067+K1067)/60)</f>
        <v/>
      </c>
      <c r="F1067" s="437" t="str">
        <f t="shared" si="1"/>
        <v/>
      </c>
      <c r="G1067" s="438" t="str">
        <f t="shared" si="9"/>
        <v/>
      </c>
      <c r="H1067" s="438" t="str">
        <f t="shared" si="3"/>
        <v/>
      </c>
      <c r="I1067" s="436" t="str">
        <f t="shared" si="11"/>
        <v/>
      </c>
      <c r="J1067" s="464"/>
      <c r="K1067" s="464"/>
      <c r="L1067" s="443"/>
      <c r="M1067" s="443"/>
      <c r="N1067" s="443"/>
      <c r="O1067" s="443"/>
      <c r="P1067" s="443"/>
      <c r="Q1067" s="443"/>
      <c r="R1067" s="443"/>
      <c r="S1067" s="443"/>
      <c r="T1067" s="443"/>
      <c r="U1067" s="443"/>
      <c r="V1067" s="443"/>
      <c r="W1067" s="443"/>
      <c r="X1067" s="443"/>
      <c r="Y1067" s="443"/>
      <c r="Z1067" s="443"/>
      <c r="AA1067" s="443"/>
      <c r="AB1067" s="443"/>
      <c r="AC1067" s="443"/>
      <c r="AD1067" s="443"/>
      <c r="AE1067" s="443"/>
      <c r="AF1067" s="443"/>
      <c r="AG1067" s="443" t="s">
        <v>289</v>
      </c>
      <c r="AH1067" s="443" t="s">
        <v>289</v>
      </c>
      <c r="AI1067" s="443"/>
      <c r="AJ1067" s="443"/>
      <c r="AK1067" s="443"/>
      <c r="AL1067" s="443"/>
      <c r="AM1067" s="443"/>
      <c r="AN1067" s="443"/>
      <c r="AO1067" s="443"/>
      <c r="AP1067" s="443"/>
      <c r="AQ1067" s="443"/>
      <c r="AR1067" s="443"/>
      <c r="AS1067" s="443"/>
      <c r="AT1067" s="443"/>
      <c r="AU1067" s="443"/>
      <c r="AV1067" s="443"/>
      <c r="AW1067" s="443"/>
      <c r="AX1067" s="443"/>
      <c r="AY1067" s="443"/>
      <c r="AZ1067" s="443"/>
      <c r="BA1067" s="443"/>
      <c r="BB1067" s="443"/>
      <c r="BC1067" s="443"/>
      <c r="BD1067" s="443"/>
      <c r="BE1067" s="443"/>
    </row>
    <row r="1068">
      <c r="A1068" s="445" t="str">
        <f t="shared" si="5"/>
        <v/>
      </c>
      <c r="B1068" s="443"/>
      <c r="C1068" s="443"/>
      <c r="D1068" s="462"/>
      <c r="E1068" s="436" t="str">
        <f t="array" ref="E1068">IF(B1068=0,"",(J1068+K1068)/60)</f>
        <v/>
      </c>
      <c r="F1068" s="437" t="str">
        <f t="shared" si="1"/>
        <v/>
      </c>
      <c r="G1068" s="438" t="str">
        <f t="shared" si="9"/>
        <v/>
      </c>
      <c r="H1068" s="438" t="str">
        <f t="shared" si="3"/>
        <v/>
      </c>
      <c r="I1068" s="436" t="str">
        <f t="shared" si="11"/>
        <v/>
      </c>
      <c r="J1068" s="464"/>
      <c r="K1068" s="464"/>
      <c r="L1068" s="443"/>
      <c r="M1068" s="443"/>
      <c r="N1068" s="443"/>
      <c r="O1068" s="443"/>
      <c r="P1068" s="443"/>
      <c r="Q1068" s="443"/>
      <c r="R1068" s="443"/>
      <c r="S1068" s="443"/>
      <c r="T1068" s="443"/>
      <c r="U1068" s="443"/>
      <c r="V1068" s="443"/>
      <c r="W1068" s="443"/>
      <c r="X1068" s="443"/>
      <c r="Y1068" s="443"/>
      <c r="Z1068" s="443"/>
      <c r="AA1068" s="443"/>
      <c r="AB1068" s="443"/>
      <c r="AC1068" s="443"/>
      <c r="AD1068" s="443"/>
      <c r="AE1068" s="443"/>
      <c r="AF1068" s="443"/>
      <c r="AG1068" s="443" t="s">
        <v>289</v>
      </c>
      <c r="AH1068" s="443" t="s">
        <v>289</v>
      </c>
      <c r="AI1068" s="443"/>
      <c r="AJ1068" s="443"/>
      <c r="AK1068" s="443"/>
      <c r="AL1068" s="443"/>
      <c r="AM1068" s="443"/>
      <c r="AN1068" s="443"/>
      <c r="AO1068" s="443"/>
      <c r="AP1068" s="443"/>
      <c r="AQ1068" s="443"/>
      <c r="AR1068" s="443"/>
      <c r="AS1068" s="443"/>
      <c r="AT1068" s="443"/>
      <c r="AU1068" s="443"/>
      <c r="AV1068" s="443"/>
      <c r="AW1068" s="443"/>
      <c r="AX1068" s="443"/>
      <c r="AY1068" s="443"/>
      <c r="AZ1068" s="443"/>
      <c r="BA1068" s="443"/>
      <c r="BB1068" s="443"/>
      <c r="BC1068" s="443"/>
      <c r="BD1068" s="443"/>
      <c r="BE1068" s="443"/>
    </row>
    <row r="1069">
      <c r="A1069" s="445" t="str">
        <f t="shared" si="5"/>
        <v/>
      </c>
      <c r="B1069" s="443"/>
      <c r="C1069" s="443"/>
      <c r="D1069" s="462"/>
      <c r="E1069" s="436" t="str">
        <f t="array" ref="E1069">IF(B1069=0,"",(J1069+K1069)/60)</f>
        <v/>
      </c>
      <c r="F1069" s="437" t="str">
        <f t="shared" si="1"/>
        <v/>
      </c>
      <c r="G1069" s="438" t="str">
        <f t="shared" si="9"/>
        <v/>
      </c>
      <c r="H1069" s="438" t="str">
        <f t="shared" si="3"/>
        <v/>
      </c>
      <c r="I1069" s="436" t="str">
        <f t="shared" si="11"/>
        <v/>
      </c>
      <c r="J1069" s="464"/>
      <c r="K1069" s="464"/>
      <c r="L1069" s="443"/>
      <c r="M1069" s="443"/>
      <c r="N1069" s="443"/>
      <c r="O1069" s="443"/>
      <c r="P1069" s="443"/>
      <c r="Q1069" s="443"/>
      <c r="R1069" s="443"/>
      <c r="S1069" s="443"/>
      <c r="T1069" s="443"/>
      <c r="U1069" s="443"/>
      <c r="V1069" s="443"/>
      <c r="W1069" s="443"/>
      <c r="X1069" s="443"/>
      <c r="Y1069" s="443"/>
      <c r="Z1069" s="443"/>
      <c r="AA1069" s="443"/>
      <c r="AB1069" s="443"/>
      <c r="AC1069" s="443"/>
      <c r="AD1069" s="443"/>
      <c r="AE1069" s="443"/>
      <c r="AF1069" s="443"/>
      <c r="AG1069" s="443" t="s">
        <v>289</v>
      </c>
      <c r="AH1069" s="443" t="s">
        <v>289</v>
      </c>
      <c r="AI1069" s="443"/>
      <c r="AJ1069" s="443"/>
      <c r="AK1069" s="443"/>
      <c r="AL1069" s="443"/>
      <c r="AM1069" s="443"/>
      <c r="AN1069" s="443"/>
      <c r="AO1069" s="443"/>
      <c r="AP1069" s="443"/>
      <c r="AQ1069" s="443"/>
      <c r="AR1069" s="443"/>
      <c r="AS1069" s="443"/>
      <c r="AT1069" s="443"/>
      <c r="AU1069" s="443"/>
      <c r="AV1069" s="443"/>
      <c r="AW1069" s="443"/>
      <c r="AX1069" s="443"/>
      <c r="AY1069" s="443"/>
      <c r="AZ1069" s="443"/>
      <c r="BA1069" s="443"/>
      <c r="BB1069" s="443"/>
      <c r="BC1069" s="443"/>
      <c r="BD1069" s="443"/>
      <c r="BE1069" s="443"/>
    </row>
    <row r="1070">
      <c r="A1070" s="445" t="str">
        <f t="shared" si="5"/>
        <v/>
      </c>
      <c r="B1070" s="443"/>
      <c r="C1070" s="443"/>
      <c r="D1070" s="462"/>
      <c r="E1070" s="436" t="str">
        <f t="array" ref="E1070">IF(B1070=0,"",(J1070+K1070)/60)</f>
        <v/>
      </c>
      <c r="F1070" s="437" t="str">
        <f t="shared" si="1"/>
        <v/>
      </c>
      <c r="G1070" s="438" t="str">
        <f t="shared" si="9"/>
        <v/>
      </c>
      <c r="H1070" s="438" t="str">
        <f t="shared" si="3"/>
        <v/>
      </c>
      <c r="I1070" s="436" t="str">
        <f t="shared" si="11"/>
        <v/>
      </c>
      <c r="J1070" s="464"/>
      <c r="K1070" s="464"/>
      <c r="L1070" s="443"/>
      <c r="M1070" s="443"/>
      <c r="N1070" s="443"/>
      <c r="O1070" s="443"/>
      <c r="P1070" s="443"/>
      <c r="Q1070" s="443"/>
      <c r="R1070" s="443"/>
      <c r="S1070" s="443"/>
      <c r="T1070" s="443"/>
      <c r="U1070" s="443"/>
      <c r="V1070" s="443"/>
      <c r="W1070" s="443"/>
      <c r="X1070" s="443"/>
      <c r="Y1070" s="443"/>
      <c r="Z1070" s="443"/>
      <c r="AA1070" s="443"/>
      <c r="AB1070" s="443"/>
      <c r="AC1070" s="443"/>
      <c r="AD1070" s="443"/>
      <c r="AE1070" s="443"/>
      <c r="AF1070" s="443"/>
      <c r="AG1070" s="443" t="s">
        <v>289</v>
      </c>
      <c r="AH1070" s="443" t="s">
        <v>289</v>
      </c>
      <c r="AI1070" s="443"/>
      <c r="AJ1070" s="443"/>
      <c r="AK1070" s="443"/>
      <c r="AL1070" s="443"/>
      <c r="AM1070" s="443"/>
      <c r="AN1070" s="443"/>
      <c r="AO1070" s="443"/>
      <c r="AP1070" s="443"/>
      <c r="AQ1070" s="443"/>
      <c r="AR1070" s="443"/>
      <c r="AS1070" s="443"/>
      <c r="AT1070" s="443"/>
      <c r="AU1070" s="443"/>
      <c r="AV1070" s="443"/>
      <c r="AW1070" s="443"/>
      <c r="AX1070" s="443"/>
      <c r="AY1070" s="443"/>
      <c r="AZ1070" s="443"/>
      <c r="BA1070" s="443"/>
      <c r="BB1070" s="443"/>
      <c r="BC1070" s="443"/>
      <c r="BD1070" s="443"/>
      <c r="BE1070" s="443"/>
    </row>
    <row r="1071">
      <c r="A1071" s="445" t="str">
        <f t="shared" si="5"/>
        <v/>
      </c>
      <c r="B1071" s="443"/>
      <c r="C1071" s="443"/>
      <c r="D1071" s="462"/>
      <c r="E1071" s="436" t="str">
        <f t="array" ref="E1071">IF(B1071=0,"",(J1071+K1071)/60)</f>
        <v/>
      </c>
      <c r="F1071" s="437" t="str">
        <f t="shared" si="1"/>
        <v/>
      </c>
      <c r="G1071" s="438" t="str">
        <f t="shared" si="9"/>
        <v/>
      </c>
      <c r="H1071" s="438" t="str">
        <f t="shared" si="3"/>
        <v/>
      </c>
      <c r="I1071" s="436" t="str">
        <f t="shared" si="11"/>
        <v/>
      </c>
      <c r="J1071" s="464"/>
      <c r="K1071" s="464"/>
      <c r="L1071" s="443"/>
      <c r="M1071" s="443"/>
      <c r="N1071" s="443"/>
      <c r="O1071" s="443"/>
      <c r="P1071" s="443"/>
      <c r="Q1071" s="443"/>
      <c r="R1071" s="443"/>
      <c r="S1071" s="443"/>
      <c r="T1071" s="443"/>
      <c r="U1071" s="443"/>
      <c r="V1071" s="443"/>
      <c r="W1071" s="443"/>
      <c r="X1071" s="443"/>
      <c r="Y1071" s="443"/>
      <c r="Z1071" s="443"/>
      <c r="AA1071" s="443"/>
      <c r="AB1071" s="443"/>
      <c r="AC1071" s="443"/>
      <c r="AD1071" s="443"/>
      <c r="AE1071" s="443"/>
      <c r="AF1071" s="443"/>
      <c r="AG1071" s="443" t="s">
        <v>289</v>
      </c>
      <c r="AH1071" s="443" t="s">
        <v>289</v>
      </c>
      <c r="AI1071" s="443"/>
      <c r="AJ1071" s="443"/>
      <c r="AK1071" s="443"/>
      <c r="AL1071" s="443"/>
      <c r="AM1071" s="443"/>
      <c r="AN1071" s="443"/>
      <c r="AO1071" s="443"/>
      <c r="AP1071" s="443"/>
      <c r="AQ1071" s="443"/>
      <c r="AR1071" s="443"/>
      <c r="AS1071" s="443"/>
      <c r="AT1071" s="443"/>
      <c r="AU1071" s="443"/>
      <c r="AV1071" s="443"/>
      <c r="AW1071" s="443"/>
      <c r="AX1071" s="443"/>
      <c r="AY1071" s="443"/>
      <c r="AZ1071" s="443"/>
      <c r="BA1071" s="443"/>
      <c r="BB1071" s="443"/>
      <c r="BC1071" s="443"/>
      <c r="BD1071" s="443"/>
      <c r="BE1071" s="443"/>
    </row>
    <row r="1072">
      <c r="A1072" s="445" t="str">
        <f t="shared" si="5"/>
        <v/>
      </c>
      <c r="B1072" s="443"/>
      <c r="C1072" s="443"/>
      <c r="D1072" s="462"/>
      <c r="E1072" s="436" t="str">
        <f t="array" ref="E1072">IF(B1072=0,"",(J1072+K1072)/60)</f>
        <v/>
      </c>
      <c r="F1072" s="437" t="str">
        <f t="shared" si="1"/>
        <v/>
      </c>
      <c r="G1072" s="438" t="str">
        <f t="shared" si="9"/>
        <v/>
      </c>
      <c r="H1072" s="438" t="str">
        <f t="shared" si="3"/>
        <v/>
      </c>
      <c r="I1072" s="436" t="str">
        <f t="shared" si="11"/>
        <v/>
      </c>
      <c r="J1072" s="464"/>
      <c r="K1072" s="464"/>
      <c r="L1072" s="443"/>
      <c r="M1072" s="443"/>
      <c r="N1072" s="443"/>
      <c r="O1072" s="443"/>
      <c r="P1072" s="443"/>
      <c r="Q1072" s="443"/>
      <c r="R1072" s="443"/>
      <c r="S1072" s="443"/>
      <c r="T1072" s="443"/>
      <c r="U1072" s="443"/>
      <c r="V1072" s="443"/>
      <c r="W1072" s="443"/>
      <c r="X1072" s="443"/>
      <c r="Y1072" s="443"/>
      <c r="Z1072" s="443"/>
      <c r="AA1072" s="443"/>
      <c r="AB1072" s="443"/>
      <c r="AC1072" s="443"/>
      <c r="AD1072" s="443"/>
      <c r="AE1072" s="443"/>
      <c r="AF1072" s="443"/>
      <c r="AG1072" s="443" t="s">
        <v>289</v>
      </c>
      <c r="AH1072" s="443" t="s">
        <v>289</v>
      </c>
      <c r="AI1072" s="443"/>
      <c r="AJ1072" s="443"/>
      <c r="AK1072" s="443"/>
      <c r="AL1072" s="443"/>
      <c r="AM1072" s="443"/>
      <c r="AN1072" s="443"/>
      <c r="AO1072" s="443"/>
      <c r="AP1072" s="443"/>
      <c r="AQ1072" s="443"/>
      <c r="AR1072" s="443"/>
      <c r="AS1072" s="443"/>
      <c r="AT1072" s="443"/>
      <c r="AU1072" s="443"/>
      <c r="AV1072" s="443"/>
      <c r="AW1072" s="443"/>
      <c r="AX1072" s="443"/>
      <c r="AY1072" s="443"/>
      <c r="AZ1072" s="443"/>
      <c r="BA1072" s="443"/>
      <c r="BB1072" s="443"/>
      <c r="BC1072" s="443"/>
      <c r="BD1072" s="443"/>
      <c r="BE1072" s="443"/>
    </row>
    <row r="1073">
      <c r="A1073" s="445" t="str">
        <f t="shared" si="5"/>
        <v/>
      </c>
      <c r="B1073" s="443"/>
      <c r="C1073" s="443"/>
      <c r="D1073" s="462"/>
      <c r="E1073" s="436" t="str">
        <f t="array" ref="E1073">IF(B1073=0,"",(J1073+K1073)/60)</f>
        <v/>
      </c>
      <c r="F1073" s="437" t="str">
        <f t="shared" si="1"/>
        <v/>
      </c>
      <c r="G1073" s="438" t="str">
        <f t="shared" si="9"/>
        <v/>
      </c>
      <c r="H1073" s="438" t="str">
        <f t="shared" si="3"/>
        <v/>
      </c>
      <c r="I1073" s="436" t="str">
        <f t="shared" si="11"/>
        <v/>
      </c>
      <c r="J1073" s="464"/>
      <c r="K1073" s="464"/>
      <c r="L1073" s="443"/>
      <c r="M1073" s="443"/>
      <c r="N1073" s="443"/>
      <c r="O1073" s="443"/>
      <c r="P1073" s="443"/>
      <c r="Q1073" s="443"/>
      <c r="R1073" s="443"/>
      <c r="S1073" s="443"/>
      <c r="T1073" s="443"/>
      <c r="U1073" s="443"/>
      <c r="V1073" s="443"/>
      <c r="W1073" s="443"/>
      <c r="X1073" s="443"/>
      <c r="Y1073" s="443"/>
      <c r="Z1073" s="443"/>
      <c r="AA1073" s="443"/>
      <c r="AB1073" s="443"/>
      <c r="AC1073" s="443"/>
      <c r="AD1073" s="443"/>
      <c r="AE1073" s="443"/>
      <c r="AF1073" s="443"/>
      <c r="AG1073" s="443" t="s">
        <v>289</v>
      </c>
      <c r="AH1073" s="443" t="s">
        <v>289</v>
      </c>
      <c r="AI1073" s="443"/>
      <c r="AJ1073" s="443"/>
      <c r="AK1073" s="443"/>
      <c r="AL1073" s="443"/>
      <c r="AM1073" s="443"/>
      <c r="AN1073" s="443"/>
      <c r="AO1073" s="443"/>
      <c r="AP1073" s="443"/>
      <c r="AQ1073" s="443"/>
      <c r="AR1073" s="443"/>
      <c r="AS1073" s="443"/>
      <c r="AT1073" s="443"/>
      <c r="AU1073" s="443"/>
      <c r="AV1073" s="443"/>
      <c r="AW1073" s="443"/>
      <c r="AX1073" s="443"/>
      <c r="AY1073" s="443"/>
      <c r="AZ1073" s="443"/>
      <c r="BA1073" s="443"/>
      <c r="BB1073" s="443"/>
      <c r="BC1073" s="443"/>
      <c r="BD1073" s="443"/>
      <c r="BE1073" s="443"/>
    </row>
    <row r="1074">
      <c r="A1074" s="445" t="str">
        <f t="shared" si="5"/>
        <v/>
      </c>
      <c r="B1074" s="443"/>
      <c r="C1074" s="443"/>
      <c r="D1074" s="462"/>
      <c r="E1074" s="436" t="str">
        <f t="array" ref="E1074">IF(B1074=0,"",(J1074+K1074)/60)</f>
        <v/>
      </c>
      <c r="F1074" s="437" t="str">
        <f t="shared" si="1"/>
        <v/>
      </c>
      <c r="G1074" s="438" t="str">
        <f t="shared" si="9"/>
        <v/>
      </c>
      <c r="H1074" s="438" t="str">
        <f t="shared" si="3"/>
        <v/>
      </c>
      <c r="I1074" s="436" t="str">
        <f t="shared" si="11"/>
        <v/>
      </c>
      <c r="J1074" s="464"/>
      <c r="K1074" s="464"/>
      <c r="L1074" s="443"/>
      <c r="M1074" s="443"/>
      <c r="N1074" s="443"/>
      <c r="O1074" s="443"/>
      <c r="P1074" s="443"/>
      <c r="Q1074" s="443"/>
      <c r="R1074" s="443"/>
      <c r="S1074" s="443"/>
      <c r="T1074" s="443"/>
      <c r="U1074" s="443"/>
      <c r="V1074" s="443"/>
      <c r="W1074" s="443"/>
      <c r="X1074" s="443"/>
      <c r="Y1074" s="443"/>
      <c r="Z1074" s="443"/>
      <c r="AA1074" s="443"/>
      <c r="AB1074" s="443"/>
      <c r="AC1074" s="443"/>
      <c r="AD1074" s="443"/>
      <c r="AE1074" s="443"/>
      <c r="AF1074" s="443"/>
      <c r="AG1074" s="443" t="s">
        <v>289</v>
      </c>
      <c r="AH1074" s="443" t="s">
        <v>289</v>
      </c>
      <c r="AI1074" s="443"/>
      <c r="AJ1074" s="443"/>
      <c r="AK1074" s="443"/>
      <c r="AL1074" s="443"/>
      <c r="AM1074" s="443"/>
      <c r="AN1074" s="443"/>
      <c r="AO1074" s="443"/>
      <c r="AP1074" s="443"/>
      <c r="AQ1074" s="443"/>
      <c r="AR1074" s="443"/>
      <c r="AS1074" s="443"/>
      <c r="AT1074" s="443"/>
      <c r="AU1074" s="443"/>
      <c r="AV1074" s="443"/>
      <c r="AW1074" s="443"/>
      <c r="AX1074" s="443"/>
      <c r="AY1074" s="443"/>
      <c r="AZ1074" s="443"/>
      <c r="BA1074" s="443"/>
      <c r="BB1074" s="443"/>
      <c r="BC1074" s="443"/>
      <c r="BD1074" s="443"/>
      <c r="BE1074" s="443"/>
    </row>
    <row r="1075">
      <c r="A1075" s="445" t="str">
        <f t="shared" si="5"/>
        <v/>
      </c>
      <c r="B1075" s="443"/>
      <c r="C1075" s="443"/>
      <c r="D1075" s="462"/>
      <c r="E1075" s="436" t="str">
        <f t="array" ref="E1075">IF(B1075=0,"",(J1075+K1075)/60)</f>
        <v/>
      </c>
      <c r="F1075" s="437" t="str">
        <f t="shared" si="1"/>
        <v/>
      </c>
      <c r="G1075" s="438" t="str">
        <f t="shared" si="9"/>
        <v/>
      </c>
      <c r="H1075" s="438" t="str">
        <f t="shared" si="3"/>
        <v/>
      </c>
      <c r="I1075" s="436" t="str">
        <f t="shared" si="11"/>
        <v/>
      </c>
      <c r="J1075" s="464"/>
      <c r="K1075" s="464"/>
      <c r="L1075" s="443"/>
      <c r="M1075" s="443"/>
      <c r="N1075" s="443"/>
      <c r="O1075" s="443"/>
      <c r="P1075" s="443"/>
      <c r="Q1075" s="443"/>
      <c r="R1075" s="443"/>
      <c r="S1075" s="443"/>
      <c r="T1075" s="443"/>
      <c r="U1075" s="443"/>
      <c r="V1075" s="443"/>
      <c r="W1075" s="443"/>
      <c r="X1075" s="443"/>
      <c r="Y1075" s="443"/>
      <c r="Z1075" s="443"/>
      <c r="AA1075" s="443"/>
      <c r="AB1075" s="443"/>
      <c r="AC1075" s="443"/>
      <c r="AD1075" s="443"/>
      <c r="AE1075" s="443"/>
      <c r="AF1075" s="443"/>
      <c r="AG1075" s="443" t="s">
        <v>289</v>
      </c>
      <c r="AH1075" s="443" t="s">
        <v>289</v>
      </c>
      <c r="AI1075" s="443"/>
      <c r="AJ1075" s="443"/>
      <c r="AK1075" s="443"/>
      <c r="AL1075" s="443"/>
      <c r="AM1075" s="443"/>
      <c r="AN1075" s="443"/>
      <c r="AO1075" s="443"/>
      <c r="AP1075" s="443"/>
      <c r="AQ1075" s="443"/>
      <c r="AR1075" s="443"/>
      <c r="AS1075" s="443"/>
      <c r="AT1075" s="443"/>
      <c r="AU1075" s="443"/>
      <c r="AV1075" s="443"/>
      <c r="AW1075" s="443"/>
      <c r="AX1075" s="443"/>
      <c r="AY1075" s="443"/>
      <c r="AZ1075" s="443"/>
      <c r="BA1075" s="443"/>
      <c r="BB1075" s="443"/>
      <c r="BC1075" s="443"/>
      <c r="BD1075" s="443"/>
      <c r="BE1075" s="443"/>
    </row>
    <row r="1076">
      <c r="A1076" s="445" t="str">
        <f t="shared" si="5"/>
        <v/>
      </c>
      <c r="B1076" s="443"/>
      <c r="C1076" s="443"/>
      <c r="D1076" s="462"/>
      <c r="E1076" s="436" t="str">
        <f t="array" ref="E1076">IF(B1076=0,"",(J1076+K1076)/60)</f>
        <v/>
      </c>
      <c r="F1076" s="437" t="str">
        <f t="shared" si="1"/>
        <v/>
      </c>
      <c r="G1076" s="438" t="str">
        <f t="shared" si="9"/>
        <v/>
      </c>
      <c r="H1076" s="438" t="str">
        <f t="shared" si="3"/>
        <v/>
      </c>
      <c r="I1076" s="436" t="str">
        <f t="shared" si="11"/>
        <v/>
      </c>
      <c r="J1076" s="464"/>
      <c r="K1076" s="464"/>
      <c r="L1076" s="443"/>
      <c r="M1076" s="443"/>
      <c r="N1076" s="443"/>
      <c r="O1076" s="443"/>
      <c r="P1076" s="443"/>
      <c r="Q1076" s="443"/>
      <c r="R1076" s="443"/>
      <c r="S1076" s="443"/>
      <c r="T1076" s="443"/>
      <c r="U1076" s="443"/>
      <c r="V1076" s="443"/>
      <c r="W1076" s="443"/>
      <c r="X1076" s="443"/>
      <c r="Y1076" s="443"/>
      <c r="Z1076" s="443"/>
      <c r="AA1076" s="443"/>
      <c r="AB1076" s="443"/>
      <c r="AC1076" s="443"/>
      <c r="AD1076" s="443"/>
      <c r="AE1076" s="443"/>
      <c r="AF1076" s="443"/>
      <c r="AG1076" s="443" t="s">
        <v>289</v>
      </c>
      <c r="AH1076" s="443" t="s">
        <v>289</v>
      </c>
      <c r="AI1076" s="443"/>
      <c r="AJ1076" s="443"/>
      <c r="AK1076" s="443"/>
      <c r="AL1076" s="443"/>
      <c r="AM1076" s="443"/>
      <c r="AN1076" s="443"/>
      <c r="AO1076" s="443"/>
      <c r="AP1076" s="443"/>
      <c r="AQ1076" s="443"/>
      <c r="AR1076" s="443"/>
      <c r="AS1076" s="443"/>
      <c r="AT1076" s="443"/>
      <c r="AU1076" s="443"/>
      <c r="AV1076" s="443"/>
      <c r="AW1076" s="443"/>
      <c r="AX1076" s="443"/>
      <c r="AY1076" s="443"/>
      <c r="AZ1076" s="443"/>
      <c r="BA1076" s="443"/>
      <c r="BB1076" s="443"/>
      <c r="BC1076" s="443"/>
      <c r="BD1076" s="443"/>
      <c r="BE1076" s="443"/>
    </row>
    <row r="1077">
      <c r="A1077" s="445" t="str">
        <f t="shared" si="5"/>
        <v/>
      </c>
      <c r="B1077" s="443"/>
      <c r="C1077" s="443"/>
      <c r="D1077" s="462"/>
      <c r="E1077" s="436" t="str">
        <f t="array" ref="E1077">IF(B1077=0,"",(J1077+K1077)/60)</f>
        <v/>
      </c>
      <c r="F1077" s="437" t="str">
        <f t="shared" si="1"/>
        <v/>
      </c>
      <c r="G1077" s="438" t="str">
        <f t="shared" si="9"/>
        <v/>
      </c>
      <c r="H1077" s="438" t="str">
        <f t="shared" si="3"/>
        <v/>
      </c>
      <c r="I1077" s="436" t="str">
        <f t="shared" si="11"/>
        <v/>
      </c>
      <c r="J1077" s="464"/>
      <c r="K1077" s="464"/>
      <c r="L1077" s="443"/>
      <c r="M1077" s="443"/>
      <c r="N1077" s="443"/>
      <c r="O1077" s="443"/>
      <c r="P1077" s="443"/>
      <c r="Q1077" s="443"/>
      <c r="R1077" s="443"/>
      <c r="S1077" s="443"/>
      <c r="T1077" s="443"/>
      <c r="U1077" s="443"/>
      <c r="V1077" s="443"/>
      <c r="W1077" s="443"/>
      <c r="X1077" s="443"/>
      <c r="Y1077" s="443"/>
      <c r="Z1077" s="443"/>
      <c r="AA1077" s="443"/>
      <c r="AB1077" s="443"/>
      <c r="AC1077" s="443"/>
      <c r="AD1077" s="443"/>
      <c r="AE1077" s="443"/>
      <c r="AF1077" s="443"/>
      <c r="AG1077" s="443" t="s">
        <v>289</v>
      </c>
      <c r="AH1077" s="443" t="s">
        <v>289</v>
      </c>
      <c r="AI1077" s="443"/>
      <c r="AJ1077" s="443"/>
      <c r="AK1077" s="443"/>
      <c r="AL1077" s="443"/>
      <c r="AM1077" s="443"/>
      <c r="AN1077" s="443"/>
      <c r="AO1077" s="443"/>
      <c r="AP1077" s="443"/>
      <c r="AQ1077" s="443"/>
      <c r="AR1077" s="443"/>
      <c r="AS1077" s="443"/>
      <c r="AT1077" s="443"/>
      <c r="AU1077" s="443"/>
      <c r="AV1077" s="443"/>
      <c r="AW1077" s="443"/>
      <c r="AX1077" s="443"/>
      <c r="AY1077" s="443"/>
      <c r="AZ1077" s="443"/>
      <c r="BA1077" s="443"/>
      <c r="BB1077" s="443"/>
      <c r="BC1077" s="443"/>
      <c r="BD1077" s="443"/>
      <c r="BE1077" s="443"/>
    </row>
    <row r="1078">
      <c r="A1078" s="445" t="str">
        <f t="shared" si="5"/>
        <v/>
      </c>
      <c r="B1078" s="443"/>
      <c r="C1078" s="443"/>
      <c r="D1078" s="462"/>
      <c r="E1078" s="436" t="str">
        <f t="array" ref="E1078">IF(B1078=0,"",(J1078+K1078)/60)</f>
        <v/>
      </c>
      <c r="F1078" s="437" t="str">
        <f t="shared" si="1"/>
        <v/>
      </c>
      <c r="G1078" s="438" t="str">
        <f t="shared" si="9"/>
        <v/>
      </c>
      <c r="H1078" s="438" t="str">
        <f t="shared" si="3"/>
        <v/>
      </c>
      <c r="I1078" s="436" t="str">
        <f t="shared" si="11"/>
        <v/>
      </c>
      <c r="J1078" s="464"/>
      <c r="K1078" s="464"/>
      <c r="L1078" s="443"/>
      <c r="M1078" s="443"/>
      <c r="N1078" s="443"/>
      <c r="O1078" s="443"/>
      <c r="P1078" s="443"/>
      <c r="Q1078" s="443"/>
      <c r="R1078" s="443"/>
      <c r="S1078" s="443"/>
      <c r="T1078" s="443"/>
      <c r="U1078" s="443"/>
      <c r="V1078" s="443"/>
      <c r="W1078" s="443"/>
      <c r="X1078" s="443"/>
      <c r="Y1078" s="443"/>
      <c r="Z1078" s="443"/>
      <c r="AA1078" s="443"/>
      <c r="AB1078" s="443"/>
      <c r="AC1078" s="443"/>
      <c r="AD1078" s="443"/>
      <c r="AE1078" s="443"/>
      <c r="AF1078" s="443"/>
      <c r="AG1078" s="443" t="s">
        <v>289</v>
      </c>
      <c r="AH1078" s="443" t="s">
        <v>289</v>
      </c>
      <c r="AI1078" s="443"/>
      <c r="AJ1078" s="443"/>
      <c r="AK1078" s="443"/>
      <c r="AL1078" s="443"/>
      <c r="AM1078" s="443"/>
      <c r="AN1078" s="443"/>
      <c r="AO1078" s="443"/>
      <c r="AP1078" s="443"/>
      <c r="AQ1078" s="443"/>
      <c r="AR1078" s="443"/>
      <c r="AS1078" s="443"/>
      <c r="AT1078" s="443"/>
      <c r="AU1078" s="443"/>
      <c r="AV1078" s="443"/>
      <c r="AW1078" s="443"/>
      <c r="AX1078" s="443"/>
      <c r="AY1078" s="443"/>
      <c r="AZ1078" s="443"/>
      <c r="BA1078" s="443"/>
      <c r="BB1078" s="443"/>
      <c r="BC1078" s="443"/>
      <c r="BD1078" s="443"/>
      <c r="BE1078" s="443"/>
    </row>
    <row r="1079">
      <c r="A1079" s="445" t="str">
        <f t="shared" si="5"/>
        <v/>
      </c>
      <c r="B1079" s="443"/>
      <c r="C1079" s="443"/>
      <c r="D1079" s="462"/>
      <c r="E1079" s="436" t="str">
        <f t="array" ref="E1079">IF(B1079=0,"",(J1079+K1079)/60)</f>
        <v/>
      </c>
      <c r="F1079" s="437" t="str">
        <f t="shared" si="1"/>
        <v/>
      </c>
      <c r="G1079" s="438" t="str">
        <f t="shared" si="9"/>
        <v/>
      </c>
      <c r="H1079" s="438" t="str">
        <f t="shared" si="3"/>
        <v/>
      </c>
      <c r="I1079" s="436" t="str">
        <f t="shared" si="11"/>
        <v/>
      </c>
      <c r="J1079" s="464"/>
      <c r="K1079" s="464"/>
      <c r="L1079" s="443"/>
      <c r="M1079" s="443"/>
      <c r="N1079" s="443"/>
      <c r="O1079" s="443"/>
      <c r="P1079" s="443"/>
      <c r="Q1079" s="443"/>
      <c r="R1079" s="443"/>
      <c r="S1079" s="443"/>
      <c r="T1079" s="443"/>
      <c r="U1079" s="443"/>
      <c r="V1079" s="443"/>
      <c r="W1079" s="443"/>
      <c r="X1079" s="443"/>
      <c r="Y1079" s="443"/>
      <c r="Z1079" s="443"/>
      <c r="AA1079" s="443"/>
      <c r="AB1079" s="443"/>
      <c r="AC1079" s="443"/>
      <c r="AD1079" s="443"/>
      <c r="AE1079" s="443"/>
      <c r="AF1079" s="443"/>
      <c r="AG1079" s="443" t="s">
        <v>289</v>
      </c>
      <c r="AH1079" s="443" t="s">
        <v>289</v>
      </c>
      <c r="AI1079" s="443"/>
      <c r="AJ1079" s="443"/>
      <c r="AK1079" s="443"/>
      <c r="AL1079" s="443"/>
      <c r="AM1079" s="443"/>
      <c r="AN1079" s="443"/>
      <c r="AO1079" s="443"/>
      <c r="AP1079" s="443"/>
      <c r="AQ1079" s="443"/>
      <c r="AR1079" s="443"/>
      <c r="AS1079" s="443"/>
      <c r="AT1079" s="443"/>
      <c r="AU1079" s="443"/>
      <c r="AV1079" s="443"/>
      <c r="AW1079" s="443"/>
      <c r="AX1079" s="443"/>
      <c r="AY1079" s="443"/>
      <c r="AZ1079" s="443"/>
      <c r="BA1079" s="443"/>
      <c r="BB1079" s="443"/>
      <c r="BC1079" s="443"/>
      <c r="BD1079" s="443"/>
      <c r="BE1079" s="443"/>
    </row>
    <row r="1080">
      <c r="A1080" s="445" t="str">
        <f t="shared" si="5"/>
        <v/>
      </c>
      <c r="B1080" s="443"/>
      <c r="C1080" s="443"/>
      <c r="D1080" s="462"/>
      <c r="E1080" s="436" t="str">
        <f t="array" ref="E1080">IF(B1080=0,"",(J1080+K1080)/60)</f>
        <v/>
      </c>
      <c r="F1080" s="437" t="str">
        <f t="shared" si="1"/>
        <v/>
      </c>
      <c r="G1080" s="438" t="str">
        <f t="shared" si="9"/>
        <v/>
      </c>
      <c r="H1080" s="438" t="str">
        <f t="shared" si="3"/>
        <v/>
      </c>
      <c r="I1080" s="436" t="str">
        <f t="shared" si="11"/>
        <v/>
      </c>
      <c r="J1080" s="464"/>
      <c r="K1080" s="464"/>
      <c r="L1080" s="443"/>
      <c r="M1080" s="443"/>
      <c r="N1080" s="443"/>
      <c r="O1080" s="443"/>
      <c r="P1080" s="443"/>
      <c r="Q1080" s="443"/>
      <c r="R1080" s="443"/>
      <c r="S1080" s="443"/>
      <c r="T1080" s="443"/>
      <c r="U1080" s="443"/>
      <c r="V1080" s="443"/>
      <c r="W1080" s="443"/>
      <c r="X1080" s="443"/>
      <c r="Y1080" s="443"/>
      <c r="Z1080" s="443"/>
      <c r="AA1080" s="443"/>
      <c r="AB1080" s="443"/>
      <c r="AC1080" s="443"/>
      <c r="AD1080" s="443"/>
      <c r="AE1080" s="443"/>
      <c r="AF1080" s="443"/>
      <c r="AG1080" s="443" t="s">
        <v>289</v>
      </c>
      <c r="AH1080" s="443" t="s">
        <v>289</v>
      </c>
      <c r="AI1080" s="443"/>
      <c r="AJ1080" s="443"/>
      <c r="AK1080" s="443"/>
      <c r="AL1080" s="443"/>
      <c r="AM1080" s="443"/>
      <c r="AN1080" s="443"/>
      <c r="AO1080" s="443"/>
      <c r="AP1080" s="443"/>
      <c r="AQ1080" s="443"/>
      <c r="AR1080" s="443"/>
      <c r="AS1080" s="443"/>
      <c r="AT1080" s="443"/>
      <c r="AU1080" s="443"/>
      <c r="AV1080" s="443"/>
      <c r="AW1080" s="443"/>
      <c r="AX1080" s="443"/>
      <c r="AY1080" s="443"/>
      <c r="AZ1080" s="443"/>
      <c r="BA1080" s="443"/>
      <c r="BB1080" s="443"/>
      <c r="BC1080" s="443"/>
      <c r="BD1080" s="443"/>
      <c r="BE1080" s="443"/>
    </row>
    <row r="1081">
      <c r="A1081" s="445" t="str">
        <f t="shared" si="5"/>
        <v/>
      </c>
      <c r="B1081" s="443"/>
      <c r="C1081" s="443"/>
      <c r="D1081" s="462"/>
      <c r="E1081" s="436" t="str">
        <f t="array" ref="E1081">IF(B1081=0,"",(J1081+K1081)/60)</f>
        <v/>
      </c>
      <c r="F1081" s="437" t="str">
        <f t="shared" si="1"/>
        <v/>
      </c>
      <c r="G1081" s="438" t="str">
        <f t="shared" si="9"/>
        <v/>
      </c>
      <c r="H1081" s="438" t="str">
        <f t="shared" si="3"/>
        <v/>
      </c>
      <c r="I1081" s="436" t="str">
        <f t="shared" si="11"/>
        <v/>
      </c>
      <c r="J1081" s="464"/>
      <c r="K1081" s="464"/>
      <c r="L1081" s="443"/>
      <c r="M1081" s="443"/>
      <c r="N1081" s="443"/>
      <c r="O1081" s="443"/>
      <c r="P1081" s="443"/>
      <c r="Q1081" s="443"/>
      <c r="R1081" s="443"/>
      <c r="S1081" s="443"/>
      <c r="T1081" s="443"/>
      <c r="U1081" s="443"/>
      <c r="V1081" s="443"/>
      <c r="W1081" s="443"/>
      <c r="X1081" s="443"/>
      <c r="Y1081" s="443"/>
      <c r="Z1081" s="443"/>
      <c r="AA1081" s="443"/>
      <c r="AB1081" s="443"/>
      <c r="AC1081" s="443"/>
      <c r="AD1081" s="443"/>
      <c r="AE1081" s="443"/>
      <c r="AF1081" s="443"/>
      <c r="AG1081" s="443" t="s">
        <v>289</v>
      </c>
      <c r="AH1081" s="443" t="s">
        <v>289</v>
      </c>
      <c r="AI1081" s="443"/>
      <c r="AJ1081" s="443"/>
      <c r="AK1081" s="443"/>
      <c r="AL1081" s="443"/>
      <c r="AM1081" s="443"/>
      <c r="AN1081" s="443"/>
      <c r="AO1081" s="443"/>
      <c r="AP1081" s="443"/>
      <c r="AQ1081" s="443"/>
      <c r="AR1081" s="443"/>
      <c r="AS1081" s="443"/>
      <c r="AT1081" s="443"/>
      <c r="AU1081" s="443"/>
      <c r="AV1081" s="443"/>
      <c r="AW1081" s="443"/>
      <c r="AX1081" s="443"/>
      <c r="AY1081" s="443"/>
      <c r="AZ1081" s="443"/>
      <c r="BA1081" s="443"/>
      <c r="BB1081" s="443"/>
      <c r="BC1081" s="443"/>
      <c r="BD1081" s="443"/>
      <c r="BE1081" s="443"/>
    </row>
    <row r="1082">
      <c r="A1082" s="445" t="str">
        <f t="shared" si="5"/>
        <v/>
      </c>
      <c r="B1082" s="443"/>
      <c r="C1082" s="443"/>
      <c r="D1082" s="462"/>
      <c r="E1082" s="436" t="str">
        <f t="array" ref="E1082">IF(B1082=0,"",(J1082+K1082)/60)</f>
        <v/>
      </c>
      <c r="F1082" s="437" t="str">
        <f t="shared" si="1"/>
        <v/>
      </c>
      <c r="G1082" s="438" t="str">
        <f t="shared" si="9"/>
        <v/>
      </c>
      <c r="H1082" s="438" t="str">
        <f t="shared" si="3"/>
        <v/>
      </c>
      <c r="I1082" s="436" t="str">
        <f t="shared" si="11"/>
        <v/>
      </c>
      <c r="J1082" s="464"/>
      <c r="K1082" s="464"/>
      <c r="L1082" s="443"/>
      <c r="M1082" s="443"/>
      <c r="N1082" s="443"/>
      <c r="O1082" s="443"/>
      <c r="P1082" s="443"/>
      <c r="Q1082" s="443"/>
      <c r="R1082" s="443"/>
      <c r="S1082" s="443"/>
      <c r="T1082" s="443"/>
      <c r="U1082" s="443"/>
      <c r="V1082" s="443"/>
      <c r="W1082" s="443"/>
      <c r="X1082" s="443"/>
      <c r="Y1082" s="443"/>
      <c r="Z1082" s="443"/>
      <c r="AA1082" s="443"/>
      <c r="AB1082" s="443"/>
      <c r="AC1082" s="443"/>
      <c r="AD1082" s="443"/>
      <c r="AE1082" s="443"/>
      <c r="AF1082" s="443"/>
      <c r="AG1082" s="443" t="s">
        <v>289</v>
      </c>
      <c r="AH1082" s="443" t="s">
        <v>289</v>
      </c>
      <c r="AI1082" s="443"/>
      <c r="AJ1082" s="443"/>
      <c r="AK1082" s="443"/>
      <c r="AL1082" s="443"/>
      <c r="AM1082" s="443"/>
      <c r="AN1082" s="443"/>
      <c r="AO1082" s="443"/>
      <c r="AP1082" s="443"/>
      <c r="AQ1082" s="443"/>
      <c r="AR1082" s="443"/>
      <c r="AS1082" s="443"/>
      <c r="AT1082" s="443"/>
      <c r="AU1082" s="443"/>
      <c r="AV1082" s="443"/>
      <c r="AW1082" s="443"/>
      <c r="AX1082" s="443"/>
      <c r="AY1082" s="443"/>
      <c r="AZ1082" s="443"/>
      <c r="BA1082" s="443"/>
      <c r="BB1082" s="443"/>
      <c r="BC1082" s="443"/>
      <c r="BD1082" s="443"/>
      <c r="BE1082" s="443"/>
    </row>
    <row r="1083">
      <c r="A1083" s="445" t="str">
        <f t="shared" si="5"/>
        <v/>
      </c>
      <c r="B1083" s="443"/>
      <c r="C1083" s="443"/>
      <c r="D1083" s="462"/>
      <c r="E1083" s="436" t="str">
        <f t="array" ref="E1083">IF(B1083=0,"",(J1083+K1083)/60)</f>
        <v/>
      </c>
      <c r="F1083" s="437" t="str">
        <f t="shared" si="1"/>
        <v/>
      </c>
      <c r="G1083" s="438" t="str">
        <f t="shared" si="9"/>
        <v/>
      </c>
      <c r="H1083" s="438" t="str">
        <f t="shared" si="3"/>
        <v/>
      </c>
      <c r="I1083" s="436" t="str">
        <f t="shared" si="11"/>
        <v/>
      </c>
      <c r="J1083" s="464"/>
      <c r="K1083" s="464"/>
      <c r="L1083" s="443"/>
      <c r="M1083" s="443"/>
      <c r="N1083" s="443"/>
      <c r="O1083" s="443"/>
      <c r="P1083" s="443"/>
      <c r="Q1083" s="443"/>
      <c r="R1083" s="443"/>
      <c r="S1083" s="443"/>
      <c r="T1083" s="443"/>
      <c r="U1083" s="443"/>
      <c r="V1083" s="443"/>
      <c r="W1083" s="443"/>
      <c r="X1083" s="443"/>
      <c r="Y1083" s="443"/>
      <c r="Z1083" s="443"/>
      <c r="AA1083" s="443"/>
      <c r="AB1083" s="443"/>
      <c r="AC1083" s="443"/>
      <c r="AD1083" s="443"/>
      <c r="AE1083" s="443"/>
      <c r="AF1083" s="443"/>
      <c r="AG1083" s="443" t="s">
        <v>289</v>
      </c>
      <c r="AH1083" s="443" t="s">
        <v>289</v>
      </c>
      <c r="AI1083" s="443"/>
      <c r="AJ1083" s="443"/>
      <c r="AK1083" s="443"/>
      <c r="AL1083" s="443"/>
      <c r="AM1083" s="443"/>
      <c r="AN1083" s="443"/>
      <c r="AO1083" s="443"/>
      <c r="AP1083" s="443"/>
      <c r="AQ1083" s="443"/>
      <c r="AR1083" s="443"/>
      <c r="AS1083" s="443"/>
      <c r="AT1083" s="443"/>
      <c r="AU1083" s="443"/>
      <c r="AV1083" s="443"/>
      <c r="AW1083" s="443"/>
      <c r="AX1083" s="443"/>
      <c r="AY1083" s="443"/>
      <c r="AZ1083" s="443"/>
      <c r="BA1083" s="443"/>
      <c r="BB1083" s="443"/>
      <c r="BC1083" s="443"/>
      <c r="BD1083" s="443"/>
      <c r="BE1083" s="443"/>
    </row>
    <row r="1084">
      <c r="A1084" s="445" t="str">
        <f t="shared" si="5"/>
        <v/>
      </c>
      <c r="B1084" s="443"/>
      <c r="C1084" s="443"/>
      <c r="D1084" s="462"/>
      <c r="E1084" s="436" t="str">
        <f t="array" ref="E1084">IF(B1084=0,"",(J1084+K1084)/60)</f>
        <v/>
      </c>
      <c r="F1084" s="437" t="str">
        <f t="shared" si="1"/>
        <v/>
      </c>
      <c r="G1084" s="438" t="str">
        <f t="shared" si="9"/>
        <v/>
      </c>
      <c r="H1084" s="438" t="str">
        <f t="shared" si="3"/>
        <v/>
      </c>
      <c r="I1084" s="436" t="str">
        <f t="shared" si="11"/>
        <v/>
      </c>
      <c r="J1084" s="464"/>
      <c r="K1084" s="464"/>
      <c r="L1084" s="443"/>
      <c r="M1084" s="443"/>
      <c r="N1084" s="443"/>
      <c r="O1084" s="443"/>
      <c r="P1084" s="443"/>
      <c r="Q1084" s="443"/>
      <c r="R1084" s="443"/>
      <c r="S1084" s="443"/>
      <c r="T1084" s="443"/>
      <c r="U1084" s="443"/>
      <c r="V1084" s="443"/>
      <c r="W1084" s="443"/>
      <c r="X1084" s="443"/>
      <c r="Y1084" s="443"/>
      <c r="Z1084" s="443"/>
      <c r="AA1084" s="443"/>
      <c r="AB1084" s="443"/>
      <c r="AC1084" s="443"/>
      <c r="AD1084" s="443"/>
      <c r="AE1084" s="443"/>
      <c r="AF1084" s="443"/>
      <c r="AG1084" s="443" t="s">
        <v>289</v>
      </c>
      <c r="AH1084" s="443" t="s">
        <v>289</v>
      </c>
      <c r="AI1084" s="443"/>
      <c r="AJ1084" s="443"/>
      <c r="AK1084" s="443"/>
      <c r="AL1084" s="443"/>
      <c r="AM1084" s="443"/>
      <c r="AN1084" s="443"/>
      <c r="AO1084" s="443"/>
      <c r="AP1084" s="443"/>
      <c r="AQ1084" s="443"/>
      <c r="AR1084" s="443"/>
      <c r="AS1084" s="443"/>
      <c r="AT1084" s="443"/>
      <c r="AU1084" s="443"/>
      <c r="AV1084" s="443"/>
      <c r="AW1084" s="443"/>
      <c r="AX1084" s="443"/>
      <c r="AY1084" s="443"/>
      <c r="AZ1084" s="443"/>
      <c r="BA1084" s="443"/>
      <c r="BB1084" s="443"/>
      <c r="BC1084" s="443"/>
      <c r="BD1084" s="443"/>
      <c r="BE1084" s="443"/>
    </row>
    <row r="1085">
      <c r="A1085" s="445" t="str">
        <f t="shared" si="5"/>
        <v/>
      </c>
      <c r="B1085" s="443"/>
      <c r="C1085" s="443"/>
      <c r="D1085" s="462"/>
      <c r="E1085" s="436" t="str">
        <f t="array" ref="E1085">IF(B1085=0,"",(J1085+K1085)/60)</f>
        <v/>
      </c>
      <c r="F1085" s="437" t="str">
        <f t="shared" si="1"/>
        <v/>
      </c>
      <c r="G1085" s="438" t="str">
        <f t="shared" si="9"/>
        <v/>
      </c>
      <c r="H1085" s="438" t="str">
        <f t="shared" si="3"/>
        <v/>
      </c>
      <c r="I1085" s="436" t="str">
        <f t="shared" si="11"/>
        <v/>
      </c>
      <c r="J1085" s="464"/>
      <c r="K1085" s="464"/>
      <c r="L1085" s="443"/>
      <c r="M1085" s="443"/>
      <c r="N1085" s="443"/>
      <c r="O1085" s="443"/>
      <c r="P1085" s="443"/>
      <c r="Q1085" s="443"/>
      <c r="R1085" s="443"/>
      <c r="S1085" s="443"/>
      <c r="T1085" s="443"/>
      <c r="U1085" s="443"/>
      <c r="V1085" s="443"/>
      <c r="W1085" s="443"/>
      <c r="X1085" s="443"/>
      <c r="Y1085" s="443"/>
      <c r="Z1085" s="443"/>
      <c r="AA1085" s="443"/>
      <c r="AB1085" s="443"/>
      <c r="AC1085" s="443"/>
      <c r="AD1085" s="443"/>
      <c r="AE1085" s="443"/>
      <c r="AF1085" s="443"/>
      <c r="AG1085" s="443" t="s">
        <v>289</v>
      </c>
      <c r="AH1085" s="443" t="s">
        <v>289</v>
      </c>
      <c r="AI1085" s="443"/>
      <c r="AJ1085" s="443"/>
      <c r="AK1085" s="443"/>
      <c r="AL1085" s="443"/>
      <c r="AM1085" s="443"/>
      <c r="AN1085" s="443"/>
      <c r="AO1085" s="443"/>
      <c r="AP1085" s="443"/>
      <c r="AQ1085" s="443"/>
      <c r="AR1085" s="443"/>
      <c r="AS1085" s="443"/>
      <c r="AT1085" s="443"/>
      <c r="AU1085" s="443"/>
      <c r="AV1085" s="443"/>
      <c r="AW1085" s="443"/>
      <c r="AX1085" s="443"/>
      <c r="AY1085" s="443"/>
      <c r="AZ1085" s="443"/>
      <c r="BA1085" s="443"/>
      <c r="BB1085" s="443"/>
      <c r="BC1085" s="443"/>
      <c r="BD1085" s="443"/>
      <c r="BE1085" s="443"/>
    </row>
    <row r="1086">
      <c r="A1086" s="445" t="str">
        <f t="shared" si="5"/>
        <v/>
      </c>
      <c r="B1086" s="443"/>
      <c r="C1086" s="443"/>
      <c r="D1086" s="462"/>
      <c r="E1086" s="436" t="str">
        <f t="array" ref="E1086">IF(B1086=0,"",(J1086+K1086)/60)</f>
        <v/>
      </c>
      <c r="F1086" s="437" t="str">
        <f t="shared" si="1"/>
        <v/>
      </c>
      <c r="G1086" s="438" t="str">
        <f t="shared" si="9"/>
        <v/>
      </c>
      <c r="H1086" s="438" t="str">
        <f t="shared" si="3"/>
        <v/>
      </c>
      <c r="I1086" s="436" t="str">
        <f t="shared" si="11"/>
        <v/>
      </c>
      <c r="J1086" s="464"/>
      <c r="K1086" s="464"/>
      <c r="L1086" s="443"/>
      <c r="M1086" s="443"/>
      <c r="N1086" s="443"/>
      <c r="O1086" s="443"/>
      <c r="P1086" s="443"/>
      <c r="Q1086" s="443"/>
      <c r="R1086" s="443"/>
      <c r="S1086" s="443"/>
      <c r="T1086" s="443"/>
      <c r="U1086" s="443"/>
      <c r="V1086" s="443"/>
      <c r="W1086" s="443"/>
      <c r="X1086" s="443"/>
      <c r="Y1086" s="443"/>
      <c r="Z1086" s="443"/>
      <c r="AA1086" s="443"/>
      <c r="AB1086" s="443"/>
      <c r="AC1086" s="443"/>
      <c r="AD1086" s="443"/>
      <c r="AE1086" s="443"/>
      <c r="AF1086" s="443"/>
      <c r="AG1086" s="443" t="s">
        <v>289</v>
      </c>
      <c r="AH1086" s="443" t="s">
        <v>289</v>
      </c>
      <c r="AI1086" s="443"/>
      <c r="AJ1086" s="443"/>
      <c r="AK1086" s="443"/>
      <c r="AL1086" s="443"/>
      <c r="AM1086" s="443"/>
      <c r="AN1086" s="443"/>
      <c r="AO1086" s="443"/>
      <c r="AP1086" s="443"/>
      <c r="AQ1086" s="443"/>
      <c r="AR1086" s="443"/>
      <c r="AS1086" s="443"/>
      <c r="AT1086" s="443"/>
      <c r="AU1086" s="443"/>
      <c r="AV1086" s="443"/>
      <c r="AW1086" s="443"/>
      <c r="AX1086" s="443"/>
      <c r="AY1086" s="443"/>
      <c r="AZ1086" s="443"/>
      <c r="BA1086" s="443"/>
      <c r="BB1086" s="443"/>
      <c r="BC1086" s="443"/>
      <c r="BD1086" s="443"/>
      <c r="BE1086" s="443"/>
    </row>
    <row r="1087">
      <c r="A1087" s="445" t="str">
        <f t="shared" si="5"/>
        <v/>
      </c>
      <c r="B1087" s="443"/>
      <c r="C1087" s="443"/>
      <c r="D1087" s="462"/>
      <c r="E1087" s="436" t="str">
        <f t="array" ref="E1087">IF(B1087=0,"",(J1087+K1087)/60)</f>
        <v/>
      </c>
      <c r="F1087" s="437" t="str">
        <f t="shared" si="1"/>
        <v/>
      </c>
      <c r="G1087" s="438" t="str">
        <f t="shared" si="9"/>
        <v/>
      </c>
      <c r="H1087" s="438" t="str">
        <f t="shared" si="3"/>
        <v/>
      </c>
      <c r="I1087" s="436" t="str">
        <f t="shared" si="11"/>
        <v/>
      </c>
      <c r="J1087" s="464"/>
      <c r="K1087" s="464"/>
      <c r="L1087" s="443"/>
      <c r="M1087" s="443"/>
      <c r="N1087" s="443"/>
      <c r="O1087" s="443"/>
      <c r="P1087" s="443"/>
      <c r="Q1087" s="443"/>
      <c r="R1087" s="443"/>
      <c r="S1087" s="443"/>
      <c r="T1087" s="443"/>
      <c r="U1087" s="443"/>
      <c r="V1087" s="443"/>
      <c r="W1087" s="443"/>
      <c r="X1087" s="443"/>
      <c r="Y1087" s="443"/>
      <c r="Z1087" s="443"/>
      <c r="AA1087" s="443"/>
      <c r="AB1087" s="443"/>
      <c r="AC1087" s="443"/>
      <c r="AD1087" s="443"/>
      <c r="AE1087" s="443"/>
      <c r="AF1087" s="443"/>
      <c r="AG1087" s="443" t="s">
        <v>289</v>
      </c>
      <c r="AH1087" s="443" t="s">
        <v>289</v>
      </c>
      <c r="AI1087" s="443"/>
      <c r="AJ1087" s="443"/>
      <c r="AK1087" s="443"/>
      <c r="AL1087" s="443"/>
      <c r="AM1087" s="443"/>
      <c r="AN1087" s="443"/>
      <c r="AO1087" s="443"/>
      <c r="AP1087" s="443"/>
      <c r="AQ1087" s="443"/>
      <c r="AR1087" s="443"/>
      <c r="AS1087" s="443"/>
      <c r="AT1087" s="443"/>
      <c r="AU1087" s="443"/>
      <c r="AV1087" s="443"/>
      <c r="AW1087" s="443"/>
      <c r="AX1087" s="443"/>
      <c r="AY1087" s="443"/>
      <c r="AZ1087" s="443"/>
      <c r="BA1087" s="443"/>
      <c r="BB1087" s="443"/>
      <c r="BC1087" s="443"/>
      <c r="BD1087" s="443"/>
      <c r="BE1087" s="443"/>
    </row>
    <row r="1088">
      <c r="A1088" s="445" t="str">
        <f t="shared" si="5"/>
        <v/>
      </c>
      <c r="B1088" s="443"/>
      <c r="C1088" s="443"/>
      <c r="D1088" s="462"/>
      <c r="E1088" s="436" t="str">
        <f t="array" ref="E1088">IF(B1088=0,"",(J1088+K1088)/60)</f>
        <v/>
      </c>
      <c r="F1088" s="437" t="str">
        <f t="shared" si="1"/>
        <v/>
      </c>
      <c r="G1088" s="438" t="str">
        <f t="shared" si="9"/>
        <v/>
      </c>
      <c r="H1088" s="438" t="str">
        <f t="shared" si="3"/>
        <v/>
      </c>
      <c r="I1088" s="436" t="str">
        <f t="shared" si="11"/>
        <v/>
      </c>
      <c r="J1088" s="464"/>
      <c r="K1088" s="464"/>
      <c r="L1088" s="443"/>
      <c r="M1088" s="443"/>
      <c r="N1088" s="443"/>
      <c r="O1088" s="443"/>
      <c r="P1088" s="443"/>
      <c r="Q1088" s="443"/>
      <c r="R1088" s="443"/>
      <c r="S1088" s="443"/>
      <c r="T1088" s="443"/>
      <c r="U1088" s="443"/>
      <c r="V1088" s="443"/>
      <c r="W1088" s="443"/>
      <c r="X1088" s="443"/>
      <c r="Y1088" s="443"/>
      <c r="Z1088" s="443"/>
      <c r="AA1088" s="443"/>
      <c r="AB1088" s="443"/>
      <c r="AC1088" s="443"/>
      <c r="AD1088" s="443"/>
      <c r="AE1088" s="443"/>
      <c r="AF1088" s="443"/>
      <c r="AG1088" s="443" t="s">
        <v>289</v>
      </c>
      <c r="AH1088" s="443" t="s">
        <v>289</v>
      </c>
      <c r="AI1088" s="443"/>
      <c r="AJ1088" s="443"/>
      <c r="AK1088" s="443"/>
      <c r="AL1088" s="443"/>
      <c r="AM1088" s="443"/>
      <c r="AN1088" s="443"/>
      <c r="AO1088" s="443"/>
      <c r="AP1088" s="443"/>
      <c r="AQ1088" s="443"/>
      <c r="AR1088" s="443"/>
      <c r="AS1088" s="443"/>
      <c r="AT1088" s="443"/>
      <c r="AU1088" s="443"/>
      <c r="AV1088" s="443"/>
      <c r="AW1088" s="443"/>
      <c r="AX1088" s="443"/>
      <c r="AY1088" s="443"/>
      <c r="AZ1088" s="443"/>
      <c r="BA1088" s="443"/>
      <c r="BB1088" s="443"/>
      <c r="BC1088" s="443"/>
      <c r="BD1088" s="443"/>
      <c r="BE1088" s="443"/>
    </row>
    <row r="1089">
      <c r="A1089" s="445" t="str">
        <f t="shared" si="5"/>
        <v/>
      </c>
      <c r="B1089" s="443"/>
      <c r="C1089" s="443"/>
      <c r="D1089" s="462"/>
      <c r="E1089" s="436" t="str">
        <f t="array" ref="E1089">IF(B1089=0,"",(J1089+K1089)/60)</f>
        <v/>
      </c>
      <c r="F1089" s="437" t="str">
        <f t="shared" si="1"/>
        <v/>
      </c>
      <c r="G1089" s="438" t="str">
        <f t="shared" si="9"/>
        <v/>
      </c>
      <c r="H1089" s="438" t="str">
        <f t="shared" si="3"/>
        <v/>
      </c>
      <c r="I1089" s="436" t="str">
        <f t="shared" si="11"/>
        <v/>
      </c>
      <c r="J1089" s="464"/>
      <c r="K1089" s="464"/>
      <c r="L1089" s="443"/>
      <c r="M1089" s="443"/>
      <c r="N1089" s="443"/>
      <c r="O1089" s="443"/>
      <c r="P1089" s="443"/>
      <c r="Q1089" s="443"/>
      <c r="R1089" s="443"/>
      <c r="S1089" s="443"/>
      <c r="T1089" s="443"/>
      <c r="U1089" s="443"/>
      <c r="V1089" s="443"/>
      <c r="W1089" s="443"/>
      <c r="X1089" s="443"/>
      <c r="Y1089" s="443"/>
      <c r="Z1089" s="443"/>
      <c r="AA1089" s="443"/>
      <c r="AB1089" s="443"/>
      <c r="AC1089" s="443"/>
      <c r="AD1089" s="443"/>
      <c r="AE1089" s="443"/>
      <c r="AF1089" s="443"/>
      <c r="AG1089" s="443" t="s">
        <v>289</v>
      </c>
      <c r="AH1089" s="443" t="s">
        <v>289</v>
      </c>
      <c r="AI1089" s="443"/>
      <c r="AJ1089" s="443"/>
      <c r="AK1089" s="443"/>
      <c r="AL1089" s="443"/>
      <c r="AM1089" s="443"/>
      <c r="AN1089" s="443"/>
      <c r="AO1089" s="443"/>
      <c r="AP1089" s="443"/>
      <c r="AQ1089" s="443"/>
      <c r="AR1089" s="443"/>
      <c r="AS1089" s="443"/>
      <c r="AT1089" s="443"/>
      <c r="AU1089" s="443"/>
      <c r="AV1089" s="443"/>
      <c r="AW1089" s="443"/>
      <c r="AX1089" s="443"/>
      <c r="AY1089" s="443"/>
      <c r="AZ1089" s="443"/>
      <c r="BA1089" s="443"/>
      <c r="BB1089" s="443"/>
      <c r="BC1089" s="443"/>
      <c r="BD1089" s="443"/>
      <c r="BE1089" s="443"/>
    </row>
    <row r="1090">
      <c r="A1090" s="445" t="str">
        <f t="shared" si="5"/>
        <v/>
      </c>
      <c r="B1090" s="443"/>
      <c r="C1090" s="443"/>
      <c r="D1090" s="462"/>
      <c r="E1090" s="436" t="str">
        <f t="array" ref="E1090">IF(B1090=0,"",(J1090+K1090)/60)</f>
        <v/>
      </c>
      <c r="F1090" s="437" t="str">
        <f t="shared" si="1"/>
        <v/>
      </c>
      <c r="G1090" s="438" t="str">
        <f t="shared" si="9"/>
        <v/>
      </c>
      <c r="H1090" s="438" t="str">
        <f t="shared" si="3"/>
        <v/>
      </c>
      <c r="I1090" s="436" t="str">
        <f t="shared" si="11"/>
        <v/>
      </c>
      <c r="J1090" s="464"/>
      <c r="K1090" s="464"/>
      <c r="L1090" s="443"/>
      <c r="M1090" s="443"/>
      <c r="N1090" s="443"/>
      <c r="O1090" s="443"/>
      <c r="P1090" s="443"/>
      <c r="Q1090" s="443"/>
      <c r="R1090" s="443"/>
      <c r="S1090" s="443"/>
      <c r="T1090" s="443"/>
      <c r="U1090" s="443"/>
      <c r="V1090" s="443"/>
      <c r="W1090" s="443"/>
      <c r="X1090" s="443"/>
      <c r="Y1090" s="443"/>
      <c r="Z1090" s="443"/>
      <c r="AA1090" s="443"/>
      <c r="AB1090" s="443"/>
      <c r="AC1090" s="443"/>
      <c r="AD1090" s="443"/>
      <c r="AE1090" s="443"/>
      <c r="AF1090" s="443"/>
      <c r="AG1090" s="443" t="s">
        <v>289</v>
      </c>
      <c r="AH1090" s="443" t="s">
        <v>289</v>
      </c>
      <c r="AI1090" s="443"/>
      <c r="AJ1090" s="443"/>
      <c r="AK1090" s="443"/>
      <c r="AL1090" s="443"/>
      <c r="AM1090" s="443"/>
      <c r="AN1090" s="443"/>
      <c r="AO1090" s="443"/>
      <c r="AP1090" s="443"/>
      <c r="AQ1090" s="443"/>
      <c r="AR1090" s="443"/>
      <c r="AS1090" s="443"/>
      <c r="AT1090" s="443"/>
      <c r="AU1090" s="443"/>
      <c r="AV1090" s="443"/>
      <c r="AW1090" s="443"/>
      <c r="AX1090" s="443"/>
      <c r="AY1090" s="443"/>
      <c r="AZ1090" s="443"/>
      <c r="BA1090" s="443"/>
      <c r="BB1090" s="443"/>
      <c r="BC1090" s="443"/>
      <c r="BD1090" s="443"/>
      <c r="BE1090" s="443"/>
    </row>
    <row r="1091">
      <c r="A1091" s="445" t="str">
        <f t="shared" si="5"/>
        <v/>
      </c>
      <c r="B1091" s="443"/>
      <c r="C1091" s="443"/>
      <c r="D1091" s="462"/>
      <c r="E1091" s="436" t="str">
        <f t="array" ref="E1091">IF(B1091=0,"",(J1091+K1091)/60)</f>
        <v/>
      </c>
      <c r="F1091" s="437" t="str">
        <f t="shared" si="1"/>
        <v/>
      </c>
      <c r="G1091" s="438" t="str">
        <f t="shared" si="9"/>
        <v/>
      </c>
      <c r="H1091" s="438" t="str">
        <f t="shared" si="3"/>
        <v/>
      </c>
      <c r="I1091" s="436" t="str">
        <f t="shared" si="11"/>
        <v/>
      </c>
      <c r="J1091" s="464"/>
      <c r="K1091" s="464"/>
      <c r="L1091" s="443"/>
      <c r="M1091" s="443"/>
      <c r="N1091" s="443"/>
      <c r="O1091" s="443"/>
      <c r="P1091" s="443"/>
      <c r="Q1091" s="443"/>
      <c r="R1091" s="443"/>
      <c r="S1091" s="443"/>
      <c r="T1091" s="443"/>
      <c r="U1091" s="443"/>
      <c r="V1091" s="443"/>
      <c r="W1091" s="443"/>
      <c r="X1091" s="443"/>
      <c r="Y1091" s="443"/>
      <c r="Z1091" s="443"/>
      <c r="AA1091" s="443"/>
      <c r="AB1091" s="443"/>
      <c r="AC1091" s="443"/>
      <c r="AD1091" s="443"/>
      <c r="AE1091" s="443"/>
      <c r="AF1091" s="443"/>
      <c r="AG1091" s="443" t="s">
        <v>289</v>
      </c>
      <c r="AH1091" s="443" t="s">
        <v>289</v>
      </c>
      <c r="AI1091" s="443"/>
      <c r="AJ1091" s="443"/>
      <c r="AK1091" s="443"/>
      <c r="AL1091" s="443"/>
      <c r="AM1091" s="443"/>
      <c r="AN1091" s="443"/>
      <c r="AO1091" s="443"/>
      <c r="AP1091" s="443"/>
      <c r="AQ1091" s="443"/>
      <c r="AR1091" s="443"/>
      <c r="AS1091" s="443"/>
      <c r="AT1091" s="443"/>
      <c r="AU1091" s="443"/>
      <c r="AV1091" s="443"/>
      <c r="AW1091" s="443"/>
      <c r="AX1091" s="443"/>
      <c r="AY1091" s="443"/>
      <c r="AZ1091" s="443"/>
      <c r="BA1091" s="443"/>
      <c r="BB1091" s="443"/>
      <c r="BC1091" s="443"/>
      <c r="BD1091" s="443"/>
      <c r="BE1091" s="443"/>
    </row>
    <row r="1092">
      <c r="A1092" s="445" t="str">
        <f t="shared" si="5"/>
        <v/>
      </c>
      <c r="B1092" s="443"/>
      <c r="C1092" s="443"/>
      <c r="D1092" s="462"/>
      <c r="E1092" s="436" t="str">
        <f t="array" ref="E1092">IF(B1092=0,"",(J1092+K1092)/60)</f>
        <v/>
      </c>
      <c r="F1092" s="437" t="str">
        <f t="shared" si="1"/>
        <v/>
      </c>
      <c r="G1092" s="438" t="str">
        <f t="shared" si="9"/>
        <v/>
      </c>
      <c r="H1092" s="438" t="str">
        <f t="shared" si="3"/>
        <v/>
      </c>
      <c r="I1092" s="436" t="str">
        <f t="shared" si="11"/>
        <v/>
      </c>
      <c r="J1092" s="464"/>
      <c r="K1092" s="464"/>
      <c r="L1092" s="443"/>
      <c r="M1092" s="443"/>
      <c r="N1092" s="443"/>
      <c r="O1092" s="443"/>
      <c r="P1092" s="443"/>
      <c r="Q1092" s="443"/>
      <c r="R1092" s="443"/>
      <c r="S1092" s="443"/>
      <c r="T1092" s="443"/>
      <c r="U1092" s="443"/>
      <c r="V1092" s="443"/>
      <c r="W1092" s="443"/>
      <c r="X1092" s="443"/>
      <c r="Y1092" s="443"/>
      <c r="Z1092" s="443"/>
      <c r="AA1092" s="443"/>
      <c r="AB1092" s="443"/>
      <c r="AC1092" s="443"/>
      <c r="AD1092" s="443"/>
      <c r="AE1092" s="443"/>
      <c r="AF1092" s="443"/>
      <c r="AG1092" s="443" t="s">
        <v>289</v>
      </c>
      <c r="AH1092" s="443" t="s">
        <v>289</v>
      </c>
      <c r="AI1092" s="443"/>
      <c r="AJ1092" s="443"/>
      <c r="AK1092" s="443"/>
      <c r="AL1092" s="443"/>
      <c r="AM1092" s="443"/>
      <c r="AN1092" s="443"/>
      <c r="AO1092" s="443"/>
      <c r="AP1092" s="443"/>
      <c r="AQ1092" s="443"/>
      <c r="AR1092" s="443"/>
      <c r="AS1092" s="443"/>
      <c r="AT1092" s="443"/>
      <c r="AU1092" s="443"/>
      <c r="AV1092" s="443"/>
      <c r="AW1092" s="443"/>
      <c r="AX1092" s="443"/>
      <c r="AY1092" s="443"/>
      <c r="AZ1092" s="443"/>
      <c r="BA1092" s="443"/>
      <c r="BB1092" s="443"/>
      <c r="BC1092" s="443"/>
      <c r="BD1092" s="443"/>
      <c r="BE1092" s="443"/>
    </row>
    <row r="1093">
      <c r="A1093" s="445" t="str">
        <f t="shared" si="5"/>
        <v/>
      </c>
      <c r="B1093" s="443"/>
      <c r="C1093" s="443"/>
      <c r="D1093" s="462"/>
      <c r="E1093" s="436" t="str">
        <f t="array" ref="E1093">IF(B1093=0,"",(J1093+K1093)/60)</f>
        <v/>
      </c>
      <c r="F1093" s="437" t="str">
        <f t="shared" si="1"/>
        <v/>
      </c>
      <c r="G1093" s="438" t="str">
        <f t="shared" si="9"/>
        <v/>
      </c>
      <c r="H1093" s="438" t="str">
        <f t="shared" si="3"/>
        <v/>
      </c>
      <c r="I1093" s="436" t="str">
        <f t="shared" si="11"/>
        <v/>
      </c>
      <c r="J1093" s="464"/>
      <c r="K1093" s="464"/>
      <c r="L1093" s="443"/>
      <c r="M1093" s="443"/>
      <c r="N1093" s="443"/>
      <c r="O1093" s="443"/>
      <c r="P1093" s="443"/>
      <c r="Q1093" s="443"/>
      <c r="R1093" s="443"/>
      <c r="S1093" s="443"/>
      <c r="T1093" s="443"/>
      <c r="U1093" s="443"/>
      <c r="V1093" s="443"/>
      <c r="W1093" s="443"/>
      <c r="X1093" s="443"/>
      <c r="Y1093" s="443"/>
      <c r="Z1093" s="443"/>
      <c r="AA1093" s="443"/>
      <c r="AB1093" s="443"/>
      <c r="AC1093" s="443"/>
      <c r="AD1093" s="443"/>
      <c r="AE1093" s="443"/>
      <c r="AF1093" s="443"/>
      <c r="AG1093" s="443" t="s">
        <v>289</v>
      </c>
      <c r="AH1093" s="443" t="s">
        <v>289</v>
      </c>
      <c r="AI1093" s="443"/>
      <c r="AJ1093" s="443"/>
      <c r="AK1093" s="443"/>
      <c r="AL1093" s="443"/>
      <c r="AM1093" s="443"/>
      <c r="AN1093" s="443"/>
      <c r="AO1093" s="443"/>
      <c r="AP1093" s="443"/>
      <c r="AQ1093" s="443"/>
      <c r="AR1093" s="443"/>
      <c r="AS1093" s="443"/>
      <c r="AT1093" s="443"/>
      <c r="AU1093" s="443"/>
      <c r="AV1093" s="443"/>
      <c r="AW1093" s="443"/>
      <c r="AX1093" s="443"/>
      <c r="AY1093" s="443"/>
      <c r="AZ1093" s="443"/>
      <c r="BA1093" s="443"/>
      <c r="BB1093" s="443"/>
      <c r="BC1093" s="443"/>
      <c r="BD1093" s="443"/>
      <c r="BE1093" s="443"/>
    </row>
    <row r="1094">
      <c r="A1094" s="445" t="str">
        <f t="shared" si="5"/>
        <v/>
      </c>
      <c r="B1094" s="443"/>
      <c r="C1094" s="443"/>
      <c r="D1094" s="462"/>
      <c r="E1094" s="436" t="str">
        <f t="array" ref="E1094">IF(B1094=0,"",(J1094+K1094)/60)</f>
        <v/>
      </c>
      <c r="F1094" s="437" t="str">
        <f t="shared" si="1"/>
        <v/>
      </c>
      <c r="G1094" s="438" t="str">
        <f t="shared" si="9"/>
        <v/>
      </c>
      <c r="H1094" s="438" t="str">
        <f t="shared" si="3"/>
        <v/>
      </c>
      <c r="I1094" s="436" t="str">
        <f t="shared" si="11"/>
        <v/>
      </c>
      <c r="J1094" s="464"/>
      <c r="K1094" s="464"/>
      <c r="L1094" s="443"/>
      <c r="M1094" s="443"/>
      <c r="N1094" s="443"/>
      <c r="O1094" s="443"/>
      <c r="P1094" s="443"/>
      <c r="Q1094" s="443"/>
      <c r="R1094" s="443"/>
      <c r="S1094" s="443"/>
      <c r="T1094" s="443"/>
      <c r="U1094" s="443"/>
      <c r="V1094" s="443"/>
      <c r="W1094" s="443"/>
      <c r="X1094" s="443"/>
      <c r="Y1094" s="443"/>
      <c r="Z1094" s="443"/>
      <c r="AA1094" s="443"/>
      <c r="AB1094" s="443"/>
      <c r="AC1094" s="443"/>
      <c r="AD1094" s="443"/>
      <c r="AE1094" s="443"/>
      <c r="AF1094" s="443"/>
      <c r="AG1094" s="443" t="s">
        <v>289</v>
      </c>
      <c r="AH1094" s="443" t="s">
        <v>289</v>
      </c>
      <c r="AI1094" s="443"/>
      <c r="AJ1094" s="443"/>
      <c r="AK1094" s="443"/>
      <c r="AL1094" s="443"/>
      <c r="AM1094" s="443"/>
      <c r="AN1094" s="443"/>
      <c r="AO1094" s="443"/>
      <c r="AP1094" s="443"/>
      <c r="AQ1094" s="443"/>
      <c r="AR1094" s="443"/>
      <c r="AS1094" s="443"/>
      <c r="AT1094" s="443"/>
      <c r="AU1094" s="443"/>
      <c r="AV1094" s="443"/>
      <c r="AW1094" s="443"/>
      <c r="AX1094" s="443"/>
      <c r="AY1094" s="443"/>
      <c r="AZ1094" s="443"/>
      <c r="BA1094" s="443"/>
      <c r="BB1094" s="443"/>
      <c r="BC1094" s="443"/>
      <c r="BD1094" s="443"/>
      <c r="BE1094" s="443"/>
    </row>
    <row r="1095">
      <c r="A1095" s="445" t="str">
        <f t="shared" si="5"/>
        <v/>
      </c>
      <c r="B1095" s="443"/>
      <c r="C1095" s="443"/>
      <c r="D1095" s="462"/>
      <c r="E1095" s="436" t="str">
        <f t="array" ref="E1095">IF(B1095=0,"",(J1095+K1095)/60)</f>
        <v/>
      </c>
      <c r="F1095" s="437" t="str">
        <f t="shared" si="1"/>
        <v/>
      </c>
      <c r="G1095" s="438" t="str">
        <f t="shared" si="9"/>
        <v/>
      </c>
      <c r="H1095" s="438" t="str">
        <f t="shared" si="3"/>
        <v/>
      </c>
      <c r="I1095" s="436" t="str">
        <f t="shared" si="11"/>
        <v/>
      </c>
      <c r="J1095" s="464"/>
      <c r="K1095" s="464"/>
      <c r="L1095" s="443"/>
      <c r="M1095" s="443"/>
      <c r="N1095" s="443"/>
      <c r="O1095" s="443"/>
      <c r="P1095" s="443"/>
      <c r="Q1095" s="443"/>
      <c r="R1095" s="443"/>
      <c r="S1095" s="443"/>
      <c r="T1095" s="443"/>
      <c r="U1095" s="443"/>
      <c r="V1095" s="443"/>
      <c r="W1095" s="443"/>
      <c r="X1095" s="443"/>
      <c r="Y1095" s="443"/>
      <c r="Z1095" s="443"/>
      <c r="AA1095" s="443"/>
      <c r="AB1095" s="443"/>
      <c r="AC1095" s="443"/>
      <c r="AD1095" s="443"/>
      <c r="AE1095" s="443"/>
      <c r="AF1095" s="443"/>
      <c r="AG1095" s="443" t="s">
        <v>289</v>
      </c>
      <c r="AH1095" s="443" t="s">
        <v>289</v>
      </c>
      <c r="AI1095" s="443"/>
      <c r="AJ1095" s="443"/>
      <c r="AK1095" s="443"/>
      <c r="AL1095" s="443"/>
      <c r="AM1095" s="443"/>
      <c r="AN1095" s="443"/>
      <c r="AO1095" s="443"/>
      <c r="AP1095" s="443"/>
      <c r="AQ1095" s="443"/>
      <c r="AR1095" s="443"/>
      <c r="AS1095" s="443"/>
      <c r="AT1095" s="443"/>
      <c r="AU1095" s="443"/>
      <c r="AV1095" s="443"/>
      <c r="AW1095" s="443"/>
      <c r="AX1095" s="443"/>
      <c r="AY1095" s="443"/>
      <c r="AZ1095" s="443"/>
      <c r="BA1095" s="443"/>
      <c r="BB1095" s="443"/>
      <c r="BC1095" s="443"/>
      <c r="BD1095" s="443"/>
      <c r="BE1095" s="443"/>
    </row>
    <row r="1096">
      <c r="A1096" s="445" t="str">
        <f t="shared" si="5"/>
        <v/>
      </c>
      <c r="B1096" s="443"/>
      <c r="C1096" s="443"/>
      <c r="D1096" s="462"/>
      <c r="E1096" s="436" t="str">
        <f t="array" ref="E1096">IF(B1096=0,"",(J1096+K1096)/60)</f>
        <v/>
      </c>
      <c r="F1096" s="437" t="str">
        <f t="shared" si="1"/>
        <v/>
      </c>
      <c r="G1096" s="438" t="str">
        <f t="shared" si="9"/>
        <v/>
      </c>
      <c r="H1096" s="438" t="str">
        <f t="shared" si="3"/>
        <v/>
      </c>
      <c r="I1096" s="436" t="str">
        <f t="shared" si="11"/>
        <v/>
      </c>
      <c r="J1096" s="464"/>
      <c r="K1096" s="464"/>
      <c r="L1096" s="443"/>
      <c r="M1096" s="443"/>
      <c r="N1096" s="443"/>
      <c r="O1096" s="443"/>
      <c r="P1096" s="443"/>
      <c r="Q1096" s="443"/>
      <c r="R1096" s="443"/>
      <c r="S1096" s="443"/>
      <c r="T1096" s="443"/>
      <c r="U1096" s="443"/>
      <c r="V1096" s="443"/>
      <c r="W1096" s="443"/>
      <c r="X1096" s="443"/>
      <c r="Y1096" s="443"/>
      <c r="Z1096" s="443"/>
      <c r="AA1096" s="443"/>
      <c r="AB1096" s="443"/>
      <c r="AC1096" s="443"/>
      <c r="AD1096" s="443"/>
      <c r="AE1096" s="443"/>
      <c r="AF1096" s="443"/>
      <c r="AG1096" s="443" t="s">
        <v>289</v>
      </c>
      <c r="AH1096" s="443" t="s">
        <v>289</v>
      </c>
      <c r="AI1096" s="443"/>
      <c r="AJ1096" s="443"/>
      <c r="AK1096" s="443"/>
      <c r="AL1096" s="443"/>
      <c r="AM1096" s="443"/>
      <c r="AN1096" s="443"/>
      <c r="AO1096" s="443"/>
      <c r="AP1096" s="443"/>
      <c r="AQ1096" s="443"/>
      <c r="AR1096" s="443"/>
      <c r="AS1096" s="443"/>
      <c r="AT1096" s="443"/>
      <c r="AU1096" s="443"/>
      <c r="AV1096" s="443"/>
      <c r="AW1096" s="443"/>
      <c r="AX1096" s="443"/>
      <c r="AY1096" s="443"/>
      <c r="AZ1096" s="443"/>
      <c r="BA1096" s="443"/>
      <c r="BB1096" s="443"/>
      <c r="BC1096" s="443"/>
      <c r="BD1096" s="443"/>
      <c r="BE1096" s="443"/>
    </row>
    <row r="1097">
      <c r="A1097" s="445" t="str">
        <f t="shared" si="5"/>
        <v/>
      </c>
      <c r="B1097" s="443"/>
      <c r="C1097" s="443"/>
      <c r="D1097" s="462"/>
      <c r="E1097" s="436" t="str">
        <f t="array" ref="E1097">IF(B1097=0,"",(J1097+K1097)/60)</f>
        <v/>
      </c>
      <c r="F1097" s="437" t="str">
        <f t="shared" si="1"/>
        <v/>
      </c>
      <c r="G1097" s="438" t="str">
        <f t="shared" si="9"/>
        <v/>
      </c>
      <c r="H1097" s="438" t="str">
        <f t="shared" si="3"/>
        <v/>
      </c>
      <c r="I1097" s="436" t="str">
        <f t="shared" si="11"/>
        <v/>
      </c>
      <c r="J1097" s="464"/>
      <c r="K1097" s="464"/>
      <c r="L1097" s="443"/>
      <c r="M1097" s="443"/>
      <c r="N1097" s="443"/>
      <c r="O1097" s="443"/>
      <c r="P1097" s="443"/>
      <c r="Q1097" s="443"/>
      <c r="R1097" s="443"/>
      <c r="S1097" s="443"/>
      <c r="T1097" s="443"/>
      <c r="U1097" s="443"/>
      <c r="V1097" s="443"/>
      <c r="W1097" s="443"/>
      <c r="X1097" s="443"/>
      <c r="Y1097" s="443"/>
      <c r="Z1097" s="443"/>
      <c r="AA1097" s="443"/>
      <c r="AB1097" s="443"/>
      <c r="AC1097" s="443"/>
      <c r="AD1097" s="443"/>
      <c r="AE1097" s="443"/>
      <c r="AF1097" s="443"/>
      <c r="AG1097" s="443" t="s">
        <v>289</v>
      </c>
      <c r="AH1097" s="443" t="s">
        <v>289</v>
      </c>
      <c r="AI1097" s="443"/>
      <c r="AJ1097" s="443"/>
      <c r="AK1097" s="443"/>
      <c r="AL1097" s="443"/>
      <c r="AM1097" s="443"/>
      <c r="AN1097" s="443"/>
      <c r="AO1097" s="443"/>
      <c r="AP1097" s="443"/>
      <c r="AQ1097" s="443"/>
      <c r="AR1097" s="443"/>
      <c r="AS1097" s="443"/>
      <c r="AT1097" s="443"/>
      <c r="AU1097" s="443"/>
      <c r="AV1097" s="443"/>
      <c r="AW1097" s="443"/>
      <c r="AX1097" s="443"/>
      <c r="AY1097" s="443"/>
      <c r="AZ1097" s="443"/>
      <c r="BA1097" s="443"/>
      <c r="BB1097" s="443"/>
      <c r="BC1097" s="443"/>
      <c r="BD1097" s="443"/>
      <c r="BE1097" s="443"/>
    </row>
    <row r="1098">
      <c r="A1098" s="445" t="str">
        <f t="shared" si="5"/>
        <v/>
      </c>
      <c r="B1098" s="443"/>
      <c r="C1098" s="443"/>
      <c r="D1098" s="462"/>
      <c r="E1098" s="436" t="str">
        <f t="array" ref="E1098">IF(B1098=0,"",(J1098+K1098)/60)</f>
        <v/>
      </c>
      <c r="F1098" s="437" t="str">
        <f t="shared" si="1"/>
        <v/>
      </c>
      <c r="G1098" s="438" t="str">
        <f t="shared" si="9"/>
        <v/>
      </c>
      <c r="H1098" s="438" t="str">
        <f t="shared" si="3"/>
        <v/>
      </c>
      <c r="I1098" s="436" t="str">
        <f t="shared" si="11"/>
        <v/>
      </c>
      <c r="J1098" s="464"/>
      <c r="K1098" s="464"/>
      <c r="L1098" s="443"/>
      <c r="M1098" s="443"/>
      <c r="N1098" s="443"/>
      <c r="O1098" s="443"/>
      <c r="P1098" s="443"/>
      <c r="Q1098" s="443"/>
      <c r="R1098" s="443"/>
      <c r="S1098" s="443"/>
      <c r="T1098" s="443"/>
      <c r="U1098" s="443"/>
      <c r="V1098" s="443"/>
      <c r="W1098" s="443"/>
      <c r="X1098" s="443"/>
      <c r="Y1098" s="443"/>
      <c r="Z1098" s="443"/>
      <c r="AA1098" s="443"/>
      <c r="AB1098" s="443"/>
      <c r="AC1098" s="443"/>
      <c r="AD1098" s="443"/>
      <c r="AE1098" s="443"/>
      <c r="AF1098" s="443"/>
      <c r="AG1098" s="443" t="s">
        <v>289</v>
      </c>
      <c r="AH1098" s="443" t="s">
        <v>289</v>
      </c>
      <c r="AI1098" s="443"/>
      <c r="AJ1098" s="443"/>
      <c r="AK1098" s="443"/>
      <c r="AL1098" s="443"/>
      <c r="AM1098" s="443"/>
      <c r="AN1098" s="443"/>
      <c r="AO1098" s="443"/>
      <c r="AP1098" s="443"/>
      <c r="AQ1098" s="443"/>
      <c r="AR1098" s="443"/>
      <c r="AS1098" s="443"/>
      <c r="AT1098" s="443"/>
      <c r="AU1098" s="443"/>
      <c r="AV1098" s="443"/>
      <c r="AW1098" s="443"/>
      <c r="AX1098" s="443"/>
      <c r="AY1098" s="443"/>
      <c r="AZ1098" s="443"/>
      <c r="BA1098" s="443"/>
      <c r="BB1098" s="443"/>
      <c r="BC1098" s="443"/>
      <c r="BD1098" s="443"/>
      <c r="BE1098" s="443"/>
    </row>
    <row r="1099">
      <c r="A1099" s="445" t="str">
        <f t="shared" si="5"/>
        <v/>
      </c>
      <c r="B1099" s="443"/>
      <c r="C1099" s="443"/>
      <c r="D1099" s="462"/>
      <c r="E1099" s="436" t="str">
        <f t="array" ref="E1099">IF(B1099=0,"",(J1099+K1099)/60)</f>
        <v/>
      </c>
      <c r="F1099" s="437" t="str">
        <f t="shared" si="1"/>
        <v/>
      </c>
      <c r="G1099" s="438" t="str">
        <f t="shared" si="9"/>
        <v/>
      </c>
      <c r="H1099" s="438" t="str">
        <f t="shared" si="3"/>
        <v/>
      </c>
      <c r="I1099" s="436" t="str">
        <f t="shared" si="11"/>
        <v/>
      </c>
      <c r="J1099" s="464"/>
      <c r="K1099" s="464"/>
      <c r="L1099" s="443"/>
      <c r="M1099" s="443"/>
      <c r="N1099" s="443"/>
      <c r="O1099" s="443"/>
      <c r="P1099" s="443"/>
      <c r="Q1099" s="443"/>
      <c r="R1099" s="443"/>
      <c r="S1099" s="443"/>
      <c r="T1099" s="443"/>
      <c r="U1099" s="443"/>
      <c r="V1099" s="443"/>
      <c r="W1099" s="443"/>
      <c r="X1099" s="443"/>
      <c r="Y1099" s="443"/>
      <c r="Z1099" s="443"/>
      <c r="AA1099" s="443"/>
      <c r="AB1099" s="443"/>
      <c r="AC1099" s="443"/>
      <c r="AD1099" s="443"/>
      <c r="AE1099" s="443"/>
      <c r="AF1099" s="443"/>
      <c r="AG1099" s="443" t="s">
        <v>289</v>
      </c>
      <c r="AH1099" s="443" t="s">
        <v>289</v>
      </c>
      <c r="AI1099" s="443"/>
      <c r="AJ1099" s="443"/>
      <c r="AK1099" s="443"/>
      <c r="AL1099" s="443"/>
      <c r="AM1099" s="443"/>
      <c r="AN1099" s="443"/>
      <c r="AO1099" s="443"/>
      <c r="AP1099" s="443"/>
      <c r="AQ1099" s="443"/>
      <c r="AR1099" s="443"/>
      <c r="AS1099" s="443"/>
      <c r="AT1099" s="443"/>
      <c r="AU1099" s="443"/>
      <c r="AV1099" s="443"/>
      <c r="AW1099" s="443"/>
      <c r="AX1099" s="443"/>
      <c r="AY1099" s="443"/>
      <c r="AZ1099" s="443"/>
      <c r="BA1099" s="443"/>
      <c r="BB1099" s="443"/>
      <c r="BC1099" s="443"/>
      <c r="BD1099" s="443"/>
      <c r="BE1099" s="443"/>
    </row>
    <row r="1100">
      <c r="A1100" s="445" t="str">
        <f t="shared" si="5"/>
        <v/>
      </c>
      <c r="B1100" s="443"/>
      <c r="C1100" s="443"/>
      <c r="D1100" s="462"/>
      <c r="E1100" s="436" t="str">
        <f t="array" ref="E1100">IF(B1100=0,"",(J1100+K1100)/60)</f>
        <v/>
      </c>
      <c r="F1100" s="437" t="str">
        <f t="shared" si="1"/>
        <v/>
      </c>
      <c r="G1100" s="438" t="str">
        <f t="shared" si="9"/>
        <v/>
      </c>
      <c r="H1100" s="438" t="str">
        <f t="shared" si="3"/>
        <v/>
      </c>
      <c r="I1100" s="436" t="str">
        <f t="shared" si="11"/>
        <v/>
      </c>
      <c r="J1100" s="464"/>
      <c r="K1100" s="464"/>
      <c r="L1100" s="443"/>
      <c r="M1100" s="443"/>
      <c r="N1100" s="443"/>
      <c r="O1100" s="443"/>
      <c r="P1100" s="443"/>
      <c r="Q1100" s="443"/>
      <c r="R1100" s="443"/>
      <c r="S1100" s="443"/>
      <c r="T1100" s="443"/>
      <c r="U1100" s="443"/>
      <c r="V1100" s="443"/>
      <c r="W1100" s="443"/>
      <c r="X1100" s="443"/>
      <c r="Y1100" s="443"/>
      <c r="Z1100" s="443"/>
      <c r="AA1100" s="443"/>
      <c r="AB1100" s="443"/>
      <c r="AC1100" s="443"/>
      <c r="AD1100" s="443"/>
      <c r="AE1100" s="443"/>
      <c r="AF1100" s="443"/>
      <c r="AG1100" s="443" t="s">
        <v>289</v>
      </c>
      <c r="AH1100" s="443" t="s">
        <v>289</v>
      </c>
      <c r="AI1100" s="443"/>
      <c r="AJ1100" s="443"/>
      <c r="AK1100" s="443"/>
      <c r="AL1100" s="443"/>
      <c r="AM1100" s="443"/>
      <c r="AN1100" s="443"/>
      <c r="AO1100" s="443"/>
      <c r="AP1100" s="443"/>
      <c r="AQ1100" s="443"/>
      <c r="AR1100" s="443"/>
      <c r="AS1100" s="443"/>
      <c r="AT1100" s="443"/>
      <c r="AU1100" s="443"/>
      <c r="AV1100" s="443"/>
      <c r="AW1100" s="443"/>
      <c r="AX1100" s="443"/>
      <c r="AY1100" s="443"/>
      <c r="AZ1100" s="443"/>
      <c r="BA1100" s="443"/>
      <c r="BB1100" s="443"/>
      <c r="BC1100" s="443"/>
      <c r="BD1100" s="443"/>
      <c r="BE1100" s="443"/>
    </row>
    <row r="1101">
      <c r="A1101" s="445" t="str">
        <f t="shared" si="5"/>
        <v/>
      </c>
      <c r="B1101" s="443"/>
      <c r="C1101" s="443"/>
      <c r="D1101" s="462"/>
      <c r="E1101" s="436" t="str">
        <f t="array" ref="E1101">IF(B1101=0,"",(J1101+K1101)/60)</f>
        <v/>
      </c>
      <c r="F1101" s="437" t="str">
        <f t="shared" si="1"/>
        <v/>
      </c>
      <c r="G1101" s="438" t="str">
        <f t="shared" si="9"/>
        <v/>
      </c>
      <c r="H1101" s="438" t="str">
        <f t="shared" si="3"/>
        <v/>
      </c>
      <c r="I1101" s="436" t="str">
        <f t="shared" si="11"/>
        <v/>
      </c>
      <c r="J1101" s="464"/>
      <c r="K1101" s="464"/>
      <c r="L1101" s="443"/>
      <c r="M1101" s="443"/>
      <c r="N1101" s="443"/>
      <c r="O1101" s="443"/>
      <c r="P1101" s="443"/>
      <c r="Q1101" s="443"/>
      <c r="R1101" s="443"/>
      <c r="S1101" s="443"/>
      <c r="T1101" s="443"/>
      <c r="U1101" s="443"/>
      <c r="V1101" s="443"/>
      <c r="W1101" s="443"/>
      <c r="X1101" s="443"/>
      <c r="Y1101" s="443"/>
      <c r="Z1101" s="443"/>
      <c r="AA1101" s="443"/>
      <c r="AB1101" s="443"/>
      <c r="AC1101" s="443"/>
      <c r="AD1101" s="443"/>
      <c r="AE1101" s="443"/>
      <c r="AF1101" s="443"/>
      <c r="AG1101" s="443" t="s">
        <v>289</v>
      </c>
      <c r="AH1101" s="443" t="s">
        <v>289</v>
      </c>
      <c r="AI1101" s="443"/>
      <c r="AJ1101" s="443"/>
      <c r="AK1101" s="443"/>
      <c r="AL1101" s="443"/>
      <c r="AM1101" s="443"/>
      <c r="AN1101" s="443"/>
      <c r="AO1101" s="443"/>
      <c r="AP1101" s="443"/>
      <c r="AQ1101" s="443"/>
      <c r="AR1101" s="443"/>
      <c r="AS1101" s="443"/>
      <c r="AT1101" s="443"/>
      <c r="AU1101" s="443"/>
      <c r="AV1101" s="443"/>
      <c r="AW1101" s="443"/>
      <c r="AX1101" s="443"/>
      <c r="AY1101" s="443"/>
      <c r="AZ1101" s="443"/>
      <c r="BA1101" s="443"/>
      <c r="BB1101" s="443"/>
      <c r="BC1101" s="443"/>
      <c r="BD1101" s="443"/>
      <c r="BE1101" s="443"/>
    </row>
    <row r="1102">
      <c r="A1102" s="445" t="str">
        <f t="shared" si="5"/>
        <v/>
      </c>
      <c r="B1102" s="443"/>
      <c r="C1102" s="443"/>
      <c r="D1102" s="462"/>
      <c r="E1102" s="436" t="str">
        <f t="array" ref="E1102">IF(B1102=0,"",(J1102+K1102)/60)</f>
        <v/>
      </c>
      <c r="F1102" s="437" t="str">
        <f t="shared" si="1"/>
        <v/>
      </c>
      <c r="G1102" s="438" t="str">
        <f t="shared" si="9"/>
        <v/>
      </c>
      <c r="H1102" s="438" t="str">
        <f t="shared" si="3"/>
        <v/>
      </c>
      <c r="I1102" s="436" t="str">
        <f t="shared" si="11"/>
        <v/>
      </c>
      <c r="J1102" s="464"/>
      <c r="K1102" s="464"/>
      <c r="L1102" s="443"/>
      <c r="M1102" s="443"/>
      <c r="N1102" s="443"/>
      <c r="O1102" s="443"/>
      <c r="P1102" s="443"/>
      <c r="Q1102" s="443"/>
      <c r="R1102" s="443"/>
      <c r="S1102" s="443"/>
      <c r="T1102" s="443"/>
      <c r="U1102" s="443"/>
      <c r="V1102" s="443"/>
      <c r="W1102" s="443"/>
      <c r="X1102" s="443"/>
      <c r="Y1102" s="443"/>
      <c r="Z1102" s="443"/>
      <c r="AA1102" s="443"/>
      <c r="AB1102" s="443"/>
      <c r="AC1102" s="443"/>
      <c r="AD1102" s="443"/>
      <c r="AE1102" s="443"/>
      <c r="AF1102" s="443"/>
      <c r="AG1102" s="443" t="s">
        <v>289</v>
      </c>
      <c r="AH1102" s="443" t="s">
        <v>289</v>
      </c>
      <c r="AI1102" s="443"/>
      <c r="AJ1102" s="443"/>
      <c r="AK1102" s="443"/>
      <c r="AL1102" s="443"/>
      <c r="AM1102" s="443"/>
      <c r="AN1102" s="443"/>
      <c r="AO1102" s="443"/>
      <c r="AP1102" s="443"/>
      <c r="AQ1102" s="443"/>
      <c r="AR1102" s="443"/>
      <c r="AS1102" s="443"/>
      <c r="AT1102" s="443"/>
      <c r="AU1102" s="443"/>
      <c r="AV1102" s="443"/>
      <c r="AW1102" s="443"/>
      <c r="AX1102" s="443"/>
      <c r="AY1102" s="443"/>
      <c r="AZ1102" s="443"/>
      <c r="BA1102" s="443"/>
      <c r="BB1102" s="443"/>
      <c r="BC1102" s="443"/>
      <c r="BD1102" s="443"/>
      <c r="BE1102" s="443"/>
    </row>
    <row r="1103">
      <c r="A1103" s="445" t="str">
        <f t="shared" si="5"/>
        <v/>
      </c>
      <c r="B1103" s="443"/>
      <c r="C1103" s="443"/>
      <c r="D1103" s="462"/>
      <c r="E1103" s="436" t="str">
        <f t="array" ref="E1103">IF(B1103=0,"",(J1103+K1103)/60)</f>
        <v/>
      </c>
      <c r="F1103" s="437" t="str">
        <f t="shared" si="1"/>
        <v/>
      </c>
      <c r="G1103" s="438" t="str">
        <f t="shared" si="9"/>
        <v/>
      </c>
      <c r="H1103" s="438" t="str">
        <f t="shared" si="3"/>
        <v/>
      </c>
      <c r="I1103" s="436" t="str">
        <f t="shared" si="11"/>
        <v/>
      </c>
      <c r="J1103" s="464"/>
      <c r="K1103" s="464"/>
      <c r="L1103" s="443"/>
      <c r="M1103" s="443"/>
      <c r="N1103" s="443"/>
      <c r="O1103" s="443"/>
      <c r="P1103" s="443"/>
      <c r="Q1103" s="443"/>
      <c r="R1103" s="443"/>
      <c r="S1103" s="443"/>
      <c r="T1103" s="443"/>
      <c r="U1103" s="443"/>
      <c r="V1103" s="443"/>
      <c r="W1103" s="443"/>
      <c r="X1103" s="443"/>
      <c r="Y1103" s="443"/>
      <c r="Z1103" s="443"/>
      <c r="AA1103" s="443"/>
      <c r="AB1103" s="443"/>
      <c r="AC1103" s="443"/>
      <c r="AD1103" s="443"/>
      <c r="AE1103" s="443"/>
      <c r="AF1103" s="443"/>
      <c r="AG1103" s="443" t="s">
        <v>289</v>
      </c>
      <c r="AH1103" s="443" t="s">
        <v>289</v>
      </c>
      <c r="AI1103" s="443"/>
      <c r="AJ1103" s="443"/>
      <c r="AK1103" s="443"/>
      <c r="AL1103" s="443"/>
      <c r="AM1103" s="443"/>
      <c r="AN1103" s="443"/>
      <c r="AO1103" s="443"/>
      <c r="AP1103" s="443"/>
      <c r="AQ1103" s="443"/>
      <c r="AR1103" s="443"/>
      <c r="AS1103" s="443"/>
      <c r="AT1103" s="443"/>
      <c r="AU1103" s="443"/>
      <c r="AV1103" s="443"/>
      <c r="AW1103" s="443"/>
      <c r="AX1103" s="443"/>
      <c r="AY1103" s="443"/>
      <c r="AZ1103" s="443"/>
      <c r="BA1103" s="443"/>
      <c r="BB1103" s="443"/>
      <c r="BC1103" s="443"/>
      <c r="BD1103" s="443"/>
      <c r="BE1103" s="443"/>
    </row>
    <row r="1104">
      <c r="A1104" s="445" t="str">
        <f t="shared" si="5"/>
        <v/>
      </c>
      <c r="B1104" s="443"/>
      <c r="C1104" s="443"/>
      <c r="D1104" s="462"/>
      <c r="E1104" s="436" t="str">
        <f t="array" ref="E1104">IF(B1104=0,"",(J1104+K1104)/60)</f>
        <v/>
      </c>
      <c r="F1104" s="437" t="str">
        <f t="shared" si="1"/>
        <v/>
      </c>
      <c r="G1104" s="438" t="str">
        <f t="shared" si="9"/>
        <v/>
      </c>
      <c r="H1104" s="438" t="str">
        <f t="shared" si="3"/>
        <v/>
      </c>
      <c r="I1104" s="436" t="str">
        <f t="shared" si="11"/>
        <v/>
      </c>
      <c r="J1104" s="464"/>
      <c r="K1104" s="464"/>
      <c r="L1104" s="443"/>
      <c r="M1104" s="443"/>
      <c r="N1104" s="443"/>
      <c r="O1104" s="443"/>
      <c r="P1104" s="443"/>
      <c r="Q1104" s="443"/>
      <c r="R1104" s="443"/>
      <c r="S1104" s="443"/>
      <c r="T1104" s="443"/>
      <c r="U1104" s="443"/>
      <c r="V1104" s="443"/>
      <c r="W1104" s="443"/>
      <c r="X1104" s="443"/>
      <c r="Y1104" s="443"/>
      <c r="Z1104" s="443"/>
      <c r="AA1104" s="443"/>
      <c r="AB1104" s="443"/>
      <c r="AC1104" s="443"/>
      <c r="AD1104" s="443"/>
      <c r="AE1104" s="443"/>
      <c r="AF1104" s="443"/>
      <c r="AG1104" s="443" t="s">
        <v>289</v>
      </c>
      <c r="AH1104" s="443" t="s">
        <v>289</v>
      </c>
      <c r="AI1104" s="443"/>
      <c r="AJ1104" s="443"/>
      <c r="AK1104" s="443"/>
      <c r="AL1104" s="443"/>
      <c r="AM1104" s="443"/>
      <c r="AN1104" s="443"/>
      <c r="AO1104" s="443"/>
      <c r="AP1104" s="443"/>
      <c r="AQ1104" s="443"/>
      <c r="AR1104" s="443"/>
      <c r="AS1104" s="443"/>
      <c r="AT1104" s="443"/>
      <c r="AU1104" s="443"/>
      <c r="AV1104" s="443"/>
      <c r="AW1104" s="443"/>
      <c r="AX1104" s="443"/>
      <c r="AY1104" s="443"/>
      <c r="AZ1104" s="443"/>
      <c r="BA1104" s="443"/>
      <c r="BB1104" s="443"/>
      <c r="BC1104" s="443"/>
      <c r="BD1104" s="443"/>
      <c r="BE1104" s="443"/>
    </row>
    <row r="1105">
      <c r="A1105" s="445" t="str">
        <f t="shared" si="5"/>
        <v/>
      </c>
      <c r="B1105" s="443"/>
      <c r="C1105" s="443"/>
      <c r="D1105" s="462"/>
      <c r="E1105" s="436" t="str">
        <f t="array" ref="E1105">IF(B1105=0,"",(J1105+K1105)/60)</f>
        <v/>
      </c>
      <c r="F1105" s="437" t="str">
        <f t="shared" si="1"/>
        <v/>
      </c>
      <c r="G1105" s="438" t="str">
        <f t="shared" si="9"/>
        <v/>
      </c>
      <c r="H1105" s="438" t="str">
        <f t="shared" si="3"/>
        <v/>
      </c>
      <c r="I1105" s="436" t="str">
        <f t="shared" si="11"/>
        <v/>
      </c>
      <c r="J1105" s="464"/>
      <c r="K1105" s="464"/>
      <c r="L1105" s="443"/>
      <c r="M1105" s="443"/>
      <c r="N1105" s="443"/>
      <c r="O1105" s="443"/>
      <c r="P1105" s="443"/>
      <c r="Q1105" s="443"/>
      <c r="R1105" s="443"/>
      <c r="S1105" s="443"/>
      <c r="T1105" s="443"/>
      <c r="U1105" s="443"/>
      <c r="V1105" s="443"/>
      <c r="W1105" s="443"/>
      <c r="X1105" s="443"/>
      <c r="Y1105" s="443"/>
      <c r="Z1105" s="443"/>
      <c r="AA1105" s="443"/>
      <c r="AB1105" s="443"/>
      <c r="AC1105" s="443"/>
      <c r="AD1105" s="443"/>
      <c r="AE1105" s="443"/>
      <c r="AF1105" s="443"/>
      <c r="AG1105" s="443" t="s">
        <v>289</v>
      </c>
      <c r="AH1105" s="443" t="s">
        <v>289</v>
      </c>
      <c r="AI1105" s="443"/>
      <c r="AJ1105" s="443"/>
      <c r="AK1105" s="443"/>
      <c r="AL1105" s="443"/>
      <c r="AM1105" s="443"/>
      <c r="AN1105" s="443"/>
      <c r="AO1105" s="443"/>
      <c r="AP1105" s="443"/>
      <c r="AQ1105" s="443"/>
      <c r="AR1105" s="443"/>
      <c r="AS1105" s="443"/>
      <c r="AT1105" s="443"/>
      <c r="AU1105" s="443"/>
      <c r="AV1105" s="443"/>
      <c r="AW1105" s="443"/>
      <c r="AX1105" s="443"/>
      <c r="AY1105" s="443"/>
      <c r="AZ1105" s="443"/>
      <c r="BA1105" s="443"/>
      <c r="BB1105" s="443"/>
      <c r="BC1105" s="443"/>
      <c r="BD1105" s="443"/>
      <c r="BE1105" s="443"/>
    </row>
    <row r="1106">
      <c r="A1106" s="445" t="str">
        <f t="shared" si="5"/>
        <v/>
      </c>
      <c r="B1106" s="443"/>
      <c r="C1106" s="443"/>
      <c r="D1106" s="462"/>
      <c r="E1106" s="436" t="str">
        <f t="array" ref="E1106">IF(B1106=0,"",(J1106+K1106)/60)</f>
        <v/>
      </c>
      <c r="F1106" s="437" t="str">
        <f t="shared" si="1"/>
        <v/>
      </c>
      <c r="G1106" s="438" t="str">
        <f t="shared" si="9"/>
        <v/>
      </c>
      <c r="H1106" s="438" t="str">
        <f t="shared" si="3"/>
        <v/>
      </c>
      <c r="I1106" s="436" t="str">
        <f t="shared" si="11"/>
        <v/>
      </c>
      <c r="J1106" s="464"/>
      <c r="K1106" s="464"/>
      <c r="L1106" s="443"/>
      <c r="M1106" s="443"/>
      <c r="N1106" s="443"/>
      <c r="O1106" s="443"/>
      <c r="P1106" s="443"/>
      <c r="Q1106" s="443"/>
      <c r="R1106" s="443"/>
      <c r="S1106" s="443"/>
      <c r="T1106" s="443"/>
      <c r="U1106" s="443"/>
      <c r="V1106" s="443"/>
      <c r="W1106" s="443"/>
      <c r="X1106" s="443"/>
      <c r="Y1106" s="443"/>
      <c r="Z1106" s="443"/>
      <c r="AA1106" s="443"/>
      <c r="AB1106" s="443"/>
      <c r="AC1106" s="443"/>
      <c r="AD1106" s="443"/>
      <c r="AE1106" s="443"/>
      <c r="AF1106" s="443"/>
      <c r="AG1106" s="443" t="s">
        <v>289</v>
      </c>
      <c r="AH1106" s="443" t="s">
        <v>289</v>
      </c>
      <c r="AI1106" s="443"/>
      <c r="AJ1106" s="443"/>
      <c r="AK1106" s="443"/>
      <c r="AL1106" s="443"/>
      <c r="AM1106" s="443"/>
      <c r="AN1106" s="443"/>
      <c r="AO1106" s="443"/>
      <c r="AP1106" s="443"/>
      <c r="AQ1106" s="443"/>
      <c r="AR1106" s="443"/>
      <c r="AS1106" s="443"/>
      <c r="AT1106" s="443"/>
      <c r="AU1106" s="443"/>
      <c r="AV1106" s="443"/>
      <c r="AW1106" s="443"/>
      <c r="AX1106" s="443"/>
      <c r="AY1106" s="443"/>
      <c r="AZ1106" s="443"/>
      <c r="BA1106" s="443"/>
      <c r="BB1106" s="443"/>
      <c r="BC1106" s="443"/>
      <c r="BD1106" s="443"/>
      <c r="BE1106" s="443"/>
    </row>
    <row r="1107">
      <c r="A1107" s="445" t="str">
        <f t="shared" si="5"/>
        <v/>
      </c>
      <c r="B1107" s="443"/>
      <c r="C1107" s="443"/>
      <c r="D1107" s="462"/>
      <c r="E1107" s="436" t="str">
        <f t="array" ref="E1107">IF(B1107=0,"",(J1107+K1107)/60)</f>
        <v/>
      </c>
      <c r="F1107" s="437" t="str">
        <f t="shared" si="1"/>
        <v/>
      </c>
      <c r="G1107" s="438" t="str">
        <f t="shared" si="9"/>
        <v/>
      </c>
      <c r="H1107" s="438" t="str">
        <f t="shared" si="3"/>
        <v/>
      </c>
      <c r="I1107" s="436" t="str">
        <f t="shared" si="11"/>
        <v/>
      </c>
      <c r="J1107" s="464"/>
      <c r="K1107" s="464"/>
      <c r="L1107" s="443"/>
      <c r="M1107" s="443"/>
      <c r="N1107" s="443"/>
      <c r="O1107" s="443"/>
      <c r="P1107" s="443"/>
      <c r="Q1107" s="443"/>
      <c r="R1107" s="443"/>
      <c r="S1107" s="443"/>
      <c r="T1107" s="443"/>
      <c r="U1107" s="443"/>
      <c r="V1107" s="443"/>
      <c r="W1107" s="443"/>
      <c r="X1107" s="443"/>
      <c r="Y1107" s="443"/>
      <c r="Z1107" s="443"/>
      <c r="AA1107" s="443"/>
      <c r="AB1107" s="443"/>
      <c r="AC1107" s="443"/>
      <c r="AD1107" s="443"/>
      <c r="AE1107" s="443"/>
      <c r="AF1107" s="443"/>
      <c r="AG1107" s="443" t="s">
        <v>289</v>
      </c>
      <c r="AH1107" s="443" t="s">
        <v>289</v>
      </c>
      <c r="AI1107" s="443"/>
      <c r="AJ1107" s="443"/>
      <c r="AK1107" s="443"/>
      <c r="AL1107" s="443"/>
      <c r="AM1107" s="443"/>
      <c r="AN1107" s="443"/>
      <c r="AO1107" s="443"/>
      <c r="AP1107" s="443"/>
      <c r="AQ1107" s="443"/>
      <c r="AR1107" s="443"/>
      <c r="AS1107" s="443"/>
      <c r="AT1107" s="443"/>
      <c r="AU1107" s="443"/>
      <c r="AV1107" s="443"/>
      <c r="AW1107" s="443"/>
      <c r="AX1107" s="443"/>
      <c r="AY1107" s="443"/>
      <c r="AZ1107" s="443"/>
      <c r="BA1107" s="443"/>
      <c r="BB1107" s="443"/>
      <c r="BC1107" s="443"/>
      <c r="BD1107" s="443"/>
      <c r="BE1107" s="443"/>
    </row>
    <row r="1108">
      <c r="A1108" s="445" t="str">
        <f t="shared" si="5"/>
        <v/>
      </c>
      <c r="B1108" s="443"/>
      <c r="C1108" s="443"/>
      <c r="D1108" s="462"/>
      <c r="E1108" s="436" t="str">
        <f t="array" ref="E1108">IF(B1108=0,"",(J1108+K1108)/60)</f>
        <v/>
      </c>
      <c r="F1108" s="437" t="str">
        <f t="shared" si="1"/>
        <v/>
      </c>
      <c r="G1108" s="438" t="str">
        <f t="shared" si="9"/>
        <v/>
      </c>
      <c r="H1108" s="438" t="str">
        <f t="shared" si="3"/>
        <v/>
      </c>
      <c r="I1108" s="436" t="str">
        <f t="shared" si="11"/>
        <v/>
      </c>
      <c r="J1108" s="464"/>
      <c r="K1108" s="464"/>
      <c r="L1108" s="443"/>
      <c r="M1108" s="443"/>
      <c r="N1108" s="443"/>
      <c r="O1108" s="443"/>
      <c r="P1108" s="443"/>
      <c r="Q1108" s="443"/>
      <c r="R1108" s="443"/>
      <c r="S1108" s="443"/>
      <c r="T1108" s="443"/>
      <c r="U1108" s="443"/>
      <c r="V1108" s="443"/>
      <c r="W1108" s="443"/>
      <c r="X1108" s="443"/>
      <c r="Y1108" s="443"/>
      <c r="Z1108" s="443"/>
      <c r="AA1108" s="443"/>
      <c r="AB1108" s="443"/>
      <c r="AC1108" s="443"/>
      <c r="AD1108" s="443"/>
      <c r="AE1108" s="443"/>
      <c r="AF1108" s="443"/>
      <c r="AG1108" s="443" t="s">
        <v>289</v>
      </c>
      <c r="AH1108" s="443" t="s">
        <v>289</v>
      </c>
      <c r="AI1108" s="443"/>
      <c r="AJ1108" s="443"/>
      <c r="AK1108" s="443"/>
      <c r="AL1108" s="443"/>
      <c r="AM1108" s="443"/>
      <c r="AN1108" s="443"/>
      <c r="AO1108" s="443"/>
      <c r="AP1108" s="443"/>
      <c r="AQ1108" s="443"/>
      <c r="AR1108" s="443"/>
      <c r="AS1108" s="443"/>
      <c r="AT1108" s="443"/>
      <c r="AU1108" s="443"/>
      <c r="AV1108" s="443"/>
      <c r="AW1108" s="443"/>
      <c r="AX1108" s="443"/>
      <c r="AY1108" s="443"/>
      <c r="AZ1108" s="443"/>
      <c r="BA1108" s="443"/>
      <c r="BB1108" s="443"/>
      <c r="BC1108" s="443"/>
      <c r="BD1108" s="443"/>
      <c r="BE1108" s="443"/>
    </row>
    <row r="1109">
      <c r="A1109" s="445" t="str">
        <f t="shared" si="5"/>
        <v/>
      </c>
      <c r="B1109" s="443"/>
      <c r="C1109" s="443"/>
      <c r="D1109" s="462"/>
      <c r="E1109" s="436" t="str">
        <f t="array" ref="E1109">IF(B1109=0,"",(J1109+K1109)/60)</f>
        <v/>
      </c>
      <c r="F1109" s="437" t="str">
        <f t="shared" si="1"/>
        <v/>
      </c>
      <c r="G1109" s="438" t="str">
        <f t="shared" si="9"/>
        <v/>
      </c>
      <c r="H1109" s="438" t="str">
        <f t="shared" si="3"/>
        <v/>
      </c>
      <c r="I1109" s="436" t="str">
        <f t="shared" si="11"/>
        <v/>
      </c>
      <c r="J1109" s="464"/>
      <c r="K1109" s="464"/>
      <c r="L1109" s="443"/>
      <c r="M1109" s="443"/>
      <c r="N1109" s="443"/>
      <c r="O1109" s="443"/>
      <c r="P1109" s="443"/>
      <c r="Q1109" s="443"/>
      <c r="R1109" s="443"/>
      <c r="S1109" s="443"/>
      <c r="T1109" s="443"/>
      <c r="U1109" s="443"/>
      <c r="V1109" s="443"/>
      <c r="W1109" s="443"/>
      <c r="X1109" s="443"/>
      <c r="Y1109" s="443"/>
      <c r="Z1109" s="443"/>
      <c r="AA1109" s="443"/>
      <c r="AB1109" s="443"/>
      <c r="AC1109" s="443"/>
      <c r="AD1109" s="443"/>
      <c r="AE1109" s="443"/>
      <c r="AF1109" s="443"/>
      <c r="AG1109" s="443" t="s">
        <v>289</v>
      </c>
      <c r="AH1109" s="443" t="s">
        <v>289</v>
      </c>
      <c r="AI1109" s="443"/>
      <c r="AJ1109" s="443"/>
      <c r="AK1109" s="443"/>
      <c r="AL1109" s="443"/>
      <c r="AM1109" s="443"/>
      <c r="AN1109" s="443"/>
      <c r="AO1109" s="443"/>
      <c r="AP1109" s="443"/>
      <c r="AQ1109" s="443"/>
      <c r="AR1109" s="443"/>
      <c r="AS1109" s="443"/>
      <c r="AT1109" s="443"/>
      <c r="AU1109" s="443"/>
      <c r="AV1109" s="443"/>
      <c r="AW1109" s="443"/>
      <c r="AX1109" s="443"/>
      <c r="AY1109" s="443"/>
      <c r="AZ1109" s="443"/>
      <c r="BA1109" s="443"/>
      <c r="BB1109" s="443"/>
      <c r="BC1109" s="443"/>
      <c r="BD1109" s="443"/>
      <c r="BE1109" s="443"/>
    </row>
    <row r="1110">
      <c r="A1110" s="445" t="str">
        <f t="shared" si="5"/>
        <v/>
      </c>
      <c r="B1110" s="443"/>
      <c r="C1110" s="443"/>
      <c r="D1110" s="462"/>
      <c r="E1110" s="436" t="str">
        <f t="array" ref="E1110">IF(B1110=0,"",(J1110+K1110)/60)</f>
        <v/>
      </c>
      <c r="F1110" s="437" t="str">
        <f t="shared" si="1"/>
        <v/>
      </c>
      <c r="G1110" s="438" t="str">
        <f t="shared" si="9"/>
        <v/>
      </c>
      <c r="H1110" s="438" t="str">
        <f t="shared" si="3"/>
        <v/>
      </c>
      <c r="I1110" s="436" t="str">
        <f t="shared" si="11"/>
        <v/>
      </c>
      <c r="J1110" s="464"/>
      <c r="K1110" s="464"/>
      <c r="L1110" s="443"/>
      <c r="M1110" s="443"/>
      <c r="N1110" s="443"/>
      <c r="O1110" s="443"/>
      <c r="P1110" s="443"/>
      <c r="Q1110" s="443"/>
      <c r="R1110" s="443"/>
      <c r="S1110" s="443"/>
      <c r="T1110" s="443"/>
      <c r="U1110" s="443"/>
      <c r="V1110" s="443"/>
      <c r="W1110" s="443"/>
      <c r="X1110" s="443"/>
      <c r="Y1110" s="443"/>
      <c r="Z1110" s="443"/>
      <c r="AA1110" s="443"/>
      <c r="AB1110" s="443"/>
      <c r="AC1110" s="443"/>
      <c r="AD1110" s="443"/>
      <c r="AE1110" s="443"/>
      <c r="AF1110" s="443"/>
      <c r="AG1110" s="443" t="s">
        <v>289</v>
      </c>
      <c r="AH1110" s="443" t="s">
        <v>289</v>
      </c>
      <c r="AI1110" s="443"/>
      <c r="AJ1110" s="443"/>
      <c r="AK1110" s="443"/>
      <c r="AL1110" s="443"/>
      <c r="AM1110" s="443"/>
      <c r="AN1110" s="443"/>
      <c r="AO1110" s="443"/>
      <c r="AP1110" s="443"/>
      <c r="AQ1110" s="443"/>
      <c r="AR1110" s="443"/>
      <c r="AS1110" s="443"/>
      <c r="AT1110" s="443"/>
      <c r="AU1110" s="443"/>
      <c r="AV1110" s="443"/>
      <c r="AW1110" s="443"/>
      <c r="AX1110" s="443"/>
      <c r="AY1110" s="443"/>
      <c r="AZ1110" s="443"/>
      <c r="BA1110" s="443"/>
      <c r="BB1110" s="443"/>
      <c r="BC1110" s="443"/>
      <c r="BD1110" s="443"/>
      <c r="BE1110" s="443"/>
    </row>
    <row r="1111">
      <c r="A1111" s="445" t="str">
        <f t="shared" si="5"/>
        <v/>
      </c>
      <c r="B1111" s="443"/>
      <c r="C1111" s="443"/>
      <c r="D1111" s="462"/>
      <c r="E1111" s="436" t="str">
        <f t="array" ref="E1111">IF(B1111=0,"",(J1111+K1111)/60)</f>
        <v/>
      </c>
      <c r="F1111" s="437" t="str">
        <f t="shared" si="1"/>
        <v/>
      </c>
      <c r="G1111" s="438" t="str">
        <f t="shared" si="9"/>
        <v/>
      </c>
      <c r="H1111" s="438" t="str">
        <f t="shared" si="3"/>
        <v/>
      </c>
      <c r="I1111" s="436" t="str">
        <f t="shared" si="11"/>
        <v/>
      </c>
      <c r="J1111" s="464"/>
      <c r="K1111" s="464"/>
      <c r="L1111" s="443"/>
      <c r="M1111" s="443"/>
      <c r="N1111" s="443"/>
      <c r="O1111" s="443"/>
      <c r="P1111" s="443"/>
      <c r="Q1111" s="443"/>
      <c r="R1111" s="443"/>
      <c r="S1111" s="443"/>
      <c r="T1111" s="443"/>
      <c r="U1111" s="443"/>
      <c r="V1111" s="443"/>
      <c r="W1111" s="443"/>
      <c r="X1111" s="443"/>
      <c r="Y1111" s="443"/>
      <c r="Z1111" s="443"/>
      <c r="AA1111" s="443"/>
      <c r="AB1111" s="443"/>
      <c r="AC1111" s="443"/>
      <c r="AD1111" s="443"/>
      <c r="AE1111" s="443"/>
      <c r="AF1111" s="443"/>
      <c r="AG1111" s="443" t="s">
        <v>289</v>
      </c>
      <c r="AH1111" s="443" t="s">
        <v>289</v>
      </c>
      <c r="AI1111" s="443"/>
      <c r="AJ1111" s="443"/>
      <c r="AK1111" s="443"/>
      <c r="AL1111" s="443"/>
      <c r="AM1111" s="443"/>
      <c r="AN1111" s="443"/>
      <c r="AO1111" s="443"/>
      <c r="AP1111" s="443"/>
      <c r="AQ1111" s="443"/>
      <c r="AR1111" s="443"/>
      <c r="AS1111" s="443"/>
      <c r="AT1111" s="443"/>
      <c r="AU1111" s="443"/>
      <c r="AV1111" s="443"/>
      <c r="AW1111" s="443"/>
      <c r="AX1111" s="443"/>
      <c r="AY1111" s="443"/>
      <c r="AZ1111" s="443"/>
      <c r="BA1111" s="443"/>
      <c r="BB1111" s="443"/>
      <c r="BC1111" s="443"/>
      <c r="BD1111" s="443"/>
      <c r="BE1111" s="443"/>
    </row>
    <row r="1112">
      <c r="A1112" s="445" t="str">
        <f t="shared" si="5"/>
        <v/>
      </c>
      <c r="B1112" s="443"/>
      <c r="C1112" s="443"/>
      <c r="D1112" s="462"/>
      <c r="E1112" s="436" t="str">
        <f t="array" ref="E1112">IF(B1112=0,"",(J1112+K1112)/60)</f>
        <v/>
      </c>
      <c r="F1112" s="437" t="str">
        <f t="shared" si="1"/>
        <v/>
      </c>
      <c r="G1112" s="438" t="str">
        <f t="shared" si="9"/>
        <v/>
      </c>
      <c r="H1112" s="438" t="str">
        <f t="shared" si="3"/>
        <v/>
      </c>
      <c r="I1112" s="436" t="str">
        <f t="shared" si="11"/>
        <v/>
      </c>
      <c r="J1112" s="464"/>
      <c r="K1112" s="464"/>
      <c r="L1112" s="443"/>
      <c r="M1112" s="443"/>
      <c r="N1112" s="443"/>
      <c r="O1112" s="443"/>
      <c r="P1112" s="443"/>
      <c r="Q1112" s="443"/>
      <c r="R1112" s="443"/>
      <c r="S1112" s="443"/>
      <c r="T1112" s="443"/>
      <c r="U1112" s="443"/>
      <c r="V1112" s="443"/>
      <c r="W1112" s="443"/>
      <c r="X1112" s="443"/>
      <c r="Y1112" s="443"/>
      <c r="Z1112" s="443"/>
      <c r="AA1112" s="443"/>
      <c r="AB1112" s="443"/>
      <c r="AC1112" s="443"/>
      <c r="AD1112" s="443"/>
      <c r="AE1112" s="443"/>
      <c r="AF1112" s="443"/>
      <c r="AG1112" s="443" t="s">
        <v>289</v>
      </c>
      <c r="AH1112" s="443" t="s">
        <v>289</v>
      </c>
      <c r="AI1112" s="443"/>
      <c r="AJ1112" s="443"/>
      <c r="AK1112" s="443"/>
      <c r="AL1112" s="443"/>
      <c r="AM1112" s="443"/>
      <c r="AN1112" s="443"/>
      <c r="AO1112" s="443"/>
      <c r="AP1112" s="443"/>
      <c r="AQ1112" s="443"/>
      <c r="AR1112" s="443"/>
      <c r="AS1112" s="443"/>
      <c r="AT1112" s="443"/>
      <c r="AU1112" s="443"/>
      <c r="AV1112" s="443"/>
      <c r="AW1112" s="443"/>
      <c r="AX1112" s="443"/>
      <c r="AY1112" s="443"/>
      <c r="AZ1112" s="443"/>
      <c r="BA1112" s="443"/>
      <c r="BB1112" s="443"/>
      <c r="BC1112" s="443"/>
      <c r="BD1112" s="443"/>
      <c r="BE1112" s="443"/>
    </row>
    <row r="1113">
      <c r="A1113" s="445" t="str">
        <f t="shared" si="5"/>
        <v/>
      </c>
      <c r="B1113" s="443"/>
      <c r="C1113" s="443"/>
      <c r="D1113" s="462"/>
      <c r="E1113" s="436" t="str">
        <f t="array" ref="E1113">IF(B1113=0,"",(J1113+K1113)/60)</f>
        <v/>
      </c>
      <c r="F1113" s="437" t="str">
        <f t="shared" si="1"/>
        <v/>
      </c>
      <c r="G1113" s="438" t="str">
        <f t="shared" si="9"/>
        <v/>
      </c>
      <c r="H1113" s="438" t="str">
        <f t="shared" si="3"/>
        <v/>
      </c>
      <c r="I1113" s="436" t="str">
        <f t="shared" si="11"/>
        <v/>
      </c>
      <c r="J1113" s="464"/>
      <c r="K1113" s="464"/>
      <c r="L1113" s="443"/>
      <c r="M1113" s="443"/>
      <c r="N1113" s="443"/>
      <c r="O1113" s="443"/>
      <c r="P1113" s="443"/>
      <c r="Q1113" s="443"/>
      <c r="R1113" s="443"/>
      <c r="S1113" s="443"/>
      <c r="T1113" s="443"/>
      <c r="U1113" s="443"/>
      <c r="V1113" s="443"/>
      <c r="W1113" s="443"/>
      <c r="X1113" s="443"/>
      <c r="Y1113" s="443"/>
      <c r="Z1113" s="443"/>
      <c r="AA1113" s="443"/>
      <c r="AB1113" s="443"/>
      <c r="AC1113" s="443"/>
      <c r="AD1113" s="443"/>
      <c r="AE1113" s="443"/>
      <c r="AF1113" s="443"/>
      <c r="AG1113" s="443" t="s">
        <v>289</v>
      </c>
      <c r="AH1113" s="443" t="s">
        <v>289</v>
      </c>
      <c r="AI1113" s="443"/>
      <c r="AJ1113" s="443"/>
      <c r="AK1113" s="443"/>
      <c r="AL1113" s="443"/>
      <c r="AM1113" s="443"/>
      <c r="AN1113" s="443"/>
      <c r="AO1113" s="443"/>
      <c r="AP1113" s="443"/>
      <c r="AQ1113" s="443"/>
      <c r="AR1113" s="443"/>
      <c r="AS1113" s="443"/>
      <c r="AT1113" s="443"/>
      <c r="AU1113" s="443"/>
      <c r="AV1113" s="443"/>
      <c r="AW1113" s="443"/>
      <c r="AX1113" s="443"/>
      <c r="AY1113" s="443"/>
      <c r="AZ1113" s="443"/>
      <c r="BA1113" s="443"/>
      <c r="BB1113" s="443"/>
      <c r="BC1113" s="443"/>
      <c r="BD1113" s="443"/>
      <c r="BE1113" s="443"/>
    </row>
    <row r="1114">
      <c r="A1114" s="445" t="str">
        <f t="shared" si="5"/>
        <v/>
      </c>
      <c r="B1114" s="443"/>
      <c r="C1114" s="443"/>
      <c r="D1114" s="462"/>
      <c r="E1114" s="436" t="str">
        <f t="array" ref="E1114">IF(B1114=0,"",(J1114+K1114)/60)</f>
        <v/>
      </c>
      <c r="F1114" s="437" t="str">
        <f t="shared" si="1"/>
        <v/>
      </c>
      <c r="G1114" s="438" t="str">
        <f t="shared" si="9"/>
        <v/>
      </c>
      <c r="H1114" s="438" t="str">
        <f t="shared" si="3"/>
        <v/>
      </c>
      <c r="I1114" s="436" t="str">
        <f t="shared" si="11"/>
        <v/>
      </c>
      <c r="J1114" s="464"/>
      <c r="K1114" s="464"/>
      <c r="L1114" s="443"/>
      <c r="M1114" s="443"/>
      <c r="N1114" s="443"/>
      <c r="O1114" s="443"/>
      <c r="P1114" s="443"/>
      <c r="Q1114" s="443"/>
      <c r="R1114" s="443"/>
      <c r="S1114" s="443"/>
      <c r="T1114" s="443"/>
      <c r="U1114" s="443"/>
      <c r="V1114" s="443"/>
      <c r="W1114" s="443"/>
      <c r="X1114" s="443"/>
      <c r="Y1114" s="443"/>
      <c r="Z1114" s="443"/>
      <c r="AA1114" s="443"/>
      <c r="AB1114" s="443"/>
      <c r="AC1114" s="443"/>
      <c r="AD1114" s="443"/>
      <c r="AE1114" s="443"/>
      <c r="AF1114" s="443"/>
      <c r="AG1114" s="443" t="s">
        <v>289</v>
      </c>
      <c r="AH1114" s="443" t="s">
        <v>289</v>
      </c>
      <c r="AI1114" s="443"/>
      <c r="AJ1114" s="443"/>
      <c r="AK1114" s="443"/>
      <c r="AL1114" s="443"/>
      <c r="AM1114" s="443"/>
      <c r="AN1114" s="443"/>
      <c r="AO1114" s="443"/>
      <c r="AP1114" s="443"/>
      <c r="AQ1114" s="443"/>
      <c r="AR1114" s="443"/>
      <c r="AS1114" s="443"/>
      <c r="AT1114" s="443"/>
      <c r="AU1114" s="443"/>
      <c r="AV1114" s="443"/>
      <c r="AW1114" s="443"/>
      <c r="AX1114" s="443"/>
      <c r="AY1114" s="443"/>
      <c r="AZ1114" s="443"/>
      <c r="BA1114" s="443"/>
      <c r="BB1114" s="443"/>
      <c r="BC1114" s="443"/>
      <c r="BD1114" s="443"/>
      <c r="BE1114" s="443"/>
    </row>
    <row r="1115">
      <c r="A1115" s="445" t="str">
        <f t="shared" si="5"/>
        <v/>
      </c>
      <c r="B1115" s="443"/>
      <c r="C1115" s="443"/>
      <c r="D1115" s="462"/>
      <c r="E1115" s="436" t="str">
        <f t="array" ref="E1115">IF(B1115=0,"",(J1115+K1115)/60)</f>
        <v/>
      </c>
      <c r="F1115" s="437" t="str">
        <f t="shared" si="1"/>
        <v/>
      </c>
      <c r="G1115" s="438" t="str">
        <f t="shared" si="9"/>
        <v/>
      </c>
      <c r="H1115" s="438" t="str">
        <f t="shared" si="3"/>
        <v/>
      </c>
      <c r="I1115" s="436" t="str">
        <f t="shared" si="11"/>
        <v/>
      </c>
      <c r="J1115" s="464"/>
      <c r="K1115" s="464"/>
      <c r="L1115" s="443"/>
      <c r="M1115" s="443"/>
      <c r="N1115" s="443"/>
      <c r="O1115" s="443"/>
      <c r="P1115" s="443"/>
      <c r="Q1115" s="443"/>
      <c r="R1115" s="443"/>
      <c r="S1115" s="443"/>
      <c r="T1115" s="443"/>
      <c r="U1115" s="443"/>
      <c r="V1115" s="443"/>
      <c r="W1115" s="443"/>
      <c r="X1115" s="443"/>
      <c r="Y1115" s="443"/>
      <c r="Z1115" s="443"/>
      <c r="AA1115" s="443"/>
      <c r="AB1115" s="443"/>
      <c r="AC1115" s="443"/>
      <c r="AD1115" s="443"/>
      <c r="AE1115" s="443"/>
      <c r="AF1115" s="443"/>
      <c r="AG1115" s="443" t="s">
        <v>289</v>
      </c>
      <c r="AH1115" s="443" t="s">
        <v>289</v>
      </c>
      <c r="AI1115" s="443"/>
      <c r="AJ1115" s="443"/>
      <c r="AK1115" s="443"/>
      <c r="AL1115" s="443"/>
      <c r="AM1115" s="443"/>
      <c r="AN1115" s="443"/>
      <c r="AO1115" s="443"/>
      <c r="AP1115" s="443"/>
      <c r="AQ1115" s="443"/>
      <c r="AR1115" s="443"/>
      <c r="AS1115" s="443"/>
      <c r="AT1115" s="443"/>
      <c r="AU1115" s="443"/>
      <c r="AV1115" s="443"/>
      <c r="AW1115" s="443"/>
      <c r="AX1115" s="443"/>
      <c r="AY1115" s="443"/>
      <c r="AZ1115" s="443"/>
      <c r="BA1115" s="443"/>
      <c r="BB1115" s="443"/>
      <c r="BC1115" s="443"/>
      <c r="BD1115" s="443"/>
      <c r="BE1115" s="443"/>
    </row>
    <row r="1116">
      <c r="A1116" s="445" t="str">
        <f t="shared" si="5"/>
        <v/>
      </c>
      <c r="B1116" s="443"/>
      <c r="C1116" s="443"/>
      <c r="D1116" s="462"/>
      <c r="E1116" s="436" t="str">
        <f t="array" ref="E1116">IF(B1116=0,"",(J1116+K1116)/60)</f>
        <v/>
      </c>
      <c r="F1116" s="437" t="str">
        <f t="shared" si="1"/>
        <v/>
      </c>
      <c r="G1116" s="438" t="str">
        <f t="shared" si="9"/>
        <v/>
      </c>
      <c r="H1116" s="438" t="str">
        <f t="shared" si="3"/>
        <v/>
      </c>
      <c r="I1116" s="436" t="str">
        <f t="shared" si="11"/>
        <v/>
      </c>
      <c r="J1116" s="464"/>
      <c r="K1116" s="464"/>
      <c r="L1116" s="443"/>
      <c r="M1116" s="443"/>
      <c r="N1116" s="443"/>
      <c r="O1116" s="443"/>
      <c r="P1116" s="443"/>
      <c r="Q1116" s="443"/>
      <c r="R1116" s="443"/>
      <c r="S1116" s="443"/>
      <c r="T1116" s="443"/>
      <c r="U1116" s="443"/>
      <c r="V1116" s="443"/>
      <c r="W1116" s="443"/>
      <c r="X1116" s="443"/>
      <c r="Y1116" s="443"/>
      <c r="Z1116" s="443"/>
      <c r="AA1116" s="443"/>
      <c r="AB1116" s="443"/>
      <c r="AC1116" s="443"/>
      <c r="AD1116" s="443"/>
      <c r="AE1116" s="443"/>
      <c r="AF1116" s="443"/>
      <c r="AG1116" s="443" t="s">
        <v>289</v>
      </c>
      <c r="AH1116" s="443" t="s">
        <v>289</v>
      </c>
      <c r="AI1116" s="443"/>
      <c r="AJ1116" s="443"/>
      <c r="AK1116" s="443"/>
      <c r="AL1116" s="443"/>
      <c r="AM1116" s="443"/>
      <c r="AN1116" s="443"/>
      <c r="AO1116" s="443"/>
      <c r="AP1116" s="443"/>
      <c r="AQ1116" s="443"/>
      <c r="AR1116" s="443"/>
      <c r="AS1116" s="443"/>
      <c r="AT1116" s="443"/>
      <c r="AU1116" s="443"/>
      <c r="AV1116" s="443"/>
      <c r="AW1116" s="443"/>
      <c r="AX1116" s="443"/>
      <c r="AY1116" s="443"/>
      <c r="AZ1116" s="443"/>
      <c r="BA1116" s="443"/>
      <c r="BB1116" s="443"/>
      <c r="BC1116" s="443"/>
      <c r="BD1116" s="443"/>
      <c r="BE1116" s="443"/>
    </row>
    <row r="1117">
      <c r="A1117" s="445" t="str">
        <f t="shared" si="5"/>
        <v/>
      </c>
      <c r="B1117" s="443"/>
      <c r="C1117" s="443"/>
      <c r="D1117" s="462"/>
      <c r="E1117" s="436" t="str">
        <f t="array" ref="E1117">IF(B1117=0,"",(J1117+K1117)/60)</f>
        <v/>
      </c>
      <c r="F1117" s="437" t="str">
        <f t="shared" si="1"/>
        <v/>
      </c>
      <c r="G1117" s="438" t="str">
        <f t="shared" si="9"/>
        <v/>
      </c>
      <c r="H1117" s="438" t="str">
        <f t="shared" si="3"/>
        <v/>
      </c>
      <c r="I1117" s="436" t="str">
        <f t="shared" si="11"/>
        <v/>
      </c>
      <c r="J1117" s="464"/>
      <c r="K1117" s="464"/>
      <c r="L1117" s="443"/>
      <c r="M1117" s="443"/>
      <c r="N1117" s="443"/>
      <c r="O1117" s="443"/>
      <c r="P1117" s="443"/>
      <c r="Q1117" s="443"/>
      <c r="R1117" s="443"/>
      <c r="S1117" s="443"/>
      <c r="T1117" s="443"/>
      <c r="U1117" s="443"/>
      <c r="V1117" s="443"/>
      <c r="W1117" s="443"/>
      <c r="X1117" s="443"/>
      <c r="Y1117" s="443"/>
      <c r="Z1117" s="443"/>
      <c r="AA1117" s="443"/>
      <c r="AB1117" s="443"/>
      <c r="AC1117" s="443"/>
      <c r="AD1117" s="443"/>
      <c r="AE1117" s="443"/>
      <c r="AF1117" s="443"/>
      <c r="AG1117" s="443" t="s">
        <v>289</v>
      </c>
      <c r="AH1117" s="443" t="s">
        <v>289</v>
      </c>
      <c r="AI1117" s="443"/>
      <c r="AJ1117" s="443"/>
      <c r="AK1117" s="443"/>
      <c r="AL1117" s="443"/>
      <c r="AM1117" s="443"/>
      <c r="AN1117" s="443"/>
      <c r="AO1117" s="443"/>
      <c r="AP1117" s="443"/>
      <c r="AQ1117" s="443"/>
      <c r="AR1117" s="443"/>
      <c r="AS1117" s="443"/>
      <c r="AT1117" s="443"/>
      <c r="AU1117" s="443"/>
      <c r="AV1117" s="443"/>
      <c r="AW1117" s="443"/>
      <c r="AX1117" s="443"/>
      <c r="AY1117" s="443"/>
      <c r="AZ1117" s="443"/>
      <c r="BA1117" s="443"/>
      <c r="BB1117" s="443"/>
      <c r="BC1117" s="443"/>
      <c r="BD1117" s="443"/>
      <c r="BE1117" s="443"/>
    </row>
    <row r="1118">
      <c r="A1118" s="445" t="str">
        <f t="shared" si="5"/>
        <v/>
      </c>
      <c r="B1118" s="443"/>
      <c r="C1118" s="443"/>
      <c r="D1118" s="462"/>
      <c r="E1118" s="436" t="str">
        <f t="array" ref="E1118">IF(B1118=0,"",(J1118+K1118)/60)</f>
        <v/>
      </c>
      <c r="F1118" s="437" t="str">
        <f t="shared" si="1"/>
        <v/>
      </c>
      <c r="G1118" s="438" t="str">
        <f t="shared" si="9"/>
        <v/>
      </c>
      <c r="H1118" s="438" t="str">
        <f t="shared" si="3"/>
        <v/>
      </c>
      <c r="I1118" s="436" t="str">
        <f t="shared" si="11"/>
        <v/>
      </c>
      <c r="J1118" s="464"/>
      <c r="K1118" s="464"/>
      <c r="L1118" s="443"/>
      <c r="M1118" s="443"/>
      <c r="N1118" s="443"/>
      <c r="O1118" s="443"/>
      <c r="P1118" s="443"/>
      <c r="Q1118" s="443"/>
      <c r="R1118" s="443"/>
      <c r="S1118" s="443"/>
      <c r="T1118" s="443"/>
      <c r="U1118" s="443"/>
      <c r="V1118" s="443"/>
      <c r="W1118" s="443"/>
      <c r="X1118" s="443"/>
      <c r="Y1118" s="443"/>
      <c r="Z1118" s="443"/>
      <c r="AA1118" s="443"/>
      <c r="AB1118" s="443"/>
      <c r="AC1118" s="443"/>
      <c r="AD1118" s="443"/>
      <c r="AE1118" s="443"/>
      <c r="AF1118" s="443"/>
      <c r="AG1118" s="443" t="s">
        <v>289</v>
      </c>
      <c r="AH1118" s="443" t="s">
        <v>289</v>
      </c>
      <c r="AI1118" s="443"/>
      <c r="AJ1118" s="443"/>
      <c r="AK1118" s="443"/>
      <c r="AL1118" s="443"/>
      <c r="AM1118" s="443"/>
      <c r="AN1118" s="443"/>
      <c r="AO1118" s="443"/>
      <c r="AP1118" s="443"/>
      <c r="AQ1118" s="443"/>
      <c r="AR1118" s="443"/>
      <c r="AS1118" s="443"/>
      <c r="AT1118" s="443"/>
      <c r="AU1118" s="443"/>
      <c r="AV1118" s="443"/>
      <c r="AW1118" s="443"/>
      <c r="AX1118" s="443"/>
      <c r="AY1118" s="443"/>
      <c r="AZ1118" s="443"/>
      <c r="BA1118" s="443"/>
      <c r="BB1118" s="443"/>
      <c r="BC1118" s="443"/>
      <c r="BD1118" s="443"/>
      <c r="BE1118" s="443"/>
    </row>
    <row r="1119">
      <c r="A1119" s="445" t="str">
        <f t="shared" si="5"/>
        <v/>
      </c>
      <c r="B1119" s="443"/>
      <c r="C1119" s="443"/>
      <c r="D1119" s="462"/>
      <c r="E1119" s="436" t="str">
        <f t="array" ref="E1119">IF(B1119=0,"",(J1119+K1119)/60)</f>
        <v/>
      </c>
      <c r="F1119" s="437" t="str">
        <f t="shared" si="1"/>
        <v/>
      </c>
      <c r="G1119" s="438" t="str">
        <f t="shared" si="9"/>
        <v/>
      </c>
      <c r="H1119" s="438" t="str">
        <f t="shared" si="3"/>
        <v/>
      </c>
      <c r="I1119" s="436" t="str">
        <f t="shared" si="11"/>
        <v/>
      </c>
      <c r="J1119" s="464"/>
      <c r="K1119" s="464"/>
      <c r="L1119" s="443"/>
      <c r="M1119" s="443"/>
      <c r="N1119" s="443"/>
      <c r="O1119" s="443"/>
      <c r="P1119" s="443"/>
      <c r="Q1119" s="443"/>
      <c r="R1119" s="443"/>
      <c r="S1119" s="443"/>
      <c r="T1119" s="443"/>
      <c r="U1119" s="443"/>
      <c r="V1119" s="443"/>
      <c r="W1119" s="443"/>
      <c r="X1119" s="443"/>
      <c r="Y1119" s="443"/>
      <c r="Z1119" s="443"/>
      <c r="AA1119" s="443"/>
      <c r="AB1119" s="443"/>
      <c r="AC1119" s="443"/>
      <c r="AD1119" s="443"/>
      <c r="AE1119" s="443"/>
      <c r="AF1119" s="443"/>
      <c r="AG1119" s="443" t="s">
        <v>289</v>
      </c>
      <c r="AH1119" s="443" t="s">
        <v>289</v>
      </c>
      <c r="AI1119" s="443"/>
      <c r="AJ1119" s="443"/>
      <c r="AK1119" s="443"/>
      <c r="AL1119" s="443"/>
      <c r="AM1119" s="443"/>
      <c r="AN1119" s="443"/>
      <c r="AO1119" s="443"/>
      <c r="AP1119" s="443"/>
      <c r="AQ1119" s="443"/>
      <c r="AR1119" s="443"/>
      <c r="AS1119" s="443"/>
      <c r="AT1119" s="443"/>
      <c r="AU1119" s="443"/>
      <c r="AV1119" s="443"/>
      <c r="AW1119" s="443"/>
      <c r="AX1119" s="443"/>
      <c r="AY1119" s="443"/>
      <c r="AZ1119" s="443"/>
      <c r="BA1119" s="443"/>
      <c r="BB1119" s="443"/>
      <c r="BC1119" s="443"/>
      <c r="BD1119" s="443"/>
      <c r="BE1119" s="443"/>
    </row>
    <row r="1120">
      <c r="A1120" s="445" t="str">
        <f t="shared" si="5"/>
        <v/>
      </c>
      <c r="B1120" s="443"/>
      <c r="C1120" s="443"/>
      <c r="D1120" s="462"/>
      <c r="E1120" s="436" t="str">
        <f t="array" ref="E1120">IF(B1120=0,"",(J1120+K1120)/60)</f>
        <v/>
      </c>
      <c r="F1120" s="437" t="str">
        <f t="shared" si="1"/>
        <v/>
      </c>
      <c r="G1120" s="438" t="str">
        <f t="shared" si="9"/>
        <v/>
      </c>
      <c r="H1120" s="438" t="str">
        <f t="shared" si="3"/>
        <v/>
      </c>
      <c r="I1120" s="436" t="str">
        <f t="shared" si="11"/>
        <v/>
      </c>
      <c r="J1120" s="464"/>
      <c r="K1120" s="464"/>
      <c r="L1120" s="443"/>
      <c r="M1120" s="443"/>
      <c r="N1120" s="443"/>
      <c r="O1120" s="443"/>
      <c r="P1120" s="443"/>
      <c r="Q1120" s="443"/>
      <c r="R1120" s="443"/>
      <c r="S1120" s="443"/>
      <c r="T1120" s="443"/>
      <c r="U1120" s="443"/>
      <c r="V1120" s="443"/>
      <c r="W1120" s="443"/>
      <c r="X1120" s="443"/>
      <c r="Y1120" s="443"/>
      <c r="Z1120" s="443"/>
      <c r="AA1120" s="443"/>
      <c r="AB1120" s="443"/>
      <c r="AC1120" s="443"/>
      <c r="AD1120" s="443"/>
      <c r="AE1120" s="443"/>
      <c r="AF1120" s="443"/>
      <c r="AG1120" s="443" t="s">
        <v>289</v>
      </c>
      <c r="AH1120" s="443" t="s">
        <v>289</v>
      </c>
      <c r="AI1120" s="443"/>
      <c r="AJ1120" s="443"/>
      <c r="AK1120" s="443"/>
      <c r="AL1120" s="443"/>
      <c r="AM1120" s="443"/>
      <c r="AN1120" s="443"/>
      <c r="AO1120" s="443"/>
      <c r="AP1120" s="443"/>
      <c r="AQ1120" s="443"/>
      <c r="AR1120" s="443"/>
      <c r="AS1120" s="443"/>
      <c r="AT1120" s="443"/>
      <c r="AU1120" s="443"/>
      <c r="AV1120" s="443"/>
      <c r="AW1120" s="443"/>
      <c r="AX1120" s="443"/>
      <c r="AY1120" s="443"/>
      <c r="AZ1120" s="443"/>
      <c r="BA1120" s="443"/>
      <c r="BB1120" s="443"/>
      <c r="BC1120" s="443"/>
      <c r="BD1120" s="443"/>
      <c r="BE1120" s="443"/>
    </row>
    <row r="1121">
      <c r="A1121" s="445" t="str">
        <f t="shared" si="5"/>
        <v/>
      </c>
      <c r="B1121" s="443"/>
      <c r="C1121" s="443"/>
      <c r="D1121" s="462"/>
      <c r="E1121" s="436" t="str">
        <f t="array" ref="E1121">IF(B1121=0,"",(J1121+K1121)/60)</f>
        <v/>
      </c>
      <c r="F1121" s="437" t="str">
        <f t="shared" si="1"/>
        <v/>
      </c>
      <c r="G1121" s="438" t="str">
        <f t="shared" si="9"/>
        <v/>
      </c>
      <c r="H1121" s="438" t="str">
        <f t="shared" si="3"/>
        <v/>
      </c>
      <c r="I1121" s="436" t="str">
        <f t="shared" si="11"/>
        <v/>
      </c>
      <c r="J1121" s="464"/>
      <c r="K1121" s="464"/>
      <c r="L1121" s="443"/>
      <c r="M1121" s="443"/>
      <c r="N1121" s="443"/>
      <c r="O1121" s="443"/>
      <c r="P1121" s="443"/>
      <c r="Q1121" s="443"/>
      <c r="R1121" s="443"/>
      <c r="S1121" s="443"/>
      <c r="T1121" s="443"/>
      <c r="U1121" s="443"/>
      <c r="V1121" s="443"/>
      <c r="W1121" s="443"/>
      <c r="X1121" s="443"/>
      <c r="Y1121" s="443"/>
      <c r="Z1121" s="443"/>
      <c r="AA1121" s="443"/>
      <c r="AB1121" s="443"/>
      <c r="AC1121" s="443"/>
      <c r="AD1121" s="443"/>
      <c r="AE1121" s="443"/>
      <c r="AF1121" s="443"/>
      <c r="AG1121" s="443" t="s">
        <v>289</v>
      </c>
      <c r="AH1121" s="443" t="s">
        <v>289</v>
      </c>
      <c r="AI1121" s="443"/>
      <c r="AJ1121" s="443"/>
      <c r="AK1121" s="443"/>
      <c r="AL1121" s="443"/>
      <c r="AM1121" s="443"/>
      <c r="AN1121" s="443"/>
      <c r="AO1121" s="443"/>
      <c r="AP1121" s="443"/>
      <c r="AQ1121" s="443"/>
      <c r="AR1121" s="443"/>
      <c r="AS1121" s="443"/>
      <c r="AT1121" s="443"/>
      <c r="AU1121" s="443"/>
      <c r="AV1121" s="443"/>
      <c r="AW1121" s="443"/>
      <c r="AX1121" s="443"/>
      <c r="AY1121" s="443"/>
      <c r="AZ1121" s="443"/>
      <c r="BA1121" s="443"/>
      <c r="BB1121" s="443"/>
      <c r="BC1121" s="443"/>
      <c r="BD1121" s="443"/>
      <c r="BE1121" s="443"/>
    </row>
    <row r="1122">
      <c r="A1122" s="445" t="str">
        <f t="shared" si="5"/>
        <v/>
      </c>
      <c r="B1122" s="443"/>
      <c r="C1122" s="443"/>
      <c r="D1122" s="462"/>
      <c r="E1122" s="436" t="str">
        <f t="array" ref="E1122">IF(B1122=0,"",(J1122+K1122)/60)</f>
        <v/>
      </c>
      <c r="F1122" s="437" t="str">
        <f t="shared" si="1"/>
        <v/>
      </c>
      <c r="G1122" s="438" t="str">
        <f t="shared" si="9"/>
        <v/>
      </c>
      <c r="H1122" s="438" t="str">
        <f t="shared" si="3"/>
        <v/>
      </c>
      <c r="I1122" s="436" t="str">
        <f t="shared" si="11"/>
        <v/>
      </c>
      <c r="J1122" s="464"/>
      <c r="K1122" s="464"/>
      <c r="L1122" s="443"/>
      <c r="M1122" s="443"/>
      <c r="N1122" s="443"/>
      <c r="O1122" s="443"/>
      <c r="P1122" s="443"/>
      <c r="Q1122" s="443"/>
      <c r="R1122" s="443"/>
      <c r="S1122" s="443"/>
      <c r="T1122" s="443"/>
      <c r="U1122" s="443"/>
      <c r="V1122" s="443"/>
      <c r="W1122" s="443"/>
      <c r="X1122" s="443"/>
      <c r="Y1122" s="443"/>
      <c r="Z1122" s="443"/>
      <c r="AA1122" s="443"/>
      <c r="AB1122" s="443"/>
      <c r="AC1122" s="443"/>
      <c r="AD1122" s="443"/>
      <c r="AE1122" s="443"/>
      <c r="AF1122" s="443"/>
      <c r="AG1122" s="443" t="s">
        <v>289</v>
      </c>
      <c r="AH1122" s="443" t="s">
        <v>289</v>
      </c>
      <c r="AI1122" s="443"/>
      <c r="AJ1122" s="443"/>
      <c r="AK1122" s="443"/>
      <c r="AL1122" s="443"/>
      <c r="AM1122" s="443"/>
      <c r="AN1122" s="443"/>
      <c r="AO1122" s="443"/>
      <c r="AP1122" s="443"/>
      <c r="AQ1122" s="443"/>
      <c r="AR1122" s="443"/>
      <c r="AS1122" s="443"/>
      <c r="AT1122" s="443"/>
      <c r="AU1122" s="443"/>
      <c r="AV1122" s="443"/>
      <c r="AW1122" s="443"/>
      <c r="AX1122" s="443"/>
      <c r="AY1122" s="443"/>
      <c r="AZ1122" s="443"/>
      <c r="BA1122" s="443"/>
      <c r="BB1122" s="443"/>
      <c r="BC1122" s="443"/>
      <c r="BD1122" s="443"/>
      <c r="BE1122" s="443"/>
    </row>
    <row r="1123">
      <c r="A1123" s="445" t="str">
        <f t="shared" si="5"/>
        <v/>
      </c>
      <c r="B1123" s="443"/>
      <c r="C1123" s="443"/>
      <c r="D1123" s="462"/>
      <c r="E1123" s="436" t="str">
        <f t="array" ref="E1123">IF(B1123=0,"",(J1123+K1123)/60)</f>
        <v/>
      </c>
      <c r="F1123" s="437" t="str">
        <f t="shared" si="1"/>
        <v/>
      </c>
      <c r="G1123" s="438" t="str">
        <f t="shared" si="9"/>
        <v/>
      </c>
      <c r="H1123" s="438" t="str">
        <f t="shared" si="3"/>
        <v/>
      </c>
      <c r="I1123" s="436" t="str">
        <f t="shared" si="11"/>
        <v/>
      </c>
      <c r="J1123" s="464"/>
      <c r="K1123" s="464"/>
      <c r="L1123" s="443"/>
      <c r="M1123" s="443"/>
      <c r="N1123" s="443"/>
      <c r="O1123" s="443"/>
      <c r="P1123" s="443"/>
      <c r="Q1123" s="443"/>
      <c r="R1123" s="443"/>
      <c r="S1123" s="443"/>
      <c r="T1123" s="443"/>
      <c r="U1123" s="443"/>
      <c r="V1123" s="443"/>
      <c r="W1123" s="443"/>
      <c r="X1123" s="443"/>
      <c r="Y1123" s="443"/>
      <c r="Z1123" s="443"/>
      <c r="AA1123" s="443"/>
      <c r="AB1123" s="443"/>
      <c r="AC1123" s="443"/>
      <c r="AD1123" s="443"/>
      <c r="AE1123" s="443"/>
      <c r="AF1123" s="443"/>
      <c r="AG1123" s="443" t="s">
        <v>289</v>
      </c>
      <c r="AH1123" s="443" t="s">
        <v>289</v>
      </c>
      <c r="AI1123" s="443"/>
      <c r="AJ1123" s="443"/>
      <c r="AK1123" s="443"/>
      <c r="AL1123" s="443"/>
      <c r="AM1123" s="443"/>
      <c r="AN1123" s="443"/>
      <c r="AO1123" s="443"/>
      <c r="AP1123" s="443"/>
      <c r="AQ1123" s="443"/>
      <c r="AR1123" s="443"/>
      <c r="AS1123" s="443"/>
      <c r="AT1123" s="443"/>
      <c r="AU1123" s="443"/>
      <c r="AV1123" s="443"/>
      <c r="AW1123" s="443"/>
      <c r="AX1123" s="443"/>
      <c r="AY1123" s="443"/>
      <c r="AZ1123" s="443"/>
      <c r="BA1123" s="443"/>
      <c r="BB1123" s="443"/>
      <c r="BC1123" s="443"/>
      <c r="BD1123" s="443"/>
      <c r="BE1123" s="443"/>
    </row>
    <row r="1124">
      <c r="A1124" s="445" t="str">
        <f t="shared" si="5"/>
        <v/>
      </c>
      <c r="B1124" s="443"/>
      <c r="C1124" s="443"/>
      <c r="D1124" s="462"/>
      <c r="E1124" s="436" t="str">
        <f t="array" ref="E1124">IF(B1124=0,"",(J1124+K1124)/60)</f>
        <v/>
      </c>
      <c r="F1124" s="437" t="str">
        <f t="shared" si="1"/>
        <v/>
      </c>
      <c r="G1124" s="438" t="str">
        <f t="shared" si="9"/>
        <v/>
      </c>
      <c r="H1124" s="438" t="str">
        <f t="shared" si="3"/>
        <v/>
      </c>
      <c r="I1124" s="436" t="str">
        <f t="shared" si="11"/>
        <v/>
      </c>
      <c r="J1124" s="464"/>
      <c r="K1124" s="464"/>
      <c r="L1124" s="443"/>
      <c r="M1124" s="443"/>
      <c r="N1124" s="443"/>
      <c r="O1124" s="443"/>
      <c r="P1124" s="443"/>
      <c r="Q1124" s="443"/>
      <c r="R1124" s="443"/>
      <c r="S1124" s="443"/>
      <c r="T1124" s="443"/>
      <c r="U1124" s="443"/>
      <c r="V1124" s="443"/>
      <c r="W1124" s="443"/>
      <c r="X1124" s="443"/>
      <c r="Y1124" s="443"/>
      <c r="Z1124" s="443"/>
      <c r="AA1124" s="443"/>
      <c r="AB1124" s="443"/>
      <c r="AC1124" s="443"/>
      <c r="AD1124" s="443"/>
      <c r="AE1124" s="443"/>
      <c r="AF1124" s="443"/>
      <c r="AG1124" s="443" t="s">
        <v>289</v>
      </c>
      <c r="AH1124" s="443" t="s">
        <v>289</v>
      </c>
      <c r="AI1124" s="443"/>
      <c r="AJ1124" s="443"/>
      <c r="AK1124" s="443"/>
      <c r="AL1124" s="443"/>
      <c r="AM1124" s="443"/>
      <c r="AN1124" s="443"/>
      <c r="AO1124" s="443"/>
      <c r="AP1124" s="443"/>
      <c r="AQ1124" s="443"/>
      <c r="AR1124" s="443"/>
      <c r="AS1124" s="443"/>
      <c r="AT1124" s="443"/>
      <c r="AU1124" s="443"/>
      <c r="AV1124" s="443"/>
      <c r="AW1124" s="443"/>
      <c r="AX1124" s="443"/>
      <c r="AY1124" s="443"/>
      <c r="AZ1124" s="443"/>
      <c r="BA1124" s="443"/>
      <c r="BB1124" s="443"/>
      <c r="BC1124" s="443"/>
      <c r="BD1124" s="443"/>
      <c r="BE1124" s="443"/>
    </row>
    <row r="1125">
      <c r="A1125" s="445" t="str">
        <f t="shared" si="5"/>
        <v/>
      </c>
      <c r="B1125" s="443"/>
      <c r="C1125" s="443"/>
      <c r="D1125" s="462"/>
      <c r="E1125" s="436" t="str">
        <f t="array" ref="E1125">IF(B1125=0,"",(J1125+K1125)/60)</f>
        <v/>
      </c>
      <c r="F1125" s="437" t="str">
        <f t="shared" si="1"/>
        <v/>
      </c>
      <c r="G1125" s="438" t="str">
        <f t="shared" si="9"/>
        <v/>
      </c>
      <c r="H1125" s="438" t="str">
        <f t="shared" si="3"/>
        <v/>
      </c>
      <c r="I1125" s="436" t="str">
        <f t="shared" si="11"/>
        <v/>
      </c>
      <c r="J1125" s="464"/>
      <c r="K1125" s="464"/>
      <c r="L1125" s="443"/>
      <c r="M1125" s="443"/>
      <c r="N1125" s="443"/>
      <c r="O1125" s="443"/>
      <c r="P1125" s="443"/>
      <c r="Q1125" s="443"/>
      <c r="R1125" s="443"/>
      <c r="S1125" s="443"/>
      <c r="T1125" s="443"/>
      <c r="U1125" s="443"/>
      <c r="V1125" s="443"/>
      <c r="W1125" s="443"/>
      <c r="X1125" s="443"/>
      <c r="Y1125" s="443"/>
      <c r="Z1125" s="443"/>
      <c r="AA1125" s="443"/>
      <c r="AB1125" s="443"/>
      <c r="AC1125" s="443"/>
      <c r="AD1125" s="443"/>
      <c r="AE1125" s="443"/>
      <c r="AF1125" s="443"/>
      <c r="AG1125" s="443" t="s">
        <v>289</v>
      </c>
      <c r="AH1125" s="443" t="s">
        <v>289</v>
      </c>
      <c r="AI1125" s="443"/>
      <c r="AJ1125" s="443"/>
      <c r="AK1125" s="443"/>
      <c r="AL1125" s="443"/>
      <c r="AM1125" s="443"/>
      <c r="AN1125" s="443"/>
      <c r="AO1125" s="443"/>
      <c r="AP1125" s="443"/>
      <c r="AQ1125" s="443"/>
      <c r="AR1125" s="443"/>
      <c r="AS1125" s="443"/>
      <c r="AT1125" s="443"/>
      <c r="AU1125" s="443"/>
      <c r="AV1125" s="443"/>
      <c r="AW1125" s="443"/>
      <c r="AX1125" s="443"/>
      <c r="AY1125" s="443"/>
      <c r="AZ1125" s="443"/>
      <c r="BA1125" s="443"/>
      <c r="BB1125" s="443"/>
      <c r="BC1125" s="443"/>
      <c r="BD1125" s="443"/>
      <c r="BE1125" s="443"/>
    </row>
    <row r="1126">
      <c r="A1126" s="445" t="str">
        <f t="shared" si="5"/>
        <v/>
      </c>
      <c r="B1126" s="443"/>
      <c r="C1126" s="443"/>
      <c r="D1126" s="462"/>
      <c r="E1126" s="436" t="str">
        <f t="array" ref="E1126">IF(B1126=0,"",(J1126+K1126)/60)</f>
        <v/>
      </c>
      <c r="F1126" s="437" t="str">
        <f t="shared" si="1"/>
        <v/>
      </c>
      <c r="G1126" s="438" t="str">
        <f t="shared" si="9"/>
        <v/>
      </c>
      <c r="H1126" s="438" t="str">
        <f t="shared" si="3"/>
        <v/>
      </c>
      <c r="I1126" s="436" t="str">
        <f t="shared" si="11"/>
        <v/>
      </c>
      <c r="J1126" s="464"/>
      <c r="K1126" s="464"/>
      <c r="L1126" s="443"/>
      <c r="M1126" s="443"/>
      <c r="N1126" s="443"/>
      <c r="O1126" s="443"/>
      <c r="P1126" s="443"/>
      <c r="Q1126" s="443"/>
      <c r="R1126" s="443"/>
      <c r="S1126" s="443"/>
      <c r="T1126" s="443"/>
      <c r="U1126" s="443"/>
      <c r="V1126" s="443"/>
      <c r="W1126" s="443"/>
      <c r="X1126" s="443"/>
      <c r="Y1126" s="443"/>
      <c r="Z1126" s="443"/>
      <c r="AA1126" s="443"/>
      <c r="AB1126" s="443"/>
      <c r="AC1126" s="443"/>
      <c r="AD1126" s="443"/>
      <c r="AE1126" s="443"/>
      <c r="AF1126" s="443"/>
      <c r="AG1126" s="443" t="s">
        <v>289</v>
      </c>
      <c r="AH1126" s="443" t="s">
        <v>289</v>
      </c>
      <c r="AI1126" s="443"/>
      <c r="AJ1126" s="443"/>
      <c r="AK1126" s="443"/>
      <c r="AL1126" s="443"/>
      <c r="AM1126" s="443"/>
      <c r="AN1126" s="443"/>
      <c r="AO1126" s="443"/>
      <c r="AP1126" s="443"/>
      <c r="AQ1126" s="443"/>
      <c r="AR1126" s="443"/>
      <c r="AS1126" s="443"/>
      <c r="AT1126" s="443"/>
      <c r="AU1126" s="443"/>
      <c r="AV1126" s="443"/>
      <c r="AW1126" s="443"/>
      <c r="AX1126" s="443"/>
      <c r="AY1126" s="443"/>
      <c r="AZ1126" s="443"/>
      <c r="BA1126" s="443"/>
      <c r="BB1126" s="443"/>
      <c r="BC1126" s="443"/>
      <c r="BD1126" s="443"/>
      <c r="BE1126" s="443"/>
    </row>
    <row r="1127">
      <c r="A1127" s="445" t="str">
        <f t="shared" si="5"/>
        <v/>
      </c>
      <c r="B1127" s="443"/>
      <c r="C1127" s="443"/>
      <c r="D1127" s="462"/>
      <c r="E1127" s="436" t="str">
        <f t="array" ref="E1127">IF(B1127=0,"",(J1127+K1127)/60)</f>
        <v/>
      </c>
      <c r="F1127" s="437" t="str">
        <f t="shared" si="1"/>
        <v/>
      </c>
      <c r="G1127" s="438" t="str">
        <f t="shared" si="9"/>
        <v/>
      </c>
      <c r="H1127" s="438" t="str">
        <f t="shared" si="3"/>
        <v/>
      </c>
      <c r="I1127" s="436" t="str">
        <f t="shared" si="11"/>
        <v/>
      </c>
      <c r="J1127" s="464"/>
      <c r="K1127" s="464"/>
      <c r="L1127" s="443"/>
      <c r="M1127" s="443"/>
      <c r="N1127" s="443"/>
      <c r="O1127" s="443"/>
      <c r="P1127" s="443"/>
      <c r="Q1127" s="443"/>
      <c r="R1127" s="443"/>
      <c r="S1127" s="443"/>
      <c r="T1127" s="443"/>
      <c r="U1127" s="443"/>
      <c r="V1127" s="443"/>
      <c r="W1127" s="443"/>
      <c r="X1127" s="443"/>
      <c r="Y1127" s="443"/>
      <c r="Z1127" s="443"/>
      <c r="AA1127" s="443"/>
      <c r="AB1127" s="443"/>
      <c r="AC1127" s="443"/>
      <c r="AD1127" s="443"/>
      <c r="AE1127" s="443"/>
      <c r="AF1127" s="443"/>
      <c r="AG1127" s="443" t="s">
        <v>289</v>
      </c>
      <c r="AH1127" s="443" t="s">
        <v>289</v>
      </c>
      <c r="AI1127" s="443"/>
      <c r="AJ1127" s="443"/>
      <c r="AK1127" s="443"/>
      <c r="AL1127" s="443"/>
      <c r="AM1127" s="443"/>
      <c r="AN1127" s="443"/>
      <c r="AO1127" s="443"/>
      <c r="AP1127" s="443"/>
      <c r="AQ1127" s="443"/>
      <c r="AR1127" s="443"/>
      <c r="AS1127" s="443"/>
      <c r="AT1127" s="443"/>
      <c r="AU1127" s="443"/>
      <c r="AV1127" s="443"/>
      <c r="AW1127" s="443"/>
      <c r="AX1127" s="443"/>
      <c r="AY1127" s="443"/>
      <c r="AZ1127" s="443"/>
      <c r="BA1127" s="443"/>
      <c r="BB1127" s="443"/>
      <c r="BC1127" s="443"/>
      <c r="BD1127" s="443"/>
      <c r="BE1127" s="443"/>
    </row>
    <row r="1128">
      <c r="A1128" s="445" t="str">
        <f t="shared" si="5"/>
        <v/>
      </c>
      <c r="B1128" s="443"/>
      <c r="C1128" s="443"/>
      <c r="D1128" s="462"/>
      <c r="E1128" s="436" t="str">
        <f t="array" ref="E1128">IF(B1128=0,"",(J1128+K1128)/60)</f>
        <v/>
      </c>
      <c r="F1128" s="437" t="str">
        <f t="shared" si="1"/>
        <v/>
      </c>
      <c r="G1128" s="438" t="str">
        <f t="shared" si="9"/>
        <v/>
      </c>
      <c r="H1128" s="438" t="str">
        <f t="shared" si="3"/>
        <v/>
      </c>
      <c r="I1128" s="436" t="str">
        <f t="shared" si="11"/>
        <v/>
      </c>
      <c r="J1128" s="464"/>
      <c r="K1128" s="464"/>
      <c r="L1128" s="443"/>
      <c r="M1128" s="443"/>
      <c r="N1128" s="443"/>
      <c r="O1128" s="443"/>
      <c r="P1128" s="443"/>
      <c r="Q1128" s="443"/>
      <c r="R1128" s="443"/>
      <c r="S1128" s="443"/>
      <c r="T1128" s="443"/>
      <c r="U1128" s="443"/>
      <c r="V1128" s="443"/>
      <c r="W1128" s="443"/>
      <c r="X1128" s="443"/>
      <c r="Y1128" s="443"/>
      <c r="Z1128" s="443"/>
      <c r="AA1128" s="443"/>
      <c r="AB1128" s="443"/>
      <c r="AC1128" s="443"/>
      <c r="AD1128" s="443"/>
      <c r="AE1128" s="443"/>
      <c r="AF1128" s="443"/>
      <c r="AG1128" s="443" t="s">
        <v>289</v>
      </c>
      <c r="AH1128" s="443" t="s">
        <v>289</v>
      </c>
      <c r="AI1128" s="443"/>
      <c r="AJ1128" s="443"/>
      <c r="AK1128" s="443"/>
      <c r="AL1128" s="443"/>
      <c r="AM1128" s="443"/>
      <c r="AN1128" s="443"/>
      <c r="AO1128" s="443"/>
      <c r="AP1128" s="443"/>
      <c r="AQ1128" s="443"/>
      <c r="AR1128" s="443"/>
      <c r="AS1128" s="443"/>
      <c r="AT1128" s="443"/>
      <c r="AU1128" s="443"/>
      <c r="AV1128" s="443"/>
      <c r="AW1128" s="443"/>
      <c r="AX1128" s="443"/>
      <c r="AY1128" s="443"/>
      <c r="AZ1128" s="443"/>
      <c r="BA1128" s="443"/>
      <c r="BB1128" s="443"/>
      <c r="BC1128" s="443"/>
      <c r="BD1128" s="443"/>
      <c r="BE1128" s="443"/>
    </row>
    <row r="1129">
      <c r="A1129" s="445" t="str">
        <f t="shared" si="5"/>
        <v/>
      </c>
      <c r="B1129" s="443"/>
      <c r="C1129" s="443"/>
      <c r="D1129" s="462"/>
      <c r="E1129" s="436" t="str">
        <f t="array" ref="E1129">IF(B1129=0,"",(J1129+K1129)/60)</f>
        <v/>
      </c>
      <c r="F1129" s="437" t="str">
        <f t="shared" si="1"/>
        <v/>
      </c>
      <c r="G1129" s="438" t="str">
        <f t="shared" si="9"/>
        <v/>
      </c>
      <c r="H1129" s="438" t="str">
        <f t="shared" si="3"/>
        <v/>
      </c>
      <c r="I1129" s="436" t="str">
        <f t="shared" si="11"/>
        <v/>
      </c>
      <c r="J1129" s="464"/>
      <c r="K1129" s="464"/>
      <c r="L1129" s="443"/>
      <c r="M1129" s="443"/>
      <c r="N1129" s="443"/>
      <c r="O1129" s="443"/>
      <c r="P1129" s="443"/>
      <c r="Q1129" s="443"/>
      <c r="R1129" s="443"/>
      <c r="S1129" s="443"/>
      <c r="T1129" s="443"/>
      <c r="U1129" s="443"/>
      <c r="V1129" s="443"/>
      <c r="W1129" s="443"/>
      <c r="X1129" s="443"/>
      <c r="Y1129" s="443"/>
      <c r="Z1129" s="443"/>
      <c r="AA1129" s="443"/>
      <c r="AB1129" s="443"/>
      <c r="AC1129" s="443"/>
      <c r="AD1129" s="443"/>
      <c r="AE1129" s="443"/>
      <c r="AF1129" s="443"/>
      <c r="AG1129" s="443" t="s">
        <v>289</v>
      </c>
      <c r="AH1129" s="443" t="s">
        <v>289</v>
      </c>
      <c r="AI1129" s="443"/>
      <c r="AJ1129" s="443"/>
      <c r="AK1129" s="443"/>
      <c r="AL1129" s="443"/>
      <c r="AM1129" s="443"/>
      <c r="AN1129" s="443"/>
      <c r="AO1129" s="443"/>
      <c r="AP1129" s="443"/>
      <c r="AQ1129" s="443"/>
      <c r="AR1129" s="443"/>
      <c r="AS1129" s="443"/>
      <c r="AT1129" s="443"/>
      <c r="AU1129" s="443"/>
      <c r="AV1129" s="443"/>
      <c r="AW1129" s="443"/>
      <c r="AX1129" s="443"/>
      <c r="AY1129" s="443"/>
      <c r="AZ1129" s="443"/>
      <c r="BA1129" s="443"/>
      <c r="BB1129" s="443"/>
      <c r="BC1129" s="443"/>
      <c r="BD1129" s="443"/>
      <c r="BE1129" s="443"/>
    </row>
    <row r="1130">
      <c r="A1130" s="445" t="str">
        <f t="shared" si="5"/>
        <v/>
      </c>
      <c r="B1130" s="443"/>
      <c r="C1130" s="443"/>
      <c r="D1130" s="462"/>
      <c r="E1130" s="436" t="str">
        <f t="array" ref="E1130">IF(B1130=0,"",(J1130+K1130)/60)</f>
        <v/>
      </c>
      <c r="F1130" s="437" t="str">
        <f t="shared" si="1"/>
        <v/>
      </c>
      <c r="G1130" s="438" t="str">
        <f t="shared" si="9"/>
        <v/>
      </c>
      <c r="H1130" s="438" t="str">
        <f t="shared" si="3"/>
        <v/>
      </c>
      <c r="I1130" s="436" t="str">
        <f t="shared" si="11"/>
        <v/>
      </c>
      <c r="J1130" s="464"/>
      <c r="K1130" s="464"/>
      <c r="L1130" s="443"/>
      <c r="M1130" s="443"/>
      <c r="N1130" s="443"/>
      <c r="O1130" s="443"/>
      <c r="P1130" s="443"/>
      <c r="Q1130" s="443"/>
      <c r="R1130" s="443"/>
      <c r="S1130" s="443"/>
      <c r="T1130" s="443"/>
      <c r="U1130" s="443"/>
      <c r="V1130" s="443"/>
      <c r="W1130" s="443"/>
      <c r="X1130" s="443"/>
      <c r="Y1130" s="443"/>
      <c r="Z1130" s="443"/>
      <c r="AA1130" s="443"/>
      <c r="AB1130" s="443"/>
      <c r="AC1130" s="443"/>
      <c r="AD1130" s="443"/>
      <c r="AE1130" s="443"/>
      <c r="AF1130" s="443"/>
      <c r="AG1130" s="443" t="s">
        <v>289</v>
      </c>
      <c r="AH1130" s="443" t="s">
        <v>289</v>
      </c>
      <c r="AI1130" s="443"/>
      <c r="AJ1130" s="443"/>
      <c r="AK1130" s="443"/>
      <c r="AL1130" s="443"/>
      <c r="AM1130" s="443"/>
      <c r="AN1130" s="443"/>
      <c r="AO1130" s="443"/>
      <c r="AP1130" s="443"/>
      <c r="AQ1130" s="443"/>
      <c r="AR1130" s="443"/>
      <c r="AS1130" s="443"/>
      <c r="AT1130" s="443"/>
      <c r="AU1130" s="443"/>
      <c r="AV1130" s="443"/>
      <c r="AW1130" s="443"/>
      <c r="AX1130" s="443"/>
      <c r="AY1130" s="443"/>
      <c r="AZ1130" s="443"/>
      <c r="BA1130" s="443"/>
      <c r="BB1130" s="443"/>
      <c r="BC1130" s="443"/>
      <c r="BD1130" s="443"/>
      <c r="BE1130" s="443"/>
    </row>
    <row r="1131">
      <c r="A1131" s="445" t="str">
        <f t="shared" si="5"/>
        <v/>
      </c>
      <c r="B1131" s="443"/>
      <c r="C1131" s="443"/>
      <c r="D1131" s="462"/>
      <c r="E1131" s="436" t="str">
        <f t="array" ref="E1131">IF(B1131=0,"",(J1131+K1131)/60)</f>
        <v/>
      </c>
      <c r="F1131" s="437" t="str">
        <f t="shared" si="1"/>
        <v/>
      </c>
      <c r="G1131" s="438" t="str">
        <f t="shared" si="9"/>
        <v/>
      </c>
      <c r="H1131" s="438" t="str">
        <f t="shared" si="3"/>
        <v/>
      </c>
      <c r="I1131" s="436" t="str">
        <f t="shared" si="11"/>
        <v/>
      </c>
      <c r="J1131" s="464"/>
      <c r="K1131" s="464"/>
      <c r="L1131" s="443"/>
      <c r="M1131" s="443"/>
      <c r="N1131" s="443"/>
      <c r="O1131" s="443"/>
      <c r="P1131" s="443"/>
      <c r="Q1131" s="443"/>
      <c r="R1131" s="443"/>
      <c r="S1131" s="443"/>
      <c r="T1131" s="443"/>
      <c r="U1131" s="443"/>
      <c r="V1131" s="443"/>
      <c r="W1131" s="443"/>
      <c r="X1131" s="443"/>
      <c r="Y1131" s="443"/>
      <c r="Z1131" s="443"/>
      <c r="AA1131" s="443"/>
      <c r="AB1131" s="443"/>
      <c r="AC1131" s="443"/>
      <c r="AD1131" s="443"/>
      <c r="AE1131" s="443"/>
      <c r="AF1131" s="443"/>
      <c r="AG1131" s="443" t="s">
        <v>289</v>
      </c>
      <c r="AH1131" s="443" t="s">
        <v>289</v>
      </c>
      <c r="AI1131" s="443"/>
      <c r="AJ1131" s="443"/>
      <c r="AK1131" s="443"/>
      <c r="AL1131" s="443"/>
      <c r="AM1131" s="443"/>
      <c r="AN1131" s="443"/>
      <c r="AO1131" s="443"/>
      <c r="AP1131" s="443"/>
      <c r="AQ1131" s="443"/>
      <c r="AR1131" s="443"/>
      <c r="AS1131" s="443"/>
      <c r="AT1131" s="443"/>
      <c r="AU1131" s="443"/>
      <c r="AV1131" s="443"/>
      <c r="AW1131" s="443"/>
      <c r="AX1131" s="443"/>
      <c r="AY1131" s="443"/>
      <c r="AZ1131" s="443"/>
      <c r="BA1131" s="443"/>
      <c r="BB1131" s="443"/>
      <c r="BC1131" s="443"/>
      <c r="BD1131" s="443"/>
      <c r="BE1131" s="443"/>
    </row>
    <row r="1132">
      <c r="A1132" s="445" t="str">
        <f t="shared" si="5"/>
        <v/>
      </c>
      <c r="B1132" s="443"/>
      <c r="C1132" s="443"/>
      <c r="D1132" s="462"/>
      <c r="E1132" s="436" t="str">
        <f t="array" ref="E1132">IF(B1132=0,"",(J1132+K1132)/60)</f>
        <v/>
      </c>
      <c r="F1132" s="437" t="str">
        <f t="shared" si="1"/>
        <v/>
      </c>
      <c r="G1132" s="438" t="str">
        <f t="shared" si="9"/>
        <v/>
      </c>
      <c r="H1132" s="438" t="str">
        <f t="shared" si="3"/>
        <v/>
      </c>
      <c r="I1132" s="436" t="str">
        <f t="shared" si="11"/>
        <v/>
      </c>
      <c r="J1132" s="464"/>
      <c r="K1132" s="464"/>
      <c r="L1132" s="443"/>
      <c r="M1132" s="443"/>
      <c r="N1132" s="443"/>
      <c r="O1132" s="443"/>
      <c r="P1132" s="443"/>
      <c r="Q1132" s="443"/>
      <c r="R1132" s="443"/>
      <c r="S1132" s="443"/>
      <c r="T1132" s="443"/>
      <c r="U1132" s="443"/>
      <c r="V1132" s="443"/>
      <c r="W1132" s="443"/>
      <c r="X1132" s="443"/>
      <c r="Y1132" s="443"/>
      <c r="Z1132" s="443"/>
      <c r="AA1132" s="443"/>
      <c r="AB1132" s="443"/>
      <c r="AC1132" s="443"/>
      <c r="AD1132" s="443"/>
      <c r="AE1132" s="443"/>
      <c r="AF1132" s="443"/>
      <c r="AG1132" s="443" t="s">
        <v>289</v>
      </c>
      <c r="AH1132" s="443" t="s">
        <v>289</v>
      </c>
      <c r="AI1132" s="443"/>
      <c r="AJ1132" s="443"/>
      <c r="AK1132" s="443"/>
      <c r="AL1132" s="443"/>
      <c r="AM1132" s="443"/>
      <c r="AN1132" s="443"/>
      <c r="AO1132" s="443"/>
      <c r="AP1132" s="443"/>
      <c r="AQ1132" s="443"/>
      <c r="AR1132" s="443"/>
      <c r="AS1132" s="443"/>
      <c r="AT1132" s="443"/>
      <c r="AU1132" s="443"/>
      <c r="AV1132" s="443"/>
      <c r="AW1132" s="443"/>
      <c r="AX1132" s="443"/>
      <c r="AY1132" s="443"/>
      <c r="AZ1132" s="443"/>
      <c r="BA1132" s="443"/>
      <c r="BB1132" s="443"/>
      <c r="BC1132" s="443"/>
      <c r="BD1132" s="443"/>
      <c r="BE1132" s="443"/>
    </row>
    <row r="1133">
      <c r="A1133" s="445" t="str">
        <f t="shared" si="5"/>
        <v/>
      </c>
      <c r="B1133" s="443"/>
      <c r="C1133" s="443"/>
      <c r="D1133" s="462"/>
      <c r="E1133" s="436" t="str">
        <f t="array" ref="E1133">IF(B1133=0,"",(J1133+K1133)/60)</f>
        <v/>
      </c>
      <c r="F1133" s="437" t="str">
        <f t="shared" si="1"/>
        <v/>
      </c>
      <c r="G1133" s="438" t="str">
        <f t="shared" si="9"/>
        <v/>
      </c>
      <c r="H1133" s="438" t="str">
        <f t="shared" si="3"/>
        <v/>
      </c>
      <c r="I1133" s="436" t="str">
        <f t="shared" si="11"/>
        <v/>
      </c>
      <c r="J1133" s="464"/>
      <c r="K1133" s="464"/>
      <c r="L1133" s="443"/>
      <c r="M1133" s="443"/>
      <c r="N1133" s="443"/>
      <c r="O1133" s="443"/>
      <c r="P1133" s="443"/>
      <c r="Q1133" s="443"/>
      <c r="R1133" s="443"/>
      <c r="S1133" s="443"/>
      <c r="T1133" s="443"/>
      <c r="U1133" s="443"/>
      <c r="V1133" s="443"/>
      <c r="W1133" s="443"/>
      <c r="X1133" s="443"/>
      <c r="Y1133" s="443"/>
      <c r="Z1133" s="443"/>
      <c r="AA1133" s="443"/>
      <c r="AB1133" s="443"/>
      <c r="AC1133" s="443"/>
      <c r="AD1133" s="443"/>
      <c r="AE1133" s="443"/>
      <c r="AF1133" s="443"/>
      <c r="AG1133" s="443" t="s">
        <v>289</v>
      </c>
      <c r="AH1133" s="443" t="s">
        <v>289</v>
      </c>
      <c r="AI1133" s="443"/>
      <c r="AJ1133" s="443"/>
      <c r="AK1133" s="443"/>
      <c r="AL1133" s="443"/>
      <c r="AM1133" s="443"/>
      <c r="AN1133" s="443"/>
      <c r="AO1133" s="443"/>
      <c r="AP1133" s="443"/>
      <c r="AQ1133" s="443"/>
      <c r="AR1133" s="443"/>
      <c r="AS1133" s="443"/>
      <c r="AT1133" s="443"/>
      <c r="AU1133" s="443"/>
      <c r="AV1133" s="443"/>
      <c r="AW1133" s="443"/>
      <c r="AX1133" s="443"/>
      <c r="AY1133" s="443"/>
      <c r="AZ1133" s="443"/>
      <c r="BA1133" s="443"/>
      <c r="BB1133" s="443"/>
      <c r="BC1133" s="443"/>
      <c r="BD1133" s="443"/>
      <c r="BE1133" s="443"/>
    </row>
    <row r="1134">
      <c r="A1134" s="445" t="str">
        <f t="shared" si="5"/>
        <v/>
      </c>
      <c r="B1134" s="443"/>
      <c r="C1134" s="443"/>
      <c r="D1134" s="462"/>
      <c r="E1134" s="436" t="str">
        <f t="array" ref="E1134">IF(B1134=0,"",(J1134+K1134)/60)</f>
        <v/>
      </c>
      <c r="F1134" s="437" t="str">
        <f t="shared" si="1"/>
        <v/>
      </c>
      <c r="G1134" s="438" t="str">
        <f t="shared" si="9"/>
        <v/>
      </c>
      <c r="H1134" s="438" t="str">
        <f t="shared" si="3"/>
        <v/>
      </c>
      <c r="I1134" s="436" t="str">
        <f t="shared" si="11"/>
        <v/>
      </c>
      <c r="J1134" s="464"/>
      <c r="K1134" s="464"/>
      <c r="L1134" s="443"/>
      <c r="M1134" s="443"/>
      <c r="N1134" s="443"/>
      <c r="O1134" s="443"/>
      <c r="P1134" s="443"/>
      <c r="Q1134" s="443"/>
      <c r="R1134" s="443"/>
      <c r="S1134" s="443"/>
      <c r="T1134" s="443"/>
      <c r="U1134" s="443"/>
      <c r="V1134" s="443"/>
      <c r="W1134" s="443"/>
      <c r="X1134" s="443"/>
      <c r="Y1134" s="443"/>
      <c r="Z1134" s="443"/>
      <c r="AA1134" s="443"/>
      <c r="AB1134" s="443"/>
      <c r="AC1134" s="443"/>
      <c r="AD1134" s="443"/>
      <c r="AE1134" s="443"/>
      <c r="AF1134" s="443"/>
      <c r="AG1134" s="443" t="s">
        <v>289</v>
      </c>
      <c r="AH1134" s="443" t="s">
        <v>289</v>
      </c>
      <c r="AI1134" s="443"/>
      <c r="AJ1134" s="443"/>
      <c r="AK1134" s="443"/>
      <c r="AL1134" s="443"/>
      <c r="AM1134" s="443"/>
      <c r="AN1134" s="443"/>
      <c r="AO1134" s="443"/>
      <c r="AP1134" s="443"/>
      <c r="AQ1134" s="443"/>
      <c r="AR1134" s="443"/>
      <c r="AS1134" s="443"/>
      <c r="AT1134" s="443"/>
      <c r="AU1134" s="443"/>
      <c r="AV1134" s="443"/>
      <c r="AW1134" s="443"/>
      <c r="AX1134" s="443"/>
      <c r="AY1134" s="443"/>
      <c r="AZ1134" s="443"/>
      <c r="BA1134" s="443"/>
      <c r="BB1134" s="443"/>
      <c r="BC1134" s="443"/>
      <c r="BD1134" s="443"/>
      <c r="BE1134" s="443"/>
    </row>
    <row r="1135">
      <c r="A1135" s="445" t="str">
        <f t="shared" si="5"/>
        <v/>
      </c>
      <c r="B1135" s="443"/>
      <c r="C1135" s="443"/>
      <c r="D1135" s="462"/>
      <c r="E1135" s="436" t="str">
        <f t="array" ref="E1135">IF(B1135=0,"",(J1135+K1135)/60)</f>
        <v/>
      </c>
      <c r="F1135" s="437" t="str">
        <f t="shared" si="1"/>
        <v/>
      </c>
      <c r="G1135" s="438" t="str">
        <f t="shared" si="9"/>
        <v/>
      </c>
      <c r="H1135" s="438" t="str">
        <f t="shared" si="3"/>
        <v/>
      </c>
      <c r="I1135" s="436" t="str">
        <f t="shared" si="11"/>
        <v/>
      </c>
      <c r="J1135" s="464"/>
      <c r="K1135" s="464"/>
      <c r="L1135" s="443"/>
      <c r="M1135" s="443"/>
      <c r="N1135" s="443"/>
      <c r="O1135" s="443"/>
      <c r="P1135" s="443"/>
      <c r="Q1135" s="443"/>
      <c r="R1135" s="443"/>
      <c r="S1135" s="443"/>
      <c r="T1135" s="443"/>
      <c r="U1135" s="443"/>
      <c r="V1135" s="443"/>
      <c r="W1135" s="443"/>
      <c r="X1135" s="443"/>
      <c r="Y1135" s="443"/>
      <c r="Z1135" s="443"/>
      <c r="AA1135" s="443"/>
      <c r="AB1135" s="443"/>
      <c r="AC1135" s="443"/>
      <c r="AD1135" s="443"/>
      <c r="AE1135" s="443"/>
      <c r="AF1135" s="443"/>
      <c r="AG1135" s="443" t="s">
        <v>289</v>
      </c>
      <c r="AH1135" s="443" t="s">
        <v>289</v>
      </c>
      <c r="AI1135" s="443"/>
      <c r="AJ1135" s="443"/>
      <c r="AK1135" s="443"/>
      <c r="AL1135" s="443"/>
      <c r="AM1135" s="443"/>
      <c r="AN1135" s="443"/>
      <c r="AO1135" s="443"/>
      <c r="AP1135" s="443"/>
      <c r="AQ1135" s="443"/>
      <c r="AR1135" s="443"/>
      <c r="AS1135" s="443"/>
      <c r="AT1135" s="443"/>
      <c r="AU1135" s="443"/>
      <c r="AV1135" s="443"/>
      <c r="AW1135" s="443"/>
      <c r="AX1135" s="443"/>
      <c r="AY1135" s="443"/>
      <c r="AZ1135" s="443"/>
      <c r="BA1135" s="443"/>
      <c r="BB1135" s="443"/>
      <c r="BC1135" s="443"/>
      <c r="BD1135" s="443"/>
      <c r="BE1135" s="443"/>
    </row>
    <row r="1136">
      <c r="A1136" s="445" t="str">
        <f t="shared" si="5"/>
        <v/>
      </c>
      <c r="B1136" s="443"/>
      <c r="C1136" s="443"/>
      <c r="D1136" s="462"/>
      <c r="E1136" s="436" t="str">
        <f t="array" ref="E1136">IF(B1136=0,"",(J1136+K1136)/60)</f>
        <v/>
      </c>
      <c r="F1136" s="437" t="str">
        <f t="shared" si="1"/>
        <v/>
      </c>
      <c r="G1136" s="438" t="str">
        <f t="shared" si="9"/>
        <v/>
      </c>
      <c r="H1136" s="438" t="str">
        <f t="shared" si="3"/>
        <v/>
      </c>
      <c r="I1136" s="436" t="str">
        <f t="shared" si="11"/>
        <v/>
      </c>
      <c r="J1136" s="464"/>
      <c r="K1136" s="464"/>
      <c r="L1136" s="443"/>
      <c r="M1136" s="443"/>
      <c r="N1136" s="443"/>
      <c r="O1136" s="443"/>
      <c r="P1136" s="443"/>
      <c r="Q1136" s="443"/>
      <c r="R1136" s="443"/>
      <c r="S1136" s="443"/>
      <c r="T1136" s="443"/>
      <c r="U1136" s="443"/>
      <c r="V1136" s="443"/>
      <c r="W1136" s="443"/>
      <c r="X1136" s="443"/>
      <c r="Y1136" s="443"/>
      <c r="Z1136" s="443"/>
      <c r="AA1136" s="443"/>
      <c r="AB1136" s="443"/>
      <c r="AC1136" s="443"/>
      <c r="AD1136" s="443"/>
      <c r="AE1136" s="443"/>
      <c r="AF1136" s="443"/>
      <c r="AG1136" s="443" t="s">
        <v>289</v>
      </c>
      <c r="AH1136" s="443" t="s">
        <v>289</v>
      </c>
      <c r="AI1136" s="443"/>
      <c r="AJ1136" s="443"/>
      <c r="AK1136" s="443"/>
      <c r="AL1136" s="443"/>
      <c r="AM1136" s="443"/>
      <c r="AN1136" s="443"/>
      <c r="AO1136" s="443"/>
      <c r="AP1136" s="443"/>
      <c r="AQ1136" s="443"/>
      <c r="AR1136" s="443"/>
      <c r="AS1136" s="443"/>
      <c r="AT1136" s="443"/>
      <c r="AU1136" s="443"/>
      <c r="AV1136" s="443"/>
      <c r="AW1136" s="443"/>
      <c r="AX1136" s="443"/>
      <c r="AY1136" s="443"/>
      <c r="AZ1136" s="443"/>
      <c r="BA1136" s="443"/>
      <c r="BB1136" s="443"/>
      <c r="BC1136" s="443"/>
      <c r="BD1136" s="443"/>
      <c r="BE1136" s="443"/>
    </row>
    <row r="1137">
      <c r="A1137" s="445" t="str">
        <f t="shared" si="5"/>
        <v/>
      </c>
      <c r="B1137" s="443"/>
      <c r="C1137" s="443"/>
      <c r="D1137" s="462"/>
      <c r="E1137" s="436" t="str">
        <f t="array" ref="E1137">IF(B1137=0,"",(J1137+K1137)/60)</f>
        <v/>
      </c>
      <c r="F1137" s="437" t="str">
        <f t="shared" si="1"/>
        <v/>
      </c>
      <c r="G1137" s="438" t="str">
        <f t="shared" si="9"/>
        <v/>
      </c>
      <c r="H1137" s="438" t="str">
        <f t="shared" si="3"/>
        <v/>
      </c>
      <c r="I1137" s="436" t="str">
        <f t="shared" si="11"/>
        <v/>
      </c>
      <c r="J1137" s="464"/>
      <c r="K1137" s="464"/>
      <c r="L1137" s="443"/>
      <c r="M1137" s="443"/>
      <c r="N1137" s="443"/>
      <c r="O1137" s="443"/>
      <c r="P1137" s="443"/>
      <c r="Q1137" s="443"/>
      <c r="R1137" s="443"/>
      <c r="S1137" s="443"/>
      <c r="T1137" s="443"/>
      <c r="U1137" s="443"/>
      <c r="V1137" s="443"/>
      <c r="W1137" s="443"/>
      <c r="X1137" s="443"/>
      <c r="Y1137" s="443"/>
      <c r="Z1137" s="443"/>
      <c r="AA1137" s="443"/>
      <c r="AB1137" s="443"/>
      <c r="AC1137" s="443"/>
      <c r="AD1137" s="443"/>
      <c r="AE1137" s="443"/>
      <c r="AF1137" s="443"/>
      <c r="AG1137" s="443" t="s">
        <v>289</v>
      </c>
      <c r="AH1137" s="443" t="s">
        <v>289</v>
      </c>
      <c r="AI1137" s="443"/>
      <c r="AJ1137" s="443"/>
      <c r="AK1137" s="443"/>
      <c r="AL1137" s="443"/>
      <c r="AM1137" s="443"/>
      <c r="AN1137" s="443"/>
      <c r="AO1137" s="443"/>
      <c r="AP1137" s="443"/>
      <c r="AQ1137" s="443"/>
      <c r="AR1137" s="443"/>
      <c r="AS1137" s="443"/>
      <c r="AT1137" s="443"/>
      <c r="AU1137" s="443"/>
      <c r="AV1137" s="443"/>
      <c r="AW1137" s="443"/>
      <c r="AX1137" s="443"/>
      <c r="AY1137" s="443"/>
      <c r="AZ1137" s="443"/>
      <c r="BA1137" s="443"/>
      <c r="BB1137" s="443"/>
      <c r="BC1137" s="443"/>
      <c r="BD1137" s="443"/>
      <c r="BE1137" s="443"/>
    </row>
    <row r="1138">
      <c r="A1138" s="445" t="str">
        <f t="shared" si="5"/>
        <v/>
      </c>
      <c r="B1138" s="443"/>
      <c r="C1138" s="443"/>
      <c r="D1138" s="462"/>
      <c r="E1138" s="436" t="str">
        <f t="array" ref="E1138">IF(B1138=0,"",(J1138+K1138)/60)</f>
        <v/>
      </c>
      <c r="F1138" s="437" t="str">
        <f t="shared" si="1"/>
        <v/>
      </c>
      <c r="G1138" s="438" t="str">
        <f t="shared" si="9"/>
        <v/>
      </c>
      <c r="H1138" s="438" t="str">
        <f t="shared" si="3"/>
        <v/>
      </c>
      <c r="I1138" s="436" t="str">
        <f t="shared" si="11"/>
        <v/>
      </c>
      <c r="J1138" s="464"/>
      <c r="K1138" s="464"/>
      <c r="L1138" s="443"/>
      <c r="M1138" s="443"/>
      <c r="N1138" s="443"/>
      <c r="O1138" s="443"/>
      <c r="P1138" s="443"/>
      <c r="Q1138" s="443"/>
      <c r="R1138" s="443"/>
      <c r="S1138" s="443"/>
      <c r="T1138" s="443"/>
      <c r="U1138" s="443"/>
      <c r="V1138" s="443"/>
      <c r="W1138" s="443"/>
      <c r="X1138" s="443"/>
      <c r="Y1138" s="443"/>
      <c r="Z1138" s="443"/>
      <c r="AA1138" s="443"/>
      <c r="AB1138" s="443"/>
      <c r="AC1138" s="443"/>
      <c r="AD1138" s="443"/>
      <c r="AE1138" s="443"/>
      <c r="AF1138" s="443"/>
      <c r="AG1138" s="443" t="s">
        <v>289</v>
      </c>
      <c r="AH1138" s="443" t="s">
        <v>289</v>
      </c>
      <c r="AI1138" s="443"/>
      <c r="AJ1138" s="443"/>
      <c r="AK1138" s="443"/>
      <c r="AL1138" s="443"/>
      <c r="AM1138" s="443"/>
      <c r="AN1138" s="443"/>
      <c r="AO1138" s="443"/>
      <c r="AP1138" s="443"/>
      <c r="AQ1138" s="443"/>
      <c r="AR1138" s="443"/>
      <c r="AS1138" s="443"/>
      <c r="AT1138" s="443"/>
      <c r="AU1138" s="443"/>
      <c r="AV1138" s="443"/>
      <c r="AW1138" s="443"/>
      <c r="AX1138" s="443"/>
      <c r="AY1138" s="443"/>
      <c r="AZ1138" s="443"/>
      <c r="BA1138" s="443"/>
      <c r="BB1138" s="443"/>
      <c r="BC1138" s="443"/>
      <c r="BD1138" s="443"/>
      <c r="BE1138" s="443"/>
    </row>
    <row r="1139">
      <c r="A1139" s="445" t="str">
        <f t="shared" si="5"/>
        <v/>
      </c>
      <c r="B1139" s="443"/>
      <c r="C1139" s="443"/>
      <c r="D1139" s="462"/>
      <c r="E1139" s="436" t="str">
        <f t="array" ref="E1139">IF(B1139=0,"",(J1139+K1139)/60)</f>
        <v/>
      </c>
      <c r="F1139" s="437" t="str">
        <f t="shared" si="1"/>
        <v/>
      </c>
      <c r="G1139" s="438" t="str">
        <f t="shared" si="9"/>
        <v/>
      </c>
      <c r="H1139" s="438" t="str">
        <f t="shared" si="3"/>
        <v/>
      </c>
      <c r="I1139" s="436" t="str">
        <f t="shared" si="11"/>
        <v/>
      </c>
      <c r="J1139" s="464"/>
      <c r="K1139" s="464"/>
      <c r="L1139" s="443"/>
      <c r="M1139" s="443"/>
      <c r="N1139" s="443"/>
      <c r="O1139" s="443"/>
      <c r="P1139" s="443"/>
      <c r="Q1139" s="443"/>
      <c r="R1139" s="443"/>
      <c r="S1139" s="443"/>
      <c r="T1139" s="443"/>
      <c r="U1139" s="443"/>
      <c r="V1139" s="443"/>
      <c r="W1139" s="443"/>
      <c r="X1139" s="443"/>
      <c r="Y1139" s="443"/>
      <c r="Z1139" s="443"/>
      <c r="AA1139" s="443"/>
      <c r="AB1139" s="443"/>
      <c r="AC1139" s="443"/>
      <c r="AD1139" s="443"/>
      <c r="AE1139" s="443"/>
      <c r="AF1139" s="443"/>
      <c r="AG1139" s="443" t="s">
        <v>289</v>
      </c>
      <c r="AH1139" s="443" t="s">
        <v>289</v>
      </c>
      <c r="AI1139" s="443"/>
      <c r="AJ1139" s="443"/>
      <c r="AK1139" s="443"/>
      <c r="AL1139" s="443"/>
      <c r="AM1139" s="443"/>
      <c r="AN1139" s="443"/>
      <c r="AO1139" s="443"/>
      <c r="AP1139" s="443"/>
      <c r="AQ1139" s="443"/>
      <c r="AR1139" s="443"/>
      <c r="AS1139" s="443"/>
      <c r="AT1139" s="443"/>
      <c r="AU1139" s="443"/>
      <c r="AV1139" s="443"/>
      <c r="AW1139" s="443"/>
      <c r="AX1139" s="443"/>
      <c r="AY1139" s="443"/>
      <c r="AZ1139" s="443"/>
      <c r="BA1139" s="443"/>
      <c r="BB1139" s="443"/>
      <c r="BC1139" s="443"/>
      <c r="BD1139" s="443"/>
      <c r="BE1139" s="443"/>
    </row>
    <row r="1140">
      <c r="A1140" s="445" t="str">
        <f t="shared" si="5"/>
        <v/>
      </c>
      <c r="B1140" s="443"/>
      <c r="C1140" s="443"/>
      <c r="D1140" s="462"/>
      <c r="E1140" s="436" t="str">
        <f t="array" ref="E1140">IF(B1140=0,"",(J1140+K1140)/60)</f>
        <v/>
      </c>
      <c r="F1140" s="437" t="str">
        <f t="shared" si="1"/>
        <v/>
      </c>
      <c r="G1140" s="438" t="str">
        <f t="shared" si="9"/>
        <v/>
      </c>
      <c r="H1140" s="438" t="str">
        <f t="shared" si="3"/>
        <v/>
      </c>
      <c r="I1140" s="436" t="str">
        <f t="shared" si="11"/>
        <v/>
      </c>
      <c r="J1140" s="464"/>
      <c r="K1140" s="464"/>
      <c r="L1140" s="443"/>
      <c r="M1140" s="443"/>
      <c r="N1140" s="443"/>
      <c r="O1140" s="443"/>
      <c r="P1140" s="443"/>
      <c r="Q1140" s="443"/>
      <c r="R1140" s="443"/>
      <c r="S1140" s="443"/>
      <c r="T1140" s="443"/>
      <c r="U1140" s="443"/>
      <c r="V1140" s="443"/>
      <c r="W1140" s="443"/>
      <c r="X1140" s="443"/>
      <c r="Y1140" s="443"/>
      <c r="Z1140" s="443"/>
      <c r="AA1140" s="443"/>
      <c r="AB1140" s="443"/>
      <c r="AC1140" s="443"/>
      <c r="AD1140" s="443"/>
      <c r="AE1140" s="443"/>
      <c r="AF1140" s="443"/>
      <c r="AG1140" s="443" t="s">
        <v>289</v>
      </c>
      <c r="AH1140" s="443" t="s">
        <v>289</v>
      </c>
      <c r="AI1140" s="443"/>
      <c r="AJ1140" s="443"/>
      <c r="AK1140" s="443"/>
      <c r="AL1140" s="443"/>
      <c r="AM1140" s="443"/>
      <c r="AN1140" s="443"/>
      <c r="AO1140" s="443"/>
      <c r="AP1140" s="443"/>
      <c r="AQ1140" s="443"/>
      <c r="AR1140" s="443"/>
      <c r="AS1140" s="443"/>
      <c r="AT1140" s="443"/>
      <c r="AU1140" s="443"/>
      <c r="AV1140" s="443"/>
      <c r="AW1140" s="443"/>
      <c r="AX1140" s="443"/>
      <c r="AY1140" s="443"/>
      <c r="AZ1140" s="443"/>
      <c r="BA1140" s="443"/>
      <c r="BB1140" s="443"/>
      <c r="BC1140" s="443"/>
      <c r="BD1140" s="443"/>
      <c r="BE1140" s="443"/>
    </row>
    <row r="1141">
      <c r="A1141" s="445" t="str">
        <f t="shared" si="5"/>
        <v/>
      </c>
      <c r="B1141" s="443"/>
      <c r="C1141" s="443"/>
      <c r="D1141" s="462"/>
      <c r="E1141" s="436" t="str">
        <f t="array" ref="E1141">IF(B1141=0,"",(J1141+K1141)/60)</f>
        <v/>
      </c>
      <c r="F1141" s="437" t="str">
        <f t="shared" si="1"/>
        <v/>
      </c>
      <c r="G1141" s="438" t="str">
        <f t="shared" si="9"/>
        <v/>
      </c>
      <c r="H1141" s="438" t="str">
        <f t="shared" si="3"/>
        <v/>
      </c>
      <c r="I1141" s="436" t="str">
        <f t="shared" si="11"/>
        <v/>
      </c>
      <c r="J1141" s="464"/>
      <c r="K1141" s="464"/>
      <c r="L1141" s="443"/>
      <c r="M1141" s="443"/>
      <c r="N1141" s="443"/>
      <c r="O1141" s="443"/>
      <c r="P1141" s="443"/>
      <c r="Q1141" s="443"/>
      <c r="R1141" s="443"/>
      <c r="S1141" s="443"/>
      <c r="T1141" s="443"/>
      <c r="U1141" s="443"/>
      <c r="V1141" s="443"/>
      <c r="W1141" s="443"/>
      <c r="X1141" s="443"/>
      <c r="Y1141" s="443"/>
      <c r="Z1141" s="443"/>
      <c r="AA1141" s="443"/>
      <c r="AB1141" s="443"/>
      <c r="AC1141" s="443"/>
      <c r="AD1141" s="443"/>
      <c r="AE1141" s="443"/>
      <c r="AF1141" s="443"/>
      <c r="AG1141" s="443" t="s">
        <v>289</v>
      </c>
      <c r="AH1141" s="443" t="s">
        <v>289</v>
      </c>
      <c r="AI1141" s="443"/>
      <c r="AJ1141" s="443"/>
      <c r="AK1141" s="443"/>
      <c r="AL1141" s="443"/>
      <c r="AM1141" s="443"/>
      <c r="AN1141" s="443"/>
      <c r="AO1141" s="443"/>
      <c r="AP1141" s="443"/>
      <c r="AQ1141" s="443"/>
      <c r="AR1141" s="443"/>
      <c r="AS1141" s="443"/>
      <c r="AT1141" s="443"/>
      <c r="AU1141" s="443"/>
      <c r="AV1141" s="443"/>
      <c r="AW1141" s="443"/>
      <c r="AX1141" s="443"/>
      <c r="AY1141" s="443"/>
      <c r="AZ1141" s="443"/>
      <c r="BA1141" s="443"/>
      <c r="BB1141" s="443"/>
      <c r="BC1141" s="443"/>
      <c r="BD1141" s="443"/>
      <c r="BE1141" s="443"/>
    </row>
    <row r="1142">
      <c r="A1142" s="445" t="str">
        <f t="shared" si="5"/>
        <v/>
      </c>
      <c r="B1142" s="443"/>
      <c r="C1142" s="443"/>
      <c r="D1142" s="462"/>
      <c r="E1142" s="436" t="str">
        <f t="array" ref="E1142">IF(B1142=0,"",(J1142+K1142)/60)</f>
        <v/>
      </c>
      <c r="F1142" s="437" t="str">
        <f t="shared" si="1"/>
        <v/>
      </c>
      <c r="G1142" s="438" t="str">
        <f t="shared" si="9"/>
        <v/>
      </c>
      <c r="H1142" s="438" t="str">
        <f t="shared" si="3"/>
        <v/>
      </c>
      <c r="I1142" s="436" t="str">
        <f t="shared" si="11"/>
        <v/>
      </c>
      <c r="J1142" s="464"/>
      <c r="K1142" s="464"/>
      <c r="L1142" s="443"/>
      <c r="M1142" s="443"/>
      <c r="N1142" s="443"/>
      <c r="O1142" s="443"/>
      <c r="P1142" s="443"/>
      <c r="Q1142" s="443"/>
      <c r="R1142" s="443"/>
      <c r="S1142" s="443"/>
      <c r="T1142" s="443"/>
      <c r="U1142" s="443"/>
      <c r="V1142" s="443"/>
      <c r="W1142" s="443"/>
      <c r="X1142" s="443"/>
      <c r="Y1142" s="443"/>
      <c r="Z1142" s="443"/>
      <c r="AA1142" s="443"/>
      <c r="AB1142" s="443"/>
      <c r="AC1142" s="443"/>
      <c r="AD1142" s="443"/>
      <c r="AE1142" s="443"/>
      <c r="AF1142" s="443"/>
      <c r="AG1142" s="443" t="s">
        <v>289</v>
      </c>
      <c r="AH1142" s="443" t="s">
        <v>289</v>
      </c>
      <c r="AI1142" s="443"/>
      <c r="AJ1142" s="443"/>
      <c r="AK1142" s="443"/>
      <c r="AL1142" s="443"/>
      <c r="AM1142" s="443"/>
      <c r="AN1142" s="443"/>
      <c r="AO1142" s="443"/>
      <c r="AP1142" s="443"/>
      <c r="AQ1142" s="443"/>
      <c r="AR1142" s="443"/>
      <c r="AS1142" s="443"/>
      <c r="AT1142" s="443"/>
      <c r="AU1142" s="443"/>
      <c r="AV1142" s="443"/>
      <c r="AW1142" s="443"/>
      <c r="AX1142" s="443"/>
      <c r="AY1142" s="443"/>
      <c r="AZ1142" s="443"/>
      <c r="BA1142" s="443"/>
      <c r="BB1142" s="443"/>
      <c r="BC1142" s="443"/>
      <c r="BD1142" s="443"/>
      <c r="BE1142" s="443"/>
    </row>
    <row r="1143">
      <c r="A1143" s="445" t="str">
        <f t="shared" si="5"/>
        <v/>
      </c>
      <c r="B1143" s="443"/>
      <c r="C1143" s="443"/>
      <c r="D1143" s="462"/>
      <c r="E1143" s="436" t="str">
        <f t="array" ref="E1143">IF(B1143=0,"",(J1143+K1143)/60)</f>
        <v/>
      </c>
      <c r="F1143" s="437" t="str">
        <f t="shared" si="1"/>
        <v/>
      </c>
      <c r="G1143" s="438" t="str">
        <f t="shared" si="9"/>
        <v/>
      </c>
      <c r="H1143" s="438" t="str">
        <f t="shared" si="3"/>
        <v/>
      </c>
      <c r="I1143" s="436" t="str">
        <f t="shared" si="11"/>
        <v/>
      </c>
      <c r="J1143" s="464"/>
      <c r="K1143" s="464"/>
      <c r="L1143" s="443"/>
      <c r="M1143" s="443"/>
      <c r="N1143" s="443"/>
      <c r="O1143" s="443"/>
      <c r="P1143" s="443"/>
      <c r="Q1143" s="443"/>
      <c r="R1143" s="443"/>
      <c r="S1143" s="443"/>
      <c r="T1143" s="443"/>
      <c r="U1143" s="443"/>
      <c r="V1143" s="443"/>
      <c r="W1143" s="443"/>
      <c r="X1143" s="443"/>
      <c r="Y1143" s="443"/>
      <c r="Z1143" s="443"/>
      <c r="AA1143" s="443"/>
      <c r="AB1143" s="443"/>
      <c r="AC1143" s="443"/>
      <c r="AD1143" s="443"/>
      <c r="AE1143" s="443"/>
      <c r="AF1143" s="443"/>
      <c r="AG1143" s="443" t="s">
        <v>289</v>
      </c>
      <c r="AH1143" s="443" t="s">
        <v>289</v>
      </c>
      <c r="AI1143" s="443"/>
      <c r="AJ1143" s="443"/>
      <c r="AK1143" s="443"/>
      <c r="AL1143" s="443"/>
      <c r="AM1143" s="443"/>
      <c r="AN1143" s="443"/>
      <c r="AO1143" s="443"/>
      <c r="AP1143" s="443"/>
      <c r="AQ1143" s="443"/>
      <c r="AR1143" s="443"/>
      <c r="AS1143" s="443"/>
      <c r="AT1143" s="443"/>
      <c r="AU1143" s="443"/>
      <c r="AV1143" s="443"/>
      <c r="AW1143" s="443"/>
      <c r="AX1143" s="443"/>
      <c r="AY1143" s="443"/>
      <c r="AZ1143" s="443"/>
      <c r="BA1143" s="443"/>
      <c r="BB1143" s="443"/>
      <c r="BC1143" s="443"/>
      <c r="BD1143" s="443"/>
      <c r="BE1143" s="443"/>
    </row>
    <row r="1144">
      <c r="A1144" s="445" t="str">
        <f t="shared" si="5"/>
        <v/>
      </c>
      <c r="B1144" s="443"/>
      <c r="C1144" s="443"/>
      <c r="D1144" s="462"/>
      <c r="E1144" s="436" t="str">
        <f t="array" ref="E1144">IF(B1144=0,"",(J1144+K1144)/60)</f>
        <v/>
      </c>
      <c r="F1144" s="437" t="str">
        <f t="shared" si="1"/>
        <v/>
      </c>
      <c r="G1144" s="438" t="str">
        <f t="shared" si="9"/>
        <v/>
      </c>
      <c r="H1144" s="438" t="str">
        <f t="shared" si="3"/>
        <v/>
      </c>
      <c r="I1144" s="436" t="str">
        <f t="shared" si="11"/>
        <v/>
      </c>
      <c r="J1144" s="464"/>
      <c r="K1144" s="464"/>
      <c r="L1144" s="443"/>
      <c r="M1144" s="443"/>
      <c r="N1144" s="443"/>
      <c r="O1144" s="443"/>
      <c r="P1144" s="443"/>
      <c r="Q1144" s="443"/>
      <c r="R1144" s="443"/>
      <c r="S1144" s="443"/>
      <c r="T1144" s="443"/>
      <c r="U1144" s="443"/>
      <c r="V1144" s="443"/>
      <c r="W1144" s="443"/>
      <c r="X1144" s="443"/>
      <c r="Y1144" s="443"/>
      <c r="Z1144" s="443"/>
      <c r="AA1144" s="443"/>
      <c r="AB1144" s="443"/>
      <c r="AC1144" s="443"/>
      <c r="AD1144" s="443"/>
      <c r="AE1144" s="443"/>
      <c r="AF1144" s="443"/>
      <c r="AG1144" s="443" t="s">
        <v>289</v>
      </c>
      <c r="AH1144" s="443" t="s">
        <v>289</v>
      </c>
      <c r="AI1144" s="443"/>
      <c r="AJ1144" s="443"/>
      <c r="AK1144" s="443"/>
      <c r="AL1144" s="443"/>
      <c r="AM1144" s="443"/>
      <c r="AN1144" s="443"/>
      <c r="AO1144" s="443"/>
      <c r="AP1144" s="443"/>
      <c r="AQ1144" s="443"/>
      <c r="AR1144" s="443"/>
      <c r="AS1144" s="443"/>
      <c r="AT1144" s="443"/>
      <c r="AU1144" s="443"/>
      <c r="AV1144" s="443"/>
      <c r="AW1144" s="443"/>
      <c r="AX1144" s="443"/>
      <c r="AY1144" s="443"/>
      <c r="AZ1144" s="443"/>
      <c r="BA1144" s="443"/>
      <c r="BB1144" s="443"/>
      <c r="BC1144" s="443"/>
      <c r="BD1144" s="443"/>
      <c r="BE1144" s="443"/>
    </row>
    <row r="1145">
      <c r="A1145" s="445" t="str">
        <f t="shared" si="5"/>
        <v/>
      </c>
      <c r="B1145" s="443"/>
      <c r="C1145" s="443"/>
      <c r="D1145" s="462"/>
      <c r="E1145" s="436" t="str">
        <f t="array" ref="E1145">IF(B1145=0,"",(J1145+K1145)/60)</f>
        <v/>
      </c>
      <c r="F1145" s="437" t="str">
        <f t="shared" si="1"/>
        <v/>
      </c>
      <c r="G1145" s="438" t="str">
        <f t="shared" si="9"/>
        <v/>
      </c>
      <c r="H1145" s="438" t="str">
        <f t="shared" si="3"/>
        <v/>
      </c>
      <c r="I1145" s="436" t="str">
        <f t="shared" si="11"/>
        <v/>
      </c>
      <c r="J1145" s="464"/>
      <c r="K1145" s="464"/>
      <c r="L1145" s="443"/>
      <c r="M1145" s="443"/>
      <c r="N1145" s="443"/>
      <c r="O1145" s="443"/>
      <c r="P1145" s="443"/>
      <c r="Q1145" s="443"/>
      <c r="R1145" s="443"/>
      <c r="S1145" s="443"/>
      <c r="T1145" s="443"/>
      <c r="U1145" s="443"/>
      <c r="V1145" s="443"/>
      <c r="W1145" s="443"/>
      <c r="X1145" s="443"/>
      <c r="Y1145" s="443"/>
      <c r="Z1145" s="443"/>
      <c r="AA1145" s="443"/>
      <c r="AB1145" s="443"/>
      <c r="AC1145" s="443"/>
      <c r="AD1145" s="443"/>
      <c r="AE1145" s="443"/>
      <c r="AF1145" s="443"/>
      <c r="AG1145" s="443" t="s">
        <v>289</v>
      </c>
      <c r="AH1145" s="443" t="s">
        <v>289</v>
      </c>
      <c r="AI1145" s="443"/>
      <c r="AJ1145" s="443"/>
      <c r="AK1145" s="443"/>
      <c r="AL1145" s="443"/>
      <c r="AM1145" s="443"/>
      <c r="AN1145" s="443"/>
      <c r="AO1145" s="443"/>
      <c r="AP1145" s="443"/>
      <c r="AQ1145" s="443"/>
      <c r="AR1145" s="443"/>
      <c r="AS1145" s="443"/>
      <c r="AT1145" s="443"/>
      <c r="AU1145" s="443"/>
      <c r="AV1145" s="443"/>
      <c r="AW1145" s="443"/>
      <c r="AX1145" s="443"/>
      <c r="AY1145" s="443"/>
      <c r="AZ1145" s="443"/>
      <c r="BA1145" s="443"/>
      <c r="BB1145" s="443"/>
      <c r="BC1145" s="443"/>
      <c r="BD1145" s="443"/>
      <c r="BE1145" s="443"/>
    </row>
    <row r="1146">
      <c r="A1146" s="445" t="str">
        <f t="shared" si="5"/>
        <v/>
      </c>
      <c r="B1146" s="443"/>
      <c r="C1146" s="443"/>
      <c r="D1146" s="462"/>
      <c r="E1146" s="436" t="str">
        <f t="array" ref="E1146">IF(B1146=0,"",(J1146+K1146)/60)</f>
        <v/>
      </c>
      <c r="F1146" s="437" t="str">
        <f t="shared" si="1"/>
        <v/>
      </c>
      <c r="G1146" s="438" t="str">
        <f t="shared" si="9"/>
        <v/>
      </c>
      <c r="H1146" s="438" t="str">
        <f t="shared" si="3"/>
        <v/>
      </c>
      <c r="I1146" s="436" t="str">
        <f t="shared" si="11"/>
        <v/>
      </c>
      <c r="J1146" s="464"/>
      <c r="K1146" s="464"/>
      <c r="L1146" s="443"/>
      <c r="M1146" s="443"/>
      <c r="N1146" s="443"/>
      <c r="O1146" s="443"/>
      <c r="P1146" s="443"/>
      <c r="Q1146" s="443"/>
      <c r="R1146" s="443"/>
      <c r="S1146" s="443"/>
      <c r="T1146" s="443"/>
      <c r="U1146" s="443"/>
      <c r="V1146" s="443"/>
      <c r="W1146" s="443"/>
      <c r="X1146" s="443"/>
      <c r="Y1146" s="443"/>
      <c r="Z1146" s="443"/>
      <c r="AA1146" s="443"/>
      <c r="AB1146" s="443"/>
      <c r="AC1146" s="443"/>
      <c r="AD1146" s="443"/>
      <c r="AE1146" s="443"/>
      <c r="AF1146" s="443"/>
      <c r="AG1146" s="443" t="s">
        <v>289</v>
      </c>
      <c r="AH1146" s="443" t="s">
        <v>289</v>
      </c>
      <c r="AI1146" s="443"/>
      <c r="AJ1146" s="443"/>
      <c r="AK1146" s="443"/>
      <c r="AL1146" s="443"/>
      <c r="AM1146" s="443"/>
      <c r="AN1146" s="443"/>
      <c r="AO1146" s="443"/>
      <c r="AP1146" s="443"/>
      <c r="AQ1146" s="443"/>
      <c r="AR1146" s="443"/>
      <c r="AS1146" s="443"/>
      <c r="AT1146" s="443"/>
      <c r="AU1146" s="443"/>
      <c r="AV1146" s="443"/>
      <c r="AW1146" s="443"/>
      <c r="AX1146" s="443"/>
      <c r="AY1146" s="443"/>
      <c r="AZ1146" s="443"/>
      <c r="BA1146" s="443"/>
      <c r="BB1146" s="443"/>
      <c r="BC1146" s="443"/>
      <c r="BD1146" s="443"/>
      <c r="BE1146" s="443"/>
    </row>
    <row r="1147">
      <c r="A1147" s="445" t="str">
        <f t="shared" si="5"/>
        <v/>
      </c>
      <c r="B1147" s="443"/>
      <c r="C1147" s="443"/>
      <c r="D1147" s="462"/>
      <c r="E1147" s="436" t="str">
        <f t="array" ref="E1147">IF(B1147=0,"",(J1147+K1147)/60)</f>
        <v/>
      </c>
      <c r="F1147" s="437" t="str">
        <f t="shared" si="1"/>
        <v/>
      </c>
      <c r="G1147" s="438" t="str">
        <f t="shared" si="9"/>
        <v/>
      </c>
      <c r="H1147" s="438" t="str">
        <f t="shared" si="3"/>
        <v/>
      </c>
      <c r="I1147" s="436" t="str">
        <f t="shared" si="11"/>
        <v/>
      </c>
      <c r="J1147" s="464"/>
      <c r="K1147" s="464"/>
      <c r="L1147" s="443"/>
      <c r="M1147" s="443"/>
      <c r="N1147" s="443"/>
      <c r="O1147" s="443"/>
      <c r="P1147" s="443"/>
      <c r="Q1147" s="443"/>
      <c r="R1147" s="443"/>
      <c r="S1147" s="443"/>
      <c r="T1147" s="443"/>
      <c r="U1147" s="443"/>
      <c r="V1147" s="443"/>
      <c r="W1147" s="443"/>
      <c r="X1147" s="443"/>
      <c r="Y1147" s="443"/>
      <c r="Z1147" s="443"/>
      <c r="AA1147" s="443"/>
      <c r="AB1147" s="443"/>
      <c r="AC1147" s="443"/>
      <c r="AD1147" s="443"/>
      <c r="AE1147" s="443"/>
      <c r="AF1147" s="443"/>
      <c r="AG1147" s="443" t="s">
        <v>289</v>
      </c>
      <c r="AH1147" s="443" t="s">
        <v>289</v>
      </c>
      <c r="AI1147" s="443"/>
      <c r="AJ1147" s="443"/>
      <c r="AK1147" s="443"/>
      <c r="AL1147" s="443"/>
      <c r="AM1147" s="443"/>
      <c r="AN1147" s="443"/>
      <c r="AO1147" s="443"/>
      <c r="AP1147" s="443"/>
      <c r="AQ1147" s="443"/>
      <c r="AR1147" s="443"/>
      <c r="AS1147" s="443"/>
      <c r="AT1147" s="443"/>
      <c r="AU1147" s="443"/>
      <c r="AV1147" s="443"/>
      <c r="AW1147" s="443"/>
      <c r="AX1147" s="443"/>
      <c r="AY1147" s="443"/>
      <c r="AZ1147" s="443"/>
      <c r="BA1147" s="443"/>
      <c r="BB1147" s="443"/>
      <c r="BC1147" s="443"/>
      <c r="BD1147" s="443"/>
      <c r="BE1147" s="443"/>
    </row>
    <row r="1148">
      <c r="A1148" s="445" t="str">
        <f t="shared" si="5"/>
        <v/>
      </c>
      <c r="B1148" s="443"/>
      <c r="C1148" s="443"/>
      <c r="D1148" s="462"/>
      <c r="E1148" s="436" t="str">
        <f t="array" ref="E1148">IF(B1148=0,"",(J1148+K1148)/60)</f>
        <v/>
      </c>
      <c r="F1148" s="437" t="str">
        <f t="shared" si="1"/>
        <v/>
      </c>
      <c r="G1148" s="438" t="str">
        <f t="shared" si="9"/>
        <v/>
      </c>
      <c r="H1148" s="438" t="str">
        <f t="shared" si="3"/>
        <v/>
      </c>
      <c r="I1148" s="436" t="str">
        <f t="shared" si="11"/>
        <v/>
      </c>
      <c r="J1148" s="464"/>
      <c r="K1148" s="464"/>
      <c r="L1148" s="443"/>
      <c r="M1148" s="443"/>
      <c r="N1148" s="443"/>
      <c r="O1148" s="443"/>
      <c r="P1148" s="443"/>
      <c r="Q1148" s="443"/>
      <c r="R1148" s="443"/>
      <c r="S1148" s="443"/>
      <c r="T1148" s="443"/>
      <c r="U1148" s="443"/>
      <c r="V1148" s="443"/>
      <c r="W1148" s="443"/>
      <c r="X1148" s="443"/>
      <c r="Y1148" s="443"/>
      <c r="Z1148" s="443"/>
      <c r="AA1148" s="443"/>
      <c r="AB1148" s="443"/>
      <c r="AC1148" s="443"/>
      <c r="AD1148" s="443"/>
      <c r="AE1148" s="443"/>
      <c r="AF1148" s="443"/>
      <c r="AG1148" s="443" t="s">
        <v>289</v>
      </c>
      <c r="AH1148" s="443" t="s">
        <v>289</v>
      </c>
      <c r="AI1148" s="443"/>
      <c r="AJ1148" s="443"/>
      <c r="AK1148" s="443"/>
      <c r="AL1148" s="443"/>
      <c r="AM1148" s="443"/>
      <c r="AN1148" s="443"/>
      <c r="AO1148" s="443"/>
      <c r="AP1148" s="443"/>
      <c r="AQ1148" s="443"/>
      <c r="AR1148" s="443"/>
      <c r="AS1148" s="443"/>
      <c r="AT1148" s="443"/>
      <c r="AU1148" s="443"/>
      <c r="AV1148" s="443"/>
      <c r="AW1148" s="443"/>
      <c r="AX1148" s="443"/>
      <c r="AY1148" s="443"/>
      <c r="AZ1148" s="443"/>
      <c r="BA1148" s="443"/>
      <c r="BB1148" s="443"/>
      <c r="BC1148" s="443"/>
      <c r="BD1148" s="443"/>
      <c r="BE1148" s="443"/>
    </row>
    <row r="1149">
      <c r="A1149" s="445" t="str">
        <f t="shared" si="5"/>
        <v/>
      </c>
      <c r="B1149" s="443"/>
      <c r="C1149" s="443"/>
      <c r="D1149" s="462"/>
      <c r="E1149" s="436" t="str">
        <f t="array" ref="E1149">IF(B1149=0,"",(J1149+K1149)/60)</f>
        <v/>
      </c>
      <c r="F1149" s="437" t="str">
        <f t="shared" si="1"/>
        <v/>
      </c>
      <c r="G1149" s="438" t="str">
        <f t="shared" si="9"/>
        <v/>
      </c>
      <c r="H1149" s="438" t="str">
        <f t="shared" si="3"/>
        <v/>
      </c>
      <c r="I1149" s="436" t="str">
        <f t="shared" si="11"/>
        <v/>
      </c>
      <c r="J1149" s="464"/>
      <c r="K1149" s="464"/>
      <c r="L1149" s="443"/>
      <c r="M1149" s="443"/>
      <c r="N1149" s="443"/>
      <c r="O1149" s="443"/>
      <c r="P1149" s="443"/>
      <c r="Q1149" s="443"/>
      <c r="R1149" s="443"/>
      <c r="S1149" s="443"/>
      <c r="T1149" s="443"/>
      <c r="U1149" s="443"/>
      <c r="V1149" s="443"/>
      <c r="W1149" s="443"/>
      <c r="X1149" s="443"/>
      <c r="Y1149" s="443"/>
      <c r="Z1149" s="443"/>
      <c r="AA1149" s="443"/>
      <c r="AB1149" s="443"/>
      <c r="AC1149" s="443"/>
      <c r="AD1149" s="443"/>
      <c r="AE1149" s="443"/>
      <c r="AF1149" s="443"/>
      <c r="AG1149" s="443" t="s">
        <v>289</v>
      </c>
      <c r="AH1149" s="443" t="s">
        <v>289</v>
      </c>
      <c r="AI1149" s="443"/>
      <c r="AJ1149" s="443"/>
      <c r="AK1149" s="443"/>
      <c r="AL1149" s="443"/>
      <c r="AM1149" s="443"/>
      <c r="AN1149" s="443"/>
      <c r="AO1149" s="443"/>
      <c r="AP1149" s="443"/>
      <c r="AQ1149" s="443"/>
      <c r="AR1149" s="443"/>
      <c r="AS1149" s="443"/>
      <c r="AT1149" s="443"/>
      <c r="AU1149" s="443"/>
      <c r="AV1149" s="443"/>
      <c r="AW1149" s="443"/>
      <c r="AX1149" s="443"/>
      <c r="AY1149" s="443"/>
      <c r="AZ1149" s="443"/>
      <c r="BA1149" s="443"/>
      <c r="BB1149" s="443"/>
      <c r="BC1149" s="443"/>
      <c r="BD1149" s="443"/>
      <c r="BE1149" s="443"/>
    </row>
    <row r="1150">
      <c r="A1150" s="445" t="str">
        <f t="shared" si="5"/>
        <v/>
      </c>
      <c r="B1150" s="443"/>
      <c r="C1150" s="443"/>
      <c r="D1150" s="462"/>
      <c r="E1150" s="436" t="str">
        <f t="array" ref="E1150">IF(B1150=0,"",(J1150+K1150)/60)</f>
        <v/>
      </c>
      <c r="F1150" s="437" t="str">
        <f t="shared" si="1"/>
        <v/>
      </c>
      <c r="G1150" s="438" t="str">
        <f t="shared" si="9"/>
        <v/>
      </c>
      <c r="H1150" s="438" t="str">
        <f t="shared" si="3"/>
        <v/>
      </c>
      <c r="I1150" s="436" t="str">
        <f t="shared" si="11"/>
        <v/>
      </c>
      <c r="J1150" s="464"/>
      <c r="K1150" s="464"/>
      <c r="L1150" s="443"/>
      <c r="M1150" s="443"/>
      <c r="N1150" s="443"/>
      <c r="O1150" s="443"/>
      <c r="P1150" s="443"/>
      <c r="Q1150" s="443"/>
      <c r="R1150" s="443"/>
      <c r="S1150" s="443"/>
      <c r="T1150" s="443"/>
      <c r="U1150" s="443"/>
      <c r="V1150" s="443"/>
      <c r="W1150" s="443"/>
      <c r="X1150" s="443"/>
      <c r="Y1150" s="443"/>
      <c r="Z1150" s="443"/>
      <c r="AA1150" s="443"/>
      <c r="AB1150" s="443"/>
      <c r="AC1150" s="443"/>
      <c r="AD1150" s="443"/>
      <c r="AE1150" s="443"/>
      <c r="AF1150" s="443"/>
      <c r="AG1150" s="443" t="s">
        <v>289</v>
      </c>
      <c r="AH1150" s="443" t="s">
        <v>289</v>
      </c>
      <c r="AI1150" s="443"/>
      <c r="AJ1150" s="443"/>
      <c r="AK1150" s="443"/>
      <c r="AL1150" s="443"/>
      <c r="AM1150" s="443"/>
      <c r="AN1150" s="443"/>
      <c r="AO1150" s="443"/>
      <c r="AP1150" s="443"/>
      <c r="AQ1150" s="443"/>
      <c r="AR1150" s="443"/>
      <c r="AS1150" s="443"/>
      <c r="AT1150" s="443"/>
      <c r="AU1150" s="443"/>
      <c r="AV1150" s="443"/>
      <c r="AW1150" s="443"/>
      <c r="AX1150" s="443"/>
      <c r="AY1150" s="443"/>
      <c r="AZ1150" s="443"/>
      <c r="BA1150" s="443"/>
      <c r="BB1150" s="443"/>
      <c r="BC1150" s="443"/>
      <c r="BD1150" s="443"/>
      <c r="BE1150" s="443"/>
    </row>
    <row r="1151">
      <c r="A1151" s="445" t="str">
        <f t="shared" si="5"/>
        <v/>
      </c>
      <c r="B1151" s="443"/>
      <c r="C1151" s="443"/>
      <c r="D1151" s="462"/>
      <c r="E1151" s="436" t="str">
        <f t="array" ref="E1151">IF(B1151=0,"",(J1151+K1151)/60)</f>
        <v/>
      </c>
      <c r="F1151" s="437" t="str">
        <f t="shared" si="1"/>
        <v/>
      </c>
      <c r="G1151" s="438" t="str">
        <f t="shared" si="9"/>
        <v/>
      </c>
      <c r="H1151" s="438" t="str">
        <f t="shared" si="3"/>
        <v/>
      </c>
      <c r="I1151" s="436" t="str">
        <f t="shared" si="11"/>
        <v/>
      </c>
      <c r="J1151" s="464"/>
      <c r="K1151" s="464"/>
      <c r="L1151" s="443"/>
      <c r="M1151" s="443"/>
      <c r="N1151" s="443"/>
      <c r="O1151" s="443"/>
      <c r="P1151" s="443"/>
      <c r="Q1151" s="443"/>
      <c r="R1151" s="443"/>
      <c r="S1151" s="443"/>
      <c r="T1151" s="443"/>
      <c r="U1151" s="443"/>
      <c r="V1151" s="443"/>
      <c r="W1151" s="443"/>
      <c r="X1151" s="443"/>
      <c r="Y1151" s="443"/>
      <c r="Z1151" s="443"/>
      <c r="AA1151" s="443"/>
      <c r="AB1151" s="443"/>
      <c r="AC1151" s="443"/>
      <c r="AD1151" s="443"/>
      <c r="AE1151" s="443"/>
      <c r="AF1151" s="443"/>
      <c r="AG1151" s="443" t="s">
        <v>289</v>
      </c>
      <c r="AH1151" s="443" t="s">
        <v>289</v>
      </c>
      <c r="AI1151" s="443"/>
      <c r="AJ1151" s="443"/>
      <c r="AK1151" s="443"/>
      <c r="AL1151" s="443"/>
      <c r="AM1151" s="443"/>
      <c r="AN1151" s="443"/>
      <c r="AO1151" s="443"/>
      <c r="AP1151" s="443"/>
      <c r="AQ1151" s="443"/>
      <c r="AR1151" s="443"/>
      <c r="AS1151" s="443"/>
      <c r="AT1151" s="443"/>
      <c r="AU1151" s="443"/>
      <c r="AV1151" s="443"/>
      <c r="AW1151" s="443"/>
      <c r="AX1151" s="443"/>
      <c r="AY1151" s="443"/>
      <c r="AZ1151" s="443"/>
      <c r="BA1151" s="443"/>
      <c r="BB1151" s="443"/>
      <c r="BC1151" s="443"/>
      <c r="BD1151" s="443"/>
      <c r="BE1151" s="443"/>
    </row>
    <row r="1152">
      <c r="A1152" s="445" t="str">
        <f t="shared" si="5"/>
        <v/>
      </c>
      <c r="B1152" s="443"/>
      <c r="C1152" s="443"/>
      <c r="D1152" s="462"/>
      <c r="E1152" s="436" t="str">
        <f t="array" ref="E1152">IF(B1152=0,"",(J1152+K1152)/60)</f>
        <v/>
      </c>
      <c r="F1152" s="437" t="str">
        <f t="shared" si="1"/>
        <v/>
      </c>
      <c r="G1152" s="438" t="str">
        <f t="shared" si="9"/>
        <v/>
      </c>
      <c r="H1152" s="438" t="str">
        <f t="shared" si="3"/>
        <v/>
      </c>
      <c r="I1152" s="436" t="str">
        <f t="shared" si="11"/>
        <v/>
      </c>
      <c r="J1152" s="464"/>
      <c r="K1152" s="464"/>
      <c r="L1152" s="443"/>
      <c r="M1152" s="443"/>
      <c r="N1152" s="443"/>
      <c r="O1152" s="443"/>
      <c r="P1152" s="443"/>
      <c r="Q1152" s="443"/>
      <c r="R1152" s="443"/>
      <c r="S1152" s="443"/>
      <c r="T1152" s="443"/>
      <c r="U1152" s="443"/>
      <c r="V1152" s="443"/>
      <c r="W1152" s="443"/>
      <c r="X1152" s="443"/>
      <c r="Y1152" s="443"/>
      <c r="Z1152" s="443"/>
      <c r="AA1152" s="443"/>
      <c r="AB1152" s="443"/>
      <c r="AC1152" s="443"/>
      <c r="AD1152" s="443"/>
      <c r="AE1152" s="443"/>
      <c r="AF1152" s="443"/>
      <c r="AG1152" s="443" t="s">
        <v>289</v>
      </c>
      <c r="AH1152" s="443" t="s">
        <v>289</v>
      </c>
      <c r="AI1152" s="443"/>
      <c r="AJ1152" s="443"/>
      <c r="AK1152" s="443"/>
      <c r="AL1152" s="443"/>
      <c r="AM1152" s="443"/>
      <c r="AN1152" s="443"/>
      <c r="AO1152" s="443"/>
      <c r="AP1152" s="443"/>
      <c r="AQ1152" s="443"/>
      <c r="AR1152" s="443"/>
      <c r="AS1152" s="443"/>
      <c r="AT1152" s="443"/>
      <c r="AU1152" s="443"/>
      <c r="AV1152" s="443"/>
      <c r="AW1152" s="443"/>
      <c r="AX1152" s="443"/>
      <c r="AY1152" s="443"/>
      <c r="AZ1152" s="443"/>
      <c r="BA1152" s="443"/>
      <c r="BB1152" s="443"/>
      <c r="BC1152" s="443"/>
      <c r="BD1152" s="443"/>
      <c r="BE1152" s="443"/>
    </row>
    <row r="1153">
      <c r="A1153" s="445" t="str">
        <f t="shared" si="5"/>
        <v/>
      </c>
      <c r="B1153" s="443"/>
      <c r="C1153" s="443"/>
      <c r="D1153" s="462"/>
      <c r="E1153" s="436" t="str">
        <f t="array" ref="E1153">IF(B1153=0,"",(J1153+K1153)/60)</f>
        <v/>
      </c>
      <c r="F1153" s="437" t="str">
        <f t="shared" si="1"/>
        <v/>
      </c>
      <c r="G1153" s="438" t="str">
        <f t="shared" si="9"/>
        <v/>
      </c>
      <c r="H1153" s="438" t="str">
        <f t="shared" si="3"/>
        <v/>
      </c>
      <c r="I1153" s="436" t="str">
        <f t="shared" si="11"/>
        <v/>
      </c>
      <c r="J1153" s="464"/>
      <c r="K1153" s="464"/>
      <c r="L1153" s="443"/>
      <c r="M1153" s="443"/>
      <c r="N1153" s="443"/>
      <c r="O1153" s="443"/>
      <c r="P1153" s="443"/>
      <c r="Q1153" s="443"/>
      <c r="R1153" s="443"/>
      <c r="S1153" s="443"/>
      <c r="T1153" s="443"/>
      <c r="U1153" s="443"/>
      <c r="V1153" s="443"/>
      <c r="W1153" s="443"/>
      <c r="X1153" s="443"/>
      <c r="Y1153" s="443"/>
      <c r="Z1153" s="443"/>
      <c r="AA1153" s="443"/>
      <c r="AB1153" s="443"/>
      <c r="AC1153" s="443"/>
      <c r="AD1153" s="443"/>
      <c r="AE1153" s="443"/>
      <c r="AF1153" s="443"/>
      <c r="AG1153" s="443" t="s">
        <v>289</v>
      </c>
      <c r="AH1153" s="443" t="s">
        <v>289</v>
      </c>
      <c r="AI1153" s="443"/>
      <c r="AJ1153" s="443"/>
      <c r="AK1153" s="443"/>
      <c r="AL1153" s="443"/>
      <c r="AM1153" s="443"/>
      <c r="AN1153" s="443"/>
      <c r="AO1153" s="443"/>
      <c r="AP1153" s="443"/>
      <c r="AQ1153" s="443"/>
      <c r="AR1153" s="443"/>
      <c r="AS1153" s="443"/>
      <c r="AT1153" s="443"/>
      <c r="AU1153" s="443"/>
      <c r="AV1153" s="443"/>
      <c r="AW1153" s="443"/>
      <c r="AX1153" s="443"/>
      <c r="AY1153" s="443"/>
      <c r="AZ1153" s="443"/>
      <c r="BA1153" s="443"/>
      <c r="BB1153" s="443"/>
      <c r="BC1153" s="443"/>
      <c r="BD1153" s="443"/>
      <c r="BE1153" s="443"/>
    </row>
    <row r="1154">
      <c r="A1154" s="445" t="str">
        <f t="shared" si="5"/>
        <v/>
      </c>
      <c r="B1154" s="443"/>
      <c r="C1154" s="443"/>
      <c r="D1154" s="462"/>
      <c r="E1154" s="436" t="str">
        <f t="array" ref="E1154">IF(B1154=0,"",(J1154+K1154)/60)</f>
        <v/>
      </c>
      <c r="F1154" s="437" t="str">
        <f t="shared" si="1"/>
        <v/>
      </c>
      <c r="G1154" s="438" t="str">
        <f t="shared" si="9"/>
        <v/>
      </c>
      <c r="H1154" s="438" t="str">
        <f t="shared" si="3"/>
        <v/>
      </c>
      <c r="I1154" s="436" t="str">
        <f t="shared" si="11"/>
        <v/>
      </c>
      <c r="J1154" s="464"/>
      <c r="K1154" s="464"/>
      <c r="L1154" s="443"/>
      <c r="M1154" s="443"/>
      <c r="N1154" s="443"/>
      <c r="O1154" s="443"/>
      <c r="P1154" s="443"/>
      <c r="Q1154" s="443"/>
      <c r="R1154" s="443"/>
      <c r="S1154" s="443"/>
      <c r="T1154" s="443"/>
      <c r="U1154" s="443"/>
      <c r="V1154" s="443"/>
      <c r="W1154" s="443"/>
      <c r="X1154" s="443"/>
      <c r="Y1154" s="443"/>
      <c r="Z1154" s="443"/>
      <c r="AA1154" s="443"/>
      <c r="AB1154" s="443"/>
      <c r="AC1154" s="443"/>
      <c r="AD1154" s="443"/>
      <c r="AE1154" s="443"/>
      <c r="AF1154" s="443"/>
      <c r="AG1154" s="443" t="s">
        <v>289</v>
      </c>
      <c r="AH1154" s="443" t="s">
        <v>289</v>
      </c>
      <c r="AI1154" s="443"/>
      <c r="AJ1154" s="443"/>
      <c r="AK1154" s="443"/>
      <c r="AL1154" s="443"/>
      <c r="AM1154" s="443"/>
      <c r="AN1154" s="443"/>
      <c r="AO1154" s="443"/>
      <c r="AP1154" s="443"/>
      <c r="AQ1154" s="443"/>
      <c r="AR1154" s="443"/>
      <c r="AS1154" s="443"/>
      <c r="AT1154" s="443"/>
      <c r="AU1154" s="443"/>
      <c r="AV1154" s="443"/>
      <c r="AW1154" s="443"/>
      <c r="AX1154" s="443"/>
      <c r="AY1154" s="443"/>
      <c r="AZ1154" s="443"/>
      <c r="BA1154" s="443"/>
      <c r="BB1154" s="443"/>
      <c r="BC1154" s="443"/>
      <c r="BD1154" s="443"/>
      <c r="BE1154" s="443"/>
    </row>
    <row r="1155">
      <c r="A1155" s="445" t="str">
        <f t="shared" si="5"/>
        <v/>
      </c>
      <c r="B1155" s="443"/>
      <c r="C1155" s="443"/>
      <c r="D1155" s="462"/>
      <c r="E1155" s="436" t="str">
        <f t="array" ref="E1155">IF(B1155=0,"",(J1155+K1155)/60)</f>
        <v/>
      </c>
      <c r="F1155" s="437" t="str">
        <f t="shared" si="1"/>
        <v/>
      </c>
      <c r="G1155" s="438" t="str">
        <f t="shared" si="9"/>
        <v/>
      </c>
      <c r="H1155" s="438" t="str">
        <f t="shared" si="3"/>
        <v/>
      </c>
      <c r="I1155" s="436" t="str">
        <f t="shared" si="11"/>
        <v/>
      </c>
      <c r="J1155" s="464"/>
      <c r="K1155" s="464"/>
      <c r="L1155" s="443"/>
      <c r="M1155" s="443"/>
      <c r="N1155" s="443"/>
      <c r="O1155" s="443"/>
      <c r="P1155" s="443"/>
      <c r="Q1155" s="443"/>
      <c r="R1155" s="443"/>
      <c r="S1155" s="443"/>
      <c r="T1155" s="443"/>
      <c r="U1155" s="443"/>
      <c r="V1155" s="443"/>
      <c r="W1155" s="443"/>
      <c r="X1155" s="443"/>
      <c r="Y1155" s="443"/>
      <c r="Z1155" s="443"/>
      <c r="AA1155" s="443"/>
      <c r="AB1155" s="443"/>
      <c r="AC1155" s="443"/>
      <c r="AD1155" s="443"/>
      <c r="AE1155" s="443"/>
      <c r="AF1155" s="443"/>
      <c r="AG1155" s="443" t="s">
        <v>289</v>
      </c>
      <c r="AH1155" s="443" t="s">
        <v>289</v>
      </c>
      <c r="AI1155" s="443"/>
      <c r="AJ1155" s="443"/>
      <c r="AK1155" s="443"/>
      <c r="AL1155" s="443"/>
      <c r="AM1155" s="443"/>
      <c r="AN1155" s="443"/>
      <c r="AO1155" s="443"/>
      <c r="AP1155" s="443"/>
      <c r="AQ1155" s="443"/>
      <c r="AR1155" s="443"/>
      <c r="AS1155" s="443"/>
      <c r="AT1155" s="443"/>
      <c r="AU1155" s="443"/>
      <c r="AV1155" s="443"/>
      <c r="AW1155" s="443"/>
      <c r="AX1155" s="443"/>
      <c r="AY1155" s="443"/>
      <c r="AZ1155" s="443"/>
      <c r="BA1155" s="443"/>
      <c r="BB1155" s="443"/>
      <c r="BC1155" s="443"/>
      <c r="BD1155" s="443"/>
      <c r="BE1155" s="443"/>
    </row>
    <row r="1156">
      <c r="A1156" s="445" t="str">
        <f t="shared" si="5"/>
        <v/>
      </c>
      <c r="B1156" s="443"/>
      <c r="C1156" s="443"/>
      <c r="D1156" s="462"/>
      <c r="E1156" s="436" t="str">
        <f t="array" ref="E1156">IF(B1156=0,"",(J1156+K1156)/60)</f>
        <v/>
      </c>
      <c r="F1156" s="437" t="str">
        <f t="shared" si="1"/>
        <v/>
      </c>
      <c r="G1156" s="438" t="str">
        <f t="shared" si="9"/>
        <v/>
      </c>
      <c r="H1156" s="438" t="str">
        <f t="shared" si="3"/>
        <v/>
      </c>
      <c r="I1156" s="436" t="str">
        <f t="shared" si="11"/>
        <v/>
      </c>
      <c r="J1156" s="464"/>
      <c r="K1156" s="464"/>
      <c r="L1156" s="443"/>
      <c r="M1156" s="443"/>
      <c r="N1156" s="443"/>
      <c r="O1156" s="443"/>
      <c r="P1156" s="443"/>
      <c r="Q1156" s="443"/>
      <c r="R1156" s="443"/>
      <c r="S1156" s="443"/>
      <c r="T1156" s="443"/>
      <c r="U1156" s="443"/>
      <c r="V1156" s="443"/>
      <c r="W1156" s="443"/>
      <c r="X1156" s="443"/>
      <c r="Y1156" s="443"/>
      <c r="Z1156" s="443"/>
      <c r="AA1156" s="443"/>
      <c r="AB1156" s="443"/>
      <c r="AC1156" s="443"/>
      <c r="AD1156" s="443"/>
      <c r="AE1156" s="443"/>
      <c r="AF1156" s="443"/>
      <c r="AG1156" s="443" t="s">
        <v>289</v>
      </c>
      <c r="AH1156" s="443" t="s">
        <v>289</v>
      </c>
      <c r="AI1156" s="443"/>
      <c r="AJ1156" s="443"/>
      <c r="AK1156" s="443"/>
      <c r="AL1156" s="443"/>
      <c r="AM1156" s="443"/>
      <c r="AN1156" s="443"/>
      <c r="AO1156" s="443"/>
      <c r="AP1156" s="443"/>
      <c r="AQ1156" s="443"/>
      <c r="AR1156" s="443"/>
      <c r="AS1156" s="443"/>
      <c r="AT1156" s="443"/>
      <c r="AU1156" s="443"/>
      <c r="AV1156" s="443"/>
      <c r="AW1156" s="443"/>
      <c r="AX1156" s="443"/>
      <c r="AY1156" s="443"/>
      <c r="AZ1156" s="443"/>
      <c r="BA1156" s="443"/>
      <c r="BB1156" s="443"/>
      <c r="BC1156" s="443"/>
      <c r="BD1156" s="443"/>
      <c r="BE1156" s="443"/>
    </row>
    <row r="1157">
      <c r="A1157" s="445" t="str">
        <f t="shared" si="5"/>
        <v/>
      </c>
      <c r="B1157" s="443"/>
      <c r="C1157" s="443"/>
      <c r="D1157" s="462"/>
      <c r="E1157" s="436" t="str">
        <f t="array" ref="E1157">IF(B1157=0,"",(J1157+K1157)/60)</f>
        <v/>
      </c>
      <c r="F1157" s="437" t="str">
        <f t="shared" si="1"/>
        <v/>
      </c>
      <c r="G1157" s="438" t="str">
        <f t="shared" si="9"/>
        <v/>
      </c>
      <c r="H1157" s="438" t="str">
        <f t="shared" si="3"/>
        <v/>
      </c>
      <c r="I1157" s="436" t="str">
        <f t="shared" si="11"/>
        <v/>
      </c>
      <c r="J1157" s="464"/>
      <c r="K1157" s="464"/>
      <c r="L1157" s="443"/>
      <c r="M1157" s="443"/>
      <c r="N1157" s="443"/>
      <c r="O1157" s="443"/>
      <c r="P1157" s="443"/>
      <c r="Q1157" s="443"/>
      <c r="R1157" s="443"/>
      <c r="S1157" s="443"/>
      <c r="T1157" s="443"/>
      <c r="U1157" s="443"/>
      <c r="V1157" s="443"/>
      <c r="W1157" s="443"/>
      <c r="X1157" s="443"/>
      <c r="Y1157" s="443"/>
      <c r="Z1157" s="443"/>
      <c r="AA1157" s="443"/>
      <c r="AB1157" s="443"/>
      <c r="AC1157" s="443"/>
      <c r="AD1157" s="443"/>
      <c r="AE1157" s="443"/>
      <c r="AF1157" s="443"/>
      <c r="AG1157" s="443" t="s">
        <v>289</v>
      </c>
      <c r="AH1157" s="443" t="s">
        <v>289</v>
      </c>
      <c r="AI1157" s="443"/>
      <c r="AJ1157" s="443"/>
      <c r="AK1157" s="443"/>
      <c r="AL1157" s="443"/>
      <c r="AM1157" s="443"/>
      <c r="AN1157" s="443"/>
      <c r="AO1157" s="443"/>
      <c r="AP1157" s="443"/>
      <c r="AQ1157" s="443"/>
      <c r="AR1157" s="443"/>
      <c r="AS1157" s="443"/>
      <c r="AT1157" s="443"/>
      <c r="AU1157" s="443"/>
      <c r="AV1157" s="443"/>
      <c r="AW1157" s="443"/>
      <c r="AX1157" s="443"/>
      <c r="AY1157" s="443"/>
      <c r="AZ1157" s="443"/>
      <c r="BA1157" s="443"/>
      <c r="BB1157" s="443"/>
      <c r="BC1157" s="443"/>
      <c r="BD1157" s="443"/>
      <c r="BE1157" s="443"/>
    </row>
    <row r="1158">
      <c r="A1158" s="445" t="str">
        <f t="shared" si="5"/>
        <v/>
      </c>
      <c r="B1158" s="443"/>
      <c r="C1158" s="443"/>
      <c r="D1158" s="462"/>
      <c r="E1158" s="436" t="str">
        <f t="array" ref="E1158">IF(B1158=0,"",(J1158+K1158)/60)</f>
        <v/>
      </c>
      <c r="F1158" s="437" t="str">
        <f t="shared" si="1"/>
        <v/>
      </c>
      <c r="G1158" s="438" t="str">
        <f t="shared" si="9"/>
        <v/>
      </c>
      <c r="H1158" s="438" t="str">
        <f t="shared" si="3"/>
        <v/>
      </c>
      <c r="I1158" s="436" t="str">
        <f t="shared" si="11"/>
        <v/>
      </c>
      <c r="J1158" s="464"/>
      <c r="K1158" s="464"/>
      <c r="L1158" s="443"/>
      <c r="M1158" s="443"/>
      <c r="N1158" s="443"/>
      <c r="O1158" s="443"/>
      <c r="P1158" s="443"/>
      <c r="Q1158" s="443"/>
      <c r="R1158" s="443"/>
      <c r="S1158" s="443"/>
      <c r="T1158" s="443"/>
      <c r="U1158" s="443"/>
      <c r="V1158" s="443"/>
      <c r="W1158" s="443"/>
      <c r="X1158" s="443"/>
      <c r="Y1158" s="443"/>
      <c r="Z1158" s="443"/>
      <c r="AA1158" s="443"/>
      <c r="AB1158" s="443"/>
      <c r="AC1158" s="443"/>
      <c r="AD1158" s="443"/>
      <c r="AE1158" s="443"/>
      <c r="AF1158" s="443"/>
      <c r="AG1158" s="443" t="s">
        <v>289</v>
      </c>
      <c r="AH1158" s="443" t="s">
        <v>289</v>
      </c>
      <c r="AI1158" s="443"/>
      <c r="AJ1158" s="443"/>
      <c r="AK1158" s="443"/>
      <c r="AL1158" s="443"/>
      <c r="AM1158" s="443"/>
      <c r="AN1158" s="443"/>
      <c r="AO1158" s="443"/>
      <c r="AP1158" s="443"/>
      <c r="AQ1158" s="443"/>
      <c r="AR1158" s="443"/>
      <c r="AS1158" s="443"/>
      <c r="AT1158" s="443"/>
      <c r="AU1158" s="443"/>
      <c r="AV1158" s="443"/>
      <c r="AW1158" s="443"/>
      <c r="AX1158" s="443"/>
      <c r="AY1158" s="443"/>
      <c r="AZ1158" s="443"/>
      <c r="BA1158" s="443"/>
      <c r="BB1158" s="443"/>
      <c r="BC1158" s="443"/>
      <c r="BD1158" s="443"/>
      <c r="BE1158" s="443"/>
    </row>
    <row r="1159">
      <c r="A1159" s="445" t="str">
        <f t="shared" si="5"/>
        <v/>
      </c>
      <c r="B1159" s="443"/>
      <c r="C1159" s="443"/>
      <c r="D1159" s="462"/>
      <c r="E1159" s="436" t="str">
        <f t="array" ref="E1159">IF(B1159=0,"",(J1159+K1159)/60)</f>
        <v/>
      </c>
      <c r="F1159" s="437" t="str">
        <f t="shared" si="1"/>
        <v/>
      </c>
      <c r="G1159" s="438" t="str">
        <f t="shared" si="9"/>
        <v/>
      </c>
      <c r="H1159" s="438" t="str">
        <f t="shared" si="3"/>
        <v/>
      </c>
      <c r="I1159" s="436" t="str">
        <f t="shared" si="11"/>
        <v/>
      </c>
      <c r="J1159" s="464"/>
      <c r="K1159" s="464"/>
      <c r="L1159" s="443"/>
      <c r="M1159" s="443"/>
      <c r="N1159" s="443"/>
      <c r="O1159" s="443"/>
      <c r="P1159" s="443"/>
      <c r="Q1159" s="443"/>
      <c r="R1159" s="443"/>
      <c r="S1159" s="443"/>
      <c r="T1159" s="443"/>
      <c r="U1159" s="443"/>
      <c r="V1159" s="443"/>
      <c r="W1159" s="443"/>
      <c r="X1159" s="443"/>
      <c r="Y1159" s="443"/>
      <c r="Z1159" s="443"/>
      <c r="AA1159" s="443"/>
      <c r="AB1159" s="443"/>
      <c r="AC1159" s="443"/>
      <c r="AD1159" s="443"/>
      <c r="AE1159" s="443"/>
      <c r="AF1159" s="443"/>
      <c r="AG1159" s="443" t="s">
        <v>289</v>
      </c>
      <c r="AH1159" s="443" t="s">
        <v>289</v>
      </c>
      <c r="AI1159" s="443"/>
      <c r="AJ1159" s="443"/>
      <c r="AK1159" s="443"/>
      <c r="AL1159" s="443"/>
      <c r="AM1159" s="443"/>
      <c r="AN1159" s="443"/>
      <c r="AO1159" s="443"/>
      <c r="AP1159" s="443"/>
      <c r="AQ1159" s="443"/>
      <c r="AR1159" s="443"/>
      <c r="AS1159" s="443"/>
      <c r="AT1159" s="443"/>
      <c r="AU1159" s="443"/>
      <c r="AV1159" s="443"/>
      <c r="AW1159" s="443"/>
      <c r="AX1159" s="443"/>
      <c r="AY1159" s="443"/>
      <c r="AZ1159" s="443"/>
      <c r="BA1159" s="443"/>
      <c r="BB1159" s="443"/>
      <c r="BC1159" s="443"/>
      <c r="BD1159" s="443"/>
      <c r="BE1159" s="443"/>
    </row>
    <row r="1160">
      <c r="A1160" s="445" t="str">
        <f t="shared" si="5"/>
        <v/>
      </c>
      <c r="B1160" s="443"/>
      <c r="C1160" s="443"/>
      <c r="D1160" s="462"/>
      <c r="E1160" s="436" t="str">
        <f t="array" ref="E1160">IF(B1160=0,"",(J1160+K1160)/60)</f>
        <v/>
      </c>
      <c r="F1160" s="437" t="str">
        <f t="shared" si="1"/>
        <v/>
      </c>
      <c r="G1160" s="438" t="str">
        <f t="shared" si="9"/>
        <v/>
      </c>
      <c r="H1160" s="438" t="str">
        <f t="shared" si="3"/>
        <v/>
      </c>
      <c r="I1160" s="436" t="str">
        <f t="shared" si="11"/>
        <v/>
      </c>
      <c r="J1160" s="464"/>
      <c r="K1160" s="464"/>
      <c r="L1160" s="443"/>
      <c r="M1160" s="443"/>
      <c r="N1160" s="443"/>
      <c r="O1160" s="443"/>
      <c r="P1160" s="443"/>
      <c r="Q1160" s="443"/>
      <c r="R1160" s="443"/>
      <c r="S1160" s="443"/>
      <c r="T1160" s="443"/>
      <c r="U1160" s="443"/>
      <c r="V1160" s="443"/>
      <c r="W1160" s="443"/>
      <c r="X1160" s="443"/>
      <c r="Y1160" s="443"/>
      <c r="Z1160" s="443"/>
      <c r="AA1160" s="443"/>
      <c r="AB1160" s="443"/>
      <c r="AC1160" s="443"/>
      <c r="AD1160" s="443"/>
      <c r="AE1160" s="443"/>
      <c r="AF1160" s="443"/>
      <c r="AG1160" s="443" t="s">
        <v>289</v>
      </c>
      <c r="AH1160" s="443" t="s">
        <v>289</v>
      </c>
      <c r="AI1160" s="443"/>
      <c r="AJ1160" s="443"/>
      <c r="AK1160" s="443"/>
      <c r="AL1160" s="443"/>
      <c r="AM1160" s="443"/>
      <c r="AN1160" s="443"/>
      <c r="AO1160" s="443"/>
      <c r="AP1160" s="443"/>
      <c r="AQ1160" s="443"/>
      <c r="AR1160" s="443"/>
      <c r="AS1160" s="443"/>
      <c r="AT1160" s="443"/>
      <c r="AU1160" s="443"/>
      <c r="AV1160" s="443"/>
      <c r="AW1160" s="443"/>
      <c r="AX1160" s="443"/>
      <c r="AY1160" s="443"/>
      <c r="AZ1160" s="443"/>
      <c r="BA1160" s="443"/>
      <c r="BB1160" s="443"/>
      <c r="BC1160" s="443"/>
      <c r="BD1160" s="443"/>
      <c r="BE1160" s="443"/>
    </row>
    <row r="1161">
      <c r="A1161" s="445" t="str">
        <f t="shared" si="5"/>
        <v/>
      </c>
      <c r="B1161" s="443"/>
      <c r="C1161" s="443"/>
      <c r="D1161" s="462"/>
      <c r="E1161" s="436" t="str">
        <f t="array" ref="E1161">IF(B1161=0,"",(J1161+K1161)/60)</f>
        <v/>
      </c>
      <c r="F1161" s="437" t="str">
        <f t="shared" si="1"/>
        <v/>
      </c>
      <c r="G1161" s="438" t="str">
        <f t="shared" si="9"/>
        <v/>
      </c>
      <c r="H1161" s="438" t="str">
        <f t="shared" si="3"/>
        <v/>
      </c>
      <c r="I1161" s="436" t="str">
        <f t="shared" si="11"/>
        <v/>
      </c>
      <c r="J1161" s="464"/>
      <c r="K1161" s="464"/>
      <c r="L1161" s="443"/>
      <c r="M1161" s="443"/>
      <c r="N1161" s="443"/>
      <c r="O1161" s="443"/>
      <c r="P1161" s="443"/>
      <c r="Q1161" s="443"/>
      <c r="R1161" s="443"/>
      <c r="S1161" s="443"/>
      <c r="T1161" s="443"/>
      <c r="U1161" s="443"/>
      <c r="V1161" s="443"/>
      <c r="W1161" s="443"/>
      <c r="X1161" s="443"/>
      <c r="Y1161" s="443"/>
      <c r="Z1161" s="443"/>
      <c r="AA1161" s="443"/>
      <c r="AB1161" s="443"/>
      <c r="AC1161" s="443"/>
      <c r="AD1161" s="443"/>
      <c r="AE1161" s="443"/>
      <c r="AF1161" s="443"/>
      <c r="AG1161" s="443" t="s">
        <v>289</v>
      </c>
      <c r="AH1161" s="443" t="s">
        <v>289</v>
      </c>
      <c r="AI1161" s="443"/>
      <c r="AJ1161" s="443"/>
      <c r="AK1161" s="443"/>
      <c r="AL1161" s="443"/>
      <c r="AM1161" s="443"/>
      <c r="AN1161" s="443"/>
      <c r="AO1161" s="443"/>
      <c r="AP1161" s="443"/>
      <c r="AQ1161" s="443"/>
      <c r="AR1161" s="443"/>
      <c r="AS1161" s="443"/>
      <c r="AT1161" s="443"/>
      <c r="AU1161" s="443"/>
      <c r="AV1161" s="443"/>
      <c r="AW1161" s="443"/>
      <c r="AX1161" s="443"/>
      <c r="AY1161" s="443"/>
      <c r="AZ1161" s="443"/>
      <c r="BA1161" s="443"/>
      <c r="BB1161" s="443"/>
      <c r="BC1161" s="443"/>
      <c r="BD1161" s="443"/>
      <c r="BE1161" s="443"/>
    </row>
    <row r="1162">
      <c r="A1162" s="445" t="str">
        <f t="shared" si="5"/>
        <v/>
      </c>
      <c r="B1162" s="443"/>
      <c r="C1162" s="443"/>
      <c r="D1162" s="462"/>
      <c r="E1162" s="436" t="str">
        <f t="array" ref="E1162">IF(B1162=0,"",(J1162+K1162)/60)</f>
        <v/>
      </c>
      <c r="F1162" s="437" t="str">
        <f t="shared" si="1"/>
        <v/>
      </c>
      <c r="G1162" s="438" t="str">
        <f t="shared" si="9"/>
        <v/>
      </c>
      <c r="H1162" s="438" t="str">
        <f t="shared" si="3"/>
        <v/>
      </c>
      <c r="I1162" s="436" t="str">
        <f t="shared" si="11"/>
        <v/>
      </c>
      <c r="J1162" s="464"/>
      <c r="K1162" s="464"/>
      <c r="L1162" s="443"/>
      <c r="M1162" s="443"/>
      <c r="N1162" s="443"/>
      <c r="O1162" s="443"/>
      <c r="P1162" s="443"/>
      <c r="Q1162" s="443"/>
      <c r="R1162" s="443"/>
      <c r="S1162" s="443"/>
      <c r="T1162" s="443"/>
      <c r="U1162" s="443"/>
      <c r="V1162" s="443"/>
      <c r="W1162" s="443"/>
      <c r="X1162" s="443"/>
      <c r="Y1162" s="443"/>
      <c r="Z1162" s="443"/>
      <c r="AA1162" s="443"/>
      <c r="AB1162" s="443"/>
      <c r="AC1162" s="443"/>
      <c r="AD1162" s="443"/>
      <c r="AE1162" s="443"/>
      <c r="AF1162" s="443"/>
      <c r="AG1162" s="443" t="s">
        <v>289</v>
      </c>
      <c r="AH1162" s="443" t="s">
        <v>289</v>
      </c>
      <c r="AI1162" s="443"/>
      <c r="AJ1162" s="443"/>
      <c r="AK1162" s="443"/>
      <c r="AL1162" s="443"/>
      <c r="AM1162" s="443"/>
      <c r="AN1162" s="443"/>
      <c r="AO1162" s="443"/>
      <c r="AP1162" s="443"/>
      <c r="AQ1162" s="443"/>
      <c r="AR1162" s="443"/>
      <c r="AS1162" s="443"/>
      <c r="AT1162" s="443"/>
      <c r="AU1162" s="443"/>
      <c r="AV1162" s="443"/>
      <c r="AW1162" s="443"/>
      <c r="AX1162" s="443"/>
      <c r="AY1162" s="443"/>
      <c r="AZ1162" s="443"/>
      <c r="BA1162" s="443"/>
      <c r="BB1162" s="443"/>
      <c r="BC1162" s="443"/>
      <c r="BD1162" s="443"/>
      <c r="BE1162" s="443"/>
    </row>
    <row r="1163">
      <c r="A1163" s="445" t="str">
        <f t="shared" si="5"/>
        <v/>
      </c>
      <c r="B1163" s="443"/>
      <c r="C1163" s="443"/>
      <c r="D1163" s="462"/>
      <c r="E1163" s="436" t="str">
        <f t="array" ref="E1163">IF(B1163=0,"",(J1163+K1163)/60)</f>
        <v/>
      </c>
      <c r="F1163" s="437" t="str">
        <f t="shared" si="1"/>
        <v/>
      </c>
      <c r="G1163" s="438" t="str">
        <f t="shared" si="9"/>
        <v/>
      </c>
      <c r="H1163" s="438" t="str">
        <f t="shared" si="3"/>
        <v/>
      </c>
      <c r="I1163" s="436" t="str">
        <f t="shared" si="11"/>
        <v/>
      </c>
      <c r="J1163" s="464"/>
      <c r="K1163" s="464"/>
      <c r="L1163" s="443"/>
      <c r="M1163" s="443"/>
      <c r="N1163" s="443"/>
      <c r="O1163" s="443"/>
      <c r="P1163" s="443"/>
      <c r="Q1163" s="443"/>
      <c r="R1163" s="443"/>
      <c r="S1163" s="443"/>
      <c r="T1163" s="443"/>
      <c r="U1163" s="443"/>
      <c r="V1163" s="443"/>
      <c r="W1163" s="443"/>
      <c r="X1163" s="443"/>
      <c r="Y1163" s="443"/>
      <c r="Z1163" s="443"/>
      <c r="AA1163" s="443"/>
      <c r="AB1163" s="443"/>
      <c r="AC1163" s="443"/>
      <c r="AD1163" s="443"/>
      <c r="AE1163" s="443"/>
      <c r="AF1163" s="443"/>
      <c r="AG1163" s="443" t="s">
        <v>289</v>
      </c>
      <c r="AH1163" s="443" t="s">
        <v>289</v>
      </c>
      <c r="AI1163" s="443"/>
      <c r="AJ1163" s="443"/>
      <c r="AK1163" s="443"/>
      <c r="AL1163" s="443"/>
      <c r="AM1163" s="443"/>
      <c r="AN1163" s="443"/>
      <c r="AO1163" s="443"/>
      <c r="AP1163" s="443"/>
      <c r="AQ1163" s="443"/>
      <c r="AR1163" s="443"/>
      <c r="AS1163" s="443"/>
      <c r="AT1163" s="443"/>
      <c r="AU1163" s="443"/>
      <c r="AV1163" s="443"/>
      <c r="AW1163" s="443"/>
      <c r="AX1163" s="443"/>
      <c r="AY1163" s="443"/>
      <c r="AZ1163" s="443"/>
      <c r="BA1163" s="443"/>
      <c r="BB1163" s="443"/>
      <c r="BC1163" s="443"/>
      <c r="BD1163" s="443"/>
      <c r="BE1163" s="443"/>
    </row>
    <row r="1164">
      <c r="A1164" s="445" t="str">
        <f t="shared" si="5"/>
        <v/>
      </c>
      <c r="B1164" s="443"/>
      <c r="C1164" s="443"/>
      <c r="D1164" s="462"/>
      <c r="E1164" s="436" t="str">
        <f t="array" ref="E1164">IF(B1164=0,"",(J1164+K1164)/60)</f>
        <v/>
      </c>
      <c r="F1164" s="437" t="str">
        <f t="shared" si="1"/>
        <v/>
      </c>
      <c r="G1164" s="438" t="str">
        <f t="shared" si="9"/>
        <v/>
      </c>
      <c r="H1164" s="438" t="str">
        <f t="shared" si="3"/>
        <v/>
      </c>
      <c r="I1164" s="436" t="str">
        <f t="shared" si="11"/>
        <v/>
      </c>
      <c r="J1164" s="464"/>
      <c r="K1164" s="464"/>
      <c r="L1164" s="443"/>
      <c r="M1164" s="443"/>
      <c r="N1164" s="443"/>
      <c r="O1164" s="443"/>
      <c r="P1164" s="443"/>
      <c r="Q1164" s="443"/>
      <c r="R1164" s="443"/>
      <c r="S1164" s="443"/>
      <c r="T1164" s="443"/>
      <c r="U1164" s="443"/>
      <c r="V1164" s="443"/>
      <c r="W1164" s="443"/>
      <c r="X1164" s="443"/>
      <c r="Y1164" s="443"/>
      <c r="Z1164" s="443"/>
      <c r="AA1164" s="443"/>
      <c r="AB1164" s="443"/>
      <c r="AC1164" s="443"/>
      <c r="AD1164" s="443"/>
      <c r="AE1164" s="443"/>
      <c r="AF1164" s="443"/>
      <c r="AG1164" s="443" t="s">
        <v>289</v>
      </c>
      <c r="AH1164" s="443" t="s">
        <v>289</v>
      </c>
      <c r="AI1164" s="443"/>
      <c r="AJ1164" s="443"/>
      <c r="AK1164" s="443"/>
      <c r="AL1164" s="443"/>
      <c r="AM1164" s="443"/>
      <c r="AN1164" s="443"/>
      <c r="AO1164" s="443"/>
      <c r="AP1164" s="443"/>
      <c r="AQ1164" s="443"/>
      <c r="AR1164" s="443"/>
      <c r="AS1164" s="443"/>
      <c r="AT1164" s="443"/>
      <c r="AU1164" s="443"/>
      <c r="AV1164" s="443"/>
      <c r="AW1164" s="443"/>
      <c r="AX1164" s="443"/>
      <c r="AY1164" s="443"/>
      <c r="AZ1164" s="443"/>
      <c r="BA1164" s="443"/>
      <c r="BB1164" s="443"/>
      <c r="BC1164" s="443"/>
      <c r="BD1164" s="443"/>
      <c r="BE1164" s="443"/>
    </row>
    <row r="1165">
      <c r="A1165" s="445" t="str">
        <f t="shared" si="5"/>
        <v/>
      </c>
      <c r="B1165" s="443"/>
      <c r="C1165" s="443"/>
      <c r="D1165" s="462"/>
      <c r="E1165" s="436" t="str">
        <f t="array" ref="E1165">IF(B1165=0,"",(J1165+K1165)/60)</f>
        <v/>
      </c>
      <c r="F1165" s="437" t="str">
        <f t="shared" si="1"/>
        <v/>
      </c>
      <c r="G1165" s="438" t="str">
        <f t="shared" si="9"/>
        <v/>
      </c>
      <c r="H1165" s="438" t="str">
        <f t="shared" si="3"/>
        <v/>
      </c>
      <c r="I1165" s="436" t="str">
        <f t="shared" si="11"/>
        <v/>
      </c>
      <c r="J1165" s="464"/>
      <c r="K1165" s="464"/>
      <c r="L1165" s="443"/>
      <c r="M1165" s="443"/>
      <c r="N1165" s="443"/>
      <c r="O1165" s="443"/>
      <c r="P1165" s="443"/>
      <c r="Q1165" s="443"/>
      <c r="R1165" s="443"/>
      <c r="S1165" s="443"/>
      <c r="T1165" s="443"/>
      <c r="U1165" s="443"/>
      <c r="V1165" s="443"/>
      <c r="W1165" s="443"/>
      <c r="X1165" s="443"/>
      <c r="Y1165" s="443"/>
      <c r="Z1165" s="443"/>
      <c r="AA1165" s="443"/>
      <c r="AB1165" s="443"/>
      <c r="AC1165" s="443"/>
      <c r="AD1165" s="443"/>
      <c r="AE1165" s="443"/>
      <c r="AF1165" s="443"/>
      <c r="AG1165" s="443" t="s">
        <v>289</v>
      </c>
      <c r="AH1165" s="443" t="s">
        <v>289</v>
      </c>
      <c r="AI1165" s="443"/>
      <c r="AJ1165" s="443"/>
      <c r="AK1165" s="443"/>
      <c r="AL1165" s="443"/>
      <c r="AM1165" s="443"/>
      <c r="AN1165" s="443"/>
      <c r="AO1165" s="443"/>
      <c r="AP1165" s="443"/>
      <c r="AQ1165" s="443"/>
      <c r="AR1165" s="443"/>
      <c r="AS1165" s="443"/>
      <c r="AT1165" s="443"/>
      <c r="AU1165" s="443"/>
      <c r="AV1165" s="443"/>
      <c r="AW1165" s="443"/>
      <c r="AX1165" s="443"/>
      <c r="AY1165" s="443"/>
      <c r="AZ1165" s="443"/>
      <c r="BA1165" s="443"/>
      <c r="BB1165" s="443"/>
      <c r="BC1165" s="443"/>
      <c r="BD1165" s="443"/>
      <c r="BE1165" s="443"/>
    </row>
    <row r="1166">
      <c r="A1166" s="445" t="str">
        <f t="shared" si="5"/>
        <v/>
      </c>
      <c r="B1166" s="443"/>
      <c r="C1166" s="443"/>
      <c r="D1166" s="462"/>
      <c r="E1166" s="436" t="str">
        <f t="array" ref="E1166">IF(B1166=0,"",(J1166+K1166)/60)</f>
        <v/>
      </c>
      <c r="F1166" s="437" t="str">
        <f t="shared" si="1"/>
        <v/>
      </c>
      <c r="G1166" s="438" t="str">
        <f t="shared" si="9"/>
        <v/>
      </c>
      <c r="H1166" s="438" t="str">
        <f t="shared" si="3"/>
        <v/>
      </c>
      <c r="I1166" s="436" t="str">
        <f t="shared" si="11"/>
        <v/>
      </c>
      <c r="J1166" s="464"/>
      <c r="K1166" s="464"/>
      <c r="L1166" s="443"/>
      <c r="M1166" s="443"/>
      <c r="N1166" s="443"/>
      <c r="O1166" s="443"/>
      <c r="P1166" s="443"/>
      <c r="Q1166" s="443"/>
      <c r="R1166" s="443"/>
      <c r="S1166" s="443"/>
      <c r="T1166" s="443"/>
      <c r="U1166" s="443"/>
      <c r="V1166" s="443"/>
      <c r="W1166" s="443"/>
      <c r="X1166" s="443"/>
      <c r="Y1166" s="443"/>
      <c r="Z1166" s="443"/>
      <c r="AA1166" s="443"/>
      <c r="AB1166" s="443"/>
      <c r="AC1166" s="443"/>
      <c r="AD1166" s="443"/>
      <c r="AE1166" s="443"/>
      <c r="AF1166" s="443"/>
      <c r="AG1166" s="443" t="s">
        <v>289</v>
      </c>
      <c r="AH1166" s="443" t="s">
        <v>289</v>
      </c>
      <c r="AI1166" s="443"/>
      <c r="AJ1166" s="443"/>
      <c r="AK1166" s="443"/>
      <c r="AL1166" s="443"/>
      <c r="AM1166" s="443"/>
      <c r="AN1166" s="443"/>
      <c r="AO1166" s="443"/>
      <c r="AP1166" s="443"/>
      <c r="AQ1166" s="443"/>
      <c r="AR1166" s="443"/>
      <c r="AS1166" s="443"/>
      <c r="AT1166" s="443"/>
      <c r="AU1166" s="443"/>
      <c r="AV1166" s="443"/>
      <c r="AW1166" s="443"/>
      <c r="AX1166" s="443"/>
      <c r="AY1166" s="443"/>
      <c r="AZ1166" s="443"/>
      <c r="BA1166" s="443"/>
      <c r="BB1166" s="443"/>
      <c r="BC1166" s="443"/>
      <c r="BD1166" s="443"/>
      <c r="BE1166" s="443"/>
    </row>
    <row r="1167">
      <c r="A1167" s="445" t="str">
        <f t="shared" si="5"/>
        <v/>
      </c>
      <c r="B1167" s="443"/>
      <c r="C1167" s="443"/>
      <c r="D1167" s="462"/>
      <c r="E1167" s="436" t="str">
        <f t="array" ref="E1167">IF(B1167=0,"",(J1167+K1167)/60)</f>
        <v/>
      </c>
      <c r="F1167" s="437" t="str">
        <f t="shared" si="1"/>
        <v/>
      </c>
      <c r="G1167" s="438" t="str">
        <f t="shared" si="9"/>
        <v/>
      </c>
      <c r="H1167" s="438" t="str">
        <f t="shared" si="3"/>
        <v/>
      </c>
      <c r="I1167" s="436" t="str">
        <f t="shared" si="11"/>
        <v/>
      </c>
      <c r="J1167" s="464"/>
      <c r="K1167" s="464"/>
      <c r="L1167" s="443"/>
      <c r="M1167" s="443"/>
      <c r="N1167" s="443"/>
      <c r="O1167" s="443"/>
      <c r="P1167" s="443"/>
      <c r="Q1167" s="443"/>
      <c r="R1167" s="443"/>
      <c r="S1167" s="443"/>
      <c r="T1167" s="443"/>
      <c r="U1167" s="443"/>
      <c r="V1167" s="443"/>
      <c r="W1167" s="443"/>
      <c r="X1167" s="443"/>
      <c r="Y1167" s="443"/>
      <c r="Z1167" s="443"/>
      <c r="AA1167" s="443"/>
      <c r="AB1167" s="443"/>
      <c r="AC1167" s="443"/>
      <c r="AD1167" s="443"/>
      <c r="AE1167" s="443"/>
      <c r="AF1167" s="443"/>
      <c r="AG1167" s="443" t="s">
        <v>289</v>
      </c>
      <c r="AH1167" s="443" t="s">
        <v>289</v>
      </c>
      <c r="AI1167" s="443"/>
      <c r="AJ1167" s="443"/>
      <c r="AK1167" s="443"/>
      <c r="AL1167" s="443"/>
      <c r="AM1167" s="443"/>
      <c r="AN1167" s="443"/>
      <c r="AO1167" s="443"/>
      <c r="AP1167" s="443"/>
      <c r="AQ1167" s="443"/>
      <c r="AR1167" s="443"/>
      <c r="AS1167" s="443"/>
      <c r="AT1167" s="443"/>
      <c r="AU1167" s="443"/>
      <c r="AV1167" s="443"/>
      <c r="AW1167" s="443"/>
      <c r="AX1167" s="443"/>
      <c r="AY1167" s="443"/>
      <c r="AZ1167" s="443"/>
      <c r="BA1167" s="443"/>
      <c r="BB1167" s="443"/>
      <c r="BC1167" s="443"/>
      <c r="BD1167" s="443"/>
      <c r="BE1167" s="443"/>
    </row>
    <row r="1168">
      <c r="A1168" s="445" t="str">
        <f t="shared" si="5"/>
        <v/>
      </c>
      <c r="B1168" s="443"/>
      <c r="C1168" s="443"/>
      <c r="D1168" s="462"/>
      <c r="E1168" s="436" t="str">
        <f t="array" ref="E1168">IF(B1168=0,"",(J1168+K1168)/60)</f>
        <v/>
      </c>
      <c r="F1168" s="437" t="str">
        <f t="shared" si="1"/>
        <v/>
      </c>
      <c r="G1168" s="438" t="str">
        <f t="shared" si="9"/>
        <v/>
      </c>
      <c r="H1168" s="438" t="str">
        <f t="shared" si="3"/>
        <v/>
      </c>
      <c r="I1168" s="436" t="str">
        <f t="shared" si="11"/>
        <v/>
      </c>
      <c r="J1168" s="464"/>
      <c r="K1168" s="464"/>
      <c r="L1168" s="443"/>
      <c r="M1168" s="443"/>
      <c r="N1168" s="443"/>
      <c r="O1168" s="443"/>
      <c r="P1168" s="443"/>
      <c r="Q1168" s="443"/>
      <c r="R1168" s="443"/>
      <c r="S1168" s="443"/>
      <c r="T1168" s="443"/>
      <c r="U1168" s="443"/>
      <c r="V1168" s="443"/>
      <c r="W1168" s="443"/>
      <c r="X1168" s="443"/>
      <c r="Y1168" s="443"/>
      <c r="Z1168" s="443"/>
      <c r="AA1168" s="443"/>
      <c r="AB1168" s="443"/>
      <c r="AC1168" s="443"/>
      <c r="AD1168" s="443"/>
      <c r="AE1168" s="443"/>
      <c r="AF1168" s="443"/>
      <c r="AG1168" s="443" t="s">
        <v>289</v>
      </c>
      <c r="AH1168" s="443" t="s">
        <v>289</v>
      </c>
      <c r="AI1168" s="443"/>
      <c r="AJ1168" s="443"/>
      <c r="AK1168" s="443"/>
      <c r="AL1168" s="443"/>
      <c r="AM1168" s="443"/>
      <c r="AN1168" s="443"/>
      <c r="AO1168" s="443"/>
      <c r="AP1168" s="443"/>
      <c r="AQ1168" s="443"/>
      <c r="AR1168" s="443"/>
      <c r="AS1168" s="443"/>
      <c r="AT1168" s="443"/>
      <c r="AU1168" s="443"/>
      <c r="AV1168" s="443"/>
      <c r="AW1168" s="443"/>
      <c r="AX1168" s="443"/>
      <c r="AY1168" s="443"/>
      <c r="AZ1168" s="443"/>
      <c r="BA1168" s="443"/>
      <c r="BB1168" s="443"/>
      <c r="BC1168" s="443"/>
      <c r="BD1168" s="443"/>
      <c r="BE1168" s="443"/>
    </row>
    <row r="1169">
      <c r="A1169" s="445" t="str">
        <f t="shared" si="5"/>
        <v/>
      </c>
      <c r="B1169" s="443"/>
      <c r="C1169" s="443"/>
      <c r="D1169" s="462"/>
      <c r="E1169" s="436" t="str">
        <f t="array" ref="E1169">IF(B1169=0,"",(J1169+K1169)/60)</f>
        <v/>
      </c>
      <c r="F1169" s="437" t="str">
        <f t="shared" si="1"/>
        <v/>
      </c>
      <c r="G1169" s="438" t="str">
        <f t="shared" si="9"/>
        <v/>
      </c>
      <c r="H1169" s="438" t="str">
        <f t="shared" si="3"/>
        <v/>
      </c>
      <c r="I1169" s="436" t="str">
        <f t="shared" si="11"/>
        <v/>
      </c>
      <c r="J1169" s="464"/>
      <c r="K1169" s="464"/>
      <c r="L1169" s="443"/>
      <c r="M1169" s="443"/>
      <c r="N1169" s="443"/>
      <c r="O1169" s="443"/>
      <c r="P1169" s="443"/>
      <c r="Q1169" s="443"/>
      <c r="R1169" s="443"/>
      <c r="S1169" s="443"/>
      <c r="T1169" s="443"/>
      <c r="U1169" s="443"/>
      <c r="V1169" s="443"/>
      <c r="W1169" s="443"/>
      <c r="X1169" s="443"/>
      <c r="Y1169" s="443"/>
      <c r="Z1169" s="443"/>
      <c r="AA1169" s="443"/>
      <c r="AB1169" s="443"/>
      <c r="AC1169" s="443"/>
      <c r="AD1169" s="443"/>
      <c r="AE1169" s="443"/>
      <c r="AF1169" s="443"/>
      <c r="AG1169" s="443" t="s">
        <v>289</v>
      </c>
      <c r="AH1169" s="443" t="s">
        <v>289</v>
      </c>
      <c r="AI1169" s="443"/>
      <c r="AJ1169" s="443"/>
      <c r="AK1169" s="443"/>
      <c r="AL1169" s="443"/>
      <c r="AM1169" s="443"/>
      <c r="AN1169" s="443"/>
      <c r="AO1169" s="443"/>
      <c r="AP1169" s="443"/>
      <c r="AQ1169" s="443"/>
      <c r="AR1169" s="443"/>
      <c r="AS1169" s="443"/>
      <c r="AT1169" s="443"/>
      <c r="AU1169" s="443"/>
      <c r="AV1169" s="443"/>
      <c r="AW1169" s="443"/>
      <c r="AX1169" s="443"/>
      <c r="AY1169" s="443"/>
      <c r="AZ1169" s="443"/>
      <c r="BA1169" s="443"/>
      <c r="BB1169" s="443"/>
      <c r="BC1169" s="443"/>
      <c r="BD1169" s="443"/>
      <c r="BE1169" s="443"/>
    </row>
    <row r="1170">
      <c r="A1170" s="445" t="str">
        <f t="shared" si="5"/>
        <v/>
      </c>
      <c r="B1170" s="443"/>
      <c r="C1170" s="443"/>
      <c r="D1170" s="462"/>
      <c r="E1170" s="436" t="str">
        <f t="array" ref="E1170">IF(B1170=0,"",(J1170+K1170)/60)</f>
        <v/>
      </c>
      <c r="F1170" s="437" t="str">
        <f t="shared" si="1"/>
        <v/>
      </c>
      <c r="G1170" s="438" t="str">
        <f t="shared" si="9"/>
        <v/>
      </c>
      <c r="H1170" s="438" t="str">
        <f t="shared" si="3"/>
        <v/>
      </c>
      <c r="I1170" s="436" t="str">
        <f t="shared" si="11"/>
        <v/>
      </c>
      <c r="J1170" s="464"/>
      <c r="K1170" s="464"/>
      <c r="L1170" s="443"/>
      <c r="M1170" s="443"/>
      <c r="N1170" s="443"/>
      <c r="O1170" s="443"/>
      <c r="P1170" s="443"/>
      <c r="Q1170" s="443"/>
      <c r="R1170" s="443"/>
      <c r="S1170" s="443"/>
      <c r="T1170" s="443"/>
      <c r="U1170" s="443"/>
      <c r="V1170" s="443"/>
      <c r="W1170" s="443"/>
      <c r="X1170" s="443"/>
      <c r="Y1170" s="443"/>
      <c r="Z1170" s="443"/>
      <c r="AA1170" s="443"/>
      <c r="AB1170" s="443"/>
      <c r="AC1170" s="443"/>
      <c r="AD1170" s="443"/>
      <c r="AE1170" s="443"/>
      <c r="AF1170" s="443"/>
      <c r="AG1170" s="443" t="s">
        <v>289</v>
      </c>
      <c r="AH1170" s="443" t="s">
        <v>289</v>
      </c>
      <c r="AI1170" s="443"/>
      <c r="AJ1170" s="443"/>
      <c r="AK1170" s="443"/>
      <c r="AL1170" s="443"/>
      <c r="AM1170" s="443"/>
      <c r="AN1170" s="443"/>
      <c r="AO1170" s="443"/>
      <c r="AP1170" s="443"/>
      <c r="AQ1170" s="443"/>
      <c r="AR1170" s="443"/>
      <c r="AS1170" s="443"/>
      <c r="AT1170" s="443"/>
      <c r="AU1170" s="443"/>
      <c r="AV1170" s="443"/>
      <c r="AW1170" s="443"/>
      <c r="AX1170" s="443"/>
      <c r="AY1170" s="443"/>
      <c r="AZ1170" s="443"/>
      <c r="BA1170" s="443"/>
      <c r="BB1170" s="443"/>
      <c r="BC1170" s="443"/>
      <c r="BD1170" s="443"/>
      <c r="BE1170" s="443"/>
    </row>
    <row r="1171">
      <c r="A1171" s="445" t="str">
        <f t="shared" si="5"/>
        <v/>
      </c>
      <c r="B1171" s="443"/>
      <c r="C1171" s="443"/>
      <c r="D1171" s="462"/>
      <c r="E1171" s="436" t="str">
        <f t="array" ref="E1171">IF(B1171=0,"",(J1171+K1171)/60)</f>
        <v/>
      </c>
      <c r="F1171" s="437" t="str">
        <f t="shared" si="1"/>
        <v/>
      </c>
      <c r="G1171" s="438" t="str">
        <f t="shared" si="9"/>
        <v/>
      </c>
      <c r="H1171" s="438" t="str">
        <f t="shared" si="3"/>
        <v/>
      </c>
      <c r="I1171" s="436" t="str">
        <f t="shared" si="11"/>
        <v/>
      </c>
      <c r="J1171" s="464"/>
      <c r="K1171" s="464"/>
      <c r="L1171" s="443"/>
      <c r="M1171" s="443"/>
      <c r="N1171" s="443"/>
      <c r="O1171" s="443"/>
      <c r="P1171" s="443"/>
      <c r="Q1171" s="443"/>
      <c r="R1171" s="443"/>
      <c r="S1171" s="443"/>
      <c r="T1171" s="443"/>
      <c r="U1171" s="443"/>
      <c r="V1171" s="443"/>
      <c r="W1171" s="443"/>
      <c r="X1171" s="443"/>
      <c r="Y1171" s="443"/>
      <c r="Z1171" s="443"/>
      <c r="AA1171" s="443"/>
      <c r="AB1171" s="443"/>
      <c r="AC1171" s="443"/>
      <c r="AD1171" s="443"/>
      <c r="AE1171" s="443"/>
      <c r="AF1171" s="443"/>
      <c r="AG1171" s="443" t="s">
        <v>289</v>
      </c>
      <c r="AH1171" s="443" t="s">
        <v>289</v>
      </c>
      <c r="AI1171" s="443"/>
      <c r="AJ1171" s="443"/>
      <c r="AK1171" s="443"/>
      <c r="AL1171" s="443"/>
      <c r="AM1171" s="443"/>
      <c r="AN1171" s="443"/>
      <c r="AO1171" s="443"/>
      <c r="AP1171" s="443"/>
      <c r="AQ1171" s="443"/>
      <c r="AR1171" s="443"/>
      <c r="AS1171" s="443"/>
      <c r="AT1171" s="443"/>
      <c r="AU1171" s="443"/>
      <c r="AV1171" s="443"/>
      <c r="AW1171" s="443"/>
      <c r="AX1171" s="443"/>
      <c r="AY1171" s="443"/>
      <c r="AZ1171" s="443"/>
      <c r="BA1171" s="443"/>
      <c r="BB1171" s="443"/>
      <c r="BC1171" s="443"/>
      <c r="BD1171" s="443"/>
      <c r="BE1171" s="443"/>
    </row>
    <row r="1172">
      <c r="A1172" s="445" t="str">
        <f t="shared" si="5"/>
        <v/>
      </c>
      <c r="B1172" s="443"/>
      <c r="C1172" s="443"/>
      <c r="D1172" s="462"/>
      <c r="E1172" s="436" t="str">
        <f t="array" ref="E1172">IF(B1172=0,"",(J1172+K1172)/60)</f>
        <v/>
      </c>
      <c r="F1172" s="437" t="str">
        <f t="shared" si="1"/>
        <v/>
      </c>
      <c r="G1172" s="438" t="str">
        <f t="shared" si="9"/>
        <v/>
      </c>
      <c r="H1172" s="438" t="str">
        <f t="shared" si="3"/>
        <v/>
      </c>
      <c r="I1172" s="436" t="str">
        <f t="shared" si="11"/>
        <v/>
      </c>
      <c r="J1172" s="464"/>
      <c r="K1172" s="464"/>
      <c r="L1172" s="443"/>
      <c r="M1172" s="443"/>
      <c r="N1172" s="443"/>
      <c r="O1172" s="443"/>
      <c r="P1172" s="443"/>
      <c r="Q1172" s="443"/>
      <c r="R1172" s="443"/>
      <c r="S1172" s="443"/>
      <c r="T1172" s="443"/>
      <c r="U1172" s="443"/>
      <c r="V1172" s="443"/>
      <c r="W1172" s="443"/>
      <c r="X1172" s="443"/>
      <c r="Y1172" s="443"/>
      <c r="Z1172" s="443"/>
      <c r="AA1172" s="443"/>
      <c r="AB1172" s="443"/>
      <c r="AC1172" s="443"/>
      <c r="AD1172" s="443"/>
      <c r="AE1172" s="443"/>
      <c r="AF1172" s="443"/>
      <c r="AG1172" s="443" t="s">
        <v>289</v>
      </c>
      <c r="AH1172" s="443" t="s">
        <v>289</v>
      </c>
      <c r="AI1172" s="443"/>
      <c r="AJ1172" s="443"/>
      <c r="AK1172" s="443"/>
      <c r="AL1172" s="443"/>
      <c r="AM1172" s="443"/>
      <c r="AN1172" s="443"/>
      <c r="AO1172" s="443"/>
      <c r="AP1172" s="443"/>
      <c r="AQ1172" s="443"/>
      <c r="AR1172" s="443"/>
      <c r="AS1172" s="443"/>
      <c r="AT1172" s="443"/>
      <c r="AU1172" s="443"/>
      <c r="AV1172" s="443"/>
      <c r="AW1172" s="443"/>
      <c r="AX1172" s="443"/>
      <c r="AY1172" s="443"/>
      <c r="AZ1172" s="443"/>
      <c r="BA1172" s="443"/>
      <c r="BB1172" s="443"/>
      <c r="BC1172" s="443"/>
      <c r="BD1172" s="443"/>
      <c r="BE1172" s="443"/>
    </row>
    <row r="1173">
      <c r="A1173" s="445" t="str">
        <f t="shared" si="5"/>
        <v/>
      </c>
      <c r="B1173" s="443"/>
      <c r="C1173" s="443"/>
      <c r="D1173" s="462"/>
      <c r="E1173" s="436" t="str">
        <f t="array" ref="E1173">IF(B1173=0,"",(J1173+K1173)/60)</f>
        <v/>
      </c>
      <c r="F1173" s="437" t="str">
        <f t="shared" si="1"/>
        <v/>
      </c>
      <c r="G1173" s="438" t="str">
        <f t="shared" si="9"/>
        <v/>
      </c>
      <c r="H1173" s="438" t="str">
        <f t="shared" si="3"/>
        <v/>
      </c>
      <c r="I1173" s="436" t="str">
        <f t="shared" si="11"/>
        <v/>
      </c>
      <c r="J1173" s="464"/>
      <c r="K1173" s="464"/>
      <c r="L1173" s="443"/>
      <c r="M1173" s="443"/>
      <c r="N1173" s="443"/>
      <c r="O1173" s="443"/>
      <c r="P1173" s="443"/>
      <c r="Q1173" s="443"/>
      <c r="R1173" s="443"/>
      <c r="S1173" s="443"/>
      <c r="T1173" s="443"/>
      <c r="U1173" s="443"/>
      <c r="V1173" s="443"/>
      <c r="W1173" s="443"/>
      <c r="X1173" s="443"/>
      <c r="Y1173" s="443"/>
      <c r="Z1173" s="443"/>
      <c r="AA1173" s="443"/>
      <c r="AB1173" s="443"/>
      <c r="AC1173" s="443"/>
      <c r="AD1173" s="443"/>
      <c r="AE1173" s="443"/>
      <c r="AF1173" s="443"/>
      <c r="AG1173" s="443" t="s">
        <v>289</v>
      </c>
      <c r="AH1173" s="443" t="s">
        <v>289</v>
      </c>
      <c r="AI1173" s="443"/>
      <c r="AJ1173" s="443"/>
      <c r="AK1173" s="443"/>
      <c r="AL1173" s="443"/>
      <c r="AM1173" s="443"/>
      <c r="AN1173" s="443"/>
      <c r="AO1173" s="443"/>
      <c r="AP1173" s="443"/>
      <c r="AQ1173" s="443"/>
      <c r="AR1173" s="443"/>
      <c r="AS1173" s="443"/>
      <c r="AT1173" s="443"/>
      <c r="AU1173" s="443"/>
      <c r="AV1173" s="443"/>
      <c r="AW1173" s="443"/>
      <c r="AX1173" s="443"/>
      <c r="AY1173" s="443"/>
      <c r="AZ1173" s="443"/>
      <c r="BA1173" s="443"/>
      <c r="BB1173" s="443"/>
      <c r="BC1173" s="443"/>
      <c r="BD1173" s="443"/>
      <c r="BE1173" s="443"/>
    </row>
    <row r="1174">
      <c r="A1174" s="445" t="str">
        <f t="shared" si="5"/>
        <v/>
      </c>
      <c r="B1174" s="443"/>
      <c r="C1174" s="443"/>
      <c r="D1174" s="462"/>
      <c r="E1174" s="436" t="str">
        <f t="array" ref="E1174">IF(B1174=0,"",(J1174+K1174)/60)</f>
        <v/>
      </c>
      <c r="F1174" s="437" t="str">
        <f t="shared" si="1"/>
        <v/>
      </c>
      <c r="G1174" s="438" t="str">
        <f t="shared" si="9"/>
        <v/>
      </c>
      <c r="H1174" s="438" t="str">
        <f t="shared" si="3"/>
        <v/>
      </c>
      <c r="I1174" s="436" t="str">
        <f t="shared" si="11"/>
        <v/>
      </c>
      <c r="J1174" s="464"/>
      <c r="K1174" s="464"/>
      <c r="L1174" s="443"/>
      <c r="M1174" s="443"/>
      <c r="N1174" s="443"/>
      <c r="O1174" s="443"/>
      <c r="P1174" s="443"/>
      <c r="Q1174" s="443"/>
      <c r="R1174" s="443"/>
      <c r="S1174" s="443"/>
      <c r="T1174" s="443"/>
      <c r="U1174" s="443"/>
      <c r="V1174" s="443"/>
      <c r="W1174" s="443"/>
      <c r="X1174" s="443"/>
      <c r="Y1174" s="443"/>
      <c r="Z1174" s="443"/>
      <c r="AA1174" s="443"/>
      <c r="AB1174" s="443"/>
      <c r="AC1174" s="443"/>
      <c r="AD1174" s="443"/>
      <c r="AE1174" s="443"/>
      <c r="AF1174" s="443"/>
      <c r="AG1174" s="443" t="s">
        <v>289</v>
      </c>
      <c r="AH1174" s="443" t="s">
        <v>289</v>
      </c>
      <c r="AI1174" s="443"/>
      <c r="AJ1174" s="443"/>
      <c r="AK1174" s="443"/>
      <c r="AL1174" s="443"/>
      <c r="AM1174" s="443"/>
      <c r="AN1174" s="443"/>
      <c r="AO1174" s="443"/>
      <c r="AP1174" s="443"/>
      <c r="AQ1174" s="443"/>
      <c r="AR1174" s="443"/>
      <c r="AS1174" s="443"/>
      <c r="AT1174" s="443"/>
      <c r="AU1174" s="443"/>
      <c r="AV1174" s="443"/>
      <c r="AW1174" s="443"/>
      <c r="AX1174" s="443"/>
      <c r="AY1174" s="443"/>
      <c r="AZ1174" s="443"/>
      <c r="BA1174" s="443"/>
      <c r="BB1174" s="443"/>
      <c r="BC1174" s="443"/>
      <c r="BD1174" s="443"/>
      <c r="BE1174" s="443"/>
    </row>
    <row r="1175">
      <c r="A1175" s="445" t="str">
        <f t="shared" si="5"/>
        <v/>
      </c>
      <c r="B1175" s="443"/>
      <c r="C1175" s="443"/>
      <c r="D1175" s="462"/>
      <c r="E1175" s="436" t="str">
        <f t="array" ref="E1175">IF(B1175=0,"",(J1175+K1175)/60)</f>
        <v/>
      </c>
      <c r="F1175" s="437" t="str">
        <f t="shared" si="1"/>
        <v/>
      </c>
      <c r="G1175" s="438" t="str">
        <f t="shared" si="9"/>
        <v/>
      </c>
      <c r="H1175" s="438" t="str">
        <f t="shared" si="3"/>
        <v/>
      </c>
      <c r="I1175" s="436" t="str">
        <f t="shared" si="11"/>
        <v/>
      </c>
      <c r="J1175" s="464"/>
      <c r="K1175" s="464"/>
      <c r="L1175" s="443"/>
      <c r="M1175" s="443"/>
      <c r="N1175" s="443"/>
      <c r="O1175" s="443"/>
      <c r="P1175" s="443"/>
      <c r="Q1175" s="443"/>
      <c r="R1175" s="443"/>
      <c r="S1175" s="443"/>
      <c r="T1175" s="443"/>
      <c r="U1175" s="443"/>
      <c r="V1175" s="443"/>
      <c r="W1175" s="443"/>
      <c r="X1175" s="443"/>
      <c r="Y1175" s="443"/>
      <c r="Z1175" s="443"/>
      <c r="AA1175" s="443"/>
      <c r="AB1175" s="443"/>
      <c r="AC1175" s="443"/>
      <c r="AD1175" s="443"/>
      <c r="AE1175" s="443"/>
      <c r="AF1175" s="443"/>
      <c r="AG1175" s="443" t="s">
        <v>289</v>
      </c>
      <c r="AH1175" s="443" t="s">
        <v>289</v>
      </c>
      <c r="AI1175" s="443"/>
      <c r="AJ1175" s="443"/>
      <c r="AK1175" s="443"/>
      <c r="AL1175" s="443"/>
      <c r="AM1175" s="443"/>
      <c r="AN1175" s="443"/>
      <c r="AO1175" s="443"/>
      <c r="AP1175" s="443"/>
      <c r="AQ1175" s="443"/>
      <c r="AR1175" s="443"/>
      <c r="AS1175" s="443"/>
      <c r="AT1175" s="443"/>
      <c r="AU1175" s="443"/>
      <c r="AV1175" s="443"/>
      <c r="AW1175" s="443"/>
      <c r="AX1175" s="443"/>
      <c r="AY1175" s="443"/>
      <c r="AZ1175" s="443"/>
      <c r="BA1175" s="443"/>
      <c r="BB1175" s="443"/>
      <c r="BC1175" s="443"/>
      <c r="BD1175" s="443"/>
      <c r="BE1175" s="443"/>
    </row>
    <row r="1176">
      <c r="A1176" s="445" t="str">
        <f t="shared" si="5"/>
        <v/>
      </c>
      <c r="B1176" s="443"/>
      <c r="C1176" s="443"/>
      <c r="D1176" s="462"/>
      <c r="E1176" s="436" t="str">
        <f t="array" ref="E1176">IF(B1176=0,"",(J1176+K1176)/60)</f>
        <v/>
      </c>
      <c r="F1176" s="437" t="str">
        <f t="shared" si="1"/>
        <v/>
      </c>
      <c r="G1176" s="438" t="str">
        <f t="shared" si="9"/>
        <v/>
      </c>
      <c r="H1176" s="438" t="str">
        <f t="shared" si="3"/>
        <v/>
      </c>
      <c r="I1176" s="436" t="str">
        <f t="shared" si="11"/>
        <v/>
      </c>
      <c r="J1176" s="464"/>
      <c r="K1176" s="464"/>
      <c r="L1176" s="443"/>
      <c r="M1176" s="443"/>
      <c r="N1176" s="443"/>
      <c r="O1176" s="443"/>
      <c r="P1176" s="443"/>
      <c r="Q1176" s="443"/>
      <c r="R1176" s="443"/>
      <c r="S1176" s="443"/>
      <c r="T1176" s="443"/>
      <c r="U1176" s="443"/>
      <c r="V1176" s="443"/>
      <c r="W1176" s="443"/>
      <c r="X1176" s="443"/>
      <c r="Y1176" s="443"/>
      <c r="Z1176" s="443"/>
      <c r="AA1176" s="443"/>
      <c r="AB1176" s="443"/>
      <c r="AC1176" s="443"/>
      <c r="AD1176" s="443"/>
      <c r="AE1176" s="443"/>
      <c r="AF1176" s="443"/>
      <c r="AG1176" s="443" t="s">
        <v>289</v>
      </c>
      <c r="AH1176" s="443" t="s">
        <v>289</v>
      </c>
      <c r="AI1176" s="443"/>
      <c r="AJ1176" s="443"/>
      <c r="AK1176" s="443"/>
      <c r="AL1176" s="443"/>
      <c r="AM1176" s="443"/>
      <c r="AN1176" s="443"/>
      <c r="AO1176" s="443"/>
      <c r="AP1176" s="443"/>
      <c r="AQ1176" s="443"/>
      <c r="AR1176" s="443"/>
      <c r="AS1176" s="443"/>
      <c r="AT1176" s="443"/>
      <c r="AU1176" s="443"/>
      <c r="AV1176" s="443"/>
      <c r="AW1176" s="443"/>
      <c r="AX1176" s="443"/>
      <c r="AY1176" s="443"/>
      <c r="AZ1176" s="443"/>
      <c r="BA1176" s="443"/>
      <c r="BB1176" s="443"/>
      <c r="BC1176" s="443"/>
      <c r="BD1176" s="443"/>
      <c r="BE1176" s="443"/>
    </row>
    <row r="1177">
      <c r="A1177" s="445" t="str">
        <f t="shared" si="5"/>
        <v/>
      </c>
      <c r="B1177" s="443"/>
      <c r="C1177" s="443"/>
      <c r="D1177" s="462"/>
      <c r="E1177" s="436" t="str">
        <f t="array" ref="E1177">IF(B1177=0,"",(J1177+K1177)/60)</f>
        <v/>
      </c>
      <c r="F1177" s="437" t="str">
        <f t="shared" si="1"/>
        <v/>
      </c>
      <c r="G1177" s="438" t="str">
        <f t="shared" si="9"/>
        <v/>
      </c>
      <c r="H1177" s="438" t="str">
        <f t="shared" si="3"/>
        <v/>
      </c>
      <c r="I1177" s="436" t="str">
        <f t="shared" si="11"/>
        <v/>
      </c>
      <c r="J1177" s="464"/>
      <c r="K1177" s="464"/>
      <c r="L1177" s="443"/>
      <c r="M1177" s="443"/>
      <c r="N1177" s="443"/>
      <c r="O1177" s="443"/>
      <c r="P1177" s="443"/>
      <c r="Q1177" s="443"/>
      <c r="R1177" s="443"/>
      <c r="S1177" s="443"/>
      <c r="T1177" s="443"/>
      <c r="U1177" s="443"/>
      <c r="V1177" s="443"/>
      <c r="W1177" s="443"/>
      <c r="X1177" s="443"/>
      <c r="Y1177" s="443"/>
      <c r="Z1177" s="443"/>
      <c r="AA1177" s="443"/>
      <c r="AB1177" s="443"/>
      <c r="AC1177" s="443"/>
      <c r="AD1177" s="443"/>
      <c r="AE1177" s="443"/>
      <c r="AF1177" s="443"/>
      <c r="AG1177" s="443" t="s">
        <v>289</v>
      </c>
      <c r="AH1177" s="443" t="s">
        <v>289</v>
      </c>
      <c r="AI1177" s="443"/>
      <c r="AJ1177" s="443"/>
      <c r="AK1177" s="443"/>
      <c r="AL1177" s="443"/>
      <c r="AM1177" s="443"/>
      <c r="AN1177" s="443"/>
      <c r="AO1177" s="443"/>
      <c r="AP1177" s="443"/>
      <c r="AQ1177" s="443"/>
      <c r="AR1177" s="443"/>
      <c r="AS1177" s="443"/>
      <c r="AT1177" s="443"/>
      <c r="AU1177" s="443"/>
      <c r="AV1177" s="443"/>
      <c r="AW1177" s="443"/>
      <c r="AX1177" s="443"/>
      <c r="AY1177" s="443"/>
      <c r="AZ1177" s="443"/>
      <c r="BA1177" s="443"/>
      <c r="BB1177" s="443"/>
      <c r="BC1177" s="443"/>
      <c r="BD1177" s="443"/>
      <c r="BE1177" s="443"/>
    </row>
    <row r="1178">
      <c r="A1178" s="445" t="str">
        <f t="shared" si="5"/>
        <v/>
      </c>
      <c r="B1178" s="443"/>
      <c r="C1178" s="443"/>
      <c r="D1178" s="462"/>
      <c r="E1178" s="436" t="str">
        <f t="array" ref="E1178">IF(B1178=0,"",(J1178+K1178)/60)</f>
        <v/>
      </c>
      <c r="F1178" s="437" t="str">
        <f t="shared" si="1"/>
        <v/>
      </c>
      <c r="G1178" s="438" t="str">
        <f t="shared" si="9"/>
        <v/>
      </c>
      <c r="H1178" s="438" t="str">
        <f t="shared" si="3"/>
        <v/>
      </c>
      <c r="I1178" s="436" t="str">
        <f t="shared" si="11"/>
        <v/>
      </c>
      <c r="J1178" s="464"/>
      <c r="K1178" s="464"/>
      <c r="L1178" s="443"/>
      <c r="M1178" s="443"/>
      <c r="N1178" s="443"/>
      <c r="O1178" s="443"/>
      <c r="P1178" s="443"/>
      <c r="Q1178" s="443"/>
      <c r="R1178" s="443"/>
      <c r="S1178" s="443"/>
      <c r="T1178" s="443"/>
      <c r="U1178" s="443"/>
      <c r="V1178" s="443"/>
      <c r="W1178" s="443"/>
      <c r="X1178" s="443"/>
      <c r="Y1178" s="443"/>
      <c r="Z1178" s="443"/>
      <c r="AA1178" s="443"/>
      <c r="AB1178" s="443"/>
      <c r="AC1178" s="443"/>
      <c r="AD1178" s="443"/>
      <c r="AE1178" s="443"/>
      <c r="AF1178" s="443"/>
      <c r="AG1178" s="443" t="s">
        <v>289</v>
      </c>
      <c r="AH1178" s="443" t="s">
        <v>289</v>
      </c>
      <c r="AI1178" s="443"/>
      <c r="AJ1178" s="443"/>
      <c r="AK1178" s="443"/>
      <c r="AL1178" s="443"/>
      <c r="AM1178" s="443"/>
      <c r="AN1178" s="443"/>
      <c r="AO1178" s="443"/>
      <c r="AP1178" s="443"/>
      <c r="AQ1178" s="443"/>
      <c r="AR1178" s="443"/>
      <c r="AS1178" s="443"/>
      <c r="AT1178" s="443"/>
      <c r="AU1178" s="443"/>
      <c r="AV1178" s="443"/>
      <c r="AW1178" s="443"/>
      <c r="AX1178" s="443"/>
      <c r="AY1178" s="443"/>
      <c r="AZ1178" s="443"/>
      <c r="BA1178" s="443"/>
      <c r="BB1178" s="443"/>
      <c r="BC1178" s="443"/>
      <c r="BD1178" s="443"/>
      <c r="BE1178" s="443"/>
    </row>
    <row r="1179">
      <c r="A1179" s="445" t="str">
        <f t="shared" si="5"/>
        <v/>
      </c>
      <c r="B1179" s="443"/>
      <c r="C1179" s="443"/>
      <c r="D1179" s="462"/>
      <c r="E1179" s="436" t="str">
        <f t="array" ref="E1179">IF(B1179=0,"",(J1179+K1179)/60)</f>
        <v/>
      </c>
      <c r="F1179" s="437" t="str">
        <f t="shared" si="1"/>
        <v/>
      </c>
      <c r="G1179" s="438" t="str">
        <f t="shared" si="9"/>
        <v/>
      </c>
      <c r="H1179" s="438" t="str">
        <f t="shared" si="3"/>
        <v/>
      </c>
      <c r="I1179" s="436" t="str">
        <f t="shared" si="11"/>
        <v/>
      </c>
      <c r="J1179" s="464"/>
      <c r="K1179" s="464"/>
      <c r="L1179" s="443"/>
      <c r="M1179" s="443"/>
      <c r="N1179" s="443"/>
      <c r="O1179" s="443"/>
      <c r="P1179" s="443"/>
      <c r="Q1179" s="443"/>
      <c r="R1179" s="443"/>
      <c r="S1179" s="443"/>
      <c r="T1179" s="443"/>
      <c r="U1179" s="443"/>
      <c r="V1179" s="443"/>
      <c r="W1179" s="443"/>
      <c r="X1179" s="443"/>
      <c r="Y1179" s="443"/>
      <c r="Z1179" s="443"/>
      <c r="AA1179" s="443"/>
      <c r="AB1179" s="443"/>
      <c r="AC1179" s="443"/>
      <c r="AD1179" s="443"/>
      <c r="AE1179" s="443"/>
      <c r="AF1179" s="443"/>
      <c r="AG1179" s="443" t="s">
        <v>289</v>
      </c>
      <c r="AH1179" s="443" t="s">
        <v>289</v>
      </c>
      <c r="AI1179" s="443"/>
      <c r="AJ1179" s="443"/>
      <c r="AK1179" s="443"/>
      <c r="AL1179" s="443"/>
      <c r="AM1179" s="443"/>
      <c r="AN1179" s="443"/>
      <c r="AO1179" s="443"/>
      <c r="AP1179" s="443"/>
      <c r="AQ1179" s="443"/>
      <c r="AR1179" s="443"/>
      <c r="AS1179" s="443"/>
      <c r="AT1179" s="443"/>
      <c r="AU1179" s="443"/>
      <c r="AV1179" s="443"/>
      <c r="AW1179" s="443"/>
      <c r="AX1179" s="443"/>
      <c r="AY1179" s="443"/>
      <c r="AZ1179" s="443"/>
      <c r="BA1179" s="443"/>
      <c r="BB1179" s="443"/>
      <c r="BC1179" s="443"/>
      <c r="BD1179" s="443"/>
      <c r="BE1179" s="443"/>
    </row>
    <row r="1180">
      <c r="A1180" s="445" t="str">
        <f t="shared" si="5"/>
        <v/>
      </c>
      <c r="B1180" s="443"/>
      <c r="C1180" s="443"/>
      <c r="D1180" s="462"/>
      <c r="E1180" s="436" t="str">
        <f t="array" ref="E1180">IF(B1180=0,"",(J1180+K1180)/60)</f>
        <v/>
      </c>
      <c r="F1180" s="437" t="str">
        <f t="shared" si="1"/>
        <v/>
      </c>
      <c r="G1180" s="438" t="str">
        <f t="shared" si="9"/>
        <v/>
      </c>
      <c r="H1180" s="438" t="str">
        <f t="shared" si="3"/>
        <v/>
      </c>
      <c r="I1180" s="436" t="str">
        <f t="shared" si="11"/>
        <v/>
      </c>
      <c r="J1180" s="464"/>
      <c r="K1180" s="464"/>
      <c r="L1180" s="443"/>
      <c r="M1180" s="443"/>
      <c r="N1180" s="443"/>
      <c r="O1180" s="443"/>
      <c r="P1180" s="443"/>
      <c r="Q1180" s="443"/>
      <c r="R1180" s="443"/>
      <c r="S1180" s="443"/>
      <c r="T1180" s="443"/>
      <c r="U1180" s="443"/>
      <c r="V1180" s="443"/>
      <c r="W1180" s="443"/>
      <c r="X1180" s="443"/>
      <c r="Y1180" s="443"/>
      <c r="Z1180" s="443"/>
      <c r="AA1180" s="443"/>
      <c r="AB1180" s="443"/>
      <c r="AC1180" s="443"/>
      <c r="AD1180" s="443"/>
      <c r="AE1180" s="443"/>
      <c r="AF1180" s="443"/>
      <c r="AG1180" s="443" t="s">
        <v>289</v>
      </c>
      <c r="AH1180" s="443" t="s">
        <v>289</v>
      </c>
      <c r="AI1180" s="443"/>
      <c r="AJ1180" s="443"/>
      <c r="AK1180" s="443"/>
      <c r="AL1180" s="443"/>
      <c r="AM1180" s="443"/>
      <c r="AN1180" s="443"/>
      <c r="AO1180" s="443"/>
      <c r="AP1180" s="443"/>
      <c r="AQ1180" s="443"/>
      <c r="AR1180" s="443"/>
      <c r="AS1180" s="443"/>
      <c r="AT1180" s="443"/>
      <c r="AU1180" s="443"/>
      <c r="AV1180" s="443"/>
      <c r="AW1180" s="443"/>
      <c r="AX1180" s="443"/>
      <c r="AY1180" s="443"/>
      <c r="AZ1180" s="443"/>
      <c r="BA1180" s="443"/>
      <c r="BB1180" s="443"/>
      <c r="BC1180" s="443"/>
      <c r="BD1180" s="443"/>
      <c r="BE1180" s="443"/>
    </row>
    <row r="1181">
      <c r="A1181" s="445" t="str">
        <f t="shared" si="5"/>
        <v/>
      </c>
      <c r="B1181" s="443"/>
      <c r="C1181" s="443"/>
      <c r="D1181" s="462"/>
      <c r="E1181" s="436" t="str">
        <f t="array" ref="E1181">IF(B1181=0,"",(J1181+K1181)/60)</f>
        <v/>
      </c>
      <c r="F1181" s="437" t="str">
        <f t="shared" si="1"/>
        <v/>
      </c>
      <c r="G1181" s="438" t="str">
        <f t="shared" si="9"/>
        <v/>
      </c>
      <c r="H1181" s="438" t="str">
        <f t="shared" si="3"/>
        <v/>
      </c>
      <c r="I1181" s="436" t="str">
        <f t="shared" si="11"/>
        <v/>
      </c>
      <c r="J1181" s="464"/>
      <c r="K1181" s="464"/>
      <c r="L1181" s="443"/>
      <c r="M1181" s="443"/>
      <c r="N1181" s="443"/>
      <c r="O1181" s="443"/>
      <c r="P1181" s="443"/>
      <c r="Q1181" s="443"/>
      <c r="R1181" s="443"/>
      <c r="S1181" s="443"/>
      <c r="T1181" s="443"/>
      <c r="U1181" s="443"/>
      <c r="V1181" s="443"/>
      <c r="W1181" s="443"/>
      <c r="X1181" s="443"/>
      <c r="Y1181" s="443"/>
      <c r="Z1181" s="443"/>
      <c r="AA1181" s="443"/>
      <c r="AB1181" s="443"/>
      <c r="AC1181" s="443"/>
      <c r="AD1181" s="443"/>
      <c r="AE1181" s="443"/>
      <c r="AF1181" s="443"/>
      <c r="AG1181" s="443" t="s">
        <v>289</v>
      </c>
      <c r="AH1181" s="443" t="s">
        <v>289</v>
      </c>
      <c r="AI1181" s="443"/>
      <c r="AJ1181" s="443"/>
      <c r="AK1181" s="443"/>
      <c r="AL1181" s="443"/>
      <c r="AM1181" s="443"/>
      <c r="AN1181" s="443"/>
      <c r="AO1181" s="443"/>
      <c r="AP1181" s="443"/>
      <c r="AQ1181" s="443"/>
      <c r="AR1181" s="443"/>
      <c r="AS1181" s="443"/>
      <c r="AT1181" s="443"/>
      <c r="AU1181" s="443"/>
      <c r="AV1181" s="443"/>
      <c r="AW1181" s="443"/>
      <c r="AX1181" s="443"/>
      <c r="AY1181" s="443"/>
      <c r="AZ1181" s="443"/>
      <c r="BA1181" s="443"/>
      <c r="BB1181" s="443"/>
      <c r="BC1181" s="443"/>
      <c r="BD1181" s="443"/>
      <c r="BE1181" s="443"/>
    </row>
    <row r="1182">
      <c r="A1182" s="445" t="str">
        <f t="shared" si="5"/>
        <v/>
      </c>
      <c r="B1182" s="443"/>
      <c r="C1182" s="443"/>
      <c r="D1182" s="462"/>
      <c r="E1182" s="436" t="str">
        <f t="array" ref="E1182">IF(B1182=0,"",(J1182+K1182)/60)</f>
        <v/>
      </c>
      <c r="F1182" s="437" t="str">
        <f t="shared" si="1"/>
        <v/>
      </c>
      <c r="G1182" s="438" t="str">
        <f t="shared" si="9"/>
        <v/>
      </c>
      <c r="H1182" s="438" t="str">
        <f t="shared" si="3"/>
        <v/>
      </c>
      <c r="I1182" s="436" t="str">
        <f t="shared" si="11"/>
        <v/>
      </c>
      <c r="J1182" s="464"/>
      <c r="K1182" s="464"/>
      <c r="L1182" s="443"/>
      <c r="M1182" s="443"/>
      <c r="N1182" s="443"/>
      <c r="O1182" s="443"/>
      <c r="P1182" s="443"/>
      <c r="Q1182" s="443"/>
      <c r="R1182" s="443"/>
      <c r="S1182" s="443"/>
      <c r="T1182" s="443"/>
      <c r="U1182" s="443"/>
      <c r="V1182" s="443"/>
      <c r="W1182" s="443"/>
      <c r="X1182" s="443"/>
      <c r="Y1182" s="443"/>
      <c r="Z1182" s="443"/>
      <c r="AA1182" s="443"/>
      <c r="AB1182" s="443"/>
      <c r="AC1182" s="443"/>
      <c r="AD1182" s="443"/>
      <c r="AE1182" s="443"/>
      <c r="AF1182" s="443"/>
      <c r="AG1182" s="443" t="s">
        <v>289</v>
      </c>
      <c r="AH1182" s="443" t="s">
        <v>289</v>
      </c>
      <c r="AI1182" s="443"/>
      <c r="AJ1182" s="443"/>
      <c r="AK1182" s="443"/>
      <c r="AL1182" s="443"/>
      <c r="AM1182" s="443"/>
      <c r="AN1182" s="443"/>
      <c r="AO1182" s="443"/>
      <c r="AP1182" s="443"/>
      <c r="AQ1182" s="443"/>
      <c r="AR1182" s="443"/>
      <c r="AS1182" s="443"/>
      <c r="AT1182" s="443"/>
      <c r="AU1182" s="443"/>
      <c r="AV1182" s="443"/>
      <c r="AW1182" s="443"/>
      <c r="AX1182" s="443"/>
      <c r="AY1182" s="443"/>
      <c r="AZ1182" s="443"/>
      <c r="BA1182" s="443"/>
      <c r="BB1182" s="443"/>
      <c r="BC1182" s="443"/>
      <c r="BD1182" s="443"/>
      <c r="BE1182" s="443"/>
    </row>
    <row r="1183">
      <c r="A1183" s="445" t="str">
        <f t="shared" si="5"/>
        <v/>
      </c>
      <c r="B1183" s="443"/>
      <c r="C1183" s="443"/>
      <c r="D1183" s="462"/>
      <c r="E1183" s="436" t="str">
        <f t="array" ref="E1183">IF(B1183=0,"",(J1183+K1183)/60)</f>
        <v/>
      </c>
      <c r="F1183" s="437" t="str">
        <f t="shared" si="1"/>
        <v/>
      </c>
      <c r="G1183" s="438" t="str">
        <f t="shared" si="9"/>
        <v/>
      </c>
      <c r="H1183" s="438" t="str">
        <f t="shared" si="3"/>
        <v/>
      </c>
      <c r="I1183" s="436" t="str">
        <f t="shared" si="11"/>
        <v/>
      </c>
      <c r="J1183" s="464"/>
      <c r="K1183" s="464"/>
      <c r="L1183" s="443"/>
      <c r="M1183" s="443"/>
      <c r="N1183" s="443"/>
      <c r="O1183" s="443"/>
      <c r="P1183" s="443"/>
      <c r="Q1183" s="443"/>
      <c r="R1183" s="443"/>
      <c r="S1183" s="443"/>
      <c r="T1183" s="443"/>
      <c r="U1183" s="443"/>
      <c r="V1183" s="443"/>
      <c r="W1183" s="443"/>
      <c r="X1183" s="443"/>
      <c r="Y1183" s="443"/>
      <c r="Z1183" s="443"/>
      <c r="AA1183" s="443"/>
      <c r="AB1183" s="443"/>
      <c r="AC1183" s="443"/>
      <c r="AD1183" s="443"/>
      <c r="AE1183" s="443"/>
      <c r="AF1183" s="443"/>
      <c r="AG1183" s="443" t="s">
        <v>289</v>
      </c>
      <c r="AH1183" s="443" t="s">
        <v>289</v>
      </c>
      <c r="AI1183" s="443"/>
      <c r="AJ1183" s="443"/>
      <c r="AK1183" s="443"/>
      <c r="AL1183" s="443"/>
      <c r="AM1183" s="443"/>
      <c r="AN1183" s="443"/>
      <c r="AO1183" s="443"/>
      <c r="AP1183" s="443"/>
      <c r="AQ1183" s="443"/>
      <c r="AR1183" s="443"/>
      <c r="AS1183" s="443"/>
      <c r="AT1183" s="443"/>
      <c r="AU1183" s="443"/>
      <c r="AV1183" s="443"/>
      <c r="AW1183" s="443"/>
      <c r="AX1183" s="443"/>
      <c r="AY1183" s="443"/>
      <c r="AZ1183" s="443"/>
      <c r="BA1183" s="443"/>
      <c r="BB1183" s="443"/>
      <c r="BC1183" s="443"/>
      <c r="BD1183" s="443"/>
      <c r="BE1183" s="443"/>
    </row>
    <row r="1184">
      <c r="A1184" s="445" t="str">
        <f t="shared" si="5"/>
        <v/>
      </c>
      <c r="B1184" s="443"/>
      <c r="C1184" s="443"/>
      <c r="D1184" s="462"/>
      <c r="E1184" s="436" t="str">
        <f t="array" ref="E1184">IF(B1184=0,"",(J1184+K1184)/60)</f>
        <v/>
      </c>
      <c r="F1184" s="437" t="str">
        <f t="shared" si="1"/>
        <v/>
      </c>
      <c r="G1184" s="438" t="str">
        <f t="shared" si="9"/>
        <v/>
      </c>
      <c r="H1184" s="438" t="str">
        <f t="shared" si="3"/>
        <v/>
      </c>
      <c r="I1184" s="436" t="str">
        <f t="shared" si="11"/>
        <v/>
      </c>
      <c r="J1184" s="464"/>
      <c r="K1184" s="464"/>
      <c r="L1184" s="443"/>
      <c r="M1184" s="443"/>
      <c r="N1184" s="443"/>
      <c r="O1184" s="443"/>
      <c r="P1184" s="443"/>
      <c r="Q1184" s="443"/>
      <c r="R1184" s="443"/>
      <c r="S1184" s="443"/>
      <c r="T1184" s="443"/>
      <c r="U1184" s="443"/>
      <c r="V1184" s="443"/>
      <c r="W1184" s="443"/>
      <c r="X1184" s="443"/>
      <c r="Y1184" s="443"/>
      <c r="Z1184" s="443"/>
      <c r="AA1184" s="443"/>
      <c r="AB1184" s="443"/>
      <c r="AC1184" s="443"/>
      <c r="AD1184" s="443"/>
      <c r="AE1184" s="443"/>
      <c r="AF1184" s="443"/>
      <c r="AG1184" s="443" t="s">
        <v>289</v>
      </c>
      <c r="AH1184" s="443" t="s">
        <v>289</v>
      </c>
      <c r="AI1184" s="443"/>
      <c r="AJ1184" s="443"/>
      <c r="AK1184" s="443"/>
      <c r="AL1184" s="443"/>
      <c r="AM1184" s="443"/>
      <c r="AN1184" s="443"/>
      <c r="AO1184" s="443"/>
      <c r="AP1184" s="443"/>
      <c r="AQ1184" s="443"/>
      <c r="AR1184" s="443"/>
      <c r="AS1184" s="443"/>
      <c r="AT1184" s="443"/>
      <c r="AU1184" s="443"/>
      <c r="AV1184" s="443"/>
      <c r="AW1184" s="443"/>
      <c r="AX1184" s="443"/>
      <c r="AY1184" s="443"/>
      <c r="AZ1184" s="443"/>
      <c r="BA1184" s="443"/>
      <c r="BB1184" s="443"/>
      <c r="BC1184" s="443"/>
      <c r="BD1184" s="443"/>
      <c r="BE1184" s="443"/>
    </row>
    <row r="1185">
      <c r="A1185" s="445" t="str">
        <f t="shared" si="5"/>
        <v/>
      </c>
      <c r="B1185" s="443"/>
      <c r="C1185" s="443"/>
      <c r="D1185" s="462"/>
      <c r="E1185" s="436" t="str">
        <f t="array" ref="E1185">IF(B1185=0,"",(J1185+K1185)/60)</f>
        <v/>
      </c>
      <c r="F1185" s="437" t="str">
        <f t="shared" si="1"/>
        <v/>
      </c>
      <c r="G1185" s="438" t="str">
        <f t="shared" si="9"/>
        <v/>
      </c>
      <c r="H1185" s="438" t="str">
        <f t="shared" si="3"/>
        <v/>
      </c>
      <c r="I1185" s="436" t="str">
        <f t="shared" si="11"/>
        <v/>
      </c>
      <c r="J1185" s="464"/>
      <c r="K1185" s="464"/>
      <c r="L1185" s="443"/>
      <c r="M1185" s="443"/>
      <c r="N1185" s="443"/>
      <c r="O1185" s="443"/>
      <c r="P1185" s="443"/>
      <c r="Q1185" s="443"/>
      <c r="R1185" s="443"/>
      <c r="S1185" s="443"/>
      <c r="T1185" s="443"/>
      <c r="U1185" s="443"/>
      <c r="V1185" s="443"/>
      <c r="W1185" s="443"/>
      <c r="X1185" s="443"/>
      <c r="Y1185" s="443"/>
      <c r="Z1185" s="443"/>
      <c r="AA1185" s="443"/>
      <c r="AB1185" s="443"/>
      <c r="AC1185" s="443"/>
      <c r="AD1185" s="443"/>
      <c r="AE1185" s="443"/>
      <c r="AF1185" s="443"/>
      <c r="AG1185" s="443" t="s">
        <v>289</v>
      </c>
      <c r="AH1185" s="443" t="s">
        <v>289</v>
      </c>
      <c r="AI1185" s="443"/>
      <c r="AJ1185" s="443"/>
      <c r="AK1185" s="443"/>
      <c r="AL1185" s="443"/>
      <c r="AM1185" s="443"/>
      <c r="AN1185" s="443"/>
      <c r="AO1185" s="443"/>
      <c r="AP1185" s="443"/>
      <c r="AQ1185" s="443"/>
      <c r="AR1185" s="443"/>
      <c r="AS1185" s="443"/>
      <c r="AT1185" s="443"/>
      <c r="AU1185" s="443"/>
      <c r="AV1185" s="443"/>
      <c r="AW1185" s="443"/>
      <c r="AX1185" s="443"/>
      <c r="AY1185" s="443"/>
      <c r="AZ1185" s="443"/>
      <c r="BA1185" s="443"/>
      <c r="BB1185" s="443"/>
      <c r="BC1185" s="443"/>
      <c r="BD1185" s="443"/>
      <c r="BE1185" s="443"/>
    </row>
    <row r="1186">
      <c r="A1186" s="445" t="str">
        <f t="shared" si="5"/>
        <v/>
      </c>
      <c r="B1186" s="443"/>
      <c r="C1186" s="443"/>
      <c r="D1186" s="462"/>
      <c r="E1186" s="436" t="str">
        <f t="array" ref="E1186">IF(B1186=0,"",(J1186+K1186)/60)</f>
        <v/>
      </c>
      <c r="F1186" s="437" t="str">
        <f t="shared" si="1"/>
        <v/>
      </c>
      <c r="G1186" s="438" t="str">
        <f t="shared" si="9"/>
        <v/>
      </c>
      <c r="H1186" s="438" t="str">
        <f t="shared" si="3"/>
        <v/>
      </c>
      <c r="I1186" s="436" t="str">
        <f t="shared" si="11"/>
        <v/>
      </c>
      <c r="J1186" s="464"/>
      <c r="K1186" s="464"/>
      <c r="L1186" s="443"/>
      <c r="M1186" s="443"/>
      <c r="N1186" s="443"/>
      <c r="O1186" s="443"/>
      <c r="P1186" s="443"/>
      <c r="Q1186" s="443"/>
      <c r="R1186" s="443"/>
      <c r="S1186" s="443"/>
      <c r="T1186" s="443"/>
      <c r="U1186" s="443"/>
      <c r="V1186" s="443"/>
      <c r="W1186" s="443"/>
      <c r="X1186" s="443"/>
      <c r="Y1186" s="443"/>
      <c r="Z1186" s="443"/>
      <c r="AA1186" s="443"/>
      <c r="AB1186" s="443"/>
      <c r="AC1186" s="443"/>
      <c r="AD1186" s="443"/>
      <c r="AE1186" s="443"/>
      <c r="AF1186" s="443"/>
      <c r="AG1186" s="443" t="s">
        <v>289</v>
      </c>
      <c r="AH1186" s="443" t="s">
        <v>289</v>
      </c>
      <c r="AI1186" s="443"/>
      <c r="AJ1186" s="443"/>
      <c r="AK1186" s="443"/>
      <c r="AL1186" s="443"/>
      <c r="AM1186" s="443"/>
      <c r="AN1186" s="443"/>
      <c r="AO1186" s="443"/>
      <c r="AP1186" s="443"/>
      <c r="AQ1186" s="443"/>
      <c r="AR1186" s="443"/>
      <c r="AS1186" s="443"/>
      <c r="AT1186" s="443"/>
      <c r="AU1186" s="443"/>
      <c r="AV1186" s="443"/>
      <c r="AW1186" s="443"/>
      <c r="AX1186" s="443"/>
      <c r="AY1186" s="443"/>
      <c r="AZ1186" s="443"/>
      <c r="BA1186" s="443"/>
      <c r="BB1186" s="443"/>
      <c r="BC1186" s="443"/>
      <c r="BD1186" s="443"/>
      <c r="BE1186" s="443"/>
    </row>
    <row r="1187">
      <c r="A1187" s="445" t="str">
        <f t="shared" si="5"/>
        <v/>
      </c>
      <c r="B1187" s="443"/>
      <c r="C1187" s="443"/>
      <c r="D1187" s="462"/>
      <c r="E1187" s="436" t="str">
        <f t="array" ref="E1187">IF(B1187=0,"",(J1187+K1187)/60)</f>
        <v/>
      </c>
      <c r="F1187" s="437" t="str">
        <f t="shared" si="1"/>
        <v/>
      </c>
      <c r="G1187" s="438" t="str">
        <f t="shared" si="9"/>
        <v/>
      </c>
      <c r="H1187" s="438" t="str">
        <f t="shared" si="3"/>
        <v/>
      </c>
      <c r="I1187" s="436" t="str">
        <f t="shared" si="11"/>
        <v/>
      </c>
      <c r="J1187" s="464"/>
      <c r="K1187" s="464"/>
      <c r="L1187" s="443"/>
      <c r="M1187" s="443"/>
      <c r="N1187" s="443"/>
      <c r="O1187" s="443"/>
      <c r="P1187" s="443"/>
      <c r="Q1187" s="443"/>
      <c r="R1187" s="443"/>
      <c r="S1187" s="443"/>
      <c r="T1187" s="443"/>
      <c r="U1187" s="443"/>
      <c r="V1187" s="443"/>
      <c r="W1187" s="443"/>
      <c r="X1187" s="443"/>
      <c r="Y1187" s="443"/>
      <c r="Z1187" s="443"/>
      <c r="AA1187" s="443"/>
      <c r="AB1187" s="443"/>
      <c r="AC1187" s="443"/>
      <c r="AD1187" s="443"/>
      <c r="AE1187" s="443"/>
      <c r="AF1187" s="443"/>
      <c r="AG1187" s="443" t="s">
        <v>289</v>
      </c>
      <c r="AH1187" s="443" t="s">
        <v>289</v>
      </c>
      <c r="AI1187" s="443"/>
      <c r="AJ1187" s="443"/>
      <c r="AK1187" s="443"/>
      <c r="AL1187" s="443"/>
      <c r="AM1187" s="443"/>
      <c r="AN1187" s="443"/>
      <c r="AO1187" s="443"/>
      <c r="AP1187" s="443"/>
      <c r="AQ1187" s="443"/>
      <c r="AR1187" s="443"/>
      <c r="AS1187" s="443"/>
      <c r="AT1187" s="443"/>
      <c r="AU1187" s="443"/>
      <c r="AV1187" s="443"/>
      <c r="AW1187" s="443"/>
      <c r="AX1187" s="443"/>
      <c r="AY1187" s="443"/>
      <c r="AZ1187" s="443"/>
      <c r="BA1187" s="443"/>
      <c r="BB1187" s="443"/>
      <c r="BC1187" s="443"/>
      <c r="BD1187" s="443"/>
      <c r="BE1187" s="443"/>
    </row>
    <row r="1188">
      <c r="A1188" s="445" t="str">
        <f t="shared" si="5"/>
        <v/>
      </c>
      <c r="B1188" s="443"/>
      <c r="C1188" s="443"/>
      <c r="D1188" s="462"/>
      <c r="E1188" s="436" t="str">
        <f t="array" ref="E1188">IF(B1188=0,"",(J1188+K1188)/60)</f>
        <v/>
      </c>
      <c r="F1188" s="437" t="str">
        <f t="shared" si="1"/>
        <v/>
      </c>
      <c r="G1188" s="438" t="str">
        <f t="shared" si="9"/>
        <v/>
      </c>
      <c r="H1188" s="438" t="str">
        <f t="shared" si="3"/>
        <v/>
      </c>
      <c r="I1188" s="436" t="str">
        <f t="shared" si="11"/>
        <v/>
      </c>
      <c r="J1188" s="464"/>
      <c r="K1188" s="464"/>
      <c r="L1188" s="443"/>
      <c r="M1188" s="443"/>
      <c r="N1188" s="443"/>
      <c r="O1188" s="443"/>
      <c r="P1188" s="443"/>
      <c r="Q1188" s="443"/>
      <c r="R1188" s="443"/>
      <c r="S1188" s="443"/>
      <c r="T1188" s="443"/>
      <c r="U1188" s="443"/>
      <c r="V1188" s="443"/>
      <c r="W1188" s="443"/>
      <c r="X1188" s="443"/>
      <c r="Y1188" s="443"/>
      <c r="Z1188" s="443"/>
      <c r="AA1188" s="443"/>
      <c r="AB1188" s="443"/>
      <c r="AC1188" s="443"/>
      <c r="AD1188" s="443"/>
      <c r="AE1188" s="443"/>
      <c r="AF1188" s="443"/>
      <c r="AG1188" s="443" t="s">
        <v>289</v>
      </c>
      <c r="AH1188" s="443" t="s">
        <v>289</v>
      </c>
      <c r="AI1188" s="443"/>
      <c r="AJ1188" s="443"/>
      <c r="AK1188" s="443"/>
      <c r="AL1188" s="443"/>
      <c r="AM1188" s="443"/>
      <c r="AN1188" s="443"/>
      <c r="AO1188" s="443"/>
      <c r="AP1188" s="443"/>
      <c r="AQ1188" s="443"/>
      <c r="AR1188" s="443"/>
      <c r="AS1188" s="443"/>
      <c r="AT1188" s="443"/>
      <c r="AU1188" s="443"/>
      <c r="AV1188" s="443"/>
      <c r="AW1188" s="443"/>
      <c r="AX1188" s="443"/>
      <c r="AY1188" s="443"/>
      <c r="AZ1188" s="443"/>
      <c r="BA1188" s="443"/>
      <c r="BB1188" s="443"/>
      <c r="BC1188" s="443"/>
      <c r="BD1188" s="443"/>
      <c r="BE1188" s="443"/>
    </row>
    <row r="1189">
      <c r="A1189" s="445" t="str">
        <f t="shared" si="5"/>
        <v/>
      </c>
      <c r="B1189" s="443"/>
      <c r="C1189" s="443"/>
      <c r="D1189" s="462"/>
      <c r="E1189" s="436" t="str">
        <f t="array" ref="E1189">IF(B1189=0,"",(J1189+K1189)/60)</f>
        <v/>
      </c>
      <c r="F1189" s="437" t="str">
        <f t="shared" si="1"/>
        <v/>
      </c>
      <c r="G1189" s="438" t="str">
        <f t="shared" si="9"/>
        <v/>
      </c>
      <c r="H1189" s="438" t="str">
        <f t="shared" si="3"/>
        <v/>
      </c>
      <c r="I1189" s="436" t="str">
        <f t="shared" si="11"/>
        <v/>
      </c>
      <c r="J1189" s="464"/>
      <c r="K1189" s="464"/>
      <c r="L1189" s="443"/>
      <c r="M1189" s="443"/>
      <c r="N1189" s="443"/>
      <c r="O1189" s="443"/>
      <c r="P1189" s="443"/>
      <c r="Q1189" s="443"/>
      <c r="R1189" s="443"/>
      <c r="S1189" s="443"/>
      <c r="T1189" s="443"/>
      <c r="U1189" s="443"/>
      <c r="V1189" s="443"/>
      <c r="W1189" s="443"/>
      <c r="X1189" s="443"/>
      <c r="Y1189" s="443"/>
      <c r="Z1189" s="443"/>
      <c r="AA1189" s="443"/>
      <c r="AB1189" s="443"/>
      <c r="AC1189" s="443"/>
      <c r="AD1189" s="443"/>
      <c r="AE1189" s="443"/>
      <c r="AF1189" s="443"/>
      <c r="AG1189" s="443" t="s">
        <v>289</v>
      </c>
      <c r="AH1189" s="443" t="s">
        <v>289</v>
      </c>
      <c r="AI1189" s="443"/>
      <c r="AJ1189" s="443"/>
      <c r="AK1189" s="443"/>
      <c r="AL1189" s="443"/>
      <c r="AM1189" s="443"/>
      <c r="AN1189" s="443"/>
      <c r="AO1189" s="443"/>
      <c r="AP1189" s="443"/>
      <c r="AQ1189" s="443"/>
      <c r="AR1189" s="443"/>
      <c r="AS1189" s="443"/>
      <c r="AT1189" s="443"/>
      <c r="AU1189" s="443"/>
      <c r="AV1189" s="443"/>
      <c r="AW1189" s="443"/>
      <c r="AX1189" s="443"/>
      <c r="AY1189" s="443"/>
      <c r="AZ1189" s="443"/>
      <c r="BA1189" s="443"/>
      <c r="BB1189" s="443"/>
      <c r="BC1189" s="443"/>
      <c r="BD1189" s="443"/>
      <c r="BE1189" s="443"/>
    </row>
    <row r="1190">
      <c r="A1190" s="445" t="str">
        <f t="shared" si="5"/>
        <v/>
      </c>
      <c r="B1190" s="443"/>
      <c r="C1190" s="443"/>
      <c r="D1190" s="462"/>
      <c r="E1190" s="436" t="str">
        <f t="array" ref="E1190">IF(B1190=0,"",(J1190+K1190)/60)</f>
        <v/>
      </c>
      <c r="F1190" s="437" t="str">
        <f t="shared" si="1"/>
        <v/>
      </c>
      <c r="G1190" s="438" t="str">
        <f t="shared" si="9"/>
        <v/>
      </c>
      <c r="H1190" s="438" t="str">
        <f t="shared" si="3"/>
        <v/>
      </c>
      <c r="I1190" s="436" t="str">
        <f t="shared" si="11"/>
        <v/>
      </c>
      <c r="J1190" s="464"/>
      <c r="K1190" s="464"/>
      <c r="L1190" s="443"/>
      <c r="M1190" s="443"/>
      <c r="N1190" s="443"/>
      <c r="O1190" s="443"/>
      <c r="P1190" s="443"/>
      <c r="Q1190" s="443"/>
      <c r="R1190" s="443"/>
      <c r="S1190" s="443"/>
      <c r="T1190" s="443"/>
      <c r="U1190" s="443"/>
      <c r="V1190" s="443"/>
      <c r="W1190" s="443"/>
      <c r="X1190" s="443"/>
      <c r="Y1190" s="443"/>
      <c r="Z1190" s="443"/>
      <c r="AA1190" s="443"/>
      <c r="AB1190" s="443"/>
      <c r="AC1190" s="443"/>
      <c r="AD1190" s="443"/>
      <c r="AE1190" s="443"/>
      <c r="AF1190" s="443"/>
      <c r="AG1190" s="443" t="s">
        <v>289</v>
      </c>
      <c r="AH1190" s="443" t="s">
        <v>289</v>
      </c>
      <c r="AI1190" s="443"/>
      <c r="AJ1190" s="443"/>
      <c r="AK1190" s="443"/>
      <c r="AL1190" s="443"/>
      <c r="AM1190" s="443"/>
      <c r="AN1190" s="443"/>
      <c r="AO1190" s="443"/>
      <c r="AP1190" s="443"/>
      <c r="AQ1190" s="443"/>
      <c r="AR1190" s="443"/>
      <c r="AS1190" s="443"/>
      <c r="AT1190" s="443"/>
      <c r="AU1190" s="443"/>
      <c r="AV1190" s="443"/>
      <c r="AW1190" s="443"/>
      <c r="AX1190" s="443"/>
      <c r="AY1190" s="443"/>
      <c r="AZ1190" s="443"/>
      <c r="BA1190" s="443"/>
      <c r="BB1190" s="443"/>
      <c r="BC1190" s="443"/>
      <c r="BD1190" s="443"/>
      <c r="BE1190" s="443"/>
    </row>
    <row r="1191">
      <c r="A1191" s="445" t="str">
        <f t="shared" si="5"/>
        <v/>
      </c>
      <c r="B1191" s="443"/>
      <c r="C1191" s="443"/>
      <c r="D1191" s="462"/>
      <c r="E1191" s="436" t="str">
        <f t="array" ref="E1191">IF(B1191=0,"",(J1191+K1191)/60)</f>
        <v/>
      </c>
      <c r="F1191" s="437" t="str">
        <f t="shared" si="1"/>
        <v/>
      </c>
      <c r="G1191" s="438" t="str">
        <f t="shared" si="9"/>
        <v/>
      </c>
      <c r="H1191" s="438" t="str">
        <f t="shared" si="3"/>
        <v/>
      </c>
      <c r="I1191" s="436" t="str">
        <f t="shared" si="11"/>
        <v/>
      </c>
      <c r="J1191" s="464"/>
      <c r="K1191" s="464"/>
      <c r="L1191" s="443"/>
      <c r="M1191" s="443"/>
      <c r="N1191" s="443"/>
      <c r="O1191" s="443"/>
      <c r="P1191" s="443"/>
      <c r="Q1191" s="443"/>
      <c r="R1191" s="443"/>
      <c r="S1191" s="443"/>
      <c r="T1191" s="443"/>
      <c r="U1191" s="443"/>
      <c r="V1191" s="443"/>
      <c r="W1191" s="443"/>
      <c r="X1191" s="443"/>
      <c r="Y1191" s="443"/>
      <c r="Z1191" s="443"/>
      <c r="AA1191" s="443"/>
      <c r="AB1191" s="443"/>
      <c r="AC1191" s="443"/>
      <c r="AD1191" s="443"/>
      <c r="AE1191" s="443"/>
      <c r="AF1191" s="443"/>
      <c r="AG1191" s="443" t="s">
        <v>289</v>
      </c>
      <c r="AH1191" s="443" t="s">
        <v>289</v>
      </c>
      <c r="AI1191" s="443"/>
      <c r="AJ1191" s="443"/>
      <c r="AK1191" s="443"/>
      <c r="AL1191" s="443"/>
      <c r="AM1191" s="443"/>
      <c r="AN1191" s="443"/>
      <c r="AO1191" s="443"/>
      <c r="AP1191" s="443"/>
      <c r="AQ1191" s="443"/>
      <c r="AR1191" s="443"/>
      <c r="AS1191" s="443"/>
      <c r="AT1191" s="443"/>
      <c r="AU1191" s="443"/>
      <c r="AV1191" s="443"/>
      <c r="AW1191" s="443"/>
      <c r="AX1191" s="443"/>
      <c r="AY1191" s="443"/>
      <c r="AZ1191" s="443"/>
      <c r="BA1191" s="443"/>
      <c r="BB1191" s="443"/>
      <c r="BC1191" s="443"/>
      <c r="BD1191" s="443"/>
      <c r="BE1191" s="443"/>
    </row>
    <row r="1192">
      <c r="A1192" s="445" t="str">
        <f t="shared" si="5"/>
        <v/>
      </c>
      <c r="B1192" s="443"/>
      <c r="C1192" s="443"/>
      <c r="D1192" s="462"/>
      <c r="E1192" s="436" t="str">
        <f t="array" ref="E1192">IF(B1192=0,"",(J1192+K1192)/60)</f>
        <v/>
      </c>
      <c r="F1192" s="437" t="str">
        <f t="shared" si="1"/>
        <v/>
      </c>
      <c r="G1192" s="438" t="str">
        <f t="shared" si="9"/>
        <v/>
      </c>
      <c r="H1192" s="438" t="str">
        <f t="shared" si="3"/>
        <v/>
      </c>
      <c r="I1192" s="436" t="str">
        <f t="shared" si="11"/>
        <v/>
      </c>
      <c r="J1192" s="464"/>
      <c r="K1192" s="464"/>
      <c r="L1192" s="443"/>
      <c r="M1192" s="443"/>
      <c r="N1192" s="443"/>
      <c r="O1192" s="443"/>
      <c r="P1192" s="443"/>
      <c r="Q1192" s="443"/>
      <c r="R1192" s="443"/>
      <c r="S1192" s="443"/>
      <c r="T1192" s="443"/>
      <c r="U1192" s="443"/>
      <c r="V1192" s="443"/>
      <c r="W1192" s="443"/>
      <c r="X1192" s="443"/>
      <c r="Y1192" s="443"/>
      <c r="Z1192" s="443"/>
      <c r="AA1192" s="443"/>
      <c r="AB1192" s="443"/>
      <c r="AC1192" s="443"/>
      <c r="AD1192" s="443"/>
      <c r="AE1192" s="443"/>
      <c r="AF1192" s="443"/>
      <c r="AG1192" s="443" t="s">
        <v>289</v>
      </c>
      <c r="AH1192" s="443" t="s">
        <v>289</v>
      </c>
      <c r="AI1192" s="443"/>
      <c r="AJ1192" s="443"/>
      <c r="AK1192" s="443"/>
      <c r="AL1192" s="443"/>
      <c r="AM1192" s="443"/>
      <c r="AN1192" s="443"/>
      <c r="AO1192" s="443"/>
      <c r="AP1192" s="443"/>
      <c r="AQ1192" s="443"/>
      <c r="AR1192" s="443"/>
      <c r="AS1192" s="443"/>
      <c r="AT1192" s="443"/>
      <c r="AU1192" s="443"/>
      <c r="AV1192" s="443"/>
      <c r="AW1192" s="443"/>
      <c r="AX1192" s="443"/>
      <c r="AY1192" s="443"/>
      <c r="AZ1192" s="443"/>
      <c r="BA1192" s="443"/>
      <c r="BB1192" s="443"/>
      <c r="BC1192" s="443"/>
      <c r="BD1192" s="443"/>
      <c r="BE1192" s="443"/>
    </row>
    <row r="1193">
      <c r="A1193" s="445" t="str">
        <f t="shared" si="5"/>
        <v/>
      </c>
      <c r="B1193" s="443"/>
      <c r="C1193" s="443"/>
      <c r="D1193" s="462"/>
      <c r="E1193" s="436" t="str">
        <f t="array" ref="E1193">IF(B1193=0,"",(J1193+K1193)/60)</f>
        <v/>
      </c>
      <c r="F1193" s="437" t="str">
        <f t="shared" si="1"/>
        <v/>
      </c>
      <c r="G1193" s="438" t="str">
        <f t="shared" si="9"/>
        <v/>
      </c>
      <c r="H1193" s="438" t="str">
        <f t="shared" si="3"/>
        <v/>
      </c>
      <c r="I1193" s="436" t="str">
        <f t="shared" si="11"/>
        <v/>
      </c>
      <c r="J1193" s="464"/>
      <c r="K1193" s="464"/>
      <c r="L1193" s="443"/>
      <c r="M1193" s="443"/>
      <c r="N1193" s="443"/>
      <c r="O1193" s="443"/>
      <c r="P1193" s="443"/>
      <c r="Q1193" s="443"/>
      <c r="R1193" s="443"/>
      <c r="S1193" s="443"/>
      <c r="T1193" s="443"/>
      <c r="U1193" s="443"/>
      <c r="V1193" s="443"/>
      <c r="W1193" s="443"/>
      <c r="X1193" s="443"/>
      <c r="Y1193" s="443"/>
      <c r="Z1193" s="443"/>
      <c r="AA1193" s="443"/>
      <c r="AB1193" s="443"/>
      <c r="AC1193" s="443"/>
      <c r="AD1193" s="443"/>
      <c r="AE1193" s="443"/>
      <c r="AF1193" s="443"/>
      <c r="AG1193" s="443" t="s">
        <v>289</v>
      </c>
      <c r="AH1193" s="443" t="s">
        <v>289</v>
      </c>
      <c r="AI1193" s="443"/>
      <c r="AJ1193" s="443"/>
      <c r="AK1193" s="443"/>
      <c r="AL1193" s="443"/>
      <c r="AM1193" s="443"/>
      <c r="AN1193" s="443"/>
      <c r="AO1193" s="443"/>
      <c r="AP1193" s="443"/>
      <c r="AQ1193" s="443"/>
      <c r="AR1193" s="443"/>
      <c r="AS1193" s="443"/>
      <c r="AT1193" s="443"/>
      <c r="AU1193" s="443"/>
      <c r="AV1193" s="443"/>
      <c r="AW1193" s="443"/>
      <c r="AX1193" s="443"/>
      <c r="AY1193" s="443"/>
      <c r="AZ1193" s="443"/>
      <c r="BA1193" s="443"/>
      <c r="BB1193" s="443"/>
      <c r="BC1193" s="443"/>
      <c r="BD1193" s="443"/>
      <c r="BE1193" s="443"/>
    </row>
    <row r="1194">
      <c r="A1194" s="445" t="str">
        <f t="shared" si="5"/>
        <v/>
      </c>
      <c r="B1194" s="443"/>
      <c r="C1194" s="443"/>
      <c r="D1194" s="462"/>
      <c r="E1194" s="436" t="str">
        <f t="array" ref="E1194">IF(B1194=0,"",(J1194+K1194)/60)</f>
        <v/>
      </c>
      <c r="F1194" s="437" t="str">
        <f t="shared" si="1"/>
        <v/>
      </c>
      <c r="G1194" s="438" t="str">
        <f t="shared" si="9"/>
        <v/>
      </c>
      <c r="H1194" s="438" t="str">
        <f t="shared" si="3"/>
        <v/>
      </c>
      <c r="I1194" s="436" t="str">
        <f t="shared" si="11"/>
        <v/>
      </c>
      <c r="J1194" s="464"/>
      <c r="K1194" s="464"/>
      <c r="L1194" s="443"/>
      <c r="M1194" s="443"/>
      <c r="N1194" s="443"/>
      <c r="O1194" s="443"/>
      <c r="P1194" s="443"/>
      <c r="Q1194" s="443"/>
      <c r="R1194" s="443"/>
      <c r="S1194" s="443"/>
      <c r="T1194" s="443"/>
      <c r="U1194" s="443"/>
      <c r="V1194" s="443"/>
      <c r="W1194" s="443"/>
      <c r="X1194" s="443"/>
      <c r="Y1194" s="443"/>
      <c r="Z1194" s="443"/>
      <c r="AA1194" s="443"/>
      <c r="AB1194" s="443"/>
      <c r="AC1194" s="443"/>
      <c r="AD1194" s="443"/>
      <c r="AE1194" s="443"/>
      <c r="AF1194" s="443"/>
      <c r="AG1194" s="443" t="s">
        <v>289</v>
      </c>
      <c r="AH1194" s="443" t="s">
        <v>289</v>
      </c>
      <c r="AI1194" s="443"/>
      <c r="AJ1194" s="443"/>
      <c r="AK1194" s="443"/>
      <c r="AL1194" s="443"/>
      <c r="AM1194" s="443"/>
      <c r="AN1194" s="443"/>
      <c r="AO1194" s="443"/>
      <c r="AP1194" s="443"/>
      <c r="AQ1194" s="443"/>
      <c r="AR1194" s="443"/>
      <c r="AS1194" s="443"/>
      <c r="AT1194" s="443"/>
      <c r="AU1194" s="443"/>
      <c r="AV1194" s="443"/>
      <c r="AW1194" s="443"/>
      <c r="AX1194" s="443"/>
      <c r="AY1194" s="443"/>
      <c r="AZ1194" s="443"/>
      <c r="BA1194" s="443"/>
      <c r="BB1194" s="443"/>
      <c r="BC1194" s="443"/>
      <c r="BD1194" s="443"/>
      <c r="BE1194" s="443"/>
    </row>
    <row r="1195">
      <c r="A1195" s="445" t="str">
        <f t="shared" si="5"/>
        <v/>
      </c>
      <c r="B1195" s="443"/>
      <c r="C1195" s="443"/>
      <c r="D1195" s="462"/>
      <c r="E1195" s="436" t="str">
        <f t="array" ref="E1195">IF(B1195=0,"",(J1195+K1195)/60)</f>
        <v/>
      </c>
      <c r="F1195" s="437" t="str">
        <f t="shared" si="1"/>
        <v/>
      </c>
      <c r="G1195" s="438" t="str">
        <f t="shared" si="9"/>
        <v/>
      </c>
      <c r="H1195" s="438" t="str">
        <f t="shared" si="3"/>
        <v/>
      </c>
      <c r="I1195" s="436" t="str">
        <f t="shared" si="11"/>
        <v/>
      </c>
      <c r="J1195" s="464"/>
      <c r="K1195" s="464"/>
      <c r="L1195" s="443"/>
      <c r="M1195" s="443"/>
      <c r="N1195" s="443"/>
      <c r="O1195" s="443"/>
      <c r="P1195" s="443"/>
      <c r="Q1195" s="443"/>
      <c r="R1195" s="443"/>
      <c r="S1195" s="443"/>
      <c r="T1195" s="443"/>
      <c r="U1195" s="443"/>
      <c r="V1195" s="443"/>
      <c r="W1195" s="443"/>
      <c r="X1195" s="443"/>
      <c r="Y1195" s="443"/>
      <c r="Z1195" s="443"/>
      <c r="AA1195" s="443"/>
      <c r="AB1195" s="443"/>
      <c r="AC1195" s="443"/>
      <c r="AD1195" s="443"/>
      <c r="AE1195" s="443"/>
      <c r="AF1195" s="443"/>
      <c r="AG1195" s="443" t="s">
        <v>289</v>
      </c>
      <c r="AH1195" s="443" t="s">
        <v>289</v>
      </c>
      <c r="AI1195" s="443"/>
      <c r="AJ1195" s="443"/>
      <c r="AK1195" s="443"/>
      <c r="AL1195" s="443"/>
      <c r="AM1195" s="443"/>
      <c r="AN1195" s="443"/>
      <c r="AO1195" s="443"/>
      <c r="AP1195" s="443"/>
      <c r="AQ1195" s="443"/>
      <c r="AR1195" s="443"/>
      <c r="AS1195" s="443"/>
      <c r="AT1195" s="443"/>
      <c r="AU1195" s="443"/>
      <c r="AV1195" s="443"/>
      <c r="AW1195" s="443"/>
      <c r="AX1195" s="443"/>
      <c r="AY1195" s="443"/>
      <c r="AZ1195" s="443"/>
      <c r="BA1195" s="443"/>
      <c r="BB1195" s="443"/>
      <c r="BC1195" s="443"/>
      <c r="BD1195" s="443"/>
      <c r="BE1195" s="443"/>
    </row>
    <row r="1196">
      <c r="A1196" s="445" t="str">
        <f t="shared" si="5"/>
        <v/>
      </c>
      <c r="B1196" s="443"/>
      <c r="C1196" s="443"/>
      <c r="D1196" s="462"/>
      <c r="E1196" s="436" t="str">
        <f t="array" ref="E1196">IF(B1196=0,"",(J1196+K1196)/60)</f>
        <v/>
      </c>
      <c r="F1196" s="437" t="str">
        <f t="shared" si="1"/>
        <v/>
      </c>
      <c r="G1196" s="438" t="str">
        <f t="shared" si="9"/>
        <v/>
      </c>
      <c r="H1196" s="438" t="str">
        <f t="shared" si="3"/>
        <v/>
      </c>
      <c r="I1196" s="436" t="str">
        <f t="shared" si="11"/>
        <v/>
      </c>
      <c r="J1196" s="464"/>
      <c r="K1196" s="464"/>
      <c r="L1196" s="443"/>
      <c r="M1196" s="443"/>
      <c r="N1196" s="443"/>
      <c r="O1196" s="443"/>
      <c r="P1196" s="443"/>
      <c r="Q1196" s="443"/>
      <c r="R1196" s="443"/>
      <c r="S1196" s="443"/>
      <c r="T1196" s="443"/>
      <c r="U1196" s="443"/>
      <c r="V1196" s="443"/>
      <c r="W1196" s="443"/>
      <c r="X1196" s="443"/>
      <c r="Y1196" s="443"/>
      <c r="Z1196" s="443"/>
      <c r="AA1196" s="443"/>
      <c r="AB1196" s="443"/>
      <c r="AC1196" s="443"/>
      <c r="AD1196" s="443"/>
      <c r="AE1196" s="443"/>
      <c r="AF1196" s="443"/>
      <c r="AG1196" s="443" t="s">
        <v>289</v>
      </c>
      <c r="AH1196" s="443" t="s">
        <v>289</v>
      </c>
      <c r="AI1196" s="443"/>
      <c r="AJ1196" s="443"/>
      <c r="AK1196" s="443"/>
      <c r="AL1196" s="443"/>
      <c r="AM1196" s="443"/>
      <c r="AN1196" s="443"/>
      <c r="AO1196" s="443"/>
      <c r="AP1196" s="443"/>
      <c r="AQ1196" s="443"/>
      <c r="AR1196" s="443"/>
      <c r="AS1196" s="443"/>
      <c r="AT1196" s="443"/>
      <c r="AU1196" s="443"/>
      <c r="AV1196" s="443"/>
      <c r="AW1196" s="443"/>
      <c r="AX1196" s="443"/>
      <c r="AY1196" s="443"/>
      <c r="AZ1196" s="443"/>
      <c r="BA1196" s="443"/>
      <c r="BB1196" s="443"/>
      <c r="BC1196" s="443"/>
      <c r="BD1196" s="443"/>
      <c r="BE1196" s="443"/>
    </row>
    <row r="1197">
      <c r="A1197" s="445" t="str">
        <f t="shared" si="5"/>
        <v/>
      </c>
      <c r="B1197" s="443"/>
      <c r="C1197" s="443"/>
      <c r="D1197" s="462"/>
      <c r="E1197" s="436" t="str">
        <f t="array" ref="E1197">IF(B1197=0,"",(J1197+K1197)/60)</f>
        <v/>
      </c>
      <c r="F1197" s="437" t="str">
        <f t="shared" si="1"/>
        <v/>
      </c>
      <c r="G1197" s="438" t="str">
        <f t="shared" si="9"/>
        <v/>
      </c>
      <c r="H1197" s="438" t="str">
        <f t="shared" si="3"/>
        <v/>
      </c>
      <c r="I1197" s="436" t="str">
        <f t="shared" si="11"/>
        <v/>
      </c>
      <c r="J1197" s="464"/>
      <c r="K1197" s="464"/>
      <c r="L1197" s="443"/>
      <c r="M1197" s="443"/>
      <c r="N1197" s="443"/>
      <c r="O1197" s="443"/>
      <c r="P1197" s="443"/>
      <c r="Q1197" s="443"/>
      <c r="R1197" s="443"/>
      <c r="S1197" s="443"/>
      <c r="T1197" s="443"/>
      <c r="U1197" s="443"/>
      <c r="V1197" s="443"/>
      <c r="W1197" s="443"/>
      <c r="X1197" s="443"/>
      <c r="Y1197" s="443"/>
      <c r="Z1197" s="443"/>
      <c r="AA1197" s="443"/>
      <c r="AB1197" s="443"/>
      <c r="AC1197" s="443"/>
      <c r="AD1197" s="443"/>
      <c r="AE1197" s="443"/>
      <c r="AF1197" s="443"/>
      <c r="AG1197" s="443" t="s">
        <v>289</v>
      </c>
      <c r="AH1197" s="443" t="s">
        <v>289</v>
      </c>
      <c r="AI1197" s="443"/>
      <c r="AJ1197" s="443"/>
      <c r="AK1197" s="443"/>
      <c r="AL1197" s="443"/>
      <c r="AM1197" s="443"/>
      <c r="AN1197" s="443"/>
      <c r="AO1197" s="443"/>
      <c r="AP1197" s="443"/>
      <c r="AQ1197" s="443"/>
      <c r="AR1197" s="443"/>
      <c r="AS1197" s="443"/>
      <c r="AT1197" s="443"/>
      <c r="AU1197" s="443"/>
      <c r="AV1197" s="443"/>
      <c r="AW1197" s="443"/>
      <c r="AX1197" s="443"/>
      <c r="AY1197" s="443"/>
      <c r="AZ1197" s="443"/>
      <c r="BA1197" s="443"/>
      <c r="BB1197" s="443"/>
      <c r="BC1197" s="443"/>
      <c r="BD1197" s="443"/>
      <c r="BE1197" s="443"/>
    </row>
    <row r="1198">
      <c r="A1198" s="445" t="str">
        <f t="shared" si="5"/>
        <v/>
      </c>
      <c r="B1198" s="443"/>
      <c r="C1198" s="443"/>
      <c r="D1198" s="462"/>
      <c r="E1198" s="436" t="str">
        <f t="array" ref="E1198">IF(B1198=0,"",(J1198+K1198)/60)</f>
        <v/>
      </c>
      <c r="F1198" s="437" t="str">
        <f t="shared" si="1"/>
        <v/>
      </c>
      <c r="G1198" s="438" t="str">
        <f t="shared" si="9"/>
        <v/>
      </c>
      <c r="H1198" s="438" t="str">
        <f t="shared" si="3"/>
        <v/>
      </c>
      <c r="I1198" s="436" t="str">
        <f t="shared" si="11"/>
        <v/>
      </c>
      <c r="J1198" s="464"/>
      <c r="K1198" s="464"/>
      <c r="L1198" s="443"/>
      <c r="M1198" s="443"/>
      <c r="N1198" s="443"/>
      <c r="O1198" s="443"/>
      <c r="P1198" s="443"/>
      <c r="Q1198" s="443"/>
      <c r="R1198" s="443"/>
      <c r="S1198" s="443"/>
      <c r="T1198" s="443"/>
      <c r="U1198" s="443"/>
      <c r="V1198" s="443"/>
      <c r="W1198" s="443"/>
      <c r="X1198" s="443"/>
      <c r="Y1198" s="443"/>
      <c r="Z1198" s="443"/>
      <c r="AA1198" s="443"/>
      <c r="AB1198" s="443"/>
      <c r="AC1198" s="443"/>
      <c r="AD1198" s="443"/>
      <c r="AE1198" s="443"/>
      <c r="AF1198" s="443"/>
      <c r="AG1198" s="443" t="s">
        <v>289</v>
      </c>
      <c r="AH1198" s="443" t="s">
        <v>289</v>
      </c>
      <c r="AI1198" s="443"/>
      <c r="AJ1198" s="443"/>
      <c r="AK1198" s="443"/>
      <c r="AL1198" s="443"/>
      <c r="AM1198" s="443"/>
      <c r="AN1198" s="443"/>
      <c r="AO1198" s="443"/>
      <c r="AP1198" s="443"/>
      <c r="AQ1198" s="443"/>
      <c r="AR1198" s="443"/>
      <c r="AS1198" s="443"/>
      <c r="AT1198" s="443"/>
      <c r="AU1198" s="443"/>
      <c r="AV1198" s="443"/>
      <c r="AW1198" s="443"/>
      <c r="AX1198" s="443"/>
      <c r="AY1198" s="443"/>
      <c r="AZ1198" s="443"/>
      <c r="BA1198" s="443"/>
      <c r="BB1198" s="443"/>
      <c r="BC1198" s="443"/>
      <c r="BD1198" s="443"/>
      <c r="BE1198" s="443"/>
    </row>
    <row r="1199">
      <c r="A1199" s="445" t="str">
        <f t="shared" si="5"/>
        <v/>
      </c>
      <c r="B1199" s="443"/>
      <c r="C1199" s="443"/>
      <c r="D1199" s="462"/>
      <c r="E1199" s="436" t="str">
        <f t="array" ref="E1199">IF(B1199=0,"",(J1199+K1199)/60)</f>
        <v/>
      </c>
      <c r="F1199" s="437" t="str">
        <f t="shared" si="1"/>
        <v/>
      </c>
      <c r="G1199" s="438" t="str">
        <f t="shared" si="9"/>
        <v/>
      </c>
      <c r="H1199" s="438" t="str">
        <f t="shared" si="3"/>
        <v/>
      </c>
      <c r="I1199" s="436" t="str">
        <f t="shared" si="11"/>
        <v/>
      </c>
      <c r="J1199" s="464"/>
      <c r="K1199" s="464"/>
      <c r="L1199" s="443"/>
      <c r="M1199" s="443"/>
      <c r="N1199" s="443"/>
      <c r="O1199" s="443"/>
      <c r="P1199" s="443"/>
      <c r="Q1199" s="443"/>
      <c r="R1199" s="443"/>
      <c r="S1199" s="443"/>
      <c r="T1199" s="443"/>
      <c r="U1199" s="443"/>
      <c r="V1199" s="443"/>
      <c r="W1199" s="443"/>
      <c r="X1199" s="443"/>
      <c r="Y1199" s="443"/>
      <c r="Z1199" s="443"/>
      <c r="AA1199" s="443"/>
      <c r="AB1199" s="443"/>
      <c r="AC1199" s="443"/>
      <c r="AD1199" s="443"/>
      <c r="AE1199" s="443"/>
      <c r="AF1199" s="443"/>
      <c r="AG1199" s="443" t="s">
        <v>289</v>
      </c>
      <c r="AH1199" s="443" t="s">
        <v>289</v>
      </c>
      <c r="AI1199" s="443"/>
      <c r="AJ1199" s="443"/>
      <c r="AK1199" s="443"/>
      <c r="AL1199" s="443"/>
      <c r="AM1199" s="443"/>
      <c r="AN1199" s="443"/>
      <c r="AO1199" s="443"/>
      <c r="AP1199" s="443"/>
      <c r="AQ1199" s="443"/>
      <c r="AR1199" s="443"/>
      <c r="AS1199" s="443"/>
      <c r="AT1199" s="443"/>
      <c r="AU1199" s="443"/>
      <c r="AV1199" s="443"/>
      <c r="AW1199" s="443"/>
      <c r="AX1199" s="443"/>
      <c r="AY1199" s="443"/>
      <c r="AZ1199" s="443"/>
      <c r="BA1199" s="443"/>
      <c r="BB1199" s="443"/>
      <c r="BC1199" s="443"/>
      <c r="BD1199" s="443"/>
      <c r="BE1199" s="443"/>
    </row>
    <row r="1200">
      <c r="A1200" s="445" t="str">
        <f t="shared" si="5"/>
        <v/>
      </c>
      <c r="B1200" s="443"/>
      <c r="C1200" s="443"/>
      <c r="D1200" s="462"/>
      <c r="E1200" s="436" t="str">
        <f t="array" ref="E1200">IF(B1200=0,"",(J1200+K1200)/60)</f>
        <v/>
      </c>
      <c r="F1200" s="437" t="str">
        <f t="shared" si="1"/>
        <v/>
      </c>
      <c r="G1200" s="438" t="str">
        <f t="shared" si="9"/>
        <v/>
      </c>
      <c r="H1200" s="438" t="str">
        <f t="shared" si="3"/>
        <v/>
      </c>
      <c r="I1200" s="436" t="str">
        <f t="shared" si="11"/>
        <v/>
      </c>
      <c r="J1200" s="464"/>
      <c r="K1200" s="464"/>
      <c r="L1200" s="443"/>
      <c r="M1200" s="443"/>
      <c r="N1200" s="443"/>
      <c r="O1200" s="443"/>
      <c r="P1200" s="443"/>
      <c r="Q1200" s="443"/>
      <c r="R1200" s="443"/>
      <c r="S1200" s="443"/>
      <c r="T1200" s="443"/>
      <c r="U1200" s="443"/>
      <c r="V1200" s="443"/>
      <c r="W1200" s="443"/>
      <c r="X1200" s="443"/>
      <c r="Y1200" s="443"/>
      <c r="Z1200" s="443"/>
      <c r="AA1200" s="443"/>
      <c r="AB1200" s="443"/>
      <c r="AC1200" s="443"/>
      <c r="AD1200" s="443"/>
      <c r="AE1200" s="443"/>
      <c r="AF1200" s="443"/>
      <c r="AG1200" s="443" t="s">
        <v>289</v>
      </c>
      <c r="AH1200" s="443" t="s">
        <v>289</v>
      </c>
      <c r="AI1200" s="443"/>
      <c r="AJ1200" s="443"/>
      <c r="AK1200" s="443"/>
      <c r="AL1200" s="443"/>
      <c r="AM1200" s="443"/>
      <c r="AN1200" s="443"/>
      <c r="AO1200" s="443"/>
      <c r="AP1200" s="443"/>
      <c r="AQ1200" s="443"/>
      <c r="AR1200" s="443"/>
      <c r="AS1200" s="443"/>
      <c r="AT1200" s="443"/>
      <c r="AU1200" s="443"/>
      <c r="AV1200" s="443"/>
      <c r="AW1200" s="443"/>
      <c r="AX1200" s="443"/>
      <c r="AY1200" s="443"/>
      <c r="AZ1200" s="443"/>
      <c r="BA1200" s="443"/>
      <c r="BB1200" s="443"/>
      <c r="BC1200" s="443"/>
      <c r="BD1200" s="443"/>
      <c r="BE1200" s="443"/>
    </row>
    <row r="1201">
      <c r="A1201" s="445" t="str">
        <f t="shared" si="5"/>
        <v/>
      </c>
      <c r="B1201" s="443"/>
      <c r="C1201" s="443"/>
      <c r="D1201" s="462"/>
      <c r="E1201" s="436" t="str">
        <f t="array" ref="E1201">IF(B1201=0,"",(J1201+K1201)/60)</f>
        <v/>
      </c>
      <c r="F1201" s="437" t="str">
        <f t="shared" si="1"/>
        <v/>
      </c>
      <c r="G1201" s="438" t="str">
        <f t="shared" si="9"/>
        <v/>
      </c>
      <c r="H1201" s="438" t="str">
        <f t="shared" si="3"/>
        <v/>
      </c>
      <c r="I1201" s="436" t="str">
        <f t="shared" si="11"/>
        <v/>
      </c>
      <c r="J1201" s="464"/>
      <c r="K1201" s="464"/>
      <c r="L1201" s="443"/>
      <c r="M1201" s="443"/>
      <c r="N1201" s="443"/>
      <c r="O1201" s="443"/>
      <c r="P1201" s="443"/>
      <c r="Q1201" s="443"/>
      <c r="R1201" s="443"/>
      <c r="S1201" s="443"/>
      <c r="T1201" s="443"/>
      <c r="U1201" s="443"/>
      <c r="V1201" s="443"/>
      <c r="W1201" s="443"/>
      <c r="X1201" s="443"/>
      <c r="Y1201" s="443"/>
      <c r="Z1201" s="443"/>
      <c r="AA1201" s="443"/>
      <c r="AB1201" s="443"/>
      <c r="AC1201" s="443"/>
      <c r="AD1201" s="443"/>
      <c r="AE1201" s="443"/>
      <c r="AF1201" s="443"/>
      <c r="AG1201" s="443" t="s">
        <v>289</v>
      </c>
      <c r="AH1201" s="443" t="s">
        <v>289</v>
      </c>
      <c r="AI1201" s="443"/>
      <c r="AJ1201" s="443"/>
      <c r="AK1201" s="443"/>
      <c r="AL1201" s="443"/>
      <c r="AM1201" s="443"/>
      <c r="AN1201" s="443"/>
      <c r="AO1201" s="443"/>
      <c r="AP1201" s="443"/>
      <c r="AQ1201" s="443"/>
      <c r="AR1201" s="443"/>
      <c r="AS1201" s="443"/>
      <c r="AT1201" s="443"/>
      <c r="AU1201" s="443"/>
      <c r="AV1201" s="443"/>
      <c r="AW1201" s="443"/>
      <c r="AX1201" s="443"/>
      <c r="AY1201" s="443"/>
      <c r="AZ1201" s="443"/>
      <c r="BA1201" s="443"/>
      <c r="BB1201" s="443"/>
      <c r="BC1201" s="443"/>
      <c r="BD1201" s="443"/>
      <c r="BE1201" s="443"/>
    </row>
    <row r="1202">
      <c r="A1202" s="445" t="str">
        <f t="shared" si="5"/>
        <v/>
      </c>
      <c r="B1202" s="443"/>
      <c r="C1202" s="443"/>
      <c r="D1202" s="462"/>
      <c r="E1202" s="436" t="str">
        <f t="array" ref="E1202">IF(B1202=0,"",(J1202+K1202)/60)</f>
        <v/>
      </c>
      <c r="F1202" s="437" t="str">
        <f t="shared" si="1"/>
        <v/>
      </c>
      <c r="G1202" s="438" t="str">
        <f t="shared" si="9"/>
        <v/>
      </c>
      <c r="H1202" s="438" t="str">
        <f t="shared" si="3"/>
        <v/>
      </c>
      <c r="I1202" s="436" t="str">
        <f t="shared" si="11"/>
        <v/>
      </c>
      <c r="J1202" s="464"/>
      <c r="K1202" s="464"/>
      <c r="L1202" s="443"/>
      <c r="M1202" s="443"/>
      <c r="N1202" s="443"/>
      <c r="O1202" s="443"/>
      <c r="P1202" s="443"/>
      <c r="Q1202" s="443"/>
      <c r="R1202" s="443"/>
      <c r="S1202" s="443"/>
      <c r="T1202" s="443"/>
      <c r="U1202" s="443"/>
      <c r="V1202" s="443"/>
      <c r="W1202" s="443"/>
      <c r="X1202" s="443"/>
      <c r="Y1202" s="443"/>
      <c r="Z1202" s="443"/>
      <c r="AA1202" s="443"/>
      <c r="AB1202" s="443"/>
      <c r="AC1202" s="443"/>
      <c r="AD1202" s="443"/>
      <c r="AE1202" s="443"/>
      <c r="AF1202" s="443"/>
      <c r="AG1202" s="443" t="s">
        <v>289</v>
      </c>
      <c r="AH1202" s="443" t="s">
        <v>289</v>
      </c>
      <c r="AI1202" s="443"/>
      <c r="AJ1202" s="443"/>
      <c r="AK1202" s="443"/>
      <c r="AL1202" s="443"/>
      <c r="AM1202" s="443"/>
      <c r="AN1202" s="443"/>
      <c r="AO1202" s="443"/>
      <c r="AP1202" s="443"/>
      <c r="AQ1202" s="443"/>
      <c r="AR1202" s="443"/>
      <c r="AS1202" s="443"/>
      <c r="AT1202" s="443"/>
      <c r="AU1202" s="443"/>
      <c r="AV1202" s="443"/>
      <c r="AW1202" s="443"/>
      <c r="AX1202" s="443"/>
      <c r="AY1202" s="443"/>
      <c r="AZ1202" s="443"/>
      <c r="BA1202" s="443"/>
      <c r="BB1202" s="443"/>
      <c r="BC1202" s="443"/>
      <c r="BD1202" s="443"/>
      <c r="BE1202" s="443"/>
    </row>
    <row r="1203">
      <c r="A1203" s="445" t="str">
        <f t="shared" si="5"/>
        <v/>
      </c>
      <c r="B1203" s="443"/>
      <c r="C1203" s="443"/>
      <c r="D1203" s="462"/>
      <c r="E1203" s="436" t="str">
        <f t="array" ref="E1203">IF(B1203=0,"",(J1203+K1203)/60)</f>
        <v/>
      </c>
      <c r="F1203" s="437" t="str">
        <f t="shared" si="1"/>
        <v/>
      </c>
      <c r="G1203" s="438" t="str">
        <f t="shared" si="9"/>
        <v/>
      </c>
      <c r="H1203" s="438" t="str">
        <f t="shared" si="3"/>
        <v/>
      </c>
      <c r="I1203" s="436" t="str">
        <f t="shared" si="11"/>
        <v/>
      </c>
      <c r="J1203" s="464"/>
      <c r="K1203" s="464"/>
      <c r="L1203" s="443"/>
      <c r="M1203" s="443"/>
      <c r="N1203" s="443"/>
      <c r="O1203" s="443"/>
      <c r="P1203" s="443"/>
      <c r="Q1203" s="443"/>
      <c r="R1203" s="443"/>
      <c r="S1203" s="443"/>
      <c r="T1203" s="443"/>
      <c r="U1203" s="443"/>
      <c r="V1203" s="443"/>
      <c r="W1203" s="443"/>
      <c r="X1203" s="443"/>
      <c r="Y1203" s="443"/>
      <c r="Z1203" s="443"/>
      <c r="AA1203" s="443"/>
      <c r="AB1203" s="443"/>
      <c r="AC1203" s="443"/>
      <c r="AD1203" s="443"/>
      <c r="AE1203" s="443"/>
      <c r="AF1203" s="443"/>
      <c r="AG1203" s="443" t="s">
        <v>289</v>
      </c>
      <c r="AH1203" s="443" t="s">
        <v>289</v>
      </c>
      <c r="AI1203" s="443"/>
      <c r="AJ1203" s="443"/>
      <c r="AK1203" s="443"/>
      <c r="AL1203" s="443"/>
      <c r="AM1203" s="443"/>
      <c r="AN1203" s="443"/>
      <c r="AO1203" s="443"/>
      <c r="AP1203" s="443"/>
      <c r="AQ1203" s="443"/>
      <c r="AR1203" s="443"/>
      <c r="AS1203" s="443"/>
      <c r="AT1203" s="443"/>
      <c r="AU1203" s="443"/>
      <c r="AV1203" s="443"/>
      <c r="AW1203" s="443"/>
      <c r="AX1203" s="443"/>
      <c r="AY1203" s="443"/>
      <c r="AZ1203" s="443"/>
      <c r="BA1203" s="443"/>
      <c r="BB1203" s="443"/>
      <c r="BC1203" s="443"/>
      <c r="BD1203" s="443"/>
      <c r="BE1203" s="443"/>
    </row>
    <row r="1204">
      <c r="A1204" s="445" t="str">
        <f t="shared" si="5"/>
        <v/>
      </c>
      <c r="B1204" s="443"/>
      <c r="C1204" s="443"/>
      <c r="D1204" s="462"/>
      <c r="E1204" s="436" t="str">
        <f t="array" ref="E1204">IF(B1204=0,"",(J1204+K1204)/60)</f>
        <v/>
      </c>
      <c r="F1204" s="437" t="str">
        <f t="shared" si="1"/>
        <v/>
      </c>
      <c r="G1204" s="438" t="str">
        <f t="shared" si="9"/>
        <v/>
      </c>
      <c r="H1204" s="438" t="str">
        <f t="shared" si="3"/>
        <v/>
      </c>
      <c r="I1204" s="436" t="str">
        <f t="shared" si="11"/>
        <v/>
      </c>
      <c r="J1204" s="464"/>
      <c r="K1204" s="464"/>
      <c r="L1204" s="443"/>
      <c r="M1204" s="443"/>
      <c r="N1204" s="443"/>
      <c r="O1204" s="443"/>
      <c r="P1204" s="443"/>
      <c r="Q1204" s="443"/>
      <c r="R1204" s="443"/>
      <c r="S1204" s="443"/>
      <c r="T1204" s="443"/>
      <c r="U1204" s="443"/>
      <c r="V1204" s="443"/>
      <c r="W1204" s="443"/>
      <c r="X1204" s="443"/>
      <c r="Y1204" s="443"/>
      <c r="Z1204" s="443"/>
      <c r="AA1204" s="443"/>
      <c r="AB1204" s="443"/>
      <c r="AC1204" s="443"/>
      <c r="AD1204" s="443"/>
      <c r="AE1204" s="443"/>
      <c r="AF1204" s="443"/>
      <c r="AG1204" s="443" t="s">
        <v>289</v>
      </c>
      <c r="AH1204" s="443" t="s">
        <v>289</v>
      </c>
      <c r="AI1204" s="443"/>
      <c r="AJ1204" s="443"/>
      <c r="AK1204" s="443"/>
      <c r="AL1204" s="443"/>
      <c r="AM1204" s="443"/>
      <c r="AN1204" s="443"/>
      <c r="AO1204" s="443"/>
      <c r="AP1204" s="443"/>
      <c r="AQ1204" s="443"/>
      <c r="AR1204" s="443"/>
      <c r="AS1204" s="443"/>
      <c r="AT1204" s="443"/>
      <c r="AU1204" s="443"/>
      <c r="AV1204" s="443"/>
      <c r="AW1204" s="443"/>
      <c r="AX1204" s="443"/>
      <c r="AY1204" s="443"/>
      <c r="AZ1204" s="443"/>
      <c r="BA1204" s="443"/>
      <c r="BB1204" s="443"/>
      <c r="BC1204" s="443"/>
      <c r="BD1204" s="443"/>
      <c r="BE1204" s="443"/>
    </row>
    <row r="1205">
      <c r="A1205" s="445" t="str">
        <f t="shared" si="5"/>
        <v/>
      </c>
      <c r="B1205" s="443"/>
      <c r="C1205" s="443"/>
      <c r="D1205" s="462"/>
      <c r="E1205" s="436" t="str">
        <f t="array" ref="E1205">IF(B1205=0,"",(J1205+K1205)/60)</f>
        <v/>
      </c>
      <c r="F1205" s="437" t="str">
        <f t="shared" si="1"/>
        <v/>
      </c>
      <c r="G1205" s="438" t="str">
        <f t="shared" si="9"/>
        <v/>
      </c>
      <c r="H1205" s="438" t="str">
        <f t="shared" si="3"/>
        <v/>
      </c>
      <c r="I1205" s="436" t="str">
        <f t="shared" si="11"/>
        <v/>
      </c>
      <c r="J1205" s="464"/>
      <c r="K1205" s="464"/>
      <c r="L1205" s="443"/>
      <c r="M1205" s="443"/>
      <c r="N1205" s="443"/>
      <c r="O1205" s="443"/>
      <c r="P1205" s="443"/>
      <c r="Q1205" s="443"/>
      <c r="R1205" s="443"/>
      <c r="S1205" s="443"/>
      <c r="T1205" s="443"/>
      <c r="U1205" s="443"/>
      <c r="V1205" s="443"/>
      <c r="W1205" s="443"/>
      <c r="X1205" s="443"/>
      <c r="Y1205" s="443"/>
      <c r="Z1205" s="443"/>
      <c r="AA1205" s="443"/>
      <c r="AB1205" s="443"/>
      <c r="AC1205" s="443"/>
      <c r="AD1205" s="443"/>
      <c r="AE1205" s="443"/>
      <c r="AF1205" s="443"/>
      <c r="AG1205" s="443" t="s">
        <v>289</v>
      </c>
      <c r="AH1205" s="443" t="s">
        <v>289</v>
      </c>
      <c r="AI1205" s="443"/>
      <c r="AJ1205" s="443"/>
      <c r="AK1205" s="443"/>
      <c r="AL1205" s="443"/>
      <c r="AM1205" s="443"/>
      <c r="AN1205" s="443"/>
      <c r="AO1205" s="443"/>
      <c r="AP1205" s="443"/>
      <c r="AQ1205" s="443"/>
      <c r="AR1205" s="443"/>
      <c r="AS1205" s="443"/>
      <c r="AT1205" s="443"/>
      <c r="AU1205" s="443"/>
      <c r="AV1205" s="443"/>
      <c r="AW1205" s="443"/>
      <c r="AX1205" s="443"/>
      <c r="AY1205" s="443"/>
      <c r="AZ1205" s="443"/>
      <c r="BA1205" s="443"/>
      <c r="BB1205" s="443"/>
      <c r="BC1205" s="443"/>
      <c r="BD1205" s="443"/>
      <c r="BE1205" s="443"/>
    </row>
    <row r="1206">
      <c r="A1206" s="445" t="str">
        <f t="shared" si="5"/>
        <v/>
      </c>
      <c r="B1206" s="443"/>
      <c r="C1206" s="443"/>
      <c r="D1206" s="462"/>
      <c r="E1206" s="436" t="str">
        <f t="array" ref="E1206">IF(B1206=0,"",(J1206+K1206)/60)</f>
        <v/>
      </c>
      <c r="F1206" s="437" t="str">
        <f t="shared" si="1"/>
        <v/>
      </c>
      <c r="G1206" s="438" t="str">
        <f t="shared" si="9"/>
        <v/>
      </c>
      <c r="H1206" s="438" t="str">
        <f t="shared" si="3"/>
        <v/>
      </c>
      <c r="I1206" s="436" t="str">
        <f t="shared" si="11"/>
        <v/>
      </c>
      <c r="J1206" s="464"/>
      <c r="K1206" s="464"/>
      <c r="L1206" s="443"/>
      <c r="M1206" s="443"/>
      <c r="N1206" s="443"/>
      <c r="O1206" s="443"/>
      <c r="P1206" s="443"/>
      <c r="Q1206" s="443"/>
      <c r="R1206" s="443"/>
      <c r="S1206" s="443"/>
      <c r="T1206" s="443"/>
      <c r="U1206" s="443"/>
      <c r="V1206" s="443"/>
      <c r="W1206" s="443"/>
      <c r="X1206" s="443"/>
      <c r="Y1206" s="443"/>
      <c r="Z1206" s="443"/>
      <c r="AA1206" s="443"/>
      <c r="AB1206" s="443"/>
      <c r="AC1206" s="443"/>
      <c r="AD1206" s="443"/>
      <c r="AE1206" s="443"/>
      <c r="AF1206" s="443"/>
      <c r="AG1206" s="443" t="s">
        <v>289</v>
      </c>
      <c r="AH1206" s="443" t="s">
        <v>289</v>
      </c>
      <c r="AI1206" s="443"/>
      <c r="AJ1206" s="443"/>
      <c r="AK1206" s="443"/>
      <c r="AL1206" s="443"/>
      <c r="AM1206" s="443"/>
      <c r="AN1206" s="443"/>
      <c r="AO1206" s="443"/>
      <c r="AP1206" s="443"/>
      <c r="AQ1206" s="443"/>
      <c r="AR1206" s="443"/>
      <c r="AS1206" s="443"/>
      <c r="AT1206" s="443"/>
      <c r="AU1206" s="443"/>
      <c r="AV1206" s="443"/>
      <c r="AW1206" s="443"/>
      <c r="AX1206" s="443"/>
      <c r="AY1206" s="443"/>
      <c r="AZ1206" s="443"/>
      <c r="BA1206" s="443"/>
      <c r="BB1206" s="443"/>
      <c r="BC1206" s="443"/>
      <c r="BD1206" s="443"/>
      <c r="BE1206" s="443"/>
    </row>
    <row r="1207">
      <c r="A1207" s="445" t="str">
        <f t="shared" si="5"/>
        <v/>
      </c>
      <c r="B1207" s="443"/>
      <c r="C1207" s="443"/>
      <c r="D1207" s="462"/>
      <c r="E1207" s="436" t="str">
        <f t="array" ref="E1207">IF(B1207=0,"",(J1207+K1207)/60)</f>
        <v/>
      </c>
      <c r="F1207" s="437" t="str">
        <f t="shared" si="1"/>
        <v/>
      </c>
      <c r="G1207" s="438" t="str">
        <f t="shared" si="9"/>
        <v/>
      </c>
      <c r="H1207" s="438" t="str">
        <f t="shared" si="3"/>
        <v/>
      </c>
      <c r="I1207" s="436" t="str">
        <f t="shared" si="11"/>
        <v/>
      </c>
      <c r="J1207" s="464"/>
      <c r="K1207" s="464"/>
      <c r="L1207" s="443"/>
      <c r="M1207" s="443"/>
      <c r="N1207" s="443"/>
      <c r="O1207" s="443"/>
      <c r="P1207" s="443"/>
      <c r="Q1207" s="443"/>
      <c r="R1207" s="443"/>
      <c r="S1207" s="443"/>
      <c r="T1207" s="443"/>
      <c r="U1207" s="443"/>
      <c r="V1207" s="443"/>
      <c r="W1207" s="443"/>
      <c r="X1207" s="443"/>
      <c r="Y1207" s="443"/>
      <c r="Z1207" s="443"/>
      <c r="AA1207" s="443"/>
      <c r="AB1207" s="443"/>
      <c r="AC1207" s="443"/>
      <c r="AD1207" s="443"/>
      <c r="AE1207" s="443"/>
      <c r="AF1207" s="443"/>
      <c r="AG1207" s="443" t="s">
        <v>289</v>
      </c>
      <c r="AH1207" s="443" t="s">
        <v>289</v>
      </c>
      <c r="AI1207" s="443"/>
      <c r="AJ1207" s="443"/>
      <c r="AK1207" s="443"/>
      <c r="AL1207" s="443"/>
      <c r="AM1207" s="443"/>
      <c r="AN1207" s="443"/>
      <c r="AO1207" s="443"/>
      <c r="AP1207" s="443"/>
      <c r="AQ1207" s="443"/>
      <c r="AR1207" s="443"/>
      <c r="AS1207" s="443"/>
      <c r="AT1207" s="443"/>
      <c r="AU1207" s="443"/>
      <c r="AV1207" s="443"/>
      <c r="AW1207" s="443"/>
      <c r="AX1207" s="443"/>
      <c r="AY1207" s="443"/>
      <c r="AZ1207" s="443"/>
      <c r="BA1207" s="443"/>
      <c r="BB1207" s="443"/>
      <c r="BC1207" s="443"/>
      <c r="BD1207" s="443"/>
      <c r="BE1207" s="443"/>
    </row>
    <row r="1208">
      <c r="A1208" s="445" t="str">
        <f t="shared" si="5"/>
        <v/>
      </c>
      <c r="B1208" s="443"/>
      <c r="C1208" s="443"/>
      <c r="D1208" s="462"/>
      <c r="E1208" s="436" t="str">
        <f t="array" ref="E1208">IF(B1208=0,"",(J1208+K1208)/60)</f>
        <v/>
      </c>
      <c r="F1208" s="437" t="str">
        <f t="shared" si="1"/>
        <v/>
      </c>
      <c r="G1208" s="438" t="str">
        <f t="shared" si="9"/>
        <v/>
      </c>
      <c r="H1208" s="438" t="str">
        <f t="shared" si="3"/>
        <v/>
      </c>
      <c r="I1208" s="436" t="str">
        <f t="shared" si="11"/>
        <v/>
      </c>
      <c r="J1208" s="464"/>
      <c r="K1208" s="464"/>
      <c r="L1208" s="443"/>
      <c r="M1208" s="443"/>
      <c r="N1208" s="443"/>
      <c r="O1208" s="443"/>
      <c r="P1208" s="443"/>
      <c r="Q1208" s="443"/>
      <c r="R1208" s="443"/>
      <c r="S1208" s="443"/>
      <c r="T1208" s="443"/>
      <c r="U1208" s="443"/>
      <c r="V1208" s="443"/>
      <c r="W1208" s="443"/>
      <c r="X1208" s="443"/>
      <c r="Y1208" s="443"/>
      <c r="Z1208" s="443"/>
      <c r="AA1208" s="443"/>
      <c r="AB1208" s="443"/>
      <c r="AC1208" s="443"/>
      <c r="AD1208" s="443"/>
      <c r="AE1208" s="443"/>
      <c r="AF1208" s="443"/>
      <c r="AG1208" s="443" t="s">
        <v>289</v>
      </c>
      <c r="AH1208" s="443" t="s">
        <v>289</v>
      </c>
      <c r="AI1208" s="443"/>
      <c r="AJ1208" s="443"/>
      <c r="AK1208" s="443"/>
      <c r="AL1208" s="443"/>
      <c r="AM1208" s="443"/>
      <c r="AN1208" s="443"/>
      <c r="AO1208" s="443"/>
      <c r="AP1208" s="443"/>
      <c r="AQ1208" s="443"/>
      <c r="AR1208" s="443"/>
      <c r="AS1208" s="443"/>
      <c r="AT1208" s="443"/>
      <c r="AU1208" s="443"/>
      <c r="AV1208" s="443"/>
      <c r="AW1208" s="443"/>
      <c r="AX1208" s="443"/>
      <c r="AY1208" s="443"/>
      <c r="AZ1208" s="443"/>
      <c r="BA1208" s="443"/>
      <c r="BB1208" s="443"/>
      <c r="BC1208" s="443"/>
      <c r="BD1208" s="443"/>
      <c r="BE1208" s="443"/>
    </row>
    <row r="1209">
      <c r="A1209" s="445" t="str">
        <f t="shared" si="5"/>
        <v/>
      </c>
      <c r="B1209" s="443"/>
      <c r="C1209" s="443"/>
      <c r="D1209" s="462"/>
      <c r="E1209" s="436" t="str">
        <f t="array" ref="E1209">IF(B1209=0,"",(J1209+K1209)/60)</f>
        <v/>
      </c>
      <c r="F1209" s="437" t="str">
        <f t="shared" si="1"/>
        <v/>
      </c>
      <c r="G1209" s="438" t="str">
        <f t="shared" si="9"/>
        <v/>
      </c>
      <c r="H1209" s="438" t="str">
        <f t="shared" si="3"/>
        <v/>
      </c>
      <c r="I1209" s="436" t="str">
        <f t="shared" si="11"/>
        <v/>
      </c>
      <c r="J1209" s="464"/>
      <c r="K1209" s="464"/>
      <c r="L1209" s="443"/>
      <c r="M1209" s="443"/>
      <c r="N1209" s="443"/>
      <c r="O1209" s="443"/>
      <c r="P1209" s="443"/>
      <c r="Q1209" s="443"/>
      <c r="R1209" s="443"/>
      <c r="S1209" s="443"/>
      <c r="T1209" s="443"/>
      <c r="U1209" s="443"/>
      <c r="V1209" s="443"/>
      <c r="W1209" s="443"/>
      <c r="X1209" s="443"/>
      <c r="Y1209" s="443"/>
      <c r="Z1209" s="443"/>
      <c r="AA1209" s="443"/>
      <c r="AB1209" s="443"/>
      <c r="AC1209" s="443"/>
      <c r="AD1209" s="443"/>
      <c r="AE1209" s="443"/>
      <c r="AF1209" s="443"/>
      <c r="AG1209" s="443" t="s">
        <v>289</v>
      </c>
      <c r="AH1209" s="443" t="s">
        <v>289</v>
      </c>
      <c r="AI1209" s="443"/>
      <c r="AJ1209" s="443"/>
      <c r="AK1209" s="443"/>
      <c r="AL1209" s="443"/>
      <c r="AM1209" s="443"/>
      <c r="AN1209" s="443"/>
      <c r="AO1209" s="443"/>
      <c r="AP1209" s="443"/>
      <c r="AQ1209" s="443"/>
      <c r="AR1209" s="443"/>
      <c r="AS1209" s="443"/>
      <c r="AT1209" s="443"/>
      <c r="AU1209" s="443"/>
      <c r="AV1209" s="443"/>
      <c r="AW1209" s="443"/>
      <c r="AX1209" s="443"/>
      <c r="AY1209" s="443"/>
      <c r="AZ1209" s="443"/>
      <c r="BA1209" s="443"/>
      <c r="BB1209" s="443"/>
      <c r="BC1209" s="443"/>
      <c r="BD1209" s="443"/>
      <c r="BE1209" s="443"/>
    </row>
    <row r="1210">
      <c r="A1210" s="445" t="str">
        <f t="shared" si="5"/>
        <v/>
      </c>
      <c r="B1210" s="443"/>
      <c r="C1210" s="443"/>
      <c r="D1210" s="462"/>
      <c r="E1210" s="436" t="str">
        <f t="array" ref="E1210">IF(B1210=0,"",(J1210+K1210)/60)</f>
        <v/>
      </c>
      <c r="F1210" s="437" t="str">
        <f t="shared" si="1"/>
        <v/>
      </c>
      <c r="G1210" s="438" t="str">
        <f t="shared" si="9"/>
        <v/>
      </c>
      <c r="H1210" s="438" t="str">
        <f t="shared" si="3"/>
        <v/>
      </c>
      <c r="I1210" s="436" t="str">
        <f t="shared" si="11"/>
        <v/>
      </c>
      <c r="J1210" s="464"/>
      <c r="K1210" s="464"/>
      <c r="L1210" s="443"/>
      <c r="M1210" s="443"/>
      <c r="N1210" s="443"/>
      <c r="O1210" s="443"/>
      <c r="P1210" s="443"/>
      <c r="Q1210" s="443"/>
      <c r="R1210" s="443"/>
      <c r="S1210" s="443"/>
      <c r="T1210" s="443"/>
      <c r="U1210" s="443"/>
      <c r="V1210" s="443"/>
      <c r="W1210" s="443"/>
      <c r="X1210" s="443"/>
      <c r="Y1210" s="443"/>
      <c r="Z1210" s="443"/>
      <c r="AA1210" s="443"/>
      <c r="AB1210" s="443"/>
      <c r="AC1210" s="443"/>
      <c r="AD1210" s="443"/>
      <c r="AE1210" s="443"/>
      <c r="AF1210" s="443"/>
      <c r="AG1210" s="443" t="s">
        <v>289</v>
      </c>
      <c r="AH1210" s="443" t="s">
        <v>289</v>
      </c>
      <c r="AI1210" s="443"/>
      <c r="AJ1210" s="443"/>
      <c r="AK1210" s="443"/>
      <c r="AL1210" s="443"/>
      <c r="AM1210" s="443"/>
      <c r="AN1210" s="443"/>
      <c r="AO1210" s="443"/>
      <c r="AP1210" s="443"/>
      <c r="AQ1210" s="443"/>
      <c r="AR1210" s="443"/>
      <c r="AS1210" s="443"/>
      <c r="AT1210" s="443"/>
      <c r="AU1210" s="443"/>
      <c r="AV1210" s="443"/>
      <c r="AW1210" s="443"/>
      <c r="AX1210" s="443"/>
      <c r="AY1210" s="443"/>
      <c r="AZ1210" s="443"/>
      <c r="BA1210" s="443"/>
      <c r="BB1210" s="443"/>
      <c r="BC1210" s="443"/>
      <c r="BD1210" s="443"/>
      <c r="BE1210" s="443"/>
    </row>
    <row r="1211">
      <c r="A1211" s="445" t="str">
        <f t="shared" si="5"/>
        <v/>
      </c>
      <c r="B1211" s="443"/>
      <c r="C1211" s="443"/>
      <c r="D1211" s="462"/>
      <c r="E1211" s="436" t="str">
        <f t="array" ref="E1211">IF(B1211=0,"",(J1211+K1211)/60)</f>
        <v/>
      </c>
      <c r="F1211" s="437" t="str">
        <f t="shared" si="1"/>
        <v/>
      </c>
      <c r="G1211" s="438" t="str">
        <f t="shared" si="9"/>
        <v/>
      </c>
      <c r="H1211" s="438" t="str">
        <f t="shared" si="3"/>
        <v/>
      </c>
      <c r="I1211" s="436" t="str">
        <f t="shared" si="11"/>
        <v/>
      </c>
      <c r="J1211" s="464"/>
      <c r="K1211" s="464"/>
      <c r="L1211" s="443"/>
      <c r="M1211" s="443"/>
      <c r="N1211" s="443"/>
      <c r="O1211" s="443"/>
      <c r="P1211" s="443"/>
      <c r="Q1211" s="443"/>
      <c r="R1211" s="443"/>
      <c r="S1211" s="443"/>
      <c r="T1211" s="443"/>
      <c r="U1211" s="443"/>
      <c r="V1211" s="443"/>
      <c r="W1211" s="443"/>
      <c r="X1211" s="443"/>
      <c r="Y1211" s="443"/>
      <c r="Z1211" s="443"/>
      <c r="AA1211" s="443"/>
      <c r="AB1211" s="443"/>
      <c r="AC1211" s="443"/>
      <c r="AD1211" s="443"/>
      <c r="AE1211" s="443"/>
      <c r="AF1211" s="443"/>
      <c r="AG1211" s="443" t="s">
        <v>289</v>
      </c>
      <c r="AH1211" s="443" t="s">
        <v>289</v>
      </c>
      <c r="AI1211" s="443"/>
      <c r="AJ1211" s="443"/>
      <c r="AK1211" s="443"/>
      <c r="AL1211" s="443"/>
      <c r="AM1211" s="443"/>
      <c r="AN1211" s="443"/>
      <c r="AO1211" s="443"/>
      <c r="AP1211" s="443"/>
      <c r="AQ1211" s="443"/>
      <c r="AR1211" s="443"/>
      <c r="AS1211" s="443"/>
      <c r="AT1211" s="443"/>
      <c r="AU1211" s="443"/>
      <c r="AV1211" s="443"/>
      <c r="AW1211" s="443"/>
      <c r="AX1211" s="443"/>
      <c r="AY1211" s="443"/>
      <c r="AZ1211" s="443"/>
      <c r="BA1211" s="443"/>
      <c r="BB1211" s="443"/>
      <c r="BC1211" s="443"/>
      <c r="BD1211" s="443"/>
      <c r="BE1211" s="443"/>
    </row>
    <row r="1212">
      <c r="A1212" s="445" t="str">
        <f t="shared" si="5"/>
        <v/>
      </c>
      <c r="B1212" s="443"/>
      <c r="C1212" s="443"/>
      <c r="D1212" s="462"/>
      <c r="E1212" s="436" t="str">
        <f t="array" ref="E1212">IF(B1212=0,"",(J1212+K1212)/60)</f>
        <v/>
      </c>
      <c r="F1212" s="437" t="str">
        <f t="shared" si="1"/>
        <v/>
      </c>
      <c r="G1212" s="438" t="str">
        <f t="shared" si="9"/>
        <v/>
      </c>
      <c r="H1212" s="438" t="str">
        <f t="shared" si="3"/>
        <v/>
      </c>
      <c r="I1212" s="436" t="str">
        <f t="shared" si="11"/>
        <v/>
      </c>
      <c r="J1212" s="464"/>
      <c r="K1212" s="464"/>
      <c r="L1212" s="443"/>
      <c r="M1212" s="443"/>
      <c r="N1212" s="443"/>
      <c r="O1212" s="443"/>
      <c r="P1212" s="443"/>
      <c r="Q1212" s="443"/>
      <c r="R1212" s="443"/>
      <c r="S1212" s="443"/>
      <c r="T1212" s="443"/>
      <c r="U1212" s="443"/>
      <c r="V1212" s="443"/>
      <c r="W1212" s="443"/>
      <c r="X1212" s="443"/>
      <c r="Y1212" s="443"/>
      <c r="Z1212" s="443"/>
      <c r="AA1212" s="443"/>
      <c r="AB1212" s="443"/>
      <c r="AC1212" s="443"/>
      <c r="AD1212" s="443"/>
      <c r="AE1212" s="443"/>
      <c r="AF1212" s="443"/>
      <c r="AG1212" s="443" t="s">
        <v>289</v>
      </c>
      <c r="AH1212" s="443" t="s">
        <v>289</v>
      </c>
      <c r="AI1212" s="443"/>
      <c r="AJ1212" s="443"/>
      <c r="AK1212" s="443"/>
      <c r="AL1212" s="443"/>
      <c r="AM1212" s="443"/>
      <c r="AN1212" s="443"/>
      <c r="AO1212" s="443"/>
      <c r="AP1212" s="443"/>
      <c r="AQ1212" s="443"/>
      <c r="AR1212" s="443"/>
      <c r="AS1212" s="443"/>
      <c r="AT1212" s="443"/>
      <c r="AU1212" s="443"/>
      <c r="AV1212" s="443"/>
      <c r="AW1212" s="443"/>
      <c r="AX1212" s="443"/>
      <c r="AY1212" s="443"/>
      <c r="AZ1212" s="443"/>
      <c r="BA1212" s="443"/>
      <c r="BB1212" s="443"/>
      <c r="BC1212" s="443"/>
      <c r="BD1212" s="443"/>
      <c r="BE1212" s="443"/>
    </row>
    <row r="1213">
      <c r="A1213" s="445" t="str">
        <f t="shared" si="5"/>
        <v/>
      </c>
      <c r="B1213" s="443"/>
      <c r="C1213" s="443"/>
      <c r="D1213" s="462"/>
      <c r="E1213" s="436" t="str">
        <f t="array" ref="E1213">IF(B1213=0,"",(J1213+K1213)/60)</f>
        <v/>
      </c>
      <c r="F1213" s="437" t="str">
        <f t="shared" si="1"/>
        <v/>
      </c>
      <c r="G1213" s="438" t="str">
        <f t="shared" si="9"/>
        <v/>
      </c>
      <c r="H1213" s="438" t="str">
        <f t="shared" si="3"/>
        <v/>
      </c>
      <c r="I1213" s="436" t="str">
        <f t="shared" si="11"/>
        <v/>
      </c>
      <c r="J1213" s="464"/>
      <c r="K1213" s="464"/>
      <c r="L1213" s="443"/>
      <c r="M1213" s="443"/>
      <c r="N1213" s="443"/>
      <c r="O1213" s="443"/>
      <c r="P1213" s="443"/>
      <c r="Q1213" s="443"/>
      <c r="R1213" s="443"/>
      <c r="S1213" s="443"/>
      <c r="T1213" s="443"/>
      <c r="U1213" s="443"/>
      <c r="V1213" s="443"/>
      <c r="W1213" s="443"/>
      <c r="X1213" s="443"/>
      <c r="Y1213" s="443"/>
      <c r="Z1213" s="443"/>
      <c r="AA1213" s="443"/>
      <c r="AB1213" s="443"/>
      <c r="AC1213" s="443"/>
      <c r="AD1213" s="443"/>
      <c r="AE1213" s="443"/>
      <c r="AF1213" s="443"/>
      <c r="AG1213" s="443" t="s">
        <v>289</v>
      </c>
      <c r="AH1213" s="443" t="s">
        <v>289</v>
      </c>
      <c r="AI1213" s="443"/>
      <c r="AJ1213" s="443"/>
      <c r="AK1213" s="443"/>
      <c r="AL1213" s="443"/>
      <c r="AM1213" s="443"/>
      <c r="AN1213" s="443"/>
      <c r="AO1213" s="443"/>
      <c r="AP1213" s="443"/>
      <c r="AQ1213" s="443"/>
      <c r="AR1213" s="443"/>
      <c r="AS1213" s="443"/>
      <c r="AT1213" s="443"/>
      <c r="AU1213" s="443"/>
      <c r="AV1213" s="443"/>
      <c r="AW1213" s="443"/>
      <c r="AX1213" s="443"/>
      <c r="AY1213" s="443"/>
      <c r="AZ1213" s="443"/>
      <c r="BA1213" s="443"/>
      <c r="BB1213" s="443"/>
      <c r="BC1213" s="443"/>
      <c r="BD1213" s="443"/>
      <c r="BE1213" s="443"/>
    </row>
    <row r="1214">
      <c r="A1214" s="445" t="str">
        <f t="shared" si="5"/>
        <v/>
      </c>
      <c r="B1214" s="443"/>
      <c r="C1214" s="443"/>
      <c r="D1214" s="462"/>
      <c r="E1214" s="436" t="str">
        <f t="array" ref="E1214">IF(B1214=0,"",(J1214+K1214)/60)</f>
        <v/>
      </c>
      <c r="F1214" s="437" t="str">
        <f t="shared" si="1"/>
        <v/>
      </c>
      <c r="G1214" s="438" t="str">
        <f t="shared" si="9"/>
        <v/>
      </c>
      <c r="H1214" s="438" t="str">
        <f t="shared" si="3"/>
        <v/>
      </c>
      <c r="I1214" s="436" t="str">
        <f t="shared" si="11"/>
        <v/>
      </c>
      <c r="J1214" s="464"/>
      <c r="K1214" s="464"/>
      <c r="L1214" s="443"/>
      <c r="M1214" s="443"/>
      <c r="N1214" s="443"/>
      <c r="O1214" s="443"/>
      <c r="P1214" s="443"/>
      <c r="Q1214" s="443"/>
      <c r="R1214" s="443"/>
      <c r="S1214" s="443"/>
      <c r="T1214" s="443"/>
      <c r="U1214" s="443"/>
      <c r="V1214" s="443"/>
      <c r="W1214" s="443"/>
      <c r="X1214" s="443"/>
      <c r="Y1214" s="443"/>
      <c r="Z1214" s="443"/>
      <c r="AA1214" s="443"/>
      <c r="AB1214" s="443"/>
      <c r="AC1214" s="443"/>
      <c r="AD1214" s="443"/>
      <c r="AE1214" s="443"/>
      <c r="AF1214" s="443"/>
      <c r="AG1214" s="443" t="s">
        <v>289</v>
      </c>
      <c r="AH1214" s="443" t="s">
        <v>289</v>
      </c>
      <c r="AI1214" s="443"/>
      <c r="AJ1214" s="443"/>
      <c r="AK1214" s="443"/>
      <c r="AL1214" s="443"/>
      <c r="AM1214" s="443"/>
      <c r="AN1214" s="443"/>
      <c r="AO1214" s="443"/>
      <c r="AP1214" s="443"/>
      <c r="AQ1214" s="443"/>
      <c r="AR1214" s="443"/>
      <c r="AS1214" s="443"/>
      <c r="AT1214" s="443"/>
      <c r="AU1214" s="443"/>
      <c r="AV1214" s="443"/>
      <c r="AW1214" s="443"/>
      <c r="AX1214" s="443"/>
      <c r="AY1214" s="443"/>
      <c r="AZ1214" s="443"/>
      <c r="BA1214" s="443"/>
      <c r="BB1214" s="443"/>
      <c r="BC1214" s="443"/>
      <c r="BD1214" s="443"/>
      <c r="BE1214" s="443"/>
    </row>
    <row r="1215">
      <c r="A1215" s="445" t="str">
        <f t="shared" si="5"/>
        <v/>
      </c>
      <c r="B1215" s="443"/>
      <c r="C1215" s="443"/>
      <c r="D1215" s="462"/>
      <c r="E1215" s="436" t="str">
        <f t="array" ref="E1215">IF(B1215=0,"",(J1215+K1215)/60)</f>
        <v/>
      </c>
      <c r="F1215" s="437" t="str">
        <f t="shared" si="1"/>
        <v/>
      </c>
      <c r="G1215" s="438" t="str">
        <f t="shared" si="9"/>
        <v/>
      </c>
      <c r="H1215" s="438" t="str">
        <f t="shared" si="3"/>
        <v/>
      </c>
      <c r="I1215" s="436" t="str">
        <f t="shared" si="11"/>
        <v/>
      </c>
      <c r="J1215" s="464"/>
      <c r="K1215" s="464"/>
      <c r="L1215" s="443"/>
      <c r="M1215" s="443"/>
      <c r="N1215" s="443"/>
      <c r="O1215" s="443"/>
      <c r="P1215" s="443"/>
      <c r="Q1215" s="443"/>
      <c r="R1215" s="443"/>
      <c r="S1215" s="443"/>
      <c r="T1215" s="443"/>
      <c r="U1215" s="443"/>
      <c r="V1215" s="443"/>
      <c r="W1215" s="443"/>
      <c r="X1215" s="443"/>
      <c r="Y1215" s="443"/>
      <c r="Z1215" s="443"/>
      <c r="AA1215" s="443"/>
      <c r="AB1215" s="443"/>
      <c r="AC1215" s="443"/>
      <c r="AD1215" s="443"/>
      <c r="AE1215" s="443"/>
      <c r="AF1215" s="443"/>
      <c r="AG1215" s="443" t="s">
        <v>289</v>
      </c>
      <c r="AH1215" s="443" t="s">
        <v>289</v>
      </c>
      <c r="AI1215" s="443"/>
      <c r="AJ1215" s="443"/>
      <c r="AK1215" s="443"/>
      <c r="AL1215" s="443"/>
      <c r="AM1215" s="443"/>
      <c r="AN1215" s="443"/>
      <c r="AO1215" s="443"/>
      <c r="AP1215" s="443"/>
      <c r="AQ1215" s="443"/>
      <c r="AR1215" s="443"/>
      <c r="AS1215" s="443"/>
      <c r="AT1215" s="443"/>
      <c r="AU1215" s="443"/>
      <c r="AV1215" s="443"/>
      <c r="AW1215" s="443"/>
      <c r="AX1215" s="443"/>
      <c r="AY1215" s="443"/>
      <c r="AZ1215" s="443"/>
      <c r="BA1215" s="443"/>
      <c r="BB1215" s="443"/>
      <c r="BC1215" s="443"/>
      <c r="BD1215" s="443"/>
      <c r="BE1215" s="443"/>
    </row>
    <row r="1216">
      <c r="A1216" s="445" t="str">
        <f t="shared" si="5"/>
        <v/>
      </c>
      <c r="B1216" s="443"/>
      <c r="C1216" s="443"/>
      <c r="D1216" s="462"/>
      <c r="E1216" s="436" t="str">
        <f t="array" ref="E1216">IF(B1216=0,"",(J1216+K1216)/60)</f>
        <v/>
      </c>
      <c r="F1216" s="437" t="str">
        <f t="shared" si="1"/>
        <v/>
      </c>
      <c r="G1216" s="438" t="str">
        <f t="shared" si="9"/>
        <v/>
      </c>
      <c r="H1216" s="438" t="str">
        <f t="shared" si="3"/>
        <v/>
      </c>
      <c r="I1216" s="436" t="str">
        <f t="shared" si="11"/>
        <v/>
      </c>
      <c r="J1216" s="464"/>
      <c r="K1216" s="464"/>
      <c r="L1216" s="443"/>
      <c r="M1216" s="443"/>
      <c r="N1216" s="443"/>
      <c r="O1216" s="443"/>
      <c r="P1216" s="443"/>
      <c r="Q1216" s="443"/>
      <c r="R1216" s="443"/>
      <c r="S1216" s="443"/>
      <c r="T1216" s="443"/>
      <c r="U1216" s="443"/>
      <c r="V1216" s="443"/>
      <c r="W1216" s="443"/>
      <c r="X1216" s="443"/>
      <c r="Y1216" s="443"/>
      <c r="Z1216" s="443"/>
      <c r="AA1216" s="443"/>
      <c r="AB1216" s="443"/>
      <c r="AC1216" s="443"/>
      <c r="AD1216" s="443"/>
      <c r="AE1216" s="443"/>
      <c r="AF1216" s="443"/>
      <c r="AG1216" s="443" t="s">
        <v>289</v>
      </c>
      <c r="AH1216" s="443" t="s">
        <v>289</v>
      </c>
      <c r="AI1216" s="443"/>
      <c r="AJ1216" s="443"/>
      <c r="AK1216" s="443"/>
      <c r="AL1216" s="443"/>
      <c r="AM1216" s="443"/>
      <c r="AN1216" s="443"/>
      <c r="AO1216" s="443"/>
      <c r="AP1216" s="443"/>
      <c r="AQ1216" s="443"/>
      <c r="AR1216" s="443"/>
      <c r="AS1216" s="443"/>
      <c r="AT1216" s="443"/>
      <c r="AU1216" s="443"/>
      <c r="AV1216" s="443"/>
      <c r="AW1216" s="443"/>
      <c r="AX1216" s="443"/>
      <c r="AY1216" s="443"/>
      <c r="AZ1216" s="443"/>
      <c r="BA1216" s="443"/>
      <c r="BB1216" s="443"/>
      <c r="BC1216" s="443"/>
      <c r="BD1216" s="443"/>
      <c r="BE1216" s="443"/>
    </row>
    <row r="1217">
      <c r="A1217" s="445" t="str">
        <f t="shared" si="5"/>
        <v/>
      </c>
      <c r="B1217" s="443"/>
      <c r="C1217" s="443"/>
      <c r="D1217" s="462"/>
      <c r="E1217" s="436" t="str">
        <f t="array" ref="E1217">IF(B1217=0,"",(J1217+K1217)/60)</f>
        <v/>
      </c>
      <c r="F1217" s="437" t="str">
        <f t="shared" si="1"/>
        <v/>
      </c>
      <c r="G1217" s="438" t="str">
        <f t="shared" si="9"/>
        <v/>
      </c>
      <c r="H1217" s="438" t="str">
        <f t="shared" si="3"/>
        <v/>
      </c>
      <c r="I1217" s="436" t="str">
        <f t="shared" si="11"/>
        <v/>
      </c>
      <c r="J1217" s="464"/>
      <c r="K1217" s="464"/>
      <c r="L1217" s="443"/>
      <c r="M1217" s="443"/>
      <c r="N1217" s="443"/>
      <c r="O1217" s="443"/>
      <c r="P1217" s="443"/>
      <c r="Q1217" s="443"/>
      <c r="R1217" s="443"/>
      <c r="S1217" s="443"/>
      <c r="T1217" s="443"/>
      <c r="U1217" s="443"/>
      <c r="V1217" s="443"/>
      <c r="W1217" s="443"/>
      <c r="X1217" s="443"/>
      <c r="Y1217" s="443"/>
      <c r="Z1217" s="443"/>
      <c r="AA1217" s="443"/>
      <c r="AB1217" s="443"/>
      <c r="AC1217" s="443"/>
      <c r="AD1217" s="443"/>
      <c r="AE1217" s="443"/>
      <c r="AF1217" s="443"/>
      <c r="AG1217" s="443" t="s">
        <v>289</v>
      </c>
      <c r="AH1217" s="443" t="s">
        <v>289</v>
      </c>
      <c r="AI1217" s="443"/>
      <c r="AJ1217" s="443"/>
      <c r="AK1217" s="443"/>
      <c r="AL1217" s="443"/>
      <c r="AM1217" s="443"/>
      <c r="AN1217" s="443"/>
      <c r="AO1217" s="443"/>
      <c r="AP1217" s="443"/>
      <c r="AQ1217" s="443"/>
      <c r="AR1217" s="443"/>
      <c r="AS1217" s="443"/>
      <c r="AT1217" s="443"/>
      <c r="AU1217" s="443"/>
      <c r="AV1217" s="443"/>
      <c r="AW1217" s="443"/>
      <c r="AX1217" s="443"/>
      <c r="AY1217" s="443"/>
      <c r="AZ1217" s="443"/>
      <c r="BA1217" s="443"/>
      <c r="BB1217" s="443"/>
      <c r="BC1217" s="443"/>
      <c r="BD1217" s="443"/>
      <c r="BE1217" s="443"/>
    </row>
    <row r="1218">
      <c r="A1218" s="445" t="str">
        <f t="shared" si="5"/>
        <v/>
      </c>
      <c r="B1218" s="443"/>
      <c r="C1218" s="443"/>
      <c r="D1218" s="462"/>
      <c r="E1218" s="436" t="str">
        <f t="array" ref="E1218">IF(B1218=0,"",(J1218+K1218)/60)</f>
        <v/>
      </c>
      <c r="F1218" s="437" t="str">
        <f t="shared" si="1"/>
        <v/>
      </c>
      <c r="G1218" s="438" t="str">
        <f t="shared" si="9"/>
        <v/>
      </c>
      <c r="H1218" s="438" t="str">
        <f t="shared" si="3"/>
        <v/>
      </c>
      <c r="I1218" s="436" t="str">
        <f t="shared" si="11"/>
        <v/>
      </c>
      <c r="J1218" s="464"/>
      <c r="K1218" s="464"/>
      <c r="L1218" s="443"/>
      <c r="M1218" s="443"/>
      <c r="N1218" s="443"/>
      <c r="O1218" s="443"/>
      <c r="P1218" s="443"/>
      <c r="Q1218" s="443"/>
      <c r="R1218" s="443"/>
      <c r="S1218" s="443"/>
      <c r="T1218" s="443"/>
      <c r="U1218" s="443"/>
      <c r="V1218" s="443"/>
      <c r="W1218" s="443"/>
      <c r="X1218" s="443"/>
      <c r="Y1218" s="443"/>
      <c r="Z1218" s="443"/>
      <c r="AA1218" s="443"/>
      <c r="AB1218" s="443"/>
      <c r="AC1218" s="443"/>
      <c r="AD1218" s="443"/>
      <c r="AE1218" s="443"/>
      <c r="AF1218" s="443"/>
      <c r="AG1218" s="443" t="s">
        <v>289</v>
      </c>
      <c r="AH1218" s="443" t="s">
        <v>289</v>
      </c>
      <c r="AI1218" s="443"/>
      <c r="AJ1218" s="443"/>
      <c r="AK1218" s="443"/>
      <c r="AL1218" s="443"/>
      <c r="AM1218" s="443"/>
      <c r="AN1218" s="443"/>
      <c r="AO1218" s="443"/>
      <c r="AP1218" s="443"/>
      <c r="AQ1218" s="443"/>
      <c r="AR1218" s="443"/>
      <c r="AS1218" s="443"/>
      <c r="AT1218" s="443"/>
      <c r="AU1218" s="443"/>
      <c r="AV1218" s="443"/>
      <c r="AW1218" s="443"/>
      <c r="AX1218" s="443"/>
      <c r="AY1218" s="443"/>
      <c r="AZ1218" s="443"/>
      <c r="BA1218" s="443"/>
      <c r="BB1218" s="443"/>
      <c r="BC1218" s="443"/>
      <c r="BD1218" s="443"/>
      <c r="BE1218" s="443"/>
    </row>
    <row r="1219">
      <c r="A1219" s="445" t="str">
        <f t="shared" si="5"/>
        <v/>
      </c>
      <c r="B1219" s="443"/>
      <c r="C1219" s="443"/>
      <c r="D1219" s="462"/>
      <c r="E1219" s="436" t="str">
        <f t="array" ref="E1219">IF(B1219=0,"",(J1219+K1219)/60)</f>
        <v/>
      </c>
      <c r="F1219" s="437" t="str">
        <f t="shared" si="1"/>
        <v/>
      </c>
      <c r="G1219" s="438" t="str">
        <f t="shared" si="9"/>
        <v/>
      </c>
      <c r="H1219" s="438" t="str">
        <f t="shared" si="3"/>
        <v/>
      </c>
      <c r="I1219" s="436" t="str">
        <f t="shared" si="11"/>
        <v/>
      </c>
      <c r="J1219" s="464"/>
      <c r="K1219" s="464"/>
      <c r="L1219" s="443"/>
      <c r="M1219" s="443"/>
      <c r="N1219" s="443"/>
      <c r="O1219" s="443"/>
      <c r="P1219" s="443"/>
      <c r="Q1219" s="443"/>
      <c r="R1219" s="443"/>
      <c r="S1219" s="443"/>
      <c r="T1219" s="443"/>
      <c r="U1219" s="443"/>
      <c r="V1219" s="443"/>
      <c r="W1219" s="443"/>
      <c r="X1219" s="443"/>
      <c r="Y1219" s="443"/>
      <c r="Z1219" s="443"/>
      <c r="AA1219" s="443"/>
      <c r="AB1219" s="443"/>
      <c r="AC1219" s="443"/>
      <c r="AD1219" s="443"/>
      <c r="AE1219" s="443"/>
      <c r="AF1219" s="443"/>
      <c r="AG1219" s="443" t="s">
        <v>289</v>
      </c>
      <c r="AH1219" s="443" t="s">
        <v>289</v>
      </c>
      <c r="AI1219" s="443"/>
      <c r="AJ1219" s="443"/>
      <c r="AK1219" s="443"/>
      <c r="AL1219" s="443"/>
      <c r="AM1219" s="443"/>
      <c r="AN1219" s="443"/>
      <c r="AO1219" s="443"/>
      <c r="AP1219" s="443"/>
      <c r="AQ1219" s="443"/>
      <c r="AR1219" s="443"/>
      <c r="AS1219" s="443"/>
      <c r="AT1219" s="443"/>
      <c r="AU1219" s="443"/>
      <c r="AV1219" s="443"/>
      <c r="AW1219" s="443"/>
      <c r="AX1219" s="443"/>
      <c r="AY1219" s="443"/>
      <c r="AZ1219" s="443"/>
      <c r="BA1219" s="443"/>
      <c r="BB1219" s="443"/>
      <c r="BC1219" s="443"/>
      <c r="BD1219" s="443"/>
      <c r="BE1219" s="443"/>
    </row>
    <row r="1220">
      <c r="A1220" s="445" t="str">
        <f t="shared" si="5"/>
        <v/>
      </c>
      <c r="B1220" s="443"/>
      <c r="C1220" s="443"/>
      <c r="D1220" s="462"/>
      <c r="E1220" s="436" t="str">
        <f t="array" ref="E1220">IF(B1220=0,"",(J1220+K1220)/60)</f>
        <v/>
      </c>
      <c r="F1220" s="437" t="str">
        <f t="shared" si="1"/>
        <v/>
      </c>
      <c r="G1220" s="438" t="str">
        <f t="shared" si="9"/>
        <v/>
      </c>
      <c r="H1220" s="438" t="str">
        <f t="shared" si="3"/>
        <v/>
      </c>
      <c r="I1220" s="436" t="str">
        <f t="shared" si="11"/>
        <v/>
      </c>
      <c r="J1220" s="464"/>
      <c r="K1220" s="464"/>
      <c r="L1220" s="443"/>
      <c r="M1220" s="443"/>
      <c r="N1220" s="443"/>
      <c r="O1220" s="443"/>
      <c r="P1220" s="443"/>
      <c r="Q1220" s="443"/>
      <c r="R1220" s="443"/>
      <c r="S1220" s="443"/>
      <c r="T1220" s="443"/>
      <c r="U1220" s="443"/>
      <c r="V1220" s="443"/>
      <c r="W1220" s="443"/>
      <c r="X1220" s="443"/>
      <c r="Y1220" s="443"/>
      <c r="Z1220" s="443"/>
      <c r="AA1220" s="443"/>
      <c r="AB1220" s="443"/>
      <c r="AC1220" s="443"/>
      <c r="AD1220" s="443"/>
      <c r="AE1220" s="443"/>
      <c r="AF1220" s="443"/>
      <c r="AG1220" s="443" t="s">
        <v>289</v>
      </c>
      <c r="AH1220" s="443" t="s">
        <v>289</v>
      </c>
      <c r="AI1220" s="443"/>
      <c r="AJ1220" s="443"/>
      <c r="AK1220" s="443"/>
      <c r="AL1220" s="443"/>
      <c r="AM1220" s="443"/>
      <c r="AN1220" s="443"/>
      <c r="AO1220" s="443"/>
      <c r="AP1220" s="443"/>
      <c r="AQ1220" s="443"/>
      <c r="AR1220" s="443"/>
      <c r="AS1220" s="443"/>
      <c r="AT1220" s="443"/>
      <c r="AU1220" s="443"/>
      <c r="AV1220" s="443"/>
      <c r="AW1220" s="443"/>
      <c r="AX1220" s="443"/>
      <c r="AY1220" s="443"/>
      <c r="AZ1220" s="443"/>
      <c r="BA1220" s="443"/>
      <c r="BB1220" s="443"/>
      <c r="BC1220" s="443"/>
      <c r="BD1220" s="443"/>
      <c r="BE1220" s="443"/>
    </row>
    <row r="1221">
      <c r="A1221" s="445" t="str">
        <f t="shared" si="5"/>
        <v/>
      </c>
      <c r="B1221" s="443"/>
      <c r="C1221" s="443"/>
      <c r="D1221" s="462"/>
      <c r="E1221" s="436" t="str">
        <f t="array" ref="E1221">IF(B1221=0,"",(J1221+K1221)/60)</f>
        <v/>
      </c>
      <c r="F1221" s="437" t="str">
        <f t="shared" si="1"/>
        <v/>
      </c>
      <c r="G1221" s="438" t="str">
        <f t="shared" si="9"/>
        <v/>
      </c>
      <c r="H1221" s="438" t="str">
        <f t="shared" si="3"/>
        <v/>
      </c>
      <c r="I1221" s="436" t="str">
        <f t="shared" si="11"/>
        <v/>
      </c>
      <c r="J1221" s="464"/>
      <c r="K1221" s="464"/>
      <c r="L1221" s="443"/>
      <c r="M1221" s="443"/>
      <c r="N1221" s="443"/>
      <c r="O1221" s="443"/>
      <c r="P1221" s="443"/>
      <c r="Q1221" s="443"/>
      <c r="R1221" s="443"/>
      <c r="S1221" s="443"/>
      <c r="T1221" s="443"/>
      <c r="U1221" s="443"/>
      <c r="V1221" s="443"/>
      <c r="W1221" s="443"/>
      <c r="X1221" s="443"/>
      <c r="Y1221" s="443"/>
      <c r="Z1221" s="443"/>
      <c r="AA1221" s="443"/>
      <c r="AB1221" s="443"/>
      <c r="AC1221" s="443"/>
      <c r="AD1221" s="443"/>
      <c r="AE1221" s="443"/>
      <c r="AF1221" s="443"/>
      <c r="AG1221" s="443" t="s">
        <v>289</v>
      </c>
      <c r="AH1221" s="443" t="s">
        <v>289</v>
      </c>
      <c r="AI1221" s="443"/>
      <c r="AJ1221" s="443"/>
      <c r="AK1221" s="443"/>
      <c r="AL1221" s="443"/>
      <c r="AM1221" s="443"/>
      <c r="AN1221" s="443"/>
      <c r="AO1221" s="443"/>
      <c r="AP1221" s="443"/>
      <c r="AQ1221" s="443"/>
      <c r="AR1221" s="443"/>
      <c r="AS1221" s="443"/>
      <c r="AT1221" s="443"/>
      <c r="AU1221" s="443"/>
      <c r="AV1221" s="443"/>
      <c r="AW1221" s="443"/>
      <c r="AX1221" s="443"/>
      <c r="AY1221" s="443"/>
      <c r="AZ1221" s="443"/>
      <c r="BA1221" s="443"/>
      <c r="BB1221" s="443"/>
      <c r="BC1221" s="443"/>
      <c r="BD1221" s="443"/>
      <c r="BE1221" s="443"/>
    </row>
    <row r="1222">
      <c r="A1222" s="445" t="str">
        <f t="shared" si="5"/>
        <v/>
      </c>
      <c r="B1222" s="443"/>
      <c r="C1222" s="443"/>
      <c r="D1222" s="462"/>
      <c r="E1222" s="436" t="str">
        <f t="array" ref="E1222">IF(B1222=0,"",(J1222+K1222)/60)</f>
        <v/>
      </c>
      <c r="F1222" s="437" t="str">
        <f t="shared" si="1"/>
        <v/>
      </c>
      <c r="G1222" s="438" t="str">
        <f t="shared" si="9"/>
        <v/>
      </c>
      <c r="H1222" s="438" t="str">
        <f t="shared" si="3"/>
        <v/>
      </c>
      <c r="I1222" s="436" t="str">
        <f t="shared" si="11"/>
        <v/>
      </c>
      <c r="J1222" s="464"/>
      <c r="K1222" s="464"/>
      <c r="L1222" s="443"/>
      <c r="M1222" s="443"/>
      <c r="N1222" s="443"/>
      <c r="O1222" s="443"/>
      <c r="P1222" s="443"/>
      <c r="Q1222" s="443"/>
      <c r="R1222" s="443"/>
      <c r="S1222" s="443"/>
      <c r="T1222" s="443"/>
      <c r="U1222" s="443"/>
      <c r="V1222" s="443"/>
      <c r="W1222" s="443"/>
      <c r="X1222" s="443"/>
      <c r="Y1222" s="443"/>
      <c r="Z1222" s="443"/>
      <c r="AA1222" s="443"/>
      <c r="AB1222" s="443"/>
      <c r="AC1222" s="443"/>
      <c r="AD1222" s="443"/>
      <c r="AE1222" s="443"/>
      <c r="AF1222" s="443"/>
      <c r="AG1222" s="443" t="s">
        <v>289</v>
      </c>
      <c r="AH1222" s="443" t="s">
        <v>289</v>
      </c>
      <c r="AI1222" s="443"/>
      <c r="AJ1222" s="443"/>
      <c r="AK1222" s="443"/>
      <c r="AL1222" s="443"/>
      <c r="AM1222" s="443"/>
      <c r="AN1222" s="443"/>
      <c r="AO1222" s="443"/>
      <c r="AP1222" s="443"/>
      <c r="AQ1222" s="443"/>
      <c r="AR1222" s="443"/>
      <c r="AS1222" s="443"/>
      <c r="AT1222" s="443"/>
      <c r="AU1222" s="443"/>
      <c r="AV1222" s="443"/>
      <c r="AW1222" s="443"/>
      <c r="AX1222" s="443"/>
      <c r="AY1222" s="443"/>
      <c r="AZ1222" s="443"/>
      <c r="BA1222" s="443"/>
      <c r="BB1222" s="443"/>
      <c r="BC1222" s="443"/>
      <c r="BD1222" s="443"/>
      <c r="BE1222" s="443"/>
    </row>
    <row r="1223">
      <c r="A1223" s="445" t="str">
        <f t="shared" si="5"/>
        <v/>
      </c>
      <c r="B1223" s="443"/>
      <c r="C1223" s="443"/>
      <c r="D1223" s="462"/>
      <c r="E1223" s="436" t="str">
        <f t="array" ref="E1223">IF(B1223=0,"",(J1223+K1223)/60)</f>
        <v/>
      </c>
      <c r="F1223" s="437" t="str">
        <f t="shared" si="1"/>
        <v/>
      </c>
      <c r="G1223" s="438" t="str">
        <f t="shared" si="9"/>
        <v/>
      </c>
      <c r="H1223" s="438" t="str">
        <f t="shared" si="3"/>
        <v/>
      </c>
      <c r="I1223" s="436" t="str">
        <f t="shared" si="11"/>
        <v/>
      </c>
      <c r="J1223" s="464"/>
      <c r="K1223" s="464"/>
      <c r="L1223" s="443"/>
      <c r="M1223" s="443"/>
      <c r="N1223" s="443"/>
      <c r="O1223" s="443"/>
      <c r="P1223" s="443"/>
      <c r="Q1223" s="443"/>
      <c r="R1223" s="443"/>
      <c r="S1223" s="443"/>
      <c r="T1223" s="443"/>
      <c r="U1223" s="443"/>
      <c r="V1223" s="443"/>
      <c r="W1223" s="443"/>
      <c r="X1223" s="443"/>
      <c r="Y1223" s="443"/>
      <c r="Z1223" s="443"/>
      <c r="AA1223" s="443"/>
      <c r="AB1223" s="443"/>
      <c r="AC1223" s="443"/>
      <c r="AD1223" s="443"/>
      <c r="AE1223" s="443"/>
      <c r="AF1223" s="443"/>
      <c r="AG1223" s="443" t="s">
        <v>289</v>
      </c>
      <c r="AH1223" s="443" t="s">
        <v>289</v>
      </c>
      <c r="AI1223" s="443"/>
      <c r="AJ1223" s="443"/>
      <c r="AK1223" s="443"/>
      <c r="AL1223" s="443"/>
      <c r="AM1223" s="443"/>
      <c r="AN1223" s="443"/>
      <c r="AO1223" s="443"/>
      <c r="AP1223" s="443"/>
      <c r="AQ1223" s="443"/>
      <c r="AR1223" s="443"/>
      <c r="AS1223" s="443"/>
      <c r="AT1223" s="443"/>
      <c r="AU1223" s="443"/>
      <c r="AV1223" s="443"/>
      <c r="AW1223" s="443"/>
      <c r="AX1223" s="443"/>
      <c r="AY1223" s="443"/>
      <c r="AZ1223" s="443"/>
      <c r="BA1223" s="443"/>
      <c r="BB1223" s="443"/>
      <c r="BC1223" s="443"/>
      <c r="BD1223" s="443"/>
      <c r="BE1223" s="443"/>
    </row>
    <row r="1224">
      <c r="A1224" s="445" t="str">
        <f t="shared" si="5"/>
        <v/>
      </c>
      <c r="B1224" s="443"/>
      <c r="C1224" s="443"/>
      <c r="D1224" s="462"/>
      <c r="E1224" s="436" t="str">
        <f t="array" ref="E1224">IF(B1224=0,"",(J1224+K1224)/60)</f>
        <v/>
      </c>
      <c r="F1224" s="437" t="str">
        <f t="shared" si="1"/>
        <v/>
      </c>
      <c r="G1224" s="438" t="str">
        <f t="shared" si="9"/>
        <v/>
      </c>
      <c r="H1224" s="438" t="str">
        <f t="shared" si="3"/>
        <v/>
      </c>
      <c r="I1224" s="436" t="str">
        <f t="shared" si="11"/>
        <v/>
      </c>
      <c r="J1224" s="464"/>
      <c r="K1224" s="464"/>
      <c r="L1224" s="443"/>
      <c r="M1224" s="443"/>
      <c r="N1224" s="443"/>
      <c r="O1224" s="443"/>
      <c r="P1224" s="443"/>
      <c r="Q1224" s="443"/>
      <c r="R1224" s="443"/>
      <c r="S1224" s="443"/>
      <c r="T1224" s="443"/>
      <c r="U1224" s="443"/>
      <c r="V1224" s="443"/>
      <c r="W1224" s="443"/>
      <c r="X1224" s="443"/>
      <c r="Y1224" s="443"/>
      <c r="Z1224" s="443"/>
      <c r="AA1224" s="443"/>
      <c r="AB1224" s="443"/>
      <c r="AC1224" s="443"/>
      <c r="AD1224" s="443"/>
      <c r="AE1224" s="443"/>
      <c r="AF1224" s="443"/>
      <c r="AG1224" s="443" t="s">
        <v>289</v>
      </c>
      <c r="AH1224" s="443" t="s">
        <v>289</v>
      </c>
      <c r="AI1224" s="443"/>
      <c r="AJ1224" s="443"/>
      <c r="AK1224" s="443"/>
      <c r="AL1224" s="443"/>
      <c r="AM1224" s="443"/>
      <c r="AN1224" s="443"/>
      <c r="AO1224" s="443"/>
      <c r="AP1224" s="443"/>
      <c r="AQ1224" s="443"/>
      <c r="AR1224" s="443"/>
      <c r="AS1224" s="443"/>
      <c r="AT1224" s="443"/>
      <c r="AU1224" s="443"/>
      <c r="AV1224" s="443"/>
      <c r="AW1224" s="443"/>
      <c r="AX1224" s="443"/>
      <c r="AY1224" s="443"/>
      <c r="AZ1224" s="443"/>
      <c r="BA1224" s="443"/>
      <c r="BB1224" s="443"/>
      <c r="BC1224" s="443"/>
      <c r="BD1224" s="443"/>
      <c r="BE1224" s="443"/>
    </row>
    <row r="1225">
      <c r="A1225" s="445" t="str">
        <f t="shared" si="5"/>
        <v/>
      </c>
      <c r="B1225" s="443"/>
      <c r="C1225" s="443"/>
      <c r="D1225" s="462"/>
      <c r="E1225" s="436" t="str">
        <f t="array" ref="E1225">IF(B1225=0,"",(J1225+K1225)/60)</f>
        <v/>
      </c>
      <c r="F1225" s="437" t="str">
        <f t="shared" si="1"/>
        <v/>
      </c>
      <c r="G1225" s="438" t="str">
        <f t="shared" si="9"/>
        <v/>
      </c>
      <c r="H1225" s="438" t="str">
        <f t="shared" si="3"/>
        <v/>
      </c>
      <c r="I1225" s="436" t="str">
        <f t="shared" si="11"/>
        <v/>
      </c>
      <c r="J1225" s="464"/>
      <c r="K1225" s="464"/>
      <c r="L1225" s="443"/>
      <c r="M1225" s="443"/>
      <c r="N1225" s="443"/>
      <c r="O1225" s="443"/>
      <c r="P1225" s="443"/>
      <c r="Q1225" s="443"/>
      <c r="R1225" s="443"/>
      <c r="S1225" s="443"/>
      <c r="T1225" s="443"/>
      <c r="U1225" s="443"/>
      <c r="V1225" s="443"/>
      <c r="W1225" s="443"/>
      <c r="X1225" s="443"/>
      <c r="Y1225" s="443"/>
      <c r="Z1225" s="443"/>
      <c r="AA1225" s="443"/>
      <c r="AB1225" s="443"/>
      <c r="AC1225" s="443"/>
      <c r="AD1225" s="443"/>
      <c r="AE1225" s="443"/>
      <c r="AF1225" s="443"/>
      <c r="AG1225" s="443" t="s">
        <v>289</v>
      </c>
      <c r="AH1225" s="443" t="s">
        <v>289</v>
      </c>
      <c r="AI1225" s="443"/>
      <c r="AJ1225" s="443"/>
      <c r="AK1225" s="443"/>
      <c r="AL1225" s="443"/>
      <c r="AM1225" s="443"/>
      <c r="AN1225" s="443"/>
      <c r="AO1225" s="443"/>
      <c r="AP1225" s="443"/>
      <c r="AQ1225" s="443"/>
      <c r="AR1225" s="443"/>
      <c r="AS1225" s="443"/>
      <c r="AT1225" s="443"/>
      <c r="AU1225" s="443"/>
      <c r="AV1225" s="443"/>
      <c r="AW1225" s="443"/>
      <c r="AX1225" s="443"/>
      <c r="AY1225" s="443"/>
      <c r="AZ1225" s="443"/>
      <c r="BA1225" s="443"/>
      <c r="BB1225" s="443"/>
      <c r="BC1225" s="443"/>
      <c r="BD1225" s="443"/>
      <c r="BE1225" s="443"/>
    </row>
    <row r="1226">
      <c r="A1226" s="445" t="str">
        <f t="shared" si="5"/>
        <v/>
      </c>
      <c r="B1226" s="443"/>
      <c r="C1226" s="443"/>
      <c r="D1226" s="462"/>
      <c r="E1226" s="436" t="str">
        <f t="array" ref="E1226">IF(B1226=0,"",(J1226+K1226)/60)</f>
        <v/>
      </c>
      <c r="F1226" s="437" t="str">
        <f t="shared" si="1"/>
        <v/>
      </c>
      <c r="G1226" s="438" t="str">
        <f t="shared" si="9"/>
        <v/>
      </c>
      <c r="H1226" s="438" t="str">
        <f t="shared" si="3"/>
        <v/>
      </c>
      <c r="I1226" s="436" t="str">
        <f t="shared" si="11"/>
        <v/>
      </c>
      <c r="J1226" s="464"/>
      <c r="K1226" s="464"/>
      <c r="L1226" s="443"/>
      <c r="M1226" s="443"/>
      <c r="N1226" s="443"/>
      <c r="O1226" s="443"/>
      <c r="P1226" s="443"/>
      <c r="Q1226" s="443"/>
      <c r="R1226" s="443"/>
      <c r="S1226" s="443"/>
      <c r="T1226" s="443"/>
      <c r="U1226" s="443"/>
      <c r="V1226" s="443"/>
      <c r="W1226" s="443"/>
      <c r="X1226" s="443"/>
      <c r="Y1226" s="443"/>
      <c r="Z1226" s="443"/>
      <c r="AA1226" s="443"/>
      <c r="AB1226" s="443"/>
      <c r="AC1226" s="443"/>
      <c r="AD1226" s="443"/>
      <c r="AE1226" s="443"/>
      <c r="AF1226" s="443"/>
      <c r="AG1226" s="443" t="s">
        <v>289</v>
      </c>
      <c r="AH1226" s="443" t="s">
        <v>289</v>
      </c>
      <c r="AI1226" s="443"/>
      <c r="AJ1226" s="443"/>
      <c r="AK1226" s="443"/>
      <c r="AL1226" s="443"/>
      <c r="AM1226" s="443"/>
      <c r="AN1226" s="443"/>
      <c r="AO1226" s="443"/>
      <c r="AP1226" s="443"/>
      <c r="AQ1226" s="443"/>
      <c r="AR1226" s="443"/>
      <c r="AS1226" s="443"/>
      <c r="AT1226" s="443"/>
      <c r="AU1226" s="443"/>
      <c r="AV1226" s="443"/>
      <c r="AW1226" s="443"/>
      <c r="AX1226" s="443"/>
      <c r="AY1226" s="443"/>
      <c r="AZ1226" s="443"/>
      <c r="BA1226" s="443"/>
      <c r="BB1226" s="443"/>
      <c r="BC1226" s="443"/>
      <c r="BD1226" s="443"/>
      <c r="BE1226" s="443"/>
    </row>
    <row r="1227">
      <c r="A1227" s="445" t="str">
        <f t="shared" si="5"/>
        <v/>
      </c>
      <c r="B1227" s="443"/>
      <c r="C1227" s="443"/>
      <c r="D1227" s="462"/>
      <c r="E1227" s="436" t="str">
        <f t="array" ref="E1227">IF(B1227=0,"",(J1227+K1227)/60)</f>
        <v/>
      </c>
      <c r="F1227" s="437" t="str">
        <f t="shared" si="1"/>
        <v/>
      </c>
      <c r="G1227" s="438" t="str">
        <f t="shared" si="9"/>
        <v/>
      </c>
      <c r="H1227" s="438" t="str">
        <f t="shared" si="3"/>
        <v/>
      </c>
      <c r="I1227" s="436" t="str">
        <f t="shared" si="11"/>
        <v/>
      </c>
      <c r="J1227" s="464"/>
      <c r="K1227" s="464"/>
      <c r="L1227" s="443"/>
      <c r="M1227" s="443"/>
      <c r="N1227" s="443"/>
      <c r="O1227" s="443"/>
      <c r="P1227" s="443"/>
      <c r="Q1227" s="443"/>
      <c r="R1227" s="443"/>
      <c r="S1227" s="443"/>
      <c r="T1227" s="443"/>
      <c r="U1227" s="443"/>
      <c r="V1227" s="443"/>
      <c r="W1227" s="443"/>
      <c r="X1227" s="443"/>
      <c r="Y1227" s="443"/>
      <c r="Z1227" s="443"/>
      <c r="AA1227" s="443"/>
      <c r="AB1227" s="443"/>
      <c r="AC1227" s="443"/>
      <c r="AD1227" s="443"/>
      <c r="AE1227" s="443"/>
      <c r="AF1227" s="443"/>
      <c r="AG1227" s="443" t="s">
        <v>289</v>
      </c>
      <c r="AH1227" s="443" t="s">
        <v>289</v>
      </c>
      <c r="AI1227" s="443"/>
      <c r="AJ1227" s="443"/>
      <c r="AK1227" s="443"/>
      <c r="AL1227" s="443"/>
      <c r="AM1227" s="443"/>
      <c r="AN1227" s="443"/>
      <c r="AO1227" s="443"/>
      <c r="AP1227" s="443"/>
      <c r="AQ1227" s="443"/>
      <c r="AR1227" s="443"/>
      <c r="AS1227" s="443"/>
      <c r="AT1227" s="443"/>
      <c r="AU1227" s="443"/>
      <c r="AV1227" s="443"/>
      <c r="AW1227" s="443"/>
      <c r="AX1227" s="443"/>
      <c r="AY1227" s="443"/>
      <c r="AZ1227" s="443"/>
      <c r="BA1227" s="443"/>
      <c r="BB1227" s="443"/>
      <c r="BC1227" s="443"/>
      <c r="BD1227" s="443"/>
      <c r="BE1227" s="443"/>
    </row>
    <row r="1228">
      <c r="A1228" s="445" t="str">
        <f t="shared" si="5"/>
        <v/>
      </c>
      <c r="B1228" s="443"/>
      <c r="C1228" s="443"/>
      <c r="D1228" s="462"/>
      <c r="E1228" s="436" t="str">
        <f t="array" ref="E1228">IF(B1228=0,"",(J1228+K1228)/60)</f>
        <v/>
      </c>
      <c r="F1228" s="437" t="str">
        <f t="shared" si="1"/>
        <v/>
      </c>
      <c r="G1228" s="438" t="str">
        <f t="shared" si="9"/>
        <v/>
      </c>
      <c r="H1228" s="438" t="str">
        <f t="shared" si="3"/>
        <v/>
      </c>
      <c r="I1228" s="436" t="str">
        <f t="shared" si="11"/>
        <v/>
      </c>
      <c r="J1228" s="464"/>
      <c r="K1228" s="464"/>
      <c r="L1228" s="443"/>
      <c r="M1228" s="443"/>
      <c r="N1228" s="443"/>
      <c r="O1228" s="443"/>
      <c r="P1228" s="443"/>
      <c r="Q1228" s="443"/>
      <c r="R1228" s="443"/>
      <c r="S1228" s="443"/>
      <c r="T1228" s="443"/>
      <c r="U1228" s="443"/>
      <c r="V1228" s="443"/>
      <c r="W1228" s="443"/>
      <c r="X1228" s="443"/>
      <c r="Y1228" s="443"/>
      <c r="Z1228" s="443"/>
      <c r="AA1228" s="443"/>
      <c r="AB1228" s="443"/>
      <c r="AC1228" s="443"/>
      <c r="AD1228" s="443"/>
      <c r="AE1228" s="443"/>
      <c r="AF1228" s="443"/>
      <c r="AG1228" s="443" t="s">
        <v>289</v>
      </c>
      <c r="AH1228" s="443" t="s">
        <v>289</v>
      </c>
      <c r="AI1228" s="443"/>
      <c r="AJ1228" s="443"/>
      <c r="AK1228" s="443"/>
      <c r="AL1228" s="443"/>
      <c r="AM1228" s="443"/>
      <c r="AN1228" s="443"/>
      <c r="AO1228" s="443"/>
      <c r="AP1228" s="443"/>
      <c r="AQ1228" s="443"/>
      <c r="AR1228" s="443"/>
      <c r="AS1228" s="443"/>
      <c r="AT1228" s="443"/>
      <c r="AU1228" s="443"/>
      <c r="AV1228" s="443"/>
      <c r="AW1228" s="443"/>
      <c r="AX1228" s="443"/>
      <c r="AY1228" s="443"/>
      <c r="AZ1228" s="443"/>
      <c r="BA1228" s="443"/>
      <c r="BB1228" s="443"/>
      <c r="BC1228" s="443"/>
      <c r="BD1228" s="443"/>
      <c r="BE1228" s="443"/>
    </row>
    <row r="1229">
      <c r="A1229" s="445" t="str">
        <f t="shared" si="5"/>
        <v/>
      </c>
      <c r="B1229" s="443"/>
      <c r="C1229" s="443"/>
      <c r="D1229" s="462"/>
      <c r="E1229" s="436" t="str">
        <f t="array" ref="E1229">IF(B1229=0,"",(J1229+K1229)/60)</f>
        <v/>
      </c>
      <c r="F1229" s="437" t="str">
        <f t="shared" si="1"/>
        <v/>
      </c>
      <c r="G1229" s="438" t="str">
        <f t="shared" si="9"/>
        <v/>
      </c>
      <c r="H1229" s="438" t="str">
        <f t="shared" si="3"/>
        <v/>
      </c>
      <c r="I1229" s="436" t="str">
        <f t="shared" si="11"/>
        <v/>
      </c>
      <c r="J1229" s="464"/>
      <c r="K1229" s="464"/>
      <c r="L1229" s="443"/>
      <c r="M1229" s="443"/>
      <c r="N1229" s="443"/>
      <c r="O1229" s="443"/>
      <c r="P1229" s="443"/>
      <c r="Q1229" s="443"/>
      <c r="R1229" s="443"/>
      <c r="S1229" s="443"/>
      <c r="T1229" s="443"/>
      <c r="U1229" s="443"/>
      <c r="V1229" s="443"/>
      <c r="W1229" s="443"/>
      <c r="X1229" s="443"/>
      <c r="Y1229" s="443"/>
      <c r="Z1229" s="443"/>
      <c r="AA1229" s="443"/>
      <c r="AB1229" s="443"/>
      <c r="AC1229" s="443"/>
      <c r="AD1229" s="443"/>
      <c r="AE1229" s="443"/>
      <c r="AF1229" s="443"/>
      <c r="AG1229" s="443" t="s">
        <v>289</v>
      </c>
      <c r="AH1229" s="443" t="s">
        <v>289</v>
      </c>
      <c r="AI1229" s="443"/>
      <c r="AJ1229" s="443"/>
      <c r="AK1229" s="443"/>
      <c r="AL1229" s="443"/>
      <c r="AM1229" s="443"/>
      <c r="AN1229" s="443"/>
      <c r="AO1229" s="443"/>
      <c r="AP1229" s="443"/>
      <c r="AQ1229" s="443"/>
      <c r="AR1229" s="443"/>
      <c r="AS1229" s="443"/>
      <c r="AT1229" s="443"/>
      <c r="AU1229" s="443"/>
      <c r="AV1229" s="443"/>
      <c r="AW1229" s="443"/>
      <c r="AX1229" s="443"/>
      <c r="AY1229" s="443"/>
      <c r="AZ1229" s="443"/>
      <c r="BA1229" s="443"/>
      <c r="BB1229" s="443"/>
      <c r="BC1229" s="443"/>
      <c r="BD1229" s="443"/>
      <c r="BE1229" s="443"/>
    </row>
    <row r="1230">
      <c r="A1230" s="445" t="str">
        <f t="shared" si="5"/>
        <v/>
      </c>
      <c r="B1230" s="443"/>
      <c r="C1230" s="443"/>
      <c r="D1230" s="462"/>
      <c r="E1230" s="436" t="str">
        <f t="array" ref="E1230">IF(B1230=0,"",(J1230+K1230)/60)</f>
        <v/>
      </c>
      <c r="F1230" s="437" t="str">
        <f t="shared" si="1"/>
        <v/>
      </c>
      <c r="G1230" s="438" t="str">
        <f t="shared" si="9"/>
        <v/>
      </c>
      <c r="H1230" s="438" t="str">
        <f t="shared" si="3"/>
        <v/>
      </c>
      <c r="I1230" s="436" t="str">
        <f t="shared" si="11"/>
        <v/>
      </c>
      <c r="J1230" s="464"/>
      <c r="K1230" s="464"/>
      <c r="L1230" s="443"/>
      <c r="M1230" s="443"/>
      <c r="N1230" s="443"/>
      <c r="O1230" s="443"/>
      <c r="P1230" s="443"/>
      <c r="Q1230" s="443"/>
      <c r="R1230" s="443"/>
      <c r="S1230" s="443"/>
      <c r="T1230" s="443"/>
      <c r="U1230" s="443"/>
      <c r="V1230" s="443"/>
      <c r="W1230" s="443"/>
      <c r="X1230" s="443"/>
      <c r="Y1230" s="443"/>
      <c r="Z1230" s="443"/>
      <c r="AA1230" s="443"/>
      <c r="AB1230" s="443"/>
      <c r="AC1230" s="443"/>
      <c r="AD1230" s="443"/>
      <c r="AE1230" s="443"/>
      <c r="AF1230" s="443"/>
      <c r="AG1230" s="443" t="s">
        <v>289</v>
      </c>
      <c r="AH1230" s="443" t="s">
        <v>289</v>
      </c>
      <c r="AI1230" s="443"/>
      <c r="AJ1230" s="443"/>
      <c r="AK1230" s="443"/>
      <c r="AL1230" s="443"/>
      <c r="AM1230" s="443"/>
      <c r="AN1230" s="443"/>
      <c r="AO1230" s="443"/>
      <c r="AP1230" s="443"/>
      <c r="AQ1230" s="443"/>
      <c r="AR1230" s="443"/>
      <c r="AS1230" s="443"/>
      <c r="AT1230" s="443"/>
      <c r="AU1230" s="443"/>
      <c r="AV1230" s="443"/>
      <c r="AW1230" s="443"/>
      <c r="AX1230" s="443"/>
      <c r="AY1230" s="443"/>
      <c r="AZ1230" s="443"/>
      <c r="BA1230" s="443"/>
      <c r="BB1230" s="443"/>
      <c r="BC1230" s="443"/>
      <c r="BD1230" s="443"/>
      <c r="BE1230" s="443"/>
    </row>
    <row r="1231">
      <c r="A1231" s="445" t="str">
        <f t="shared" si="5"/>
        <v/>
      </c>
      <c r="B1231" s="443"/>
      <c r="C1231" s="443"/>
      <c r="D1231" s="462"/>
      <c r="E1231" s="436" t="str">
        <f t="array" ref="E1231">IF(B1231=0,"",(J1231+K1231)/60)</f>
        <v/>
      </c>
      <c r="F1231" s="437" t="str">
        <f t="shared" si="1"/>
        <v/>
      </c>
      <c r="G1231" s="438" t="str">
        <f t="shared" si="9"/>
        <v/>
      </c>
      <c r="H1231" s="438" t="str">
        <f t="shared" si="3"/>
        <v/>
      </c>
      <c r="I1231" s="436" t="str">
        <f t="shared" si="11"/>
        <v/>
      </c>
      <c r="J1231" s="464"/>
      <c r="K1231" s="464"/>
      <c r="L1231" s="443"/>
      <c r="M1231" s="443"/>
      <c r="N1231" s="443"/>
      <c r="O1231" s="443"/>
      <c r="P1231" s="443"/>
      <c r="Q1231" s="443"/>
      <c r="R1231" s="443"/>
      <c r="S1231" s="443"/>
      <c r="T1231" s="443"/>
      <c r="U1231" s="443"/>
      <c r="V1231" s="443"/>
      <c r="W1231" s="443"/>
      <c r="X1231" s="443"/>
      <c r="Y1231" s="443"/>
      <c r="Z1231" s="443"/>
      <c r="AA1231" s="443"/>
      <c r="AB1231" s="443"/>
      <c r="AC1231" s="443"/>
      <c r="AD1231" s="443"/>
      <c r="AE1231" s="443"/>
      <c r="AF1231" s="443"/>
      <c r="AG1231" s="443" t="s">
        <v>289</v>
      </c>
      <c r="AH1231" s="443" t="s">
        <v>289</v>
      </c>
      <c r="AI1231" s="443"/>
      <c r="AJ1231" s="443"/>
      <c r="AK1231" s="443"/>
      <c r="AL1231" s="443"/>
      <c r="AM1231" s="443"/>
      <c r="AN1231" s="443"/>
      <c r="AO1231" s="443"/>
      <c r="AP1231" s="443"/>
      <c r="AQ1231" s="443"/>
      <c r="AR1231" s="443"/>
      <c r="AS1231" s="443"/>
      <c r="AT1231" s="443"/>
      <c r="AU1231" s="443"/>
      <c r="AV1231" s="443"/>
      <c r="AW1231" s="443"/>
      <c r="AX1231" s="443"/>
      <c r="AY1231" s="443"/>
      <c r="AZ1231" s="443"/>
      <c r="BA1231" s="443"/>
      <c r="BB1231" s="443"/>
      <c r="BC1231" s="443"/>
      <c r="BD1231" s="443"/>
      <c r="BE1231" s="443"/>
    </row>
    <row r="1232">
      <c r="A1232" s="445" t="str">
        <f t="shared" si="5"/>
        <v/>
      </c>
      <c r="B1232" s="443"/>
      <c r="C1232" s="443"/>
      <c r="D1232" s="462"/>
      <c r="E1232" s="436" t="str">
        <f t="array" ref="E1232">IF(B1232=0,"",(J1232+K1232)/60)</f>
        <v/>
      </c>
      <c r="F1232" s="437" t="str">
        <f t="shared" si="1"/>
        <v/>
      </c>
      <c r="G1232" s="438" t="str">
        <f t="shared" si="9"/>
        <v/>
      </c>
      <c r="H1232" s="438" t="str">
        <f t="shared" si="3"/>
        <v/>
      </c>
      <c r="I1232" s="436" t="str">
        <f t="shared" si="11"/>
        <v/>
      </c>
      <c r="J1232" s="464"/>
      <c r="K1232" s="464"/>
      <c r="L1232" s="443"/>
      <c r="M1232" s="443"/>
      <c r="N1232" s="443"/>
      <c r="O1232" s="443"/>
      <c r="P1232" s="443"/>
      <c r="Q1232" s="443"/>
      <c r="R1232" s="443"/>
      <c r="S1232" s="443"/>
      <c r="T1232" s="443"/>
      <c r="U1232" s="443"/>
      <c r="V1232" s="443"/>
      <c r="W1232" s="443"/>
      <c r="X1232" s="443"/>
      <c r="Y1232" s="443"/>
      <c r="Z1232" s="443"/>
      <c r="AA1232" s="443"/>
      <c r="AB1232" s="443"/>
      <c r="AC1232" s="443"/>
      <c r="AD1232" s="443"/>
      <c r="AE1232" s="443"/>
      <c r="AF1232" s="443"/>
      <c r="AG1232" s="443" t="s">
        <v>289</v>
      </c>
      <c r="AH1232" s="443" t="s">
        <v>289</v>
      </c>
      <c r="AI1232" s="443"/>
      <c r="AJ1232" s="443"/>
      <c r="AK1232" s="443"/>
      <c r="AL1232" s="443"/>
      <c r="AM1232" s="443"/>
      <c r="AN1232" s="443"/>
      <c r="AO1232" s="443"/>
      <c r="AP1232" s="443"/>
      <c r="AQ1232" s="443"/>
      <c r="AR1232" s="443"/>
      <c r="AS1232" s="443"/>
      <c r="AT1232" s="443"/>
      <c r="AU1232" s="443"/>
      <c r="AV1232" s="443"/>
      <c r="AW1232" s="443"/>
      <c r="AX1232" s="443"/>
      <c r="AY1232" s="443"/>
      <c r="AZ1232" s="443"/>
      <c r="BA1232" s="443"/>
      <c r="BB1232" s="443"/>
      <c r="BC1232" s="443"/>
      <c r="BD1232" s="443"/>
      <c r="BE1232" s="443"/>
    </row>
    <row r="1233">
      <c r="A1233" s="445" t="str">
        <f t="shared" si="5"/>
        <v/>
      </c>
      <c r="B1233" s="443"/>
      <c r="C1233" s="443"/>
      <c r="D1233" s="462"/>
      <c r="E1233" s="436" t="str">
        <f t="array" ref="E1233">IF(B1233=0,"",(J1233+K1233)/60)</f>
        <v/>
      </c>
      <c r="F1233" s="437" t="str">
        <f t="shared" si="1"/>
        <v/>
      </c>
      <c r="G1233" s="438" t="str">
        <f t="shared" si="9"/>
        <v/>
      </c>
      <c r="H1233" s="438" t="str">
        <f t="shared" si="3"/>
        <v/>
      </c>
      <c r="I1233" s="436" t="str">
        <f t="shared" si="11"/>
        <v/>
      </c>
      <c r="J1233" s="464"/>
      <c r="K1233" s="464"/>
      <c r="L1233" s="443"/>
      <c r="M1233" s="443"/>
      <c r="N1233" s="443"/>
      <c r="O1233" s="443"/>
      <c r="P1233" s="443"/>
      <c r="Q1233" s="443"/>
      <c r="R1233" s="443"/>
      <c r="S1233" s="443"/>
      <c r="T1233" s="443"/>
      <c r="U1233" s="443"/>
      <c r="V1233" s="443"/>
      <c r="W1233" s="443"/>
      <c r="X1233" s="443"/>
      <c r="Y1233" s="443"/>
      <c r="Z1233" s="443"/>
      <c r="AA1233" s="443"/>
      <c r="AB1233" s="443"/>
      <c r="AC1233" s="443"/>
      <c r="AD1233" s="443"/>
      <c r="AE1233" s="443"/>
      <c r="AF1233" s="443"/>
      <c r="AG1233" s="443" t="s">
        <v>289</v>
      </c>
      <c r="AH1233" s="443" t="s">
        <v>289</v>
      </c>
      <c r="AI1233" s="443"/>
      <c r="AJ1233" s="443"/>
      <c r="AK1233" s="443"/>
      <c r="AL1233" s="443"/>
      <c r="AM1233" s="443"/>
      <c r="AN1233" s="443"/>
      <c r="AO1233" s="443"/>
      <c r="AP1233" s="443"/>
      <c r="AQ1233" s="443"/>
      <c r="AR1233" s="443"/>
      <c r="AS1233" s="443"/>
      <c r="AT1233" s="443"/>
      <c r="AU1233" s="443"/>
      <c r="AV1233" s="443"/>
      <c r="AW1233" s="443"/>
      <c r="AX1233" s="443"/>
      <c r="AY1233" s="443"/>
      <c r="AZ1233" s="443"/>
      <c r="BA1233" s="443"/>
      <c r="BB1233" s="443"/>
      <c r="BC1233" s="443"/>
      <c r="BD1233" s="443"/>
      <c r="BE1233" s="443"/>
    </row>
    <row r="1234">
      <c r="A1234" s="445" t="str">
        <f t="shared" si="5"/>
        <v/>
      </c>
      <c r="B1234" s="443"/>
      <c r="C1234" s="443"/>
      <c r="D1234" s="462"/>
      <c r="E1234" s="436" t="str">
        <f t="array" ref="E1234">IF(B1234=0,"",(J1234+K1234)/60)</f>
        <v/>
      </c>
      <c r="F1234" s="437" t="str">
        <f t="shared" si="1"/>
        <v/>
      </c>
      <c r="G1234" s="438" t="str">
        <f t="shared" si="9"/>
        <v/>
      </c>
      <c r="H1234" s="438" t="str">
        <f t="shared" si="3"/>
        <v/>
      </c>
      <c r="I1234" s="436" t="str">
        <f t="shared" si="11"/>
        <v/>
      </c>
      <c r="J1234" s="464"/>
      <c r="K1234" s="464"/>
      <c r="L1234" s="443"/>
      <c r="M1234" s="443"/>
      <c r="N1234" s="443"/>
      <c r="O1234" s="443"/>
      <c r="P1234" s="443"/>
      <c r="Q1234" s="443"/>
      <c r="R1234" s="443"/>
      <c r="S1234" s="443"/>
      <c r="T1234" s="443"/>
      <c r="U1234" s="443"/>
      <c r="V1234" s="443"/>
      <c r="W1234" s="443"/>
      <c r="X1234" s="443"/>
      <c r="Y1234" s="443"/>
      <c r="Z1234" s="443"/>
      <c r="AA1234" s="443"/>
      <c r="AB1234" s="443"/>
      <c r="AC1234" s="443"/>
      <c r="AD1234" s="443"/>
      <c r="AE1234" s="443"/>
      <c r="AF1234" s="443"/>
      <c r="AG1234" s="443" t="s">
        <v>289</v>
      </c>
      <c r="AH1234" s="443" t="s">
        <v>289</v>
      </c>
      <c r="AI1234" s="443"/>
      <c r="AJ1234" s="443"/>
      <c r="AK1234" s="443"/>
      <c r="AL1234" s="443"/>
      <c r="AM1234" s="443"/>
      <c r="AN1234" s="443"/>
      <c r="AO1234" s="443"/>
      <c r="AP1234" s="443"/>
      <c r="AQ1234" s="443"/>
      <c r="AR1234" s="443"/>
      <c r="AS1234" s="443"/>
      <c r="AT1234" s="443"/>
      <c r="AU1234" s="443"/>
      <c r="AV1234" s="443"/>
      <c r="AW1234" s="443"/>
      <c r="AX1234" s="443"/>
      <c r="AY1234" s="443"/>
      <c r="AZ1234" s="443"/>
      <c r="BA1234" s="443"/>
      <c r="BB1234" s="443"/>
      <c r="BC1234" s="443"/>
      <c r="BD1234" s="443"/>
      <c r="BE1234" s="443"/>
    </row>
    <row r="1235">
      <c r="A1235" s="445" t="str">
        <f t="shared" si="5"/>
        <v/>
      </c>
      <c r="B1235" s="443"/>
      <c r="C1235" s="443"/>
      <c r="D1235" s="462"/>
      <c r="E1235" s="436" t="str">
        <f t="array" ref="E1235">IF(B1235=0,"",(J1235+K1235)/60)</f>
        <v/>
      </c>
      <c r="F1235" s="437" t="str">
        <f t="shared" si="1"/>
        <v/>
      </c>
      <c r="G1235" s="438" t="str">
        <f t="shared" si="9"/>
        <v/>
      </c>
      <c r="H1235" s="438" t="str">
        <f t="shared" si="3"/>
        <v/>
      </c>
      <c r="I1235" s="436" t="str">
        <f t="shared" si="11"/>
        <v/>
      </c>
      <c r="J1235" s="464"/>
      <c r="K1235" s="464"/>
      <c r="L1235" s="443"/>
      <c r="M1235" s="443"/>
      <c r="N1235" s="443"/>
      <c r="O1235" s="443"/>
      <c r="P1235" s="443"/>
      <c r="Q1235" s="443"/>
      <c r="R1235" s="443"/>
      <c r="S1235" s="443"/>
      <c r="T1235" s="443"/>
      <c r="U1235" s="443"/>
      <c r="V1235" s="443"/>
      <c r="W1235" s="443"/>
      <c r="X1235" s="443"/>
      <c r="Y1235" s="443"/>
      <c r="Z1235" s="443"/>
      <c r="AA1235" s="443"/>
      <c r="AB1235" s="443"/>
      <c r="AC1235" s="443"/>
      <c r="AD1235" s="443"/>
      <c r="AE1235" s="443"/>
      <c r="AF1235" s="443"/>
      <c r="AG1235" s="443" t="s">
        <v>289</v>
      </c>
      <c r="AH1235" s="443" t="s">
        <v>289</v>
      </c>
      <c r="AI1235" s="443"/>
      <c r="AJ1235" s="443"/>
      <c r="AK1235" s="443"/>
      <c r="AL1235" s="443"/>
      <c r="AM1235" s="443"/>
      <c r="AN1235" s="443"/>
      <c r="AO1235" s="443"/>
      <c r="AP1235" s="443"/>
      <c r="AQ1235" s="443"/>
      <c r="AR1235" s="443"/>
      <c r="AS1235" s="443"/>
      <c r="AT1235" s="443"/>
      <c r="AU1235" s="443"/>
      <c r="AV1235" s="443"/>
      <c r="AW1235" s="443"/>
      <c r="AX1235" s="443"/>
      <c r="AY1235" s="443"/>
      <c r="AZ1235" s="443"/>
      <c r="BA1235" s="443"/>
      <c r="BB1235" s="443"/>
      <c r="BC1235" s="443"/>
      <c r="BD1235" s="443"/>
      <c r="BE1235" s="443"/>
    </row>
    <row r="1236">
      <c r="A1236" s="445" t="str">
        <f t="shared" si="5"/>
        <v/>
      </c>
      <c r="B1236" s="443"/>
      <c r="C1236" s="443"/>
      <c r="D1236" s="462"/>
      <c r="E1236" s="436" t="str">
        <f t="array" ref="E1236">IF(B1236=0,"",(J1236+K1236)/60)</f>
        <v/>
      </c>
      <c r="F1236" s="437" t="str">
        <f t="shared" si="1"/>
        <v/>
      </c>
      <c r="G1236" s="438" t="str">
        <f t="shared" si="9"/>
        <v/>
      </c>
      <c r="H1236" s="438" t="str">
        <f t="shared" si="3"/>
        <v/>
      </c>
      <c r="I1236" s="436" t="str">
        <f t="shared" si="11"/>
        <v/>
      </c>
      <c r="J1236" s="464"/>
      <c r="K1236" s="464"/>
      <c r="L1236" s="443"/>
      <c r="M1236" s="443"/>
      <c r="N1236" s="443"/>
      <c r="O1236" s="443"/>
      <c r="P1236" s="443"/>
      <c r="Q1236" s="443"/>
      <c r="R1236" s="443"/>
      <c r="S1236" s="443"/>
      <c r="T1236" s="443"/>
      <c r="U1236" s="443"/>
      <c r="V1236" s="443"/>
      <c r="W1236" s="443"/>
      <c r="X1236" s="443"/>
      <c r="Y1236" s="443"/>
      <c r="Z1236" s="443"/>
      <c r="AA1236" s="443"/>
      <c r="AB1236" s="443"/>
      <c r="AC1236" s="443"/>
      <c r="AD1236" s="443"/>
      <c r="AE1236" s="443"/>
      <c r="AF1236" s="443"/>
      <c r="AG1236" s="443" t="s">
        <v>289</v>
      </c>
      <c r="AH1236" s="443" t="s">
        <v>289</v>
      </c>
      <c r="AI1236" s="443"/>
      <c r="AJ1236" s="443"/>
      <c r="AK1236" s="443"/>
      <c r="AL1236" s="443"/>
      <c r="AM1236" s="443"/>
      <c r="AN1236" s="443"/>
      <c r="AO1236" s="443"/>
      <c r="AP1236" s="443"/>
      <c r="AQ1236" s="443"/>
      <c r="AR1236" s="443"/>
      <c r="AS1236" s="443"/>
      <c r="AT1236" s="443"/>
      <c r="AU1236" s="443"/>
      <c r="AV1236" s="443"/>
      <c r="AW1236" s="443"/>
      <c r="AX1236" s="443"/>
      <c r="AY1236" s="443"/>
      <c r="AZ1236" s="443"/>
      <c r="BA1236" s="443"/>
      <c r="BB1236" s="443"/>
      <c r="BC1236" s="443"/>
      <c r="BD1236" s="443"/>
      <c r="BE1236" s="443"/>
    </row>
    <row r="1237">
      <c r="A1237" s="445" t="str">
        <f t="shared" si="5"/>
        <v/>
      </c>
      <c r="B1237" s="443"/>
      <c r="C1237" s="443"/>
      <c r="D1237" s="462"/>
      <c r="E1237" s="436" t="str">
        <f t="array" ref="E1237">IF(B1237=0,"",(J1237+K1237)/60)</f>
        <v/>
      </c>
      <c r="F1237" s="437" t="str">
        <f t="shared" si="1"/>
        <v/>
      </c>
      <c r="G1237" s="438" t="str">
        <f t="shared" si="9"/>
        <v/>
      </c>
      <c r="H1237" s="438" t="str">
        <f t="shared" si="3"/>
        <v/>
      </c>
      <c r="I1237" s="436" t="str">
        <f t="shared" si="11"/>
        <v/>
      </c>
      <c r="J1237" s="464"/>
      <c r="K1237" s="464"/>
      <c r="L1237" s="443"/>
      <c r="M1237" s="443"/>
      <c r="N1237" s="443"/>
      <c r="O1237" s="443"/>
      <c r="P1237" s="443"/>
      <c r="Q1237" s="443"/>
      <c r="R1237" s="443"/>
      <c r="S1237" s="443"/>
      <c r="T1237" s="443"/>
      <c r="U1237" s="443"/>
      <c r="V1237" s="443"/>
      <c r="W1237" s="443"/>
      <c r="X1237" s="443"/>
      <c r="Y1237" s="443"/>
      <c r="Z1237" s="443"/>
      <c r="AA1237" s="443"/>
      <c r="AB1237" s="443"/>
      <c r="AC1237" s="443"/>
      <c r="AD1237" s="443"/>
      <c r="AE1237" s="443"/>
      <c r="AF1237" s="443"/>
      <c r="AG1237" s="443" t="s">
        <v>289</v>
      </c>
      <c r="AH1237" s="443" t="s">
        <v>289</v>
      </c>
      <c r="AI1237" s="443"/>
      <c r="AJ1237" s="443"/>
      <c r="AK1237" s="443"/>
      <c r="AL1237" s="443"/>
      <c r="AM1237" s="443"/>
      <c r="AN1237" s="443"/>
      <c r="AO1237" s="443"/>
      <c r="AP1237" s="443"/>
      <c r="AQ1237" s="443"/>
      <c r="AR1237" s="443"/>
      <c r="AS1237" s="443"/>
      <c r="AT1237" s="443"/>
      <c r="AU1237" s="443"/>
      <c r="AV1237" s="443"/>
      <c r="AW1237" s="443"/>
      <c r="AX1237" s="443"/>
      <c r="AY1237" s="443"/>
      <c r="AZ1237" s="443"/>
      <c r="BA1237" s="443"/>
      <c r="BB1237" s="443"/>
      <c r="BC1237" s="443"/>
      <c r="BD1237" s="443"/>
      <c r="BE1237" s="443"/>
    </row>
    <row r="1238">
      <c r="A1238" s="445" t="str">
        <f t="shared" si="5"/>
        <v/>
      </c>
      <c r="B1238" s="443"/>
      <c r="C1238" s="443"/>
      <c r="D1238" s="462"/>
      <c r="E1238" s="436" t="str">
        <f t="array" ref="E1238">IF(B1238=0,"",(J1238+K1238)/60)</f>
        <v/>
      </c>
      <c r="F1238" s="437" t="str">
        <f t="shared" si="1"/>
        <v/>
      </c>
      <c r="G1238" s="438" t="str">
        <f t="shared" si="9"/>
        <v/>
      </c>
      <c r="H1238" s="438" t="str">
        <f t="shared" si="3"/>
        <v/>
      </c>
      <c r="I1238" s="436" t="str">
        <f t="shared" si="11"/>
        <v/>
      </c>
      <c r="J1238" s="464"/>
      <c r="K1238" s="464"/>
      <c r="L1238" s="443"/>
      <c r="M1238" s="443"/>
      <c r="N1238" s="443"/>
      <c r="O1238" s="443"/>
      <c r="P1238" s="443"/>
      <c r="Q1238" s="443"/>
      <c r="R1238" s="443"/>
      <c r="S1238" s="443"/>
      <c r="T1238" s="443"/>
      <c r="U1238" s="443"/>
      <c r="V1238" s="443"/>
      <c r="W1238" s="443"/>
      <c r="X1238" s="443"/>
      <c r="Y1238" s="443"/>
      <c r="Z1238" s="443"/>
      <c r="AA1238" s="443"/>
      <c r="AB1238" s="443"/>
      <c r="AC1238" s="443"/>
      <c r="AD1238" s="443"/>
      <c r="AE1238" s="443"/>
      <c r="AF1238" s="443"/>
      <c r="AG1238" s="443" t="s">
        <v>289</v>
      </c>
      <c r="AH1238" s="443" t="s">
        <v>289</v>
      </c>
      <c r="AI1238" s="443"/>
      <c r="AJ1238" s="443"/>
      <c r="AK1238" s="443"/>
      <c r="AL1238" s="443"/>
      <c r="AM1238" s="443"/>
      <c r="AN1238" s="443"/>
      <c r="AO1238" s="443"/>
      <c r="AP1238" s="443"/>
      <c r="AQ1238" s="443"/>
      <c r="AR1238" s="443"/>
      <c r="AS1238" s="443"/>
      <c r="AT1238" s="443"/>
      <c r="AU1238" s="443"/>
      <c r="AV1238" s="443"/>
      <c r="AW1238" s="443"/>
      <c r="AX1238" s="443"/>
      <c r="AY1238" s="443"/>
      <c r="AZ1238" s="443"/>
      <c r="BA1238" s="443"/>
      <c r="BB1238" s="443"/>
      <c r="BC1238" s="443"/>
      <c r="BD1238" s="443"/>
      <c r="BE1238" s="443"/>
    </row>
    <row r="1239">
      <c r="A1239" s="445" t="str">
        <f t="shared" si="5"/>
        <v/>
      </c>
      <c r="B1239" s="443"/>
      <c r="C1239" s="443"/>
      <c r="D1239" s="462"/>
      <c r="E1239" s="436" t="str">
        <f t="array" ref="E1239">IF(B1239=0,"",(J1239+K1239)/60)</f>
        <v/>
      </c>
      <c r="F1239" s="437" t="str">
        <f t="shared" si="1"/>
        <v/>
      </c>
      <c r="G1239" s="438" t="str">
        <f t="shared" si="9"/>
        <v/>
      </c>
      <c r="H1239" s="438" t="str">
        <f t="shared" si="3"/>
        <v/>
      </c>
      <c r="I1239" s="436" t="str">
        <f t="shared" si="11"/>
        <v/>
      </c>
      <c r="J1239" s="464"/>
      <c r="K1239" s="464"/>
      <c r="L1239" s="443"/>
      <c r="M1239" s="443"/>
      <c r="N1239" s="443"/>
      <c r="O1239" s="443"/>
      <c r="P1239" s="443"/>
      <c r="Q1239" s="443"/>
      <c r="R1239" s="443"/>
      <c r="S1239" s="443"/>
      <c r="T1239" s="443"/>
      <c r="U1239" s="443"/>
      <c r="V1239" s="443"/>
      <c r="W1239" s="443"/>
      <c r="X1239" s="443"/>
      <c r="Y1239" s="443"/>
      <c r="Z1239" s="443"/>
      <c r="AA1239" s="443"/>
      <c r="AB1239" s="443"/>
      <c r="AC1239" s="443"/>
      <c r="AD1239" s="443"/>
      <c r="AE1239" s="443"/>
      <c r="AF1239" s="443"/>
      <c r="AG1239" s="443" t="s">
        <v>289</v>
      </c>
      <c r="AH1239" s="443" t="s">
        <v>289</v>
      </c>
      <c r="AI1239" s="443"/>
      <c r="AJ1239" s="443"/>
      <c r="AK1239" s="443"/>
      <c r="AL1239" s="443"/>
      <c r="AM1239" s="443"/>
      <c r="AN1239" s="443"/>
      <c r="AO1239" s="443"/>
      <c r="AP1239" s="443"/>
      <c r="AQ1239" s="443"/>
      <c r="AR1239" s="443"/>
      <c r="AS1239" s="443"/>
      <c r="AT1239" s="443"/>
      <c r="AU1239" s="443"/>
      <c r="AV1239" s="443"/>
      <c r="AW1239" s="443"/>
      <c r="AX1239" s="443"/>
      <c r="AY1239" s="443"/>
      <c r="AZ1239" s="443"/>
      <c r="BA1239" s="443"/>
      <c r="BB1239" s="443"/>
      <c r="BC1239" s="443"/>
      <c r="BD1239" s="443"/>
      <c r="BE1239" s="443"/>
    </row>
    <row r="1240">
      <c r="A1240" s="445" t="str">
        <f t="shared" si="5"/>
        <v/>
      </c>
      <c r="B1240" s="443"/>
      <c r="C1240" s="443"/>
      <c r="D1240" s="462"/>
      <c r="E1240" s="436" t="str">
        <f t="array" ref="E1240">IF(B1240=0,"",(J1240+K1240)/60)</f>
        <v/>
      </c>
      <c r="F1240" s="437" t="str">
        <f t="shared" si="1"/>
        <v/>
      </c>
      <c r="G1240" s="438" t="str">
        <f t="shared" si="9"/>
        <v/>
      </c>
      <c r="H1240" s="438" t="str">
        <f t="shared" si="3"/>
        <v/>
      </c>
      <c r="I1240" s="436" t="str">
        <f t="shared" si="11"/>
        <v/>
      </c>
      <c r="J1240" s="464"/>
      <c r="K1240" s="464"/>
      <c r="L1240" s="443"/>
      <c r="M1240" s="443"/>
      <c r="N1240" s="443"/>
      <c r="O1240" s="443"/>
      <c r="P1240" s="443"/>
      <c r="Q1240" s="443"/>
      <c r="R1240" s="443"/>
      <c r="S1240" s="443"/>
      <c r="T1240" s="443"/>
      <c r="U1240" s="443"/>
      <c r="V1240" s="443"/>
      <c r="W1240" s="443"/>
      <c r="X1240" s="443"/>
      <c r="Y1240" s="443"/>
      <c r="Z1240" s="443"/>
      <c r="AA1240" s="443"/>
      <c r="AB1240" s="443"/>
      <c r="AC1240" s="443"/>
      <c r="AD1240" s="443"/>
      <c r="AE1240" s="443"/>
      <c r="AF1240" s="443"/>
      <c r="AG1240" s="443" t="s">
        <v>289</v>
      </c>
      <c r="AH1240" s="443" t="s">
        <v>289</v>
      </c>
      <c r="AI1240" s="443"/>
      <c r="AJ1240" s="443"/>
      <c r="AK1240" s="443"/>
      <c r="AL1240" s="443"/>
      <c r="AM1240" s="443"/>
      <c r="AN1240" s="443"/>
      <c r="AO1240" s="443"/>
      <c r="AP1240" s="443"/>
      <c r="AQ1240" s="443"/>
      <c r="AR1240" s="443"/>
      <c r="AS1240" s="443"/>
      <c r="AT1240" s="443"/>
      <c r="AU1240" s="443"/>
      <c r="AV1240" s="443"/>
      <c r="AW1240" s="443"/>
      <c r="AX1240" s="443"/>
      <c r="AY1240" s="443"/>
      <c r="AZ1240" s="443"/>
      <c r="BA1240" s="443"/>
      <c r="BB1240" s="443"/>
      <c r="BC1240" s="443"/>
      <c r="BD1240" s="443"/>
      <c r="BE1240" s="443"/>
    </row>
    <row r="1241">
      <c r="A1241" s="445" t="str">
        <f t="shared" si="5"/>
        <v/>
      </c>
      <c r="B1241" s="443"/>
      <c r="C1241" s="443"/>
      <c r="D1241" s="462"/>
      <c r="E1241" s="436" t="str">
        <f t="array" ref="E1241">IF(B1241=0,"",(J1241+K1241)/60)</f>
        <v/>
      </c>
      <c r="F1241" s="437" t="str">
        <f t="shared" si="1"/>
        <v/>
      </c>
      <c r="G1241" s="438" t="str">
        <f t="shared" si="9"/>
        <v/>
      </c>
      <c r="H1241" s="438" t="str">
        <f t="shared" si="3"/>
        <v/>
      </c>
      <c r="I1241" s="436" t="str">
        <f t="shared" si="11"/>
        <v/>
      </c>
      <c r="J1241" s="464"/>
      <c r="K1241" s="464"/>
      <c r="L1241" s="443"/>
      <c r="M1241" s="443"/>
      <c r="N1241" s="443"/>
      <c r="O1241" s="443"/>
      <c r="P1241" s="443"/>
      <c r="Q1241" s="443"/>
      <c r="R1241" s="443"/>
      <c r="S1241" s="443"/>
      <c r="T1241" s="443"/>
      <c r="U1241" s="443"/>
      <c r="V1241" s="443"/>
      <c r="W1241" s="443"/>
      <c r="X1241" s="443"/>
      <c r="Y1241" s="443"/>
      <c r="Z1241" s="443"/>
      <c r="AA1241" s="443"/>
      <c r="AB1241" s="443"/>
      <c r="AC1241" s="443"/>
      <c r="AD1241" s="443"/>
      <c r="AE1241" s="443"/>
      <c r="AF1241" s="443"/>
      <c r="AG1241" s="443" t="s">
        <v>289</v>
      </c>
      <c r="AH1241" s="443" t="s">
        <v>289</v>
      </c>
      <c r="AI1241" s="443"/>
      <c r="AJ1241" s="443"/>
      <c r="AK1241" s="443"/>
      <c r="AL1241" s="443"/>
      <c r="AM1241" s="443"/>
      <c r="AN1241" s="443"/>
      <c r="AO1241" s="443"/>
      <c r="AP1241" s="443"/>
      <c r="AQ1241" s="443"/>
      <c r="AR1241" s="443"/>
      <c r="AS1241" s="443"/>
      <c r="AT1241" s="443"/>
      <c r="AU1241" s="443"/>
      <c r="AV1241" s="443"/>
      <c r="AW1241" s="443"/>
      <c r="AX1241" s="443"/>
      <c r="AY1241" s="443"/>
      <c r="AZ1241" s="443"/>
      <c r="BA1241" s="443"/>
      <c r="BB1241" s="443"/>
      <c r="BC1241" s="443"/>
      <c r="BD1241" s="443"/>
      <c r="BE1241" s="443"/>
    </row>
    <row r="1242">
      <c r="A1242" s="445" t="str">
        <f t="shared" si="5"/>
        <v/>
      </c>
      <c r="B1242" s="443"/>
      <c r="C1242" s="443"/>
      <c r="D1242" s="462"/>
      <c r="E1242" s="436" t="str">
        <f t="array" ref="E1242">IF(B1242=0,"",(J1242+K1242)/60)</f>
        <v/>
      </c>
      <c r="F1242" s="437" t="str">
        <f t="shared" si="1"/>
        <v/>
      </c>
      <c r="G1242" s="438" t="str">
        <f t="shared" si="9"/>
        <v/>
      </c>
      <c r="H1242" s="438" t="str">
        <f t="shared" si="3"/>
        <v/>
      </c>
      <c r="I1242" s="436" t="str">
        <f t="shared" si="11"/>
        <v/>
      </c>
      <c r="J1242" s="464"/>
      <c r="K1242" s="464"/>
      <c r="L1242" s="443"/>
      <c r="M1242" s="443"/>
      <c r="N1242" s="443"/>
      <c r="O1242" s="443"/>
      <c r="P1242" s="443"/>
      <c r="Q1242" s="443"/>
      <c r="R1242" s="443"/>
      <c r="S1242" s="443"/>
      <c r="T1242" s="443"/>
      <c r="U1242" s="443"/>
      <c r="V1242" s="443"/>
      <c r="W1242" s="443"/>
      <c r="X1242" s="443"/>
      <c r="Y1242" s="443"/>
      <c r="Z1242" s="443"/>
      <c r="AA1242" s="443"/>
      <c r="AB1242" s="443"/>
      <c r="AC1242" s="443"/>
      <c r="AD1242" s="443"/>
      <c r="AE1242" s="443"/>
      <c r="AF1242" s="443"/>
      <c r="AG1242" s="443" t="s">
        <v>289</v>
      </c>
      <c r="AH1242" s="443" t="s">
        <v>289</v>
      </c>
      <c r="AI1242" s="443"/>
      <c r="AJ1242" s="443"/>
      <c r="AK1242" s="443"/>
      <c r="AL1242" s="443"/>
      <c r="AM1242" s="443"/>
      <c r="AN1242" s="443"/>
      <c r="AO1242" s="443"/>
      <c r="AP1242" s="443"/>
      <c r="AQ1242" s="443"/>
      <c r="AR1242" s="443"/>
      <c r="AS1242" s="443"/>
      <c r="AT1242" s="443"/>
      <c r="AU1242" s="443"/>
      <c r="AV1242" s="443"/>
      <c r="AW1242" s="443"/>
      <c r="AX1242" s="443"/>
      <c r="AY1242" s="443"/>
      <c r="AZ1242" s="443"/>
      <c r="BA1242" s="443"/>
      <c r="BB1242" s="443"/>
      <c r="BC1242" s="443"/>
      <c r="BD1242" s="443"/>
      <c r="BE1242" s="443"/>
    </row>
    <row r="1243">
      <c r="A1243" s="445" t="str">
        <f t="shared" si="5"/>
        <v/>
      </c>
      <c r="B1243" s="443"/>
      <c r="C1243" s="443"/>
      <c r="D1243" s="462"/>
      <c r="E1243" s="436" t="str">
        <f t="array" ref="E1243">IF(B1243=0,"",(J1243+K1243)/60)</f>
        <v/>
      </c>
      <c r="F1243" s="437" t="str">
        <f t="shared" si="1"/>
        <v/>
      </c>
      <c r="G1243" s="438" t="str">
        <f t="shared" si="9"/>
        <v/>
      </c>
      <c r="H1243" s="438" t="str">
        <f t="shared" si="3"/>
        <v/>
      </c>
      <c r="I1243" s="436" t="str">
        <f t="shared" si="11"/>
        <v/>
      </c>
      <c r="J1243" s="464"/>
      <c r="K1243" s="464"/>
      <c r="L1243" s="443"/>
      <c r="M1243" s="443"/>
      <c r="N1243" s="443"/>
      <c r="O1243" s="443"/>
      <c r="P1243" s="443"/>
      <c r="Q1243" s="443"/>
      <c r="R1243" s="443"/>
      <c r="S1243" s="443"/>
      <c r="T1243" s="443"/>
      <c r="U1243" s="443"/>
      <c r="V1243" s="443"/>
      <c r="W1243" s="443"/>
      <c r="X1243" s="443"/>
      <c r="Y1243" s="443"/>
      <c r="Z1243" s="443"/>
      <c r="AA1243" s="443"/>
      <c r="AB1243" s="443"/>
      <c r="AC1243" s="443"/>
      <c r="AD1243" s="443"/>
      <c r="AE1243" s="443"/>
      <c r="AF1243" s="443"/>
      <c r="AG1243" s="443" t="s">
        <v>289</v>
      </c>
      <c r="AH1243" s="443" t="s">
        <v>289</v>
      </c>
      <c r="AI1243" s="443"/>
      <c r="AJ1243" s="443"/>
      <c r="AK1243" s="443"/>
      <c r="AL1243" s="443"/>
      <c r="AM1243" s="443"/>
      <c r="AN1243" s="443"/>
      <c r="AO1243" s="443"/>
      <c r="AP1243" s="443"/>
      <c r="AQ1243" s="443"/>
      <c r="AR1243" s="443"/>
      <c r="AS1243" s="443"/>
      <c r="AT1243" s="443"/>
      <c r="AU1243" s="443"/>
      <c r="AV1243" s="443"/>
      <c r="AW1243" s="443"/>
      <c r="AX1243" s="443"/>
      <c r="AY1243" s="443"/>
      <c r="AZ1243" s="443"/>
      <c r="BA1243" s="443"/>
      <c r="BB1243" s="443"/>
      <c r="BC1243" s="443"/>
      <c r="BD1243" s="443"/>
      <c r="BE1243" s="443"/>
    </row>
    <row r="1244">
      <c r="A1244" s="445" t="str">
        <f t="shared" si="5"/>
        <v/>
      </c>
      <c r="B1244" s="443"/>
      <c r="C1244" s="443"/>
      <c r="D1244" s="462"/>
      <c r="E1244" s="436" t="str">
        <f t="array" ref="E1244">IF(B1244=0,"",(J1244+K1244)/60)</f>
        <v/>
      </c>
      <c r="F1244" s="437" t="str">
        <f t="shared" si="1"/>
        <v/>
      </c>
      <c r="G1244" s="438" t="str">
        <f t="shared" si="9"/>
        <v/>
      </c>
      <c r="H1244" s="438" t="str">
        <f t="shared" si="3"/>
        <v/>
      </c>
      <c r="I1244" s="436" t="str">
        <f t="shared" si="11"/>
        <v/>
      </c>
      <c r="J1244" s="464"/>
      <c r="K1244" s="464"/>
      <c r="L1244" s="443"/>
      <c r="M1244" s="443"/>
      <c r="N1244" s="443"/>
      <c r="O1244" s="443"/>
      <c r="P1244" s="443"/>
      <c r="Q1244" s="443"/>
      <c r="R1244" s="443"/>
      <c r="S1244" s="443"/>
      <c r="T1244" s="443"/>
      <c r="U1244" s="443"/>
      <c r="V1244" s="443"/>
      <c r="W1244" s="443"/>
      <c r="X1244" s="443"/>
      <c r="Y1244" s="443"/>
      <c r="Z1244" s="443"/>
      <c r="AA1244" s="443"/>
      <c r="AB1244" s="443"/>
      <c r="AC1244" s="443"/>
      <c r="AD1244" s="443"/>
      <c r="AE1244" s="443"/>
      <c r="AF1244" s="443"/>
      <c r="AG1244" s="443" t="s">
        <v>289</v>
      </c>
      <c r="AH1244" s="443" t="s">
        <v>289</v>
      </c>
      <c r="AI1244" s="443"/>
      <c r="AJ1244" s="443"/>
      <c r="AK1244" s="443"/>
      <c r="AL1244" s="443"/>
      <c r="AM1244" s="443"/>
      <c r="AN1244" s="443"/>
      <c r="AO1244" s="443"/>
      <c r="AP1244" s="443"/>
      <c r="AQ1244" s="443"/>
      <c r="AR1244" s="443"/>
      <c r="AS1244" s="443"/>
      <c r="AT1244" s="443"/>
      <c r="AU1244" s="443"/>
      <c r="AV1244" s="443"/>
      <c r="AW1244" s="443"/>
      <c r="AX1244" s="443"/>
      <c r="AY1244" s="443"/>
      <c r="AZ1244" s="443"/>
      <c r="BA1244" s="443"/>
      <c r="BB1244" s="443"/>
      <c r="BC1244" s="443"/>
      <c r="BD1244" s="443"/>
      <c r="BE1244" s="443"/>
    </row>
    <row r="1245">
      <c r="A1245" s="445" t="str">
        <f t="shared" si="5"/>
        <v/>
      </c>
      <c r="B1245" s="443"/>
      <c r="C1245" s="443"/>
      <c r="D1245" s="462"/>
      <c r="E1245" s="436" t="str">
        <f t="array" ref="E1245">IF(B1245=0,"",(J1245+K1245)/60)</f>
        <v/>
      </c>
      <c r="F1245" s="437" t="str">
        <f t="shared" si="1"/>
        <v/>
      </c>
      <c r="G1245" s="438" t="str">
        <f t="shared" si="9"/>
        <v/>
      </c>
      <c r="H1245" s="438" t="str">
        <f t="shared" si="3"/>
        <v/>
      </c>
      <c r="I1245" s="436" t="str">
        <f t="shared" si="11"/>
        <v/>
      </c>
      <c r="J1245" s="464"/>
      <c r="K1245" s="464"/>
      <c r="L1245" s="443"/>
      <c r="M1245" s="443"/>
      <c r="N1245" s="443"/>
      <c r="O1245" s="443"/>
      <c r="P1245" s="443"/>
      <c r="Q1245" s="443"/>
      <c r="R1245" s="443"/>
      <c r="S1245" s="443"/>
      <c r="T1245" s="443"/>
      <c r="U1245" s="443"/>
      <c r="V1245" s="443"/>
      <c r="W1245" s="443"/>
      <c r="X1245" s="443"/>
      <c r="Y1245" s="443"/>
      <c r="Z1245" s="443"/>
      <c r="AA1245" s="443"/>
      <c r="AB1245" s="443"/>
      <c r="AC1245" s="443"/>
      <c r="AD1245" s="443"/>
      <c r="AE1245" s="443"/>
      <c r="AF1245" s="443"/>
      <c r="AG1245" s="443" t="s">
        <v>289</v>
      </c>
      <c r="AH1245" s="443" t="s">
        <v>289</v>
      </c>
      <c r="AI1245" s="443"/>
      <c r="AJ1245" s="443"/>
      <c r="AK1245" s="443"/>
      <c r="AL1245" s="443"/>
      <c r="AM1245" s="443"/>
      <c r="AN1245" s="443"/>
      <c r="AO1245" s="443"/>
      <c r="AP1245" s="443"/>
      <c r="AQ1245" s="443"/>
      <c r="AR1245" s="443"/>
      <c r="AS1245" s="443"/>
      <c r="AT1245" s="443"/>
      <c r="AU1245" s="443"/>
      <c r="AV1245" s="443"/>
      <c r="AW1245" s="443"/>
      <c r="AX1245" s="443"/>
      <c r="AY1245" s="443"/>
      <c r="AZ1245" s="443"/>
      <c r="BA1245" s="443"/>
      <c r="BB1245" s="443"/>
      <c r="BC1245" s="443"/>
      <c r="BD1245" s="443"/>
      <c r="BE1245" s="443"/>
    </row>
    <row r="1246">
      <c r="A1246" s="445" t="str">
        <f t="shared" si="5"/>
        <v/>
      </c>
      <c r="B1246" s="443"/>
      <c r="C1246" s="443"/>
      <c r="D1246" s="462"/>
      <c r="E1246" s="436" t="str">
        <f t="array" ref="E1246">IF(B1246=0,"",(J1246+K1246)/60)</f>
        <v/>
      </c>
      <c r="F1246" s="437" t="str">
        <f t="shared" si="1"/>
        <v/>
      </c>
      <c r="G1246" s="438" t="str">
        <f t="shared" si="9"/>
        <v/>
      </c>
      <c r="H1246" s="438" t="str">
        <f t="shared" si="3"/>
        <v/>
      </c>
      <c r="I1246" s="436" t="str">
        <f t="shared" si="11"/>
        <v/>
      </c>
      <c r="J1246" s="464"/>
      <c r="K1246" s="464"/>
      <c r="L1246" s="443"/>
      <c r="M1246" s="443"/>
      <c r="N1246" s="443"/>
      <c r="O1246" s="443"/>
      <c r="P1246" s="443"/>
      <c r="Q1246" s="443"/>
      <c r="R1246" s="443"/>
      <c r="S1246" s="443"/>
      <c r="T1246" s="443"/>
      <c r="U1246" s="443"/>
      <c r="V1246" s="443"/>
      <c r="W1246" s="443"/>
      <c r="X1246" s="443"/>
      <c r="Y1246" s="443"/>
      <c r="Z1246" s="443"/>
      <c r="AA1246" s="443"/>
      <c r="AB1246" s="443"/>
      <c r="AC1246" s="443"/>
      <c r="AD1246" s="443"/>
      <c r="AE1246" s="443"/>
      <c r="AF1246" s="443"/>
      <c r="AG1246" s="443" t="s">
        <v>289</v>
      </c>
      <c r="AH1246" s="443" t="s">
        <v>289</v>
      </c>
      <c r="AI1246" s="443"/>
      <c r="AJ1246" s="443"/>
      <c r="AK1246" s="443"/>
      <c r="AL1246" s="443"/>
      <c r="AM1246" s="443"/>
      <c r="AN1246" s="443"/>
      <c r="AO1246" s="443"/>
      <c r="AP1246" s="443"/>
      <c r="AQ1246" s="443"/>
      <c r="AR1246" s="443"/>
      <c r="AS1246" s="443"/>
      <c r="AT1246" s="443"/>
      <c r="AU1246" s="443"/>
      <c r="AV1246" s="443"/>
      <c r="AW1246" s="443"/>
      <c r="AX1246" s="443"/>
      <c r="AY1246" s="443"/>
      <c r="AZ1246" s="443"/>
      <c r="BA1246" s="443"/>
      <c r="BB1246" s="443"/>
      <c r="BC1246" s="443"/>
      <c r="BD1246" s="443"/>
      <c r="BE1246" s="443"/>
    </row>
    <row r="1247">
      <c r="A1247" s="445" t="str">
        <f t="shared" si="5"/>
        <v/>
      </c>
      <c r="B1247" s="443"/>
      <c r="C1247" s="443"/>
      <c r="D1247" s="462"/>
      <c r="E1247" s="436" t="str">
        <f t="array" ref="E1247">IF(B1247=0,"",(J1247+K1247)/60)</f>
        <v/>
      </c>
      <c r="F1247" s="437" t="str">
        <f t="shared" si="1"/>
        <v/>
      </c>
      <c r="G1247" s="438" t="str">
        <f t="shared" si="9"/>
        <v/>
      </c>
      <c r="H1247" s="438" t="str">
        <f t="shared" si="3"/>
        <v/>
      </c>
      <c r="I1247" s="436" t="str">
        <f t="shared" si="11"/>
        <v/>
      </c>
      <c r="J1247" s="464"/>
      <c r="K1247" s="464"/>
      <c r="L1247" s="443"/>
      <c r="M1247" s="443"/>
      <c r="N1247" s="443"/>
      <c r="O1247" s="443"/>
      <c r="P1247" s="443"/>
      <c r="Q1247" s="443"/>
      <c r="R1247" s="443"/>
      <c r="S1247" s="443"/>
      <c r="T1247" s="443"/>
      <c r="U1247" s="443"/>
      <c r="V1247" s="443"/>
      <c r="W1247" s="443"/>
      <c r="X1247" s="443"/>
      <c r="Y1247" s="443"/>
      <c r="Z1247" s="443"/>
      <c r="AA1247" s="443"/>
      <c r="AB1247" s="443"/>
      <c r="AC1247" s="443"/>
      <c r="AD1247" s="443"/>
      <c r="AE1247" s="443"/>
      <c r="AF1247" s="443"/>
      <c r="AG1247" s="443" t="s">
        <v>289</v>
      </c>
      <c r="AH1247" s="443" t="s">
        <v>289</v>
      </c>
      <c r="AI1247" s="443"/>
      <c r="AJ1247" s="443"/>
      <c r="AK1247" s="443"/>
      <c r="AL1247" s="443"/>
      <c r="AM1247" s="443"/>
      <c r="AN1247" s="443"/>
      <c r="AO1247" s="443"/>
      <c r="AP1247" s="443"/>
      <c r="AQ1247" s="443"/>
      <c r="AR1247" s="443"/>
      <c r="AS1247" s="443"/>
      <c r="AT1247" s="443"/>
      <c r="AU1247" s="443"/>
      <c r="AV1247" s="443"/>
      <c r="AW1247" s="443"/>
      <c r="AX1247" s="443"/>
      <c r="AY1247" s="443"/>
      <c r="AZ1247" s="443"/>
      <c r="BA1247" s="443"/>
      <c r="BB1247" s="443"/>
      <c r="BC1247" s="443"/>
      <c r="BD1247" s="443"/>
      <c r="BE1247" s="443"/>
    </row>
    <row r="1248">
      <c r="A1248" s="445" t="str">
        <f t="shared" si="5"/>
        <v/>
      </c>
      <c r="B1248" s="443"/>
      <c r="C1248" s="443"/>
      <c r="D1248" s="462"/>
      <c r="E1248" s="436" t="str">
        <f t="array" ref="E1248">IF(B1248=0,"",(J1248+K1248)/60)</f>
        <v/>
      </c>
      <c r="F1248" s="437" t="str">
        <f t="shared" si="1"/>
        <v/>
      </c>
      <c r="G1248" s="438" t="str">
        <f t="shared" si="9"/>
        <v/>
      </c>
      <c r="H1248" s="438" t="str">
        <f t="shared" si="3"/>
        <v/>
      </c>
      <c r="I1248" s="436" t="str">
        <f t="shared" si="11"/>
        <v/>
      </c>
      <c r="J1248" s="464"/>
      <c r="K1248" s="464"/>
      <c r="L1248" s="443"/>
      <c r="M1248" s="443"/>
      <c r="N1248" s="443"/>
      <c r="O1248" s="443"/>
      <c r="P1248" s="443"/>
      <c r="Q1248" s="443"/>
      <c r="R1248" s="443"/>
      <c r="S1248" s="443"/>
      <c r="T1248" s="443"/>
      <c r="U1248" s="443"/>
      <c r="V1248" s="443"/>
      <c r="W1248" s="443"/>
      <c r="X1248" s="443"/>
      <c r="Y1248" s="443"/>
      <c r="Z1248" s="443"/>
      <c r="AA1248" s="443"/>
      <c r="AB1248" s="443"/>
      <c r="AC1248" s="443"/>
      <c r="AD1248" s="443"/>
      <c r="AE1248" s="443"/>
      <c r="AF1248" s="443"/>
      <c r="AG1248" s="443" t="s">
        <v>289</v>
      </c>
      <c r="AH1248" s="443" t="s">
        <v>289</v>
      </c>
      <c r="AI1248" s="443"/>
      <c r="AJ1248" s="443"/>
      <c r="AK1248" s="443"/>
      <c r="AL1248" s="443"/>
      <c r="AM1248" s="443"/>
      <c r="AN1248" s="443"/>
      <c r="AO1248" s="443"/>
      <c r="AP1248" s="443"/>
      <c r="AQ1248" s="443"/>
      <c r="AR1248" s="443"/>
      <c r="AS1248" s="443"/>
      <c r="AT1248" s="443"/>
      <c r="AU1248" s="443"/>
      <c r="AV1248" s="443"/>
      <c r="AW1248" s="443"/>
      <c r="AX1248" s="443"/>
      <c r="AY1248" s="443"/>
      <c r="AZ1248" s="443"/>
      <c r="BA1248" s="443"/>
      <c r="BB1248" s="443"/>
      <c r="BC1248" s="443"/>
      <c r="BD1248" s="443"/>
      <c r="BE1248" s="443"/>
    </row>
    <row r="1249">
      <c r="A1249" s="445" t="str">
        <f t="shared" si="5"/>
        <v/>
      </c>
      <c r="B1249" s="443"/>
      <c r="C1249" s="443"/>
      <c r="D1249" s="462"/>
      <c r="E1249" s="436" t="str">
        <f t="array" ref="E1249">IF(B1249=0,"",(J1249+K1249)/60)</f>
        <v/>
      </c>
      <c r="F1249" s="437" t="str">
        <f t="shared" si="1"/>
        <v/>
      </c>
      <c r="G1249" s="438" t="str">
        <f t="shared" si="9"/>
        <v/>
      </c>
      <c r="H1249" s="438" t="str">
        <f t="shared" si="3"/>
        <v/>
      </c>
      <c r="I1249" s="436" t="str">
        <f t="shared" si="11"/>
        <v/>
      </c>
      <c r="J1249" s="464"/>
      <c r="K1249" s="464"/>
      <c r="L1249" s="443"/>
      <c r="M1249" s="443"/>
      <c r="N1249" s="443"/>
      <c r="O1249" s="443"/>
      <c r="P1249" s="443"/>
      <c r="Q1249" s="443"/>
      <c r="R1249" s="443"/>
      <c r="S1249" s="443"/>
      <c r="T1249" s="443"/>
      <c r="U1249" s="443"/>
      <c r="V1249" s="443"/>
      <c r="W1249" s="443"/>
      <c r="X1249" s="443"/>
      <c r="Y1249" s="443"/>
      <c r="Z1249" s="443"/>
      <c r="AA1249" s="443"/>
      <c r="AB1249" s="443"/>
      <c r="AC1249" s="443"/>
      <c r="AD1249" s="443"/>
      <c r="AE1249" s="443"/>
      <c r="AF1249" s="443"/>
      <c r="AG1249" s="443" t="s">
        <v>289</v>
      </c>
      <c r="AH1249" s="443" t="s">
        <v>289</v>
      </c>
      <c r="AI1249" s="443"/>
      <c r="AJ1249" s="443"/>
      <c r="AK1249" s="443"/>
      <c r="AL1249" s="443"/>
      <c r="AM1249" s="443"/>
      <c r="AN1249" s="443"/>
      <c r="AO1249" s="443"/>
      <c r="AP1249" s="443"/>
      <c r="AQ1249" s="443"/>
      <c r="AR1249" s="443"/>
      <c r="AS1249" s="443"/>
      <c r="AT1249" s="443"/>
      <c r="AU1249" s="443"/>
      <c r="AV1249" s="443"/>
      <c r="AW1249" s="443"/>
      <c r="AX1249" s="443"/>
      <c r="AY1249" s="443"/>
      <c r="AZ1249" s="443"/>
      <c r="BA1249" s="443"/>
      <c r="BB1249" s="443"/>
      <c r="BC1249" s="443"/>
      <c r="BD1249" s="443"/>
      <c r="BE1249" s="443"/>
    </row>
    <row r="1250">
      <c r="A1250" s="445" t="str">
        <f t="shared" si="5"/>
        <v/>
      </c>
      <c r="B1250" s="443"/>
      <c r="C1250" s="443"/>
      <c r="D1250" s="462"/>
      <c r="E1250" s="436" t="str">
        <f t="array" ref="E1250">IF(B1250=0,"",(J1250+K1250)/60)</f>
        <v/>
      </c>
      <c r="F1250" s="437" t="str">
        <f t="shared" si="1"/>
        <v/>
      </c>
      <c r="G1250" s="438" t="str">
        <f t="shared" si="9"/>
        <v/>
      </c>
      <c r="H1250" s="438" t="str">
        <f t="shared" si="3"/>
        <v/>
      </c>
      <c r="I1250" s="436" t="str">
        <f t="shared" si="11"/>
        <v/>
      </c>
      <c r="J1250" s="464"/>
      <c r="K1250" s="464"/>
      <c r="L1250" s="443"/>
      <c r="M1250" s="443"/>
      <c r="N1250" s="443"/>
      <c r="O1250" s="443"/>
      <c r="P1250" s="443"/>
      <c r="Q1250" s="443"/>
      <c r="R1250" s="443"/>
      <c r="S1250" s="443"/>
      <c r="T1250" s="443"/>
      <c r="U1250" s="443"/>
      <c r="V1250" s="443"/>
      <c r="W1250" s="443"/>
      <c r="X1250" s="443"/>
      <c r="Y1250" s="443"/>
      <c r="Z1250" s="443"/>
      <c r="AA1250" s="443"/>
      <c r="AB1250" s="443"/>
      <c r="AC1250" s="443"/>
      <c r="AD1250" s="443"/>
      <c r="AE1250" s="443"/>
      <c r="AF1250" s="443"/>
      <c r="AG1250" s="443" t="s">
        <v>289</v>
      </c>
      <c r="AH1250" s="443" t="s">
        <v>289</v>
      </c>
      <c r="AI1250" s="443"/>
      <c r="AJ1250" s="443"/>
      <c r="AK1250" s="443"/>
      <c r="AL1250" s="443"/>
      <c r="AM1250" s="443"/>
      <c r="AN1250" s="443"/>
      <c r="AO1250" s="443"/>
      <c r="AP1250" s="443"/>
      <c r="AQ1250" s="443"/>
      <c r="AR1250" s="443"/>
      <c r="AS1250" s="443"/>
      <c r="AT1250" s="443"/>
      <c r="AU1250" s="443"/>
      <c r="AV1250" s="443"/>
      <c r="AW1250" s="443"/>
      <c r="AX1250" s="443"/>
      <c r="AY1250" s="443"/>
      <c r="AZ1250" s="443"/>
      <c r="BA1250" s="443"/>
      <c r="BB1250" s="443"/>
      <c r="BC1250" s="443"/>
      <c r="BD1250" s="443"/>
      <c r="BE1250" s="443"/>
    </row>
    <row r="1251">
      <c r="A1251" s="445" t="str">
        <f t="shared" si="5"/>
        <v/>
      </c>
      <c r="B1251" s="443"/>
      <c r="C1251" s="443"/>
      <c r="D1251" s="462"/>
      <c r="E1251" s="436" t="str">
        <f t="array" ref="E1251">IF(B1251=0,"",(J1251+K1251)/60)</f>
        <v/>
      </c>
      <c r="F1251" s="437" t="str">
        <f t="shared" si="1"/>
        <v/>
      </c>
      <c r="G1251" s="438" t="str">
        <f t="shared" si="9"/>
        <v/>
      </c>
      <c r="H1251" s="438" t="str">
        <f t="shared" si="3"/>
        <v/>
      </c>
      <c r="I1251" s="436" t="str">
        <f t="shared" si="11"/>
        <v/>
      </c>
      <c r="J1251" s="464"/>
      <c r="K1251" s="464"/>
      <c r="L1251" s="443"/>
      <c r="M1251" s="443"/>
      <c r="N1251" s="443"/>
      <c r="O1251" s="443"/>
      <c r="P1251" s="443"/>
      <c r="Q1251" s="443"/>
      <c r="R1251" s="443"/>
      <c r="S1251" s="443"/>
      <c r="T1251" s="443"/>
      <c r="U1251" s="443"/>
      <c r="V1251" s="443"/>
      <c r="W1251" s="443"/>
      <c r="X1251" s="443"/>
      <c r="Y1251" s="443"/>
      <c r="Z1251" s="443"/>
      <c r="AA1251" s="443"/>
      <c r="AB1251" s="443"/>
      <c r="AC1251" s="443"/>
      <c r="AD1251" s="443"/>
      <c r="AE1251" s="443"/>
      <c r="AF1251" s="443"/>
      <c r="AG1251" s="443" t="s">
        <v>289</v>
      </c>
      <c r="AH1251" s="443" t="s">
        <v>289</v>
      </c>
      <c r="AI1251" s="443"/>
      <c r="AJ1251" s="443"/>
      <c r="AK1251" s="443"/>
      <c r="AL1251" s="443"/>
      <c r="AM1251" s="443"/>
      <c r="AN1251" s="443"/>
      <c r="AO1251" s="443"/>
      <c r="AP1251" s="443"/>
      <c r="AQ1251" s="443"/>
      <c r="AR1251" s="443"/>
      <c r="AS1251" s="443"/>
      <c r="AT1251" s="443"/>
      <c r="AU1251" s="443"/>
      <c r="AV1251" s="443"/>
      <c r="AW1251" s="443"/>
      <c r="AX1251" s="443"/>
      <c r="AY1251" s="443"/>
      <c r="AZ1251" s="443"/>
      <c r="BA1251" s="443"/>
      <c r="BB1251" s="443"/>
      <c r="BC1251" s="443"/>
      <c r="BD1251" s="443"/>
      <c r="BE1251" s="443"/>
    </row>
    <row r="1252">
      <c r="A1252" s="445" t="str">
        <f t="shared" si="5"/>
        <v/>
      </c>
      <c r="B1252" s="443"/>
      <c r="C1252" s="443"/>
      <c r="D1252" s="462"/>
      <c r="E1252" s="436" t="str">
        <f t="array" ref="E1252">IF(B1252=0,"",(J1252+K1252)/60)</f>
        <v/>
      </c>
      <c r="F1252" s="437" t="str">
        <f t="shared" si="1"/>
        <v/>
      </c>
      <c r="G1252" s="438" t="str">
        <f t="shared" si="9"/>
        <v/>
      </c>
      <c r="H1252" s="438" t="str">
        <f t="shared" si="3"/>
        <v/>
      </c>
      <c r="I1252" s="436" t="str">
        <f t="shared" si="11"/>
        <v/>
      </c>
      <c r="J1252" s="464"/>
      <c r="K1252" s="464"/>
      <c r="L1252" s="443"/>
      <c r="M1252" s="443"/>
      <c r="N1252" s="443"/>
      <c r="O1252" s="443"/>
      <c r="P1252" s="443"/>
      <c r="Q1252" s="443"/>
      <c r="R1252" s="443"/>
      <c r="S1252" s="443"/>
      <c r="T1252" s="443"/>
      <c r="U1252" s="443"/>
      <c r="V1252" s="443"/>
      <c r="W1252" s="443"/>
      <c r="X1252" s="443"/>
      <c r="Y1252" s="443"/>
      <c r="Z1252" s="443"/>
      <c r="AA1252" s="443"/>
      <c r="AB1252" s="443"/>
      <c r="AC1252" s="443"/>
      <c r="AD1252" s="443"/>
      <c r="AE1252" s="443"/>
      <c r="AF1252" s="443"/>
      <c r="AG1252" s="443" t="s">
        <v>289</v>
      </c>
      <c r="AH1252" s="443" t="s">
        <v>289</v>
      </c>
      <c r="AI1252" s="443"/>
      <c r="AJ1252" s="443"/>
      <c r="AK1252" s="443"/>
      <c r="AL1252" s="443"/>
      <c r="AM1252" s="443"/>
      <c r="AN1252" s="443"/>
      <c r="AO1252" s="443"/>
      <c r="AP1252" s="443"/>
      <c r="AQ1252" s="443"/>
      <c r="AR1252" s="443"/>
      <c r="AS1252" s="443"/>
      <c r="AT1252" s="443"/>
      <c r="AU1252" s="443"/>
      <c r="AV1252" s="443"/>
      <c r="AW1252" s="443"/>
      <c r="AX1252" s="443"/>
      <c r="AY1252" s="443"/>
      <c r="AZ1252" s="443"/>
      <c r="BA1252" s="443"/>
      <c r="BB1252" s="443"/>
      <c r="BC1252" s="443"/>
      <c r="BD1252" s="443"/>
      <c r="BE1252" s="443"/>
    </row>
    <row r="1253">
      <c r="A1253" s="445" t="str">
        <f t="shared" si="5"/>
        <v/>
      </c>
      <c r="B1253" s="443"/>
      <c r="C1253" s="443"/>
      <c r="D1253" s="462"/>
      <c r="E1253" s="436" t="str">
        <f t="array" ref="E1253">IF(B1253=0,"",(J1253+K1253)/60)</f>
        <v/>
      </c>
      <c r="F1253" s="437" t="str">
        <f t="shared" si="1"/>
        <v/>
      </c>
      <c r="G1253" s="438" t="str">
        <f t="shared" si="9"/>
        <v/>
      </c>
      <c r="H1253" s="438" t="str">
        <f t="shared" si="3"/>
        <v/>
      </c>
      <c r="I1253" s="436" t="str">
        <f t="shared" si="11"/>
        <v/>
      </c>
      <c r="J1253" s="464"/>
      <c r="K1253" s="464"/>
      <c r="L1253" s="443"/>
      <c r="M1253" s="443"/>
      <c r="N1253" s="443"/>
      <c r="O1253" s="443"/>
      <c r="P1253" s="443"/>
      <c r="Q1253" s="443"/>
      <c r="R1253" s="443"/>
      <c r="S1253" s="443"/>
      <c r="T1253" s="443"/>
      <c r="U1253" s="443"/>
      <c r="V1253" s="443"/>
      <c r="W1253" s="443"/>
      <c r="X1253" s="443"/>
      <c r="Y1253" s="443"/>
      <c r="Z1253" s="443"/>
      <c r="AA1253" s="443"/>
      <c r="AB1253" s="443"/>
      <c r="AC1253" s="443"/>
      <c r="AD1253" s="443"/>
      <c r="AE1253" s="443"/>
      <c r="AF1253" s="443"/>
      <c r="AG1253" s="443" t="s">
        <v>289</v>
      </c>
      <c r="AH1253" s="443" t="s">
        <v>289</v>
      </c>
      <c r="AI1253" s="443"/>
      <c r="AJ1253" s="443"/>
      <c r="AK1253" s="443"/>
      <c r="AL1253" s="443"/>
      <c r="AM1253" s="443"/>
      <c r="AN1253" s="443"/>
      <c r="AO1253" s="443"/>
      <c r="AP1253" s="443"/>
      <c r="AQ1253" s="443"/>
      <c r="AR1253" s="443"/>
      <c r="AS1253" s="443"/>
      <c r="AT1253" s="443"/>
      <c r="AU1253" s="443"/>
      <c r="AV1253" s="443"/>
      <c r="AW1253" s="443"/>
      <c r="AX1253" s="443"/>
      <c r="AY1253" s="443"/>
      <c r="AZ1253" s="443"/>
      <c r="BA1253" s="443"/>
      <c r="BB1253" s="443"/>
      <c r="BC1253" s="443"/>
      <c r="BD1253" s="443"/>
      <c r="BE1253" s="443"/>
    </row>
    <row r="1254">
      <c r="A1254" s="445" t="str">
        <f t="shared" si="5"/>
        <v/>
      </c>
      <c r="B1254" s="443"/>
      <c r="C1254" s="443"/>
      <c r="D1254" s="462"/>
      <c r="E1254" s="436" t="str">
        <f t="array" ref="E1254">IF(B1254=0,"",(J1254+K1254)/60)</f>
        <v/>
      </c>
      <c r="F1254" s="437" t="str">
        <f t="shared" si="1"/>
        <v/>
      </c>
      <c r="G1254" s="438" t="str">
        <f t="shared" si="9"/>
        <v/>
      </c>
      <c r="H1254" s="438" t="str">
        <f t="shared" si="3"/>
        <v/>
      </c>
      <c r="I1254" s="436" t="str">
        <f t="shared" si="11"/>
        <v/>
      </c>
      <c r="J1254" s="464"/>
      <c r="K1254" s="464"/>
      <c r="L1254" s="443"/>
      <c r="M1254" s="443"/>
      <c r="N1254" s="443"/>
      <c r="O1254" s="443"/>
      <c r="P1254" s="443"/>
      <c r="Q1254" s="443"/>
      <c r="R1254" s="443"/>
      <c r="S1254" s="443"/>
      <c r="T1254" s="443"/>
      <c r="U1254" s="443"/>
      <c r="V1254" s="443"/>
      <c r="W1254" s="443"/>
      <c r="X1254" s="443"/>
      <c r="Y1254" s="443"/>
      <c r="Z1254" s="443"/>
      <c r="AA1254" s="443"/>
      <c r="AB1254" s="443"/>
      <c r="AC1254" s="443"/>
      <c r="AD1254" s="443"/>
      <c r="AE1254" s="443"/>
      <c r="AF1254" s="443"/>
      <c r="AG1254" s="443" t="s">
        <v>289</v>
      </c>
      <c r="AH1254" s="443" t="s">
        <v>289</v>
      </c>
      <c r="AI1254" s="443"/>
      <c r="AJ1254" s="443"/>
      <c r="AK1254" s="443"/>
      <c r="AL1254" s="443"/>
      <c r="AM1254" s="443"/>
      <c r="AN1254" s="443"/>
      <c r="AO1254" s="443"/>
      <c r="AP1254" s="443"/>
      <c r="AQ1254" s="443"/>
      <c r="AR1254" s="443"/>
      <c r="AS1254" s="443"/>
      <c r="AT1254" s="443"/>
      <c r="AU1254" s="443"/>
      <c r="AV1254" s="443"/>
      <c r="AW1254" s="443"/>
      <c r="AX1254" s="443"/>
      <c r="AY1254" s="443"/>
      <c r="AZ1254" s="443"/>
      <c r="BA1254" s="443"/>
      <c r="BB1254" s="443"/>
      <c r="BC1254" s="443"/>
      <c r="BD1254" s="443"/>
      <c r="BE1254" s="443"/>
    </row>
    <row r="1255">
      <c r="A1255" s="445" t="str">
        <f t="shared" si="5"/>
        <v/>
      </c>
      <c r="B1255" s="443"/>
      <c r="C1255" s="443"/>
      <c r="D1255" s="462"/>
      <c r="E1255" s="436" t="str">
        <f t="array" ref="E1255">IF(B1255=0,"",(J1255+K1255)/60)</f>
        <v/>
      </c>
      <c r="F1255" s="437" t="str">
        <f t="shared" si="1"/>
        <v/>
      </c>
      <c r="G1255" s="438" t="str">
        <f t="shared" si="9"/>
        <v/>
      </c>
      <c r="H1255" s="438" t="str">
        <f t="shared" si="3"/>
        <v/>
      </c>
      <c r="I1255" s="436" t="str">
        <f t="shared" si="11"/>
        <v/>
      </c>
      <c r="J1255" s="464"/>
      <c r="K1255" s="464"/>
      <c r="L1255" s="443"/>
      <c r="M1255" s="443"/>
      <c r="N1255" s="443"/>
      <c r="O1255" s="443"/>
      <c r="P1255" s="443"/>
      <c r="Q1255" s="443"/>
      <c r="R1255" s="443"/>
      <c r="S1255" s="443"/>
      <c r="T1255" s="443"/>
      <c r="U1255" s="443"/>
      <c r="V1255" s="443"/>
      <c r="W1255" s="443"/>
      <c r="X1255" s="443"/>
      <c r="Y1255" s="443"/>
      <c r="Z1255" s="443"/>
      <c r="AA1255" s="443"/>
      <c r="AB1255" s="443"/>
      <c r="AC1255" s="443"/>
      <c r="AD1255" s="443"/>
      <c r="AE1255" s="443"/>
      <c r="AF1255" s="443"/>
      <c r="AG1255" s="443" t="s">
        <v>289</v>
      </c>
      <c r="AH1255" s="443" t="s">
        <v>289</v>
      </c>
      <c r="AI1255" s="443"/>
      <c r="AJ1255" s="443"/>
      <c r="AK1255" s="443"/>
      <c r="AL1255" s="443"/>
      <c r="AM1255" s="443"/>
      <c r="AN1255" s="443"/>
      <c r="AO1255" s="443"/>
      <c r="AP1255" s="443"/>
      <c r="AQ1255" s="443"/>
      <c r="AR1255" s="443"/>
      <c r="AS1255" s="443"/>
      <c r="AT1255" s="443"/>
      <c r="AU1255" s="443"/>
      <c r="AV1255" s="443"/>
      <c r="AW1255" s="443"/>
      <c r="AX1255" s="443"/>
      <c r="AY1255" s="443"/>
      <c r="AZ1255" s="443"/>
      <c r="BA1255" s="443"/>
      <c r="BB1255" s="443"/>
      <c r="BC1255" s="443"/>
      <c r="BD1255" s="443"/>
      <c r="BE1255" s="443"/>
    </row>
    <row r="1256">
      <c r="A1256" s="445" t="str">
        <f t="shared" si="5"/>
        <v/>
      </c>
      <c r="B1256" s="443"/>
      <c r="C1256" s="443"/>
      <c r="D1256" s="462"/>
      <c r="E1256" s="436" t="str">
        <f t="array" ref="E1256">IF(B1256=0,"",(J1256+K1256)/60)</f>
        <v/>
      </c>
      <c r="F1256" s="437" t="str">
        <f t="shared" si="1"/>
        <v/>
      </c>
      <c r="G1256" s="438" t="str">
        <f t="shared" si="9"/>
        <v/>
      </c>
      <c r="H1256" s="438" t="str">
        <f t="shared" si="3"/>
        <v/>
      </c>
      <c r="I1256" s="436" t="str">
        <f t="shared" si="11"/>
        <v/>
      </c>
      <c r="J1256" s="464"/>
      <c r="K1256" s="464"/>
      <c r="L1256" s="443"/>
      <c r="M1256" s="443"/>
      <c r="N1256" s="443"/>
      <c r="O1256" s="443"/>
      <c r="P1256" s="443"/>
      <c r="Q1256" s="443"/>
      <c r="R1256" s="443"/>
      <c r="S1256" s="443"/>
      <c r="T1256" s="443"/>
      <c r="U1256" s="443"/>
      <c r="V1256" s="443"/>
      <c r="W1256" s="443"/>
      <c r="X1256" s="443"/>
      <c r="Y1256" s="443"/>
      <c r="Z1256" s="443"/>
      <c r="AA1256" s="443"/>
      <c r="AB1256" s="443"/>
      <c r="AC1256" s="443"/>
      <c r="AD1256" s="443"/>
      <c r="AE1256" s="443"/>
      <c r="AF1256" s="443"/>
      <c r="AG1256" s="443" t="s">
        <v>289</v>
      </c>
      <c r="AH1256" s="443" t="s">
        <v>289</v>
      </c>
      <c r="AI1256" s="443"/>
      <c r="AJ1256" s="443"/>
      <c r="AK1256" s="443"/>
      <c r="AL1256" s="443"/>
      <c r="AM1256" s="443"/>
      <c r="AN1256" s="443"/>
      <c r="AO1256" s="443"/>
      <c r="AP1256" s="443"/>
      <c r="AQ1256" s="443"/>
      <c r="AR1256" s="443"/>
      <c r="AS1256" s="443"/>
      <c r="AT1256" s="443"/>
      <c r="AU1256" s="443"/>
      <c r="AV1256" s="443"/>
      <c r="AW1256" s="443"/>
      <c r="AX1256" s="443"/>
      <c r="AY1256" s="443"/>
      <c r="AZ1256" s="443"/>
      <c r="BA1256" s="443"/>
      <c r="BB1256" s="443"/>
      <c r="BC1256" s="443"/>
      <c r="BD1256" s="443"/>
      <c r="BE1256" s="443"/>
    </row>
    <row r="1257">
      <c r="A1257" s="445" t="str">
        <f t="shared" si="5"/>
        <v/>
      </c>
      <c r="B1257" s="443"/>
      <c r="C1257" s="443"/>
      <c r="D1257" s="462"/>
      <c r="E1257" s="436" t="str">
        <f t="array" ref="E1257">IF(B1257=0,"",(J1257+K1257)/60)</f>
        <v/>
      </c>
      <c r="F1257" s="437" t="str">
        <f t="shared" si="1"/>
        <v/>
      </c>
      <c r="G1257" s="438" t="str">
        <f t="shared" si="9"/>
        <v/>
      </c>
      <c r="H1257" s="438" t="str">
        <f t="shared" si="3"/>
        <v/>
      </c>
      <c r="I1257" s="436" t="str">
        <f t="shared" si="11"/>
        <v/>
      </c>
      <c r="J1257" s="464"/>
      <c r="K1257" s="464"/>
      <c r="L1257" s="443"/>
      <c r="M1257" s="443"/>
      <c r="N1257" s="443"/>
      <c r="O1257" s="443"/>
      <c r="P1257" s="443"/>
      <c r="Q1257" s="443"/>
      <c r="R1257" s="443"/>
      <c r="S1257" s="443"/>
      <c r="T1257" s="443"/>
      <c r="U1257" s="443"/>
      <c r="V1257" s="443"/>
      <c r="W1257" s="443"/>
      <c r="X1257" s="443"/>
      <c r="Y1257" s="443"/>
      <c r="Z1257" s="443"/>
      <c r="AA1257" s="443"/>
      <c r="AB1257" s="443"/>
      <c r="AC1257" s="443"/>
      <c r="AD1257" s="443"/>
      <c r="AE1257" s="443"/>
      <c r="AF1257" s="443"/>
      <c r="AG1257" s="443" t="s">
        <v>289</v>
      </c>
      <c r="AH1257" s="443" t="s">
        <v>289</v>
      </c>
      <c r="AI1257" s="443"/>
      <c r="AJ1257" s="443"/>
      <c r="AK1257" s="443"/>
      <c r="AL1257" s="443"/>
      <c r="AM1257" s="443"/>
      <c r="AN1257" s="443"/>
      <c r="AO1257" s="443"/>
      <c r="AP1257" s="443"/>
      <c r="AQ1257" s="443"/>
      <c r="AR1257" s="443"/>
      <c r="AS1257" s="443"/>
      <c r="AT1257" s="443"/>
      <c r="AU1257" s="443"/>
      <c r="AV1257" s="443"/>
      <c r="AW1257" s="443"/>
      <c r="AX1257" s="443"/>
      <c r="AY1257" s="443"/>
      <c r="AZ1257" s="443"/>
      <c r="BA1257" s="443"/>
      <c r="BB1257" s="443"/>
      <c r="BC1257" s="443"/>
      <c r="BD1257" s="443"/>
      <c r="BE1257" s="443"/>
    </row>
    <row r="1258">
      <c r="A1258" s="445" t="str">
        <f t="shared" si="5"/>
        <v/>
      </c>
      <c r="B1258" s="443"/>
      <c r="C1258" s="443"/>
      <c r="D1258" s="462"/>
      <c r="E1258" s="436" t="str">
        <f t="array" ref="E1258">IF(B1258=0,"",(J1258+K1258)/60)</f>
        <v/>
      </c>
      <c r="F1258" s="437" t="str">
        <f t="shared" si="1"/>
        <v/>
      </c>
      <c r="G1258" s="438" t="str">
        <f t="shared" si="9"/>
        <v/>
      </c>
      <c r="H1258" s="438" t="str">
        <f t="shared" si="3"/>
        <v/>
      </c>
      <c r="I1258" s="436" t="str">
        <f t="shared" si="11"/>
        <v/>
      </c>
      <c r="J1258" s="464"/>
      <c r="K1258" s="464"/>
      <c r="L1258" s="443"/>
      <c r="M1258" s="443"/>
      <c r="N1258" s="443"/>
      <c r="O1258" s="443"/>
      <c r="P1258" s="443"/>
      <c r="Q1258" s="443"/>
      <c r="R1258" s="443"/>
      <c r="S1258" s="443"/>
      <c r="T1258" s="443"/>
      <c r="U1258" s="443"/>
      <c r="V1258" s="443"/>
      <c r="W1258" s="443"/>
      <c r="X1258" s="443"/>
      <c r="Y1258" s="443"/>
      <c r="Z1258" s="443"/>
      <c r="AA1258" s="443"/>
      <c r="AB1258" s="443"/>
      <c r="AC1258" s="443"/>
      <c r="AD1258" s="443"/>
      <c r="AE1258" s="443"/>
      <c r="AF1258" s="443"/>
      <c r="AG1258" s="443" t="s">
        <v>289</v>
      </c>
      <c r="AH1258" s="443" t="s">
        <v>289</v>
      </c>
      <c r="AI1258" s="443"/>
      <c r="AJ1258" s="443"/>
      <c r="AK1258" s="443"/>
      <c r="AL1258" s="443"/>
      <c r="AM1258" s="443"/>
      <c r="AN1258" s="443"/>
      <c r="AO1258" s="443"/>
      <c r="AP1258" s="443"/>
      <c r="AQ1258" s="443"/>
      <c r="AR1258" s="443"/>
      <c r="AS1258" s="443"/>
      <c r="AT1258" s="443"/>
      <c r="AU1258" s="443"/>
      <c r="AV1258" s="443"/>
      <c r="AW1258" s="443"/>
      <c r="AX1258" s="443"/>
      <c r="AY1258" s="443"/>
      <c r="AZ1258" s="443"/>
      <c r="BA1258" s="443"/>
      <c r="BB1258" s="443"/>
      <c r="BC1258" s="443"/>
      <c r="BD1258" s="443"/>
      <c r="BE1258" s="443"/>
    </row>
    <row r="1259">
      <c r="A1259" s="445" t="str">
        <f t="shared" si="5"/>
        <v/>
      </c>
      <c r="B1259" s="443"/>
      <c r="C1259" s="443"/>
      <c r="D1259" s="462"/>
      <c r="E1259" s="436" t="str">
        <f t="array" ref="E1259">IF(B1259=0,"",(J1259+K1259)/60)</f>
        <v/>
      </c>
      <c r="F1259" s="437" t="str">
        <f t="shared" si="1"/>
        <v/>
      </c>
      <c r="G1259" s="438" t="str">
        <f t="shared" si="9"/>
        <v/>
      </c>
      <c r="H1259" s="438" t="str">
        <f t="shared" si="3"/>
        <v/>
      </c>
      <c r="I1259" s="436" t="str">
        <f t="shared" si="11"/>
        <v/>
      </c>
      <c r="J1259" s="464"/>
      <c r="K1259" s="464"/>
      <c r="L1259" s="443"/>
      <c r="M1259" s="443"/>
      <c r="N1259" s="443"/>
      <c r="O1259" s="443"/>
      <c r="P1259" s="443"/>
      <c r="Q1259" s="443"/>
      <c r="R1259" s="443"/>
      <c r="S1259" s="443"/>
      <c r="T1259" s="443"/>
      <c r="U1259" s="443"/>
      <c r="V1259" s="443"/>
      <c r="W1259" s="443"/>
      <c r="X1259" s="443"/>
      <c r="Y1259" s="443"/>
      <c r="Z1259" s="443"/>
      <c r="AA1259" s="443"/>
      <c r="AB1259" s="443"/>
      <c r="AC1259" s="443"/>
      <c r="AD1259" s="443"/>
      <c r="AE1259" s="443"/>
      <c r="AF1259" s="443"/>
      <c r="AG1259" s="443" t="s">
        <v>289</v>
      </c>
      <c r="AH1259" s="443" t="s">
        <v>289</v>
      </c>
      <c r="AI1259" s="443"/>
      <c r="AJ1259" s="443"/>
      <c r="AK1259" s="443"/>
      <c r="AL1259" s="443"/>
      <c r="AM1259" s="443"/>
      <c r="AN1259" s="443"/>
      <c r="AO1259" s="443"/>
      <c r="AP1259" s="443"/>
      <c r="AQ1259" s="443"/>
      <c r="AR1259" s="443"/>
      <c r="AS1259" s="443"/>
      <c r="AT1259" s="443"/>
      <c r="AU1259" s="443"/>
      <c r="AV1259" s="443"/>
      <c r="AW1259" s="443"/>
      <c r="AX1259" s="443"/>
      <c r="AY1259" s="443"/>
      <c r="AZ1259" s="443"/>
      <c r="BA1259" s="443"/>
      <c r="BB1259" s="443"/>
      <c r="BC1259" s="443"/>
      <c r="BD1259" s="443"/>
      <c r="BE1259" s="443"/>
    </row>
    <row r="1260">
      <c r="A1260" s="445" t="str">
        <f t="shared" si="5"/>
        <v/>
      </c>
      <c r="B1260" s="443"/>
      <c r="C1260" s="443"/>
      <c r="D1260" s="462"/>
      <c r="E1260" s="436" t="str">
        <f t="array" ref="E1260">IF(B1260=0,"",(J1260+K1260)/60)</f>
        <v/>
      </c>
      <c r="F1260" s="437" t="str">
        <f t="shared" si="1"/>
        <v/>
      </c>
      <c r="G1260" s="438" t="str">
        <f t="shared" si="9"/>
        <v/>
      </c>
      <c r="H1260" s="438" t="str">
        <f t="shared" si="3"/>
        <v/>
      </c>
      <c r="I1260" s="436" t="str">
        <f t="shared" si="11"/>
        <v/>
      </c>
      <c r="J1260" s="464"/>
      <c r="K1260" s="464"/>
      <c r="L1260" s="443"/>
      <c r="M1260" s="443"/>
      <c r="N1260" s="443"/>
      <c r="O1260" s="443"/>
      <c r="P1260" s="443"/>
      <c r="Q1260" s="443"/>
      <c r="R1260" s="443"/>
      <c r="S1260" s="443"/>
      <c r="T1260" s="443"/>
      <c r="U1260" s="443"/>
      <c r="V1260" s="443"/>
      <c r="W1260" s="443"/>
      <c r="X1260" s="443"/>
      <c r="Y1260" s="443"/>
      <c r="Z1260" s="443"/>
      <c r="AA1260" s="443"/>
      <c r="AB1260" s="443"/>
      <c r="AC1260" s="443"/>
      <c r="AD1260" s="443"/>
      <c r="AE1260" s="443"/>
      <c r="AF1260" s="443"/>
      <c r="AG1260" s="443" t="s">
        <v>289</v>
      </c>
      <c r="AH1260" s="443" t="s">
        <v>289</v>
      </c>
      <c r="AI1260" s="443"/>
      <c r="AJ1260" s="443"/>
      <c r="AK1260" s="443"/>
      <c r="AL1260" s="443"/>
      <c r="AM1260" s="443"/>
      <c r="AN1260" s="443"/>
      <c r="AO1260" s="443"/>
      <c r="AP1260" s="443"/>
      <c r="AQ1260" s="443"/>
      <c r="AR1260" s="443"/>
      <c r="AS1260" s="443"/>
      <c r="AT1260" s="443"/>
      <c r="AU1260" s="443"/>
      <c r="AV1260" s="443"/>
      <c r="AW1260" s="443"/>
      <c r="AX1260" s="443"/>
      <c r="AY1260" s="443"/>
      <c r="AZ1260" s="443"/>
      <c r="BA1260" s="443"/>
      <c r="BB1260" s="443"/>
      <c r="BC1260" s="443"/>
      <c r="BD1260" s="443"/>
      <c r="BE1260" s="443"/>
    </row>
    <row r="1261">
      <c r="A1261" s="445" t="str">
        <f t="shared" si="5"/>
        <v/>
      </c>
      <c r="B1261" s="443"/>
      <c r="C1261" s="443"/>
      <c r="D1261" s="462"/>
      <c r="E1261" s="436" t="str">
        <f t="array" ref="E1261">IF(B1261=0,"",(J1261+K1261)/60)</f>
        <v/>
      </c>
      <c r="F1261" s="437" t="str">
        <f t="shared" si="1"/>
        <v/>
      </c>
      <c r="G1261" s="438" t="str">
        <f t="shared" si="9"/>
        <v/>
      </c>
      <c r="H1261" s="438" t="str">
        <f t="shared" si="3"/>
        <v/>
      </c>
      <c r="I1261" s="436" t="str">
        <f t="shared" si="11"/>
        <v/>
      </c>
      <c r="J1261" s="464"/>
      <c r="K1261" s="464"/>
      <c r="L1261" s="443"/>
      <c r="M1261" s="443"/>
      <c r="N1261" s="443"/>
      <c r="O1261" s="443"/>
      <c r="P1261" s="443"/>
      <c r="Q1261" s="443"/>
      <c r="R1261" s="443"/>
      <c r="S1261" s="443"/>
      <c r="T1261" s="443"/>
      <c r="U1261" s="443"/>
      <c r="V1261" s="443"/>
      <c r="W1261" s="443"/>
      <c r="X1261" s="443"/>
      <c r="Y1261" s="443"/>
      <c r="Z1261" s="443"/>
      <c r="AA1261" s="443"/>
      <c r="AB1261" s="443"/>
      <c r="AC1261" s="443"/>
      <c r="AD1261" s="443"/>
      <c r="AE1261" s="443"/>
      <c r="AF1261" s="443"/>
      <c r="AG1261" s="443" t="s">
        <v>289</v>
      </c>
      <c r="AH1261" s="443" t="s">
        <v>289</v>
      </c>
      <c r="AI1261" s="443"/>
      <c r="AJ1261" s="443"/>
      <c r="AK1261" s="443"/>
      <c r="AL1261" s="443"/>
      <c r="AM1261" s="443"/>
      <c r="AN1261" s="443"/>
      <c r="AO1261" s="443"/>
      <c r="AP1261" s="443"/>
      <c r="AQ1261" s="443"/>
      <c r="AR1261" s="443"/>
      <c r="AS1261" s="443"/>
      <c r="AT1261" s="443"/>
      <c r="AU1261" s="443"/>
      <c r="AV1261" s="443"/>
      <c r="AW1261" s="443"/>
      <c r="AX1261" s="443"/>
      <c r="AY1261" s="443"/>
      <c r="AZ1261" s="443"/>
      <c r="BA1261" s="443"/>
      <c r="BB1261" s="443"/>
      <c r="BC1261" s="443"/>
      <c r="BD1261" s="443"/>
      <c r="BE1261" s="443"/>
    </row>
    <row r="1262">
      <c r="A1262" s="445" t="str">
        <f t="shared" si="5"/>
        <v/>
      </c>
      <c r="B1262" s="443"/>
      <c r="C1262" s="443"/>
      <c r="D1262" s="462"/>
      <c r="E1262" s="436" t="str">
        <f t="array" ref="E1262">IF(B1262=0,"",(J1262+K1262)/60)</f>
        <v/>
      </c>
      <c r="F1262" s="437" t="str">
        <f t="shared" si="1"/>
        <v/>
      </c>
      <c r="G1262" s="438" t="str">
        <f t="shared" si="9"/>
        <v/>
      </c>
      <c r="H1262" s="438" t="str">
        <f t="shared" si="3"/>
        <v/>
      </c>
      <c r="I1262" s="436" t="str">
        <f t="shared" si="11"/>
        <v/>
      </c>
      <c r="J1262" s="464"/>
      <c r="K1262" s="464"/>
      <c r="L1262" s="443"/>
      <c r="M1262" s="443"/>
      <c r="N1262" s="443"/>
      <c r="O1262" s="443"/>
      <c r="P1262" s="443"/>
      <c r="Q1262" s="443"/>
      <c r="R1262" s="443"/>
      <c r="S1262" s="443"/>
      <c r="T1262" s="443"/>
      <c r="U1262" s="443"/>
      <c r="V1262" s="443"/>
      <c r="W1262" s="443"/>
      <c r="X1262" s="443"/>
      <c r="Y1262" s="443"/>
      <c r="Z1262" s="443"/>
      <c r="AA1262" s="443"/>
      <c r="AB1262" s="443"/>
      <c r="AC1262" s="443"/>
      <c r="AD1262" s="443"/>
      <c r="AE1262" s="443"/>
      <c r="AF1262" s="443"/>
      <c r="AG1262" s="443" t="s">
        <v>289</v>
      </c>
      <c r="AH1262" s="443" t="s">
        <v>289</v>
      </c>
      <c r="AI1262" s="443"/>
      <c r="AJ1262" s="443"/>
      <c r="AK1262" s="443"/>
      <c r="AL1262" s="443"/>
      <c r="AM1262" s="443"/>
      <c r="AN1262" s="443"/>
      <c r="AO1262" s="443"/>
      <c r="AP1262" s="443"/>
      <c r="AQ1262" s="443"/>
      <c r="AR1262" s="443"/>
      <c r="AS1262" s="443"/>
      <c r="AT1262" s="443"/>
      <c r="AU1262" s="443"/>
      <c r="AV1262" s="443"/>
      <c r="AW1262" s="443"/>
      <c r="AX1262" s="443"/>
      <c r="AY1262" s="443"/>
      <c r="AZ1262" s="443"/>
      <c r="BA1262" s="443"/>
      <c r="BB1262" s="443"/>
      <c r="BC1262" s="443"/>
      <c r="BD1262" s="443"/>
      <c r="BE1262" s="443"/>
    </row>
    <row r="1263">
      <c r="A1263" s="445" t="str">
        <f t="shared" si="5"/>
        <v/>
      </c>
      <c r="B1263" s="443"/>
      <c r="C1263" s="443"/>
      <c r="D1263" s="462"/>
      <c r="E1263" s="436" t="str">
        <f t="array" ref="E1263">IF(B1263=0,"",(J1263+K1263)/60)</f>
        <v/>
      </c>
      <c r="F1263" s="437" t="str">
        <f t="shared" si="1"/>
        <v/>
      </c>
      <c r="G1263" s="438" t="str">
        <f t="shared" si="9"/>
        <v/>
      </c>
      <c r="H1263" s="438" t="str">
        <f t="shared" si="3"/>
        <v/>
      </c>
      <c r="I1263" s="436" t="str">
        <f t="shared" si="11"/>
        <v/>
      </c>
      <c r="J1263" s="464"/>
      <c r="K1263" s="464"/>
      <c r="L1263" s="443"/>
      <c r="M1263" s="443"/>
      <c r="N1263" s="443"/>
      <c r="O1263" s="443"/>
      <c r="P1263" s="443"/>
      <c r="Q1263" s="443"/>
      <c r="R1263" s="443"/>
      <c r="S1263" s="443"/>
      <c r="T1263" s="443"/>
      <c r="U1263" s="443"/>
      <c r="V1263" s="443"/>
      <c r="W1263" s="443"/>
      <c r="X1263" s="443"/>
      <c r="Y1263" s="443"/>
      <c r="Z1263" s="443"/>
      <c r="AA1263" s="443"/>
      <c r="AB1263" s="443"/>
      <c r="AC1263" s="443"/>
      <c r="AD1263" s="443"/>
      <c r="AE1263" s="443"/>
      <c r="AF1263" s="443"/>
      <c r="AG1263" s="443" t="s">
        <v>289</v>
      </c>
      <c r="AH1263" s="443" t="s">
        <v>289</v>
      </c>
      <c r="AI1263" s="443"/>
      <c r="AJ1263" s="443"/>
      <c r="AK1263" s="443"/>
      <c r="AL1263" s="443"/>
      <c r="AM1263" s="443"/>
      <c r="AN1263" s="443"/>
      <c r="AO1263" s="443"/>
      <c r="AP1263" s="443"/>
      <c r="AQ1263" s="443"/>
      <c r="AR1263" s="443"/>
      <c r="AS1263" s="443"/>
      <c r="AT1263" s="443"/>
      <c r="AU1263" s="443"/>
      <c r="AV1263" s="443"/>
      <c r="AW1263" s="443"/>
      <c r="AX1263" s="443"/>
      <c r="AY1263" s="443"/>
      <c r="AZ1263" s="443"/>
      <c r="BA1263" s="443"/>
      <c r="BB1263" s="443"/>
      <c r="BC1263" s="443"/>
      <c r="BD1263" s="443"/>
      <c r="BE1263" s="443"/>
    </row>
    <row r="1264">
      <c r="A1264" s="445" t="str">
        <f t="shared" si="5"/>
        <v/>
      </c>
      <c r="B1264" s="443"/>
      <c r="C1264" s="443"/>
      <c r="D1264" s="462"/>
      <c r="E1264" s="436" t="str">
        <f t="array" ref="E1264">IF(B1264=0,"",(J1264+K1264)/60)</f>
        <v/>
      </c>
      <c r="F1264" s="437" t="str">
        <f t="shared" si="1"/>
        <v/>
      </c>
      <c r="G1264" s="438" t="str">
        <f t="shared" si="9"/>
        <v/>
      </c>
      <c r="H1264" s="438" t="str">
        <f t="shared" si="3"/>
        <v/>
      </c>
      <c r="I1264" s="436" t="str">
        <f t="shared" si="11"/>
        <v/>
      </c>
      <c r="J1264" s="464"/>
      <c r="K1264" s="464"/>
      <c r="L1264" s="443"/>
      <c r="M1264" s="443"/>
      <c r="N1264" s="443"/>
      <c r="O1264" s="443"/>
      <c r="P1264" s="443"/>
      <c r="Q1264" s="443"/>
      <c r="R1264" s="443"/>
      <c r="S1264" s="443"/>
      <c r="T1264" s="443"/>
      <c r="U1264" s="443"/>
      <c r="V1264" s="443"/>
      <c r="W1264" s="443"/>
      <c r="X1264" s="443"/>
      <c r="Y1264" s="443"/>
      <c r="Z1264" s="443"/>
      <c r="AA1264" s="443"/>
      <c r="AB1264" s="443"/>
      <c r="AC1264" s="443"/>
      <c r="AD1264" s="443"/>
      <c r="AE1264" s="443"/>
      <c r="AF1264" s="443"/>
      <c r="AG1264" s="443" t="s">
        <v>289</v>
      </c>
      <c r="AH1264" s="443" t="s">
        <v>289</v>
      </c>
      <c r="AI1264" s="443"/>
      <c r="AJ1264" s="443"/>
      <c r="AK1264" s="443"/>
      <c r="AL1264" s="443"/>
      <c r="AM1264" s="443"/>
      <c r="AN1264" s="443"/>
      <c r="AO1264" s="443"/>
      <c r="AP1264" s="443"/>
      <c r="AQ1264" s="443"/>
      <c r="AR1264" s="443"/>
      <c r="AS1264" s="443"/>
      <c r="AT1264" s="443"/>
      <c r="AU1264" s="443"/>
      <c r="AV1264" s="443"/>
      <c r="AW1264" s="443"/>
      <c r="AX1264" s="443"/>
      <c r="AY1264" s="443"/>
      <c r="AZ1264" s="443"/>
      <c r="BA1264" s="443"/>
      <c r="BB1264" s="443"/>
      <c r="BC1264" s="443"/>
      <c r="BD1264" s="443"/>
      <c r="BE1264" s="443"/>
    </row>
    <row r="1265">
      <c r="A1265" s="445" t="str">
        <f t="shared" si="5"/>
        <v/>
      </c>
      <c r="B1265" s="443"/>
      <c r="C1265" s="443"/>
      <c r="D1265" s="462"/>
      <c r="E1265" s="436" t="str">
        <f t="array" ref="E1265">IF(B1265=0,"",(J1265+K1265)/60)</f>
        <v/>
      </c>
      <c r="F1265" s="437" t="str">
        <f t="shared" si="1"/>
        <v/>
      </c>
      <c r="G1265" s="438" t="str">
        <f t="shared" si="9"/>
        <v/>
      </c>
      <c r="H1265" s="438" t="str">
        <f t="shared" si="3"/>
        <v/>
      </c>
      <c r="I1265" s="436" t="str">
        <f t="shared" si="11"/>
        <v/>
      </c>
      <c r="J1265" s="464"/>
      <c r="K1265" s="464"/>
      <c r="L1265" s="443"/>
      <c r="M1265" s="443"/>
      <c r="N1265" s="443"/>
      <c r="O1265" s="443"/>
      <c r="P1265" s="443"/>
      <c r="Q1265" s="443"/>
      <c r="R1265" s="443"/>
      <c r="S1265" s="443"/>
      <c r="T1265" s="443"/>
      <c r="U1265" s="443"/>
      <c r="V1265" s="443"/>
      <c r="W1265" s="443"/>
      <c r="X1265" s="443"/>
      <c r="Y1265" s="443"/>
      <c r="Z1265" s="443"/>
      <c r="AA1265" s="443"/>
      <c r="AB1265" s="443"/>
      <c r="AC1265" s="443"/>
      <c r="AD1265" s="443"/>
      <c r="AE1265" s="443"/>
      <c r="AF1265" s="443"/>
      <c r="AG1265" s="443" t="s">
        <v>289</v>
      </c>
      <c r="AH1265" s="443" t="s">
        <v>289</v>
      </c>
      <c r="AI1265" s="443"/>
      <c r="AJ1265" s="443"/>
      <c r="AK1265" s="443"/>
      <c r="AL1265" s="443"/>
      <c r="AM1265" s="443"/>
      <c r="AN1265" s="443"/>
      <c r="AO1265" s="443"/>
      <c r="AP1265" s="443"/>
      <c r="AQ1265" s="443"/>
      <c r="AR1265" s="443"/>
      <c r="AS1265" s="443"/>
      <c r="AT1265" s="443"/>
      <c r="AU1265" s="443"/>
      <c r="AV1265" s="443"/>
      <c r="AW1265" s="443"/>
      <c r="AX1265" s="443"/>
      <c r="AY1265" s="443"/>
      <c r="AZ1265" s="443"/>
      <c r="BA1265" s="443"/>
      <c r="BB1265" s="443"/>
      <c r="BC1265" s="443"/>
      <c r="BD1265" s="443"/>
      <c r="BE1265" s="443"/>
    </row>
    <row r="1266">
      <c r="A1266" s="445" t="str">
        <f t="shared" si="5"/>
        <v/>
      </c>
      <c r="B1266" s="443"/>
      <c r="C1266" s="443"/>
      <c r="D1266" s="462"/>
      <c r="E1266" s="436" t="str">
        <f t="array" ref="E1266">IF(B1266=0,"",(J1266+K1266)/60)</f>
        <v/>
      </c>
      <c r="F1266" s="437" t="str">
        <f t="shared" si="1"/>
        <v/>
      </c>
      <c r="G1266" s="438" t="str">
        <f t="shared" si="9"/>
        <v/>
      </c>
      <c r="H1266" s="438" t="str">
        <f t="shared" si="3"/>
        <v/>
      </c>
      <c r="I1266" s="436" t="str">
        <f t="shared" si="11"/>
        <v/>
      </c>
      <c r="J1266" s="464"/>
      <c r="K1266" s="464"/>
      <c r="L1266" s="443"/>
      <c r="M1266" s="443"/>
      <c r="N1266" s="443"/>
      <c r="O1266" s="443"/>
      <c r="P1266" s="443"/>
      <c r="Q1266" s="443"/>
      <c r="R1266" s="443"/>
      <c r="S1266" s="443"/>
      <c r="T1266" s="443"/>
      <c r="U1266" s="443"/>
      <c r="V1266" s="443"/>
      <c r="W1266" s="443"/>
      <c r="X1266" s="443"/>
      <c r="Y1266" s="443"/>
      <c r="Z1266" s="443"/>
      <c r="AA1266" s="443"/>
      <c r="AB1266" s="443"/>
      <c r="AC1266" s="443"/>
      <c r="AD1266" s="443"/>
      <c r="AE1266" s="443"/>
      <c r="AF1266" s="443"/>
      <c r="AG1266" s="443" t="s">
        <v>289</v>
      </c>
      <c r="AH1266" s="443" t="s">
        <v>289</v>
      </c>
      <c r="AI1266" s="443"/>
      <c r="AJ1266" s="443"/>
      <c r="AK1266" s="443"/>
      <c r="AL1266" s="443"/>
      <c r="AM1266" s="443"/>
      <c r="AN1266" s="443"/>
      <c r="AO1266" s="443"/>
      <c r="AP1266" s="443"/>
      <c r="AQ1266" s="443"/>
      <c r="AR1266" s="443"/>
      <c r="AS1266" s="443"/>
      <c r="AT1266" s="443"/>
      <c r="AU1266" s="443"/>
      <c r="AV1266" s="443"/>
      <c r="AW1266" s="443"/>
      <c r="AX1266" s="443"/>
      <c r="AY1266" s="443"/>
      <c r="AZ1266" s="443"/>
      <c r="BA1266" s="443"/>
      <c r="BB1266" s="443"/>
      <c r="BC1266" s="443"/>
      <c r="BD1266" s="443"/>
      <c r="BE1266" s="443"/>
    </row>
    <row r="1267">
      <c r="A1267" s="445" t="str">
        <f t="shared" si="5"/>
        <v/>
      </c>
      <c r="B1267" s="443"/>
      <c r="C1267" s="443"/>
      <c r="D1267" s="462"/>
      <c r="E1267" s="436" t="str">
        <f t="array" ref="E1267">IF(B1267=0,"",(J1267+K1267)/60)</f>
        <v/>
      </c>
      <c r="F1267" s="437" t="str">
        <f t="shared" si="1"/>
        <v/>
      </c>
      <c r="G1267" s="438" t="str">
        <f t="shared" si="9"/>
        <v/>
      </c>
      <c r="H1267" s="438" t="str">
        <f t="shared" si="3"/>
        <v/>
      </c>
      <c r="I1267" s="436" t="str">
        <f t="shared" si="11"/>
        <v/>
      </c>
      <c r="J1267" s="464"/>
      <c r="K1267" s="464"/>
      <c r="L1267" s="443"/>
      <c r="M1267" s="443"/>
      <c r="N1267" s="443"/>
      <c r="O1267" s="443"/>
      <c r="P1267" s="443"/>
      <c r="Q1267" s="443"/>
      <c r="R1267" s="443"/>
      <c r="S1267" s="443"/>
      <c r="T1267" s="443"/>
      <c r="U1267" s="443"/>
      <c r="V1267" s="443"/>
      <c r="W1267" s="443"/>
      <c r="X1267" s="443"/>
      <c r="Y1267" s="443"/>
      <c r="Z1267" s="443"/>
      <c r="AA1267" s="443"/>
      <c r="AB1267" s="443"/>
      <c r="AC1267" s="443"/>
      <c r="AD1267" s="443"/>
      <c r="AE1267" s="443"/>
      <c r="AF1267" s="443"/>
      <c r="AG1267" s="443" t="s">
        <v>289</v>
      </c>
      <c r="AH1267" s="443" t="s">
        <v>289</v>
      </c>
      <c r="AI1267" s="443"/>
      <c r="AJ1267" s="443"/>
      <c r="AK1267" s="443"/>
      <c r="AL1267" s="443"/>
      <c r="AM1267" s="443"/>
      <c r="AN1267" s="443"/>
      <c r="AO1267" s="443"/>
      <c r="AP1267" s="443"/>
      <c r="AQ1267" s="443"/>
      <c r="AR1267" s="443"/>
      <c r="AS1267" s="443"/>
      <c r="AT1267" s="443"/>
      <c r="AU1267" s="443"/>
      <c r="AV1267" s="443"/>
      <c r="AW1267" s="443"/>
      <c r="AX1267" s="443"/>
      <c r="AY1267" s="443"/>
      <c r="AZ1267" s="443"/>
      <c r="BA1267" s="443"/>
      <c r="BB1267" s="443"/>
      <c r="BC1267" s="443"/>
      <c r="BD1267" s="443"/>
      <c r="BE1267" s="443"/>
    </row>
    <row r="1268">
      <c r="A1268" s="445" t="str">
        <f t="shared" si="5"/>
        <v/>
      </c>
      <c r="B1268" s="443"/>
      <c r="C1268" s="443"/>
      <c r="D1268" s="462"/>
      <c r="E1268" s="436" t="str">
        <f t="array" ref="E1268">IF(B1268=0,"",(J1268+K1268)/60)</f>
        <v/>
      </c>
      <c r="F1268" s="437" t="str">
        <f t="shared" si="1"/>
        <v/>
      </c>
      <c r="G1268" s="438" t="str">
        <f t="shared" si="9"/>
        <v/>
      </c>
      <c r="H1268" s="438" t="str">
        <f t="shared" si="3"/>
        <v/>
      </c>
      <c r="I1268" s="436" t="str">
        <f t="shared" si="11"/>
        <v/>
      </c>
      <c r="J1268" s="464"/>
      <c r="K1268" s="464"/>
      <c r="L1268" s="443"/>
      <c r="M1268" s="443"/>
      <c r="N1268" s="443"/>
      <c r="O1268" s="443"/>
      <c r="P1268" s="443"/>
      <c r="Q1268" s="443"/>
      <c r="R1268" s="443"/>
      <c r="S1268" s="443"/>
      <c r="T1268" s="443"/>
      <c r="U1268" s="443"/>
      <c r="V1268" s="443"/>
      <c r="W1268" s="443"/>
      <c r="X1268" s="443"/>
      <c r="Y1268" s="443"/>
      <c r="Z1268" s="443"/>
      <c r="AA1268" s="443"/>
      <c r="AB1268" s="443"/>
      <c r="AC1268" s="443"/>
      <c r="AD1268" s="443"/>
      <c r="AE1268" s="443"/>
      <c r="AF1268" s="443"/>
      <c r="AG1268" s="443" t="s">
        <v>289</v>
      </c>
      <c r="AH1268" s="443" t="s">
        <v>289</v>
      </c>
      <c r="AI1268" s="443"/>
      <c r="AJ1268" s="443"/>
      <c r="AK1268" s="443"/>
      <c r="AL1268" s="443"/>
      <c r="AM1268" s="443"/>
      <c r="AN1268" s="443"/>
      <c r="AO1268" s="443"/>
      <c r="AP1268" s="443"/>
      <c r="AQ1268" s="443"/>
      <c r="AR1268" s="443"/>
      <c r="AS1268" s="443"/>
      <c r="AT1268" s="443"/>
      <c r="AU1268" s="443"/>
      <c r="AV1268" s="443"/>
      <c r="AW1268" s="443"/>
      <c r="AX1268" s="443"/>
      <c r="AY1268" s="443"/>
      <c r="AZ1268" s="443"/>
      <c r="BA1268" s="443"/>
      <c r="BB1268" s="443"/>
      <c r="BC1268" s="443"/>
      <c r="BD1268" s="443"/>
      <c r="BE1268" s="443"/>
    </row>
    <row r="1269">
      <c r="A1269" s="445" t="str">
        <f t="shared" si="5"/>
        <v/>
      </c>
      <c r="B1269" s="443"/>
      <c r="C1269" s="443"/>
      <c r="D1269" s="462"/>
      <c r="E1269" s="436" t="str">
        <f t="array" ref="E1269">IF(B1269=0,"",(J1269+K1269)/60)</f>
        <v/>
      </c>
      <c r="F1269" s="437" t="str">
        <f t="shared" si="1"/>
        <v/>
      </c>
      <c r="G1269" s="438" t="str">
        <f t="shared" si="9"/>
        <v/>
      </c>
      <c r="H1269" s="438" t="str">
        <f t="shared" si="3"/>
        <v/>
      </c>
      <c r="I1269" s="436" t="str">
        <f t="shared" si="11"/>
        <v/>
      </c>
      <c r="J1269" s="464"/>
      <c r="K1269" s="464"/>
      <c r="L1269" s="443"/>
      <c r="M1269" s="443"/>
      <c r="N1269" s="443"/>
      <c r="O1269" s="443"/>
      <c r="P1269" s="443"/>
      <c r="Q1269" s="443"/>
      <c r="R1269" s="443"/>
      <c r="S1269" s="443"/>
      <c r="T1269" s="443"/>
      <c r="U1269" s="443"/>
      <c r="V1269" s="443"/>
      <c r="W1269" s="443"/>
      <c r="X1269" s="443"/>
      <c r="Y1269" s="443"/>
      <c r="Z1269" s="443"/>
      <c r="AA1269" s="443"/>
      <c r="AB1269" s="443"/>
      <c r="AC1269" s="443"/>
      <c r="AD1269" s="443"/>
      <c r="AE1269" s="443"/>
      <c r="AF1269" s="443"/>
      <c r="AG1269" s="443" t="s">
        <v>289</v>
      </c>
      <c r="AH1269" s="443" t="s">
        <v>289</v>
      </c>
      <c r="AI1269" s="443"/>
      <c r="AJ1269" s="443"/>
      <c r="AK1269" s="443"/>
      <c r="AL1269" s="443"/>
      <c r="AM1269" s="443"/>
      <c r="AN1269" s="443"/>
      <c r="AO1269" s="443"/>
      <c r="AP1269" s="443"/>
      <c r="AQ1269" s="443"/>
      <c r="AR1269" s="443"/>
      <c r="AS1269" s="443"/>
      <c r="AT1269" s="443"/>
      <c r="AU1269" s="443"/>
      <c r="AV1269" s="443"/>
      <c r="AW1269" s="443"/>
      <c r="AX1269" s="443"/>
      <c r="AY1269" s="443"/>
      <c r="AZ1269" s="443"/>
      <c r="BA1269" s="443"/>
      <c r="BB1269" s="443"/>
      <c r="BC1269" s="443"/>
      <c r="BD1269" s="443"/>
      <c r="BE1269" s="443"/>
    </row>
    <row r="1270">
      <c r="A1270" s="445" t="str">
        <f t="shared" si="5"/>
        <v/>
      </c>
      <c r="B1270" s="443"/>
      <c r="C1270" s="443"/>
      <c r="D1270" s="462"/>
      <c r="E1270" s="436" t="str">
        <f t="array" ref="E1270">IF(B1270=0,"",(J1270+K1270)/60)</f>
        <v/>
      </c>
      <c r="F1270" s="437" t="str">
        <f t="shared" si="1"/>
        <v/>
      </c>
      <c r="G1270" s="438" t="str">
        <f t="shared" si="9"/>
        <v/>
      </c>
      <c r="H1270" s="438" t="str">
        <f t="shared" si="3"/>
        <v/>
      </c>
      <c r="I1270" s="436" t="str">
        <f t="shared" si="11"/>
        <v/>
      </c>
      <c r="J1270" s="464"/>
      <c r="K1270" s="464"/>
      <c r="L1270" s="443"/>
      <c r="M1270" s="443"/>
      <c r="N1270" s="443"/>
      <c r="O1270" s="443"/>
      <c r="P1270" s="443"/>
      <c r="Q1270" s="443"/>
      <c r="R1270" s="443"/>
      <c r="S1270" s="443"/>
      <c r="T1270" s="443"/>
      <c r="U1270" s="443"/>
      <c r="V1270" s="443"/>
      <c r="W1270" s="443"/>
      <c r="X1270" s="443"/>
      <c r="Y1270" s="443"/>
      <c r="Z1270" s="443"/>
      <c r="AA1270" s="443"/>
      <c r="AB1270" s="443"/>
      <c r="AC1270" s="443"/>
      <c r="AD1270" s="443"/>
      <c r="AE1270" s="443"/>
      <c r="AF1270" s="443"/>
      <c r="AG1270" s="443" t="s">
        <v>289</v>
      </c>
      <c r="AH1270" s="443" t="s">
        <v>289</v>
      </c>
      <c r="AI1270" s="443"/>
      <c r="AJ1270" s="443"/>
      <c r="AK1270" s="443"/>
      <c r="AL1270" s="443"/>
      <c r="AM1270" s="443"/>
      <c r="AN1270" s="443"/>
      <c r="AO1270" s="443"/>
      <c r="AP1270" s="443"/>
      <c r="AQ1270" s="443"/>
      <c r="AR1270" s="443"/>
      <c r="AS1270" s="443"/>
      <c r="AT1270" s="443"/>
      <c r="AU1270" s="443"/>
      <c r="AV1270" s="443"/>
      <c r="AW1270" s="443"/>
      <c r="AX1270" s="443"/>
      <c r="AY1270" s="443"/>
      <c r="AZ1270" s="443"/>
      <c r="BA1270" s="443"/>
      <c r="BB1270" s="443"/>
      <c r="BC1270" s="443"/>
      <c r="BD1270" s="443"/>
      <c r="BE1270" s="443"/>
    </row>
    <row r="1271">
      <c r="A1271" s="445" t="str">
        <f t="shared" si="5"/>
        <v/>
      </c>
      <c r="B1271" s="443"/>
      <c r="C1271" s="443"/>
      <c r="D1271" s="462"/>
      <c r="E1271" s="436" t="str">
        <f t="array" ref="E1271">IF(B1271=0,"",(J1271+K1271)/60)</f>
        <v/>
      </c>
      <c r="F1271" s="437" t="str">
        <f t="shared" si="1"/>
        <v/>
      </c>
      <c r="G1271" s="438" t="str">
        <f t="shared" si="9"/>
        <v/>
      </c>
      <c r="H1271" s="438" t="str">
        <f t="shared" si="3"/>
        <v/>
      </c>
      <c r="I1271" s="436" t="str">
        <f t="shared" si="11"/>
        <v/>
      </c>
      <c r="J1271" s="464"/>
      <c r="K1271" s="464"/>
      <c r="L1271" s="443"/>
      <c r="M1271" s="443"/>
      <c r="N1271" s="443"/>
      <c r="O1271" s="443"/>
      <c r="P1271" s="443"/>
      <c r="Q1271" s="443"/>
      <c r="R1271" s="443"/>
      <c r="S1271" s="443"/>
      <c r="T1271" s="443"/>
      <c r="U1271" s="443"/>
      <c r="V1271" s="443"/>
      <c r="W1271" s="443"/>
      <c r="X1271" s="443"/>
      <c r="Y1271" s="443"/>
      <c r="Z1271" s="443"/>
      <c r="AA1271" s="443"/>
      <c r="AB1271" s="443"/>
      <c r="AC1271" s="443"/>
      <c r="AD1271" s="443"/>
      <c r="AE1271" s="443"/>
      <c r="AF1271" s="443"/>
      <c r="AG1271" s="443" t="s">
        <v>289</v>
      </c>
      <c r="AH1271" s="443" t="s">
        <v>289</v>
      </c>
      <c r="AI1271" s="443"/>
      <c r="AJ1271" s="443"/>
      <c r="AK1271" s="443"/>
      <c r="AL1271" s="443"/>
      <c r="AM1271" s="443"/>
      <c r="AN1271" s="443"/>
      <c r="AO1271" s="443"/>
      <c r="AP1271" s="443"/>
      <c r="AQ1271" s="443"/>
      <c r="AR1271" s="443"/>
      <c r="AS1271" s="443"/>
      <c r="AT1271" s="443"/>
      <c r="AU1271" s="443"/>
      <c r="AV1271" s="443"/>
      <c r="AW1271" s="443"/>
      <c r="AX1271" s="443"/>
      <c r="AY1271" s="443"/>
      <c r="AZ1271" s="443"/>
      <c r="BA1271" s="443"/>
      <c r="BB1271" s="443"/>
      <c r="BC1271" s="443"/>
      <c r="BD1271" s="443"/>
      <c r="BE1271" s="443"/>
    </row>
    <row r="1272">
      <c r="A1272" s="445" t="str">
        <f t="shared" si="5"/>
        <v/>
      </c>
      <c r="B1272" s="443"/>
      <c r="C1272" s="443"/>
      <c r="D1272" s="462"/>
      <c r="E1272" s="436" t="str">
        <f t="array" ref="E1272">IF(B1272=0,"",(J1272+K1272)/60)</f>
        <v/>
      </c>
      <c r="F1272" s="437" t="str">
        <f t="shared" si="1"/>
        <v/>
      </c>
      <c r="G1272" s="438" t="str">
        <f t="shared" si="9"/>
        <v/>
      </c>
      <c r="H1272" s="438" t="str">
        <f t="shared" si="3"/>
        <v/>
      </c>
      <c r="I1272" s="436" t="str">
        <f t="shared" si="11"/>
        <v/>
      </c>
      <c r="J1272" s="464"/>
      <c r="K1272" s="464"/>
      <c r="L1272" s="443"/>
      <c r="M1272" s="443"/>
      <c r="N1272" s="443"/>
      <c r="O1272" s="443"/>
      <c r="P1272" s="443"/>
      <c r="Q1272" s="443"/>
      <c r="R1272" s="443"/>
      <c r="S1272" s="443"/>
      <c r="T1272" s="443"/>
      <c r="U1272" s="443"/>
      <c r="V1272" s="443"/>
      <c r="W1272" s="443"/>
      <c r="X1272" s="443"/>
      <c r="Y1272" s="443"/>
      <c r="Z1272" s="443"/>
      <c r="AA1272" s="443"/>
      <c r="AB1272" s="443"/>
      <c r="AC1272" s="443"/>
      <c r="AD1272" s="443"/>
      <c r="AE1272" s="443"/>
      <c r="AF1272" s="443"/>
      <c r="AG1272" s="443" t="s">
        <v>289</v>
      </c>
      <c r="AH1272" s="443" t="s">
        <v>289</v>
      </c>
      <c r="AI1272" s="443"/>
      <c r="AJ1272" s="443"/>
      <c r="AK1272" s="443"/>
      <c r="AL1272" s="443"/>
      <c r="AM1272" s="443"/>
      <c r="AN1272" s="443"/>
      <c r="AO1272" s="443"/>
      <c r="AP1272" s="443"/>
      <c r="AQ1272" s="443"/>
      <c r="AR1272" s="443"/>
      <c r="AS1272" s="443"/>
      <c r="AT1272" s="443"/>
      <c r="AU1272" s="443"/>
      <c r="AV1272" s="443"/>
      <c r="AW1272" s="443"/>
      <c r="AX1272" s="443"/>
      <c r="AY1272" s="443"/>
      <c r="AZ1272" s="443"/>
      <c r="BA1272" s="443"/>
      <c r="BB1272" s="443"/>
      <c r="BC1272" s="443"/>
      <c r="BD1272" s="443"/>
      <c r="BE1272" s="443"/>
    </row>
    <row r="1273">
      <c r="A1273" s="445" t="str">
        <f t="shared" si="5"/>
        <v/>
      </c>
      <c r="B1273" s="443"/>
      <c r="C1273" s="443"/>
      <c r="D1273" s="462"/>
      <c r="E1273" s="436" t="str">
        <f t="array" ref="E1273">IF(B1273=0,"",(J1273+K1273)/60)</f>
        <v/>
      </c>
      <c r="F1273" s="437" t="str">
        <f t="shared" si="1"/>
        <v/>
      </c>
      <c r="G1273" s="438" t="str">
        <f t="shared" si="9"/>
        <v/>
      </c>
      <c r="H1273" s="438" t="str">
        <f t="shared" si="3"/>
        <v/>
      </c>
      <c r="I1273" s="436" t="str">
        <f t="shared" si="11"/>
        <v/>
      </c>
      <c r="J1273" s="464"/>
      <c r="K1273" s="464"/>
      <c r="L1273" s="443"/>
      <c r="M1273" s="443"/>
      <c r="N1273" s="443"/>
      <c r="O1273" s="443"/>
      <c r="P1273" s="443"/>
      <c r="Q1273" s="443"/>
      <c r="R1273" s="443"/>
      <c r="S1273" s="443"/>
      <c r="T1273" s="443"/>
      <c r="U1273" s="443"/>
      <c r="V1273" s="443"/>
      <c r="W1273" s="443"/>
      <c r="X1273" s="443"/>
      <c r="Y1273" s="443"/>
      <c r="Z1273" s="443"/>
      <c r="AA1273" s="443"/>
      <c r="AB1273" s="443"/>
      <c r="AC1273" s="443"/>
      <c r="AD1273" s="443"/>
      <c r="AE1273" s="443"/>
      <c r="AF1273" s="443"/>
      <c r="AG1273" s="443" t="s">
        <v>289</v>
      </c>
      <c r="AH1273" s="443" t="s">
        <v>289</v>
      </c>
      <c r="AI1273" s="443"/>
      <c r="AJ1273" s="443"/>
      <c r="AK1273" s="443"/>
      <c r="AL1273" s="443"/>
      <c r="AM1273" s="443"/>
      <c r="AN1273" s="443"/>
      <c r="AO1273" s="443"/>
      <c r="AP1273" s="443"/>
      <c r="AQ1273" s="443"/>
      <c r="AR1273" s="443"/>
      <c r="AS1273" s="443"/>
      <c r="AT1273" s="443"/>
      <c r="AU1273" s="443"/>
      <c r="AV1273" s="443"/>
      <c r="AW1273" s="443"/>
      <c r="AX1273" s="443"/>
      <c r="AY1273" s="443"/>
      <c r="AZ1273" s="443"/>
      <c r="BA1273" s="443"/>
      <c r="BB1273" s="443"/>
      <c r="BC1273" s="443"/>
      <c r="BD1273" s="443"/>
      <c r="BE1273" s="443"/>
    </row>
    <row r="1274">
      <c r="A1274" s="445" t="str">
        <f t="shared" si="5"/>
        <v/>
      </c>
      <c r="B1274" s="443"/>
      <c r="C1274" s="443"/>
      <c r="D1274" s="462"/>
      <c r="E1274" s="436" t="str">
        <f t="array" ref="E1274">IF(B1274=0,"",(J1274+K1274)/60)</f>
        <v/>
      </c>
      <c r="F1274" s="437" t="str">
        <f t="shared" si="1"/>
        <v/>
      </c>
      <c r="G1274" s="438" t="str">
        <f t="shared" si="9"/>
        <v/>
      </c>
      <c r="H1274" s="438" t="str">
        <f t="shared" si="3"/>
        <v/>
      </c>
      <c r="I1274" s="436" t="str">
        <f t="shared" si="11"/>
        <v/>
      </c>
      <c r="J1274" s="464"/>
      <c r="K1274" s="464"/>
      <c r="L1274" s="443"/>
      <c r="M1274" s="443"/>
      <c r="N1274" s="443"/>
      <c r="O1274" s="443"/>
      <c r="P1274" s="443"/>
      <c r="Q1274" s="443"/>
      <c r="R1274" s="443"/>
      <c r="S1274" s="443"/>
      <c r="T1274" s="443"/>
      <c r="U1274" s="443"/>
      <c r="V1274" s="443"/>
      <c r="W1274" s="443"/>
      <c r="X1274" s="443"/>
      <c r="Y1274" s="443"/>
      <c r="Z1274" s="443"/>
      <c r="AA1274" s="443"/>
      <c r="AB1274" s="443"/>
      <c r="AC1274" s="443"/>
      <c r="AD1274" s="443"/>
      <c r="AE1274" s="443"/>
      <c r="AF1274" s="443"/>
      <c r="AG1274" s="443" t="s">
        <v>289</v>
      </c>
      <c r="AH1274" s="443" t="s">
        <v>289</v>
      </c>
      <c r="AI1274" s="443"/>
      <c r="AJ1274" s="443"/>
      <c r="AK1274" s="443"/>
      <c r="AL1274" s="443"/>
      <c r="AM1274" s="443"/>
      <c r="AN1274" s="443"/>
      <c r="AO1274" s="443"/>
      <c r="AP1274" s="443"/>
      <c r="AQ1274" s="443"/>
      <c r="AR1274" s="443"/>
      <c r="AS1274" s="443"/>
      <c r="AT1274" s="443"/>
      <c r="AU1274" s="443"/>
      <c r="AV1274" s="443"/>
      <c r="AW1274" s="443"/>
      <c r="AX1274" s="443"/>
      <c r="AY1274" s="443"/>
      <c r="AZ1274" s="443"/>
      <c r="BA1274" s="443"/>
      <c r="BB1274" s="443"/>
      <c r="BC1274" s="443"/>
      <c r="BD1274" s="443"/>
      <c r="BE1274" s="443"/>
    </row>
    <row r="1275">
      <c r="A1275" s="445" t="str">
        <f t="shared" si="5"/>
        <v/>
      </c>
      <c r="B1275" s="443"/>
      <c r="C1275" s="443"/>
      <c r="D1275" s="462"/>
      <c r="E1275" s="436" t="str">
        <f t="array" ref="E1275">IF(B1275=0,"",(J1275+K1275)/60)</f>
        <v/>
      </c>
      <c r="F1275" s="437" t="str">
        <f t="shared" si="1"/>
        <v/>
      </c>
      <c r="G1275" s="438" t="str">
        <f t="shared" si="9"/>
        <v/>
      </c>
      <c r="H1275" s="438" t="str">
        <f t="shared" si="3"/>
        <v/>
      </c>
      <c r="I1275" s="436" t="str">
        <f t="shared" si="11"/>
        <v/>
      </c>
      <c r="J1275" s="464"/>
      <c r="K1275" s="464"/>
      <c r="L1275" s="443"/>
      <c r="M1275" s="443"/>
      <c r="N1275" s="443"/>
      <c r="O1275" s="443"/>
      <c r="P1275" s="443"/>
      <c r="Q1275" s="443"/>
      <c r="R1275" s="443"/>
      <c r="S1275" s="443"/>
      <c r="T1275" s="443"/>
      <c r="U1275" s="443"/>
      <c r="V1275" s="443"/>
      <c r="W1275" s="443"/>
      <c r="X1275" s="443"/>
      <c r="Y1275" s="443"/>
      <c r="Z1275" s="443"/>
      <c r="AA1275" s="443"/>
      <c r="AB1275" s="443"/>
      <c r="AC1275" s="443"/>
      <c r="AD1275" s="443"/>
      <c r="AE1275" s="443"/>
      <c r="AF1275" s="443"/>
      <c r="AG1275" s="443" t="s">
        <v>289</v>
      </c>
      <c r="AH1275" s="443" t="s">
        <v>289</v>
      </c>
      <c r="AI1275" s="443"/>
      <c r="AJ1275" s="443"/>
      <c r="AK1275" s="443"/>
      <c r="AL1275" s="443"/>
      <c r="AM1275" s="443"/>
      <c r="AN1275" s="443"/>
      <c r="AO1275" s="443"/>
      <c r="AP1275" s="443"/>
      <c r="AQ1275" s="443"/>
      <c r="AR1275" s="443"/>
      <c r="AS1275" s="443"/>
      <c r="AT1275" s="443"/>
      <c r="AU1275" s="443"/>
      <c r="AV1275" s="443"/>
      <c r="AW1275" s="443"/>
      <c r="AX1275" s="443"/>
      <c r="AY1275" s="443"/>
      <c r="AZ1275" s="443"/>
      <c r="BA1275" s="443"/>
      <c r="BB1275" s="443"/>
      <c r="BC1275" s="443"/>
      <c r="BD1275" s="443"/>
      <c r="BE1275" s="443"/>
    </row>
    <row r="1276">
      <c r="A1276" s="445" t="str">
        <f t="shared" si="5"/>
        <v/>
      </c>
      <c r="B1276" s="443"/>
      <c r="C1276" s="443"/>
      <c r="D1276" s="462"/>
      <c r="E1276" s="436" t="str">
        <f t="array" ref="E1276">IF(B1276=0,"",(J1276+K1276)/60)</f>
        <v/>
      </c>
      <c r="F1276" s="437" t="str">
        <f t="shared" si="1"/>
        <v/>
      </c>
      <c r="G1276" s="438" t="str">
        <f t="shared" si="9"/>
        <v/>
      </c>
      <c r="H1276" s="438" t="str">
        <f t="shared" si="3"/>
        <v/>
      </c>
      <c r="I1276" s="436" t="str">
        <f t="shared" si="11"/>
        <v/>
      </c>
      <c r="J1276" s="464"/>
      <c r="K1276" s="464"/>
      <c r="L1276" s="443"/>
      <c r="M1276" s="443"/>
      <c r="N1276" s="443"/>
      <c r="O1276" s="443"/>
      <c r="P1276" s="443"/>
      <c r="Q1276" s="443"/>
      <c r="R1276" s="443"/>
      <c r="S1276" s="443"/>
      <c r="T1276" s="443"/>
      <c r="U1276" s="443"/>
      <c r="V1276" s="443"/>
      <c r="W1276" s="443"/>
      <c r="X1276" s="443"/>
      <c r="Y1276" s="443"/>
      <c r="Z1276" s="443"/>
      <c r="AA1276" s="443"/>
      <c r="AB1276" s="443"/>
      <c r="AC1276" s="443"/>
      <c r="AD1276" s="443"/>
      <c r="AE1276" s="443"/>
      <c r="AF1276" s="443"/>
      <c r="AG1276" s="443" t="s">
        <v>289</v>
      </c>
      <c r="AH1276" s="443" t="s">
        <v>289</v>
      </c>
      <c r="AI1276" s="443"/>
      <c r="AJ1276" s="443"/>
      <c r="AK1276" s="443"/>
      <c r="AL1276" s="443"/>
      <c r="AM1276" s="443"/>
      <c r="AN1276" s="443"/>
      <c r="AO1276" s="443"/>
      <c r="AP1276" s="443"/>
      <c r="AQ1276" s="443"/>
      <c r="AR1276" s="443"/>
      <c r="AS1276" s="443"/>
      <c r="AT1276" s="443"/>
      <c r="AU1276" s="443"/>
      <c r="AV1276" s="443"/>
      <c r="AW1276" s="443"/>
      <c r="AX1276" s="443"/>
      <c r="AY1276" s="443"/>
      <c r="AZ1276" s="443"/>
      <c r="BA1276" s="443"/>
      <c r="BB1276" s="443"/>
      <c r="BC1276" s="443"/>
      <c r="BD1276" s="443"/>
      <c r="BE1276" s="443"/>
    </row>
    <row r="1277">
      <c r="A1277" s="445" t="str">
        <f t="shared" si="5"/>
        <v/>
      </c>
      <c r="B1277" s="443"/>
      <c r="C1277" s="443"/>
      <c r="D1277" s="462"/>
      <c r="E1277" s="436" t="str">
        <f t="array" ref="E1277">IF(B1277=0,"",(J1277+K1277)/60)</f>
        <v/>
      </c>
      <c r="F1277" s="437" t="str">
        <f t="shared" si="1"/>
        <v/>
      </c>
      <c r="G1277" s="438" t="str">
        <f t="shared" si="9"/>
        <v/>
      </c>
      <c r="H1277" s="438" t="str">
        <f t="shared" si="3"/>
        <v/>
      </c>
      <c r="I1277" s="436" t="str">
        <f t="shared" si="11"/>
        <v/>
      </c>
      <c r="J1277" s="464"/>
      <c r="K1277" s="464"/>
      <c r="L1277" s="443"/>
      <c r="M1277" s="443"/>
      <c r="N1277" s="443"/>
      <c r="O1277" s="443"/>
      <c r="P1277" s="443"/>
      <c r="Q1277" s="443"/>
      <c r="R1277" s="443"/>
      <c r="S1277" s="443"/>
      <c r="T1277" s="443"/>
      <c r="U1277" s="443"/>
      <c r="V1277" s="443"/>
      <c r="W1277" s="443"/>
      <c r="X1277" s="443"/>
      <c r="Y1277" s="443"/>
      <c r="Z1277" s="443"/>
      <c r="AA1277" s="443"/>
      <c r="AB1277" s="443"/>
      <c r="AC1277" s="443"/>
      <c r="AD1277" s="443"/>
      <c r="AE1277" s="443"/>
      <c r="AF1277" s="443"/>
      <c r="AG1277" s="443" t="s">
        <v>289</v>
      </c>
      <c r="AH1277" s="443" t="s">
        <v>289</v>
      </c>
      <c r="AI1277" s="443"/>
      <c r="AJ1277" s="443"/>
      <c r="AK1277" s="443"/>
      <c r="AL1277" s="443"/>
      <c r="AM1277" s="443"/>
      <c r="AN1277" s="443"/>
      <c r="AO1277" s="443"/>
      <c r="AP1277" s="443"/>
      <c r="AQ1277" s="443"/>
      <c r="AR1277" s="443"/>
      <c r="AS1277" s="443"/>
      <c r="AT1277" s="443"/>
      <c r="AU1277" s="443"/>
      <c r="AV1277" s="443"/>
      <c r="AW1277" s="443"/>
      <c r="AX1277" s="443"/>
      <c r="AY1277" s="443"/>
      <c r="AZ1277" s="443"/>
      <c r="BA1277" s="443"/>
      <c r="BB1277" s="443"/>
      <c r="BC1277" s="443"/>
      <c r="BD1277" s="443"/>
      <c r="BE1277" s="443"/>
    </row>
    <row r="1278">
      <c r="A1278" s="445" t="str">
        <f t="shared" si="5"/>
        <v/>
      </c>
      <c r="B1278" s="443"/>
      <c r="C1278" s="443"/>
      <c r="D1278" s="462"/>
      <c r="E1278" s="436" t="str">
        <f t="array" ref="E1278">IF(B1278=0,"",(J1278+K1278)/60)</f>
        <v/>
      </c>
      <c r="F1278" s="437" t="str">
        <f t="shared" si="1"/>
        <v/>
      </c>
      <c r="G1278" s="438" t="str">
        <f t="shared" si="9"/>
        <v/>
      </c>
      <c r="H1278" s="438" t="str">
        <f t="shared" si="3"/>
        <v/>
      </c>
      <c r="I1278" s="436" t="str">
        <f t="shared" si="11"/>
        <v/>
      </c>
      <c r="J1278" s="464"/>
      <c r="K1278" s="464"/>
      <c r="L1278" s="443"/>
      <c r="M1278" s="443"/>
      <c r="N1278" s="443"/>
      <c r="O1278" s="443"/>
      <c r="P1278" s="443"/>
      <c r="Q1278" s="443"/>
      <c r="R1278" s="443"/>
      <c r="S1278" s="443"/>
      <c r="T1278" s="443"/>
      <c r="U1278" s="443"/>
      <c r="V1278" s="443"/>
      <c r="W1278" s="443"/>
      <c r="X1278" s="443"/>
      <c r="Y1278" s="443"/>
      <c r="Z1278" s="443"/>
      <c r="AA1278" s="443"/>
      <c r="AB1278" s="443"/>
      <c r="AC1278" s="443"/>
      <c r="AD1278" s="443"/>
      <c r="AE1278" s="443"/>
      <c r="AF1278" s="443"/>
      <c r="AG1278" s="443" t="s">
        <v>289</v>
      </c>
      <c r="AH1278" s="443" t="s">
        <v>289</v>
      </c>
      <c r="AI1278" s="443"/>
      <c r="AJ1278" s="443"/>
      <c r="AK1278" s="443"/>
      <c r="AL1278" s="443"/>
      <c r="AM1278" s="443"/>
      <c r="AN1278" s="443"/>
      <c r="AO1278" s="443"/>
      <c r="AP1278" s="443"/>
      <c r="AQ1278" s="443"/>
      <c r="AR1278" s="443"/>
      <c r="AS1278" s="443"/>
      <c r="AT1278" s="443"/>
      <c r="AU1278" s="443"/>
      <c r="AV1278" s="443"/>
      <c r="AW1278" s="443"/>
      <c r="AX1278" s="443"/>
      <c r="AY1278" s="443"/>
      <c r="AZ1278" s="443"/>
      <c r="BA1278" s="443"/>
      <c r="BB1278" s="443"/>
      <c r="BC1278" s="443"/>
      <c r="BD1278" s="443"/>
      <c r="BE1278" s="443"/>
    </row>
    <row r="1279">
      <c r="A1279" s="445" t="str">
        <f t="shared" si="5"/>
        <v/>
      </c>
      <c r="B1279" s="443"/>
      <c r="C1279" s="443"/>
      <c r="D1279" s="462"/>
      <c r="E1279" s="436" t="str">
        <f t="array" ref="E1279">IF(B1279=0,"",(J1279+K1279)/60)</f>
        <v/>
      </c>
      <c r="F1279" s="437" t="str">
        <f t="shared" si="1"/>
        <v/>
      </c>
      <c r="G1279" s="438" t="str">
        <f t="shared" si="9"/>
        <v/>
      </c>
      <c r="H1279" s="438" t="str">
        <f t="shared" si="3"/>
        <v/>
      </c>
      <c r="I1279" s="436" t="str">
        <f t="shared" si="11"/>
        <v/>
      </c>
      <c r="J1279" s="464"/>
      <c r="K1279" s="464"/>
      <c r="L1279" s="443"/>
      <c r="M1279" s="443"/>
      <c r="N1279" s="443"/>
      <c r="O1279" s="443"/>
      <c r="P1279" s="443"/>
      <c r="Q1279" s="443"/>
      <c r="R1279" s="443"/>
      <c r="S1279" s="443"/>
      <c r="T1279" s="443"/>
      <c r="U1279" s="443"/>
      <c r="V1279" s="443"/>
      <c r="W1279" s="443"/>
      <c r="X1279" s="443"/>
      <c r="Y1279" s="443"/>
      <c r="Z1279" s="443"/>
      <c r="AA1279" s="443"/>
      <c r="AB1279" s="443"/>
      <c r="AC1279" s="443"/>
      <c r="AD1279" s="443"/>
      <c r="AE1279" s="443"/>
      <c r="AF1279" s="443"/>
      <c r="AG1279" s="443" t="s">
        <v>289</v>
      </c>
      <c r="AH1279" s="443" t="s">
        <v>289</v>
      </c>
      <c r="AI1279" s="443"/>
      <c r="AJ1279" s="443"/>
      <c r="AK1279" s="443"/>
      <c r="AL1279" s="443"/>
      <c r="AM1279" s="443"/>
      <c r="AN1279" s="443"/>
      <c r="AO1279" s="443"/>
      <c r="AP1279" s="443"/>
      <c r="AQ1279" s="443"/>
      <c r="AR1279" s="443"/>
      <c r="AS1279" s="443"/>
      <c r="AT1279" s="443"/>
      <c r="AU1279" s="443"/>
      <c r="AV1279" s="443"/>
      <c r="AW1279" s="443"/>
      <c r="AX1279" s="443"/>
      <c r="AY1279" s="443"/>
      <c r="AZ1279" s="443"/>
      <c r="BA1279" s="443"/>
      <c r="BB1279" s="443"/>
      <c r="BC1279" s="443"/>
      <c r="BD1279" s="443"/>
      <c r="BE1279" s="443"/>
    </row>
    <row r="1280">
      <c r="A1280" s="445" t="str">
        <f t="shared" si="5"/>
        <v/>
      </c>
      <c r="B1280" s="443"/>
      <c r="C1280" s="443"/>
      <c r="D1280" s="462"/>
      <c r="E1280" s="436" t="str">
        <f t="array" ref="E1280">IF(B1280=0,"",(J1280+K1280)/60)</f>
        <v/>
      </c>
      <c r="F1280" s="437" t="str">
        <f t="shared" si="1"/>
        <v/>
      </c>
      <c r="G1280" s="438" t="str">
        <f t="shared" si="9"/>
        <v/>
      </c>
      <c r="H1280" s="438" t="str">
        <f t="shared" si="3"/>
        <v/>
      </c>
      <c r="I1280" s="436" t="str">
        <f t="shared" si="11"/>
        <v/>
      </c>
      <c r="J1280" s="464"/>
      <c r="K1280" s="464"/>
      <c r="L1280" s="443"/>
      <c r="M1280" s="443"/>
      <c r="N1280" s="443"/>
      <c r="O1280" s="443"/>
      <c r="P1280" s="443"/>
      <c r="Q1280" s="443"/>
      <c r="R1280" s="443"/>
      <c r="S1280" s="443"/>
      <c r="T1280" s="443"/>
      <c r="U1280" s="443"/>
      <c r="V1280" s="443"/>
      <c r="W1280" s="443"/>
      <c r="X1280" s="443"/>
      <c r="Y1280" s="443"/>
      <c r="Z1280" s="443"/>
      <c r="AA1280" s="443"/>
      <c r="AB1280" s="443"/>
      <c r="AC1280" s="443"/>
      <c r="AD1280" s="443"/>
      <c r="AE1280" s="443"/>
      <c r="AF1280" s="443"/>
      <c r="AG1280" s="443" t="s">
        <v>289</v>
      </c>
      <c r="AH1280" s="443" t="s">
        <v>289</v>
      </c>
      <c r="AI1280" s="443"/>
      <c r="AJ1280" s="443"/>
      <c r="AK1280" s="443"/>
      <c r="AL1280" s="443"/>
      <c r="AM1280" s="443"/>
      <c r="AN1280" s="443"/>
      <c r="AO1280" s="443"/>
      <c r="AP1280" s="443"/>
      <c r="AQ1280" s="443"/>
      <c r="AR1280" s="443"/>
      <c r="AS1280" s="443"/>
      <c r="AT1280" s="443"/>
      <c r="AU1280" s="443"/>
      <c r="AV1280" s="443"/>
      <c r="AW1280" s="443"/>
      <c r="AX1280" s="443"/>
      <c r="AY1280" s="443"/>
      <c r="AZ1280" s="443"/>
      <c r="BA1280" s="443"/>
      <c r="BB1280" s="443"/>
      <c r="BC1280" s="443"/>
      <c r="BD1280" s="443"/>
      <c r="BE1280" s="443"/>
    </row>
    <row r="1281">
      <c r="A1281" s="445" t="str">
        <f t="shared" si="5"/>
        <v/>
      </c>
      <c r="B1281" s="443"/>
      <c r="C1281" s="443"/>
      <c r="D1281" s="462"/>
      <c r="E1281" s="436" t="str">
        <f t="array" ref="E1281">IF(B1281=0,"",(J1281+K1281)/60)</f>
        <v/>
      </c>
      <c r="F1281" s="437" t="str">
        <f t="shared" si="1"/>
        <v/>
      </c>
      <c r="G1281" s="438" t="str">
        <f t="shared" si="9"/>
        <v/>
      </c>
      <c r="H1281" s="438" t="str">
        <f t="shared" si="3"/>
        <v/>
      </c>
      <c r="I1281" s="436" t="str">
        <f t="shared" si="11"/>
        <v/>
      </c>
      <c r="J1281" s="464"/>
      <c r="K1281" s="464"/>
      <c r="L1281" s="443"/>
      <c r="M1281" s="443"/>
      <c r="N1281" s="443"/>
      <c r="O1281" s="443"/>
      <c r="P1281" s="443"/>
      <c r="Q1281" s="443"/>
      <c r="R1281" s="443"/>
      <c r="S1281" s="443"/>
      <c r="T1281" s="443"/>
      <c r="U1281" s="443"/>
      <c r="V1281" s="443"/>
      <c r="W1281" s="443"/>
      <c r="X1281" s="443"/>
      <c r="Y1281" s="443"/>
      <c r="Z1281" s="443"/>
      <c r="AA1281" s="443"/>
      <c r="AB1281" s="443"/>
      <c r="AC1281" s="443"/>
      <c r="AD1281" s="443"/>
      <c r="AE1281" s="443"/>
      <c r="AF1281" s="443"/>
      <c r="AG1281" s="443" t="s">
        <v>289</v>
      </c>
      <c r="AH1281" s="443" t="s">
        <v>289</v>
      </c>
      <c r="AI1281" s="443"/>
      <c r="AJ1281" s="443"/>
      <c r="AK1281" s="443"/>
      <c r="AL1281" s="443"/>
      <c r="AM1281" s="443"/>
      <c r="AN1281" s="443"/>
      <c r="AO1281" s="443"/>
      <c r="AP1281" s="443"/>
      <c r="AQ1281" s="443"/>
      <c r="AR1281" s="443"/>
      <c r="AS1281" s="443"/>
      <c r="AT1281" s="443"/>
      <c r="AU1281" s="443"/>
      <c r="AV1281" s="443"/>
      <c r="AW1281" s="443"/>
      <c r="AX1281" s="443"/>
      <c r="AY1281" s="443"/>
      <c r="AZ1281" s="443"/>
      <c r="BA1281" s="443"/>
      <c r="BB1281" s="443"/>
      <c r="BC1281" s="443"/>
      <c r="BD1281" s="443"/>
      <c r="BE1281" s="443"/>
    </row>
    <row r="1282">
      <c r="A1282" s="445" t="str">
        <f t="shared" si="5"/>
        <v/>
      </c>
      <c r="B1282" s="443"/>
      <c r="C1282" s="443"/>
      <c r="D1282" s="462"/>
      <c r="E1282" s="436" t="str">
        <f t="array" ref="E1282">IF(B1282=0,"",(J1282+K1282)/60)</f>
        <v/>
      </c>
      <c r="F1282" s="437" t="str">
        <f t="shared" si="1"/>
        <v/>
      </c>
      <c r="G1282" s="438" t="str">
        <f t="shared" si="9"/>
        <v/>
      </c>
      <c r="H1282" s="438" t="str">
        <f t="shared" si="3"/>
        <v/>
      </c>
      <c r="I1282" s="436" t="str">
        <f t="shared" si="11"/>
        <v/>
      </c>
      <c r="J1282" s="464"/>
      <c r="K1282" s="464"/>
      <c r="L1282" s="443"/>
      <c r="M1282" s="443"/>
      <c r="N1282" s="443"/>
      <c r="O1282" s="443"/>
      <c r="P1282" s="443"/>
      <c r="Q1282" s="443"/>
      <c r="R1282" s="443"/>
      <c r="S1282" s="443"/>
      <c r="T1282" s="443"/>
      <c r="U1282" s="443"/>
      <c r="V1282" s="443"/>
      <c r="W1282" s="443"/>
      <c r="X1282" s="443"/>
      <c r="Y1282" s="443"/>
      <c r="Z1282" s="443"/>
      <c r="AA1282" s="443"/>
      <c r="AB1282" s="443"/>
      <c r="AC1282" s="443"/>
      <c r="AD1282" s="443"/>
      <c r="AE1282" s="443"/>
      <c r="AF1282" s="443"/>
      <c r="AG1282" s="443" t="s">
        <v>289</v>
      </c>
      <c r="AH1282" s="443" t="s">
        <v>289</v>
      </c>
      <c r="AI1282" s="443"/>
      <c r="AJ1282" s="443"/>
      <c r="AK1282" s="443"/>
      <c r="AL1282" s="443"/>
      <c r="AM1282" s="443"/>
      <c r="AN1282" s="443"/>
      <c r="AO1282" s="443"/>
      <c r="AP1282" s="443"/>
      <c r="AQ1282" s="443"/>
      <c r="AR1282" s="443"/>
      <c r="AS1282" s="443"/>
      <c r="AT1282" s="443"/>
      <c r="AU1282" s="443"/>
      <c r="AV1282" s="443"/>
      <c r="AW1282" s="443"/>
      <c r="AX1282" s="443"/>
      <c r="AY1282" s="443"/>
      <c r="AZ1282" s="443"/>
      <c r="BA1282" s="443"/>
      <c r="BB1282" s="443"/>
      <c r="BC1282" s="443"/>
      <c r="BD1282" s="443"/>
      <c r="BE1282" s="443"/>
    </row>
    <row r="1283">
      <c r="A1283" s="445" t="str">
        <f t="shared" si="5"/>
        <v/>
      </c>
      <c r="B1283" s="443"/>
      <c r="C1283" s="443"/>
      <c r="D1283" s="462"/>
      <c r="E1283" s="436" t="str">
        <f t="array" ref="E1283">IF(B1283=0,"",(J1283+K1283)/60)</f>
        <v/>
      </c>
      <c r="F1283" s="437" t="str">
        <f t="shared" si="1"/>
        <v/>
      </c>
      <c r="G1283" s="438" t="str">
        <f t="shared" si="9"/>
        <v/>
      </c>
      <c r="H1283" s="438" t="str">
        <f t="shared" si="3"/>
        <v/>
      </c>
      <c r="I1283" s="436" t="str">
        <f t="shared" si="11"/>
        <v/>
      </c>
      <c r="J1283" s="464"/>
      <c r="K1283" s="464"/>
      <c r="L1283" s="443"/>
      <c r="M1283" s="443"/>
      <c r="N1283" s="443"/>
      <c r="O1283" s="443"/>
      <c r="P1283" s="443"/>
      <c r="Q1283" s="443"/>
      <c r="R1283" s="443"/>
      <c r="S1283" s="443"/>
      <c r="T1283" s="443"/>
      <c r="U1283" s="443"/>
      <c r="V1283" s="443"/>
      <c r="W1283" s="443"/>
      <c r="X1283" s="443"/>
      <c r="Y1283" s="443"/>
      <c r="Z1283" s="443"/>
      <c r="AA1283" s="443"/>
      <c r="AB1283" s="443"/>
      <c r="AC1283" s="443"/>
      <c r="AD1283" s="443"/>
      <c r="AE1283" s="443"/>
      <c r="AF1283" s="443"/>
      <c r="AG1283" s="443" t="s">
        <v>289</v>
      </c>
      <c r="AH1283" s="443" t="s">
        <v>289</v>
      </c>
      <c r="AI1283" s="443"/>
      <c r="AJ1283" s="443"/>
      <c r="AK1283" s="443"/>
      <c r="AL1283" s="443"/>
      <c r="AM1283" s="443"/>
      <c r="AN1283" s="443"/>
      <c r="AO1283" s="443"/>
      <c r="AP1283" s="443"/>
      <c r="AQ1283" s="443"/>
      <c r="AR1283" s="443"/>
      <c r="AS1283" s="443"/>
      <c r="AT1283" s="443"/>
      <c r="AU1283" s="443"/>
      <c r="AV1283" s="443"/>
      <c r="AW1283" s="443"/>
      <c r="AX1283" s="443"/>
      <c r="AY1283" s="443"/>
      <c r="AZ1283" s="443"/>
      <c r="BA1283" s="443"/>
      <c r="BB1283" s="443"/>
      <c r="BC1283" s="443"/>
      <c r="BD1283" s="443"/>
      <c r="BE1283" s="443"/>
    </row>
    <row r="1284">
      <c r="A1284" s="445" t="str">
        <f t="shared" si="5"/>
        <v/>
      </c>
      <c r="B1284" s="443"/>
      <c r="C1284" s="443"/>
      <c r="D1284" s="462"/>
      <c r="E1284" s="436" t="str">
        <f t="array" ref="E1284">IF(B1284=0,"",(J1284+K1284)/60)</f>
        <v/>
      </c>
      <c r="F1284" s="437" t="str">
        <f t="shared" si="1"/>
        <v/>
      </c>
      <c r="G1284" s="438" t="str">
        <f t="shared" si="9"/>
        <v/>
      </c>
      <c r="H1284" s="438" t="str">
        <f t="shared" si="3"/>
        <v/>
      </c>
      <c r="I1284" s="436" t="str">
        <f t="shared" si="11"/>
        <v/>
      </c>
      <c r="J1284" s="464"/>
      <c r="K1284" s="464"/>
      <c r="L1284" s="443"/>
      <c r="M1284" s="443"/>
      <c r="N1284" s="443"/>
      <c r="O1284" s="443"/>
      <c r="P1284" s="443"/>
      <c r="Q1284" s="443"/>
      <c r="R1284" s="443"/>
      <c r="S1284" s="443"/>
      <c r="T1284" s="443"/>
      <c r="U1284" s="443"/>
      <c r="V1284" s="443"/>
      <c r="W1284" s="443"/>
      <c r="X1284" s="443"/>
      <c r="Y1284" s="443"/>
      <c r="Z1284" s="443"/>
      <c r="AA1284" s="443"/>
      <c r="AB1284" s="443"/>
      <c r="AC1284" s="443"/>
      <c r="AD1284" s="443"/>
      <c r="AE1284" s="443"/>
      <c r="AF1284" s="443"/>
      <c r="AG1284" s="443" t="s">
        <v>289</v>
      </c>
      <c r="AH1284" s="443" t="s">
        <v>289</v>
      </c>
      <c r="AI1284" s="443"/>
      <c r="AJ1284" s="443"/>
      <c r="AK1284" s="443"/>
      <c r="AL1284" s="443"/>
      <c r="AM1284" s="443"/>
      <c r="AN1284" s="443"/>
      <c r="AO1284" s="443"/>
      <c r="AP1284" s="443"/>
      <c r="AQ1284" s="443"/>
      <c r="AR1284" s="443"/>
      <c r="AS1284" s="443"/>
      <c r="AT1284" s="443"/>
      <c r="AU1284" s="443"/>
      <c r="AV1284" s="443"/>
      <c r="AW1284" s="443"/>
      <c r="AX1284" s="443"/>
      <c r="AY1284" s="443"/>
      <c r="AZ1284" s="443"/>
      <c r="BA1284" s="443"/>
      <c r="BB1284" s="443"/>
      <c r="BC1284" s="443"/>
      <c r="BD1284" s="443"/>
      <c r="BE1284" s="443"/>
    </row>
    <row r="1285">
      <c r="A1285" s="445" t="str">
        <f t="shared" si="5"/>
        <v/>
      </c>
      <c r="B1285" s="443"/>
      <c r="C1285" s="443"/>
      <c r="D1285" s="462"/>
      <c r="E1285" s="436" t="str">
        <f t="array" ref="E1285">IF(B1285=0,"",(J1285+K1285)/60)</f>
        <v/>
      </c>
      <c r="F1285" s="437" t="str">
        <f t="shared" si="1"/>
        <v/>
      </c>
      <c r="G1285" s="438" t="str">
        <f t="shared" si="9"/>
        <v/>
      </c>
      <c r="H1285" s="438" t="str">
        <f t="shared" si="3"/>
        <v/>
      </c>
      <c r="I1285" s="436" t="str">
        <f t="shared" si="11"/>
        <v/>
      </c>
      <c r="J1285" s="464"/>
      <c r="K1285" s="464"/>
      <c r="L1285" s="443"/>
      <c r="M1285" s="443"/>
      <c r="N1285" s="443"/>
      <c r="O1285" s="443"/>
      <c r="P1285" s="443"/>
      <c r="Q1285" s="443"/>
      <c r="R1285" s="443"/>
      <c r="S1285" s="443"/>
      <c r="T1285" s="443"/>
      <c r="U1285" s="443"/>
      <c r="V1285" s="443"/>
      <c r="W1285" s="443"/>
      <c r="X1285" s="443"/>
      <c r="Y1285" s="443"/>
      <c r="Z1285" s="443"/>
      <c r="AA1285" s="443"/>
      <c r="AB1285" s="443"/>
      <c r="AC1285" s="443"/>
      <c r="AD1285" s="443"/>
      <c r="AE1285" s="443"/>
      <c r="AF1285" s="443"/>
      <c r="AG1285" s="443" t="s">
        <v>289</v>
      </c>
      <c r="AH1285" s="443" t="s">
        <v>289</v>
      </c>
      <c r="AI1285" s="443"/>
      <c r="AJ1285" s="443"/>
      <c r="AK1285" s="443"/>
      <c r="AL1285" s="443"/>
      <c r="AM1285" s="443"/>
      <c r="AN1285" s="443"/>
      <c r="AO1285" s="443"/>
      <c r="AP1285" s="443"/>
      <c r="AQ1285" s="443"/>
      <c r="AR1285" s="443"/>
      <c r="AS1285" s="443"/>
      <c r="AT1285" s="443"/>
      <c r="AU1285" s="443"/>
      <c r="AV1285" s="443"/>
      <c r="AW1285" s="443"/>
      <c r="AX1285" s="443"/>
      <c r="AY1285" s="443"/>
      <c r="AZ1285" s="443"/>
      <c r="BA1285" s="443"/>
      <c r="BB1285" s="443"/>
      <c r="BC1285" s="443"/>
      <c r="BD1285" s="443"/>
      <c r="BE1285" s="443"/>
    </row>
    <row r="1286">
      <c r="A1286" s="445" t="str">
        <f t="shared" si="5"/>
        <v/>
      </c>
      <c r="B1286" s="443"/>
      <c r="C1286" s="443"/>
      <c r="D1286" s="462"/>
      <c r="E1286" s="436" t="str">
        <f t="array" ref="E1286">IF(B1286=0,"",(J1286+K1286)/60)</f>
        <v/>
      </c>
      <c r="F1286" s="437" t="str">
        <f t="shared" si="1"/>
        <v/>
      </c>
      <c r="G1286" s="438" t="str">
        <f t="shared" si="9"/>
        <v/>
      </c>
      <c r="H1286" s="438" t="str">
        <f t="shared" si="3"/>
        <v/>
      </c>
      <c r="I1286" s="436" t="str">
        <f t="shared" si="11"/>
        <v/>
      </c>
      <c r="J1286" s="464"/>
      <c r="K1286" s="464"/>
      <c r="L1286" s="443"/>
      <c r="M1286" s="443"/>
      <c r="N1286" s="443"/>
      <c r="O1286" s="443"/>
      <c r="P1286" s="443"/>
      <c r="Q1286" s="443"/>
      <c r="R1286" s="443"/>
      <c r="S1286" s="443"/>
      <c r="T1286" s="443"/>
      <c r="U1286" s="443"/>
      <c r="V1286" s="443"/>
      <c r="W1286" s="443"/>
      <c r="X1286" s="443"/>
      <c r="Y1286" s="443"/>
      <c r="Z1286" s="443"/>
      <c r="AA1286" s="443"/>
      <c r="AB1286" s="443"/>
      <c r="AC1286" s="443"/>
      <c r="AD1286" s="443"/>
      <c r="AE1286" s="443"/>
      <c r="AF1286" s="443"/>
      <c r="AG1286" s="443" t="s">
        <v>289</v>
      </c>
      <c r="AH1286" s="443" t="s">
        <v>289</v>
      </c>
      <c r="AI1286" s="443"/>
      <c r="AJ1286" s="443"/>
      <c r="AK1286" s="443"/>
      <c r="AL1286" s="443"/>
      <c r="AM1286" s="443"/>
      <c r="AN1286" s="443"/>
      <c r="AO1286" s="443"/>
      <c r="AP1286" s="443"/>
      <c r="AQ1286" s="443"/>
      <c r="AR1286" s="443"/>
      <c r="AS1286" s="443"/>
      <c r="AT1286" s="443"/>
      <c r="AU1286" s="443"/>
      <c r="AV1286" s="443"/>
      <c r="AW1286" s="443"/>
      <c r="AX1286" s="443"/>
      <c r="AY1286" s="443"/>
      <c r="AZ1286" s="443"/>
      <c r="BA1286" s="443"/>
      <c r="BB1286" s="443"/>
      <c r="BC1286" s="443"/>
      <c r="BD1286" s="443"/>
      <c r="BE1286" s="443"/>
    </row>
    <row r="1287">
      <c r="A1287" s="445" t="str">
        <f t="shared" si="5"/>
        <v/>
      </c>
      <c r="B1287" s="443"/>
      <c r="C1287" s="443"/>
      <c r="D1287" s="462"/>
      <c r="E1287" s="436" t="str">
        <f t="array" ref="E1287">IF(B1287=0,"",(J1287+K1287)/60)</f>
        <v/>
      </c>
      <c r="F1287" s="437" t="str">
        <f t="shared" si="1"/>
        <v/>
      </c>
      <c r="G1287" s="438" t="str">
        <f t="shared" si="9"/>
        <v/>
      </c>
      <c r="H1287" s="438" t="str">
        <f t="shared" si="3"/>
        <v/>
      </c>
      <c r="I1287" s="436" t="str">
        <f t="shared" si="11"/>
        <v/>
      </c>
      <c r="J1287" s="464"/>
      <c r="K1287" s="464"/>
      <c r="L1287" s="443"/>
      <c r="M1287" s="443"/>
      <c r="N1287" s="443"/>
      <c r="O1287" s="443"/>
      <c r="P1287" s="443"/>
      <c r="Q1287" s="443"/>
      <c r="R1287" s="443"/>
      <c r="S1287" s="443"/>
      <c r="T1287" s="443"/>
      <c r="U1287" s="443"/>
      <c r="V1287" s="443"/>
      <c r="W1287" s="443"/>
      <c r="X1287" s="443"/>
      <c r="Y1287" s="443"/>
      <c r="Z1287" s="443"/>
      <c r="AA1287" s="443"/>
      <c r="AB1287" s="443"/>
      <c r="AC1287" s="443"/>
      <c r="AD1287" s="443"/>
      <c r="AE1287" s="443"/>
      <c r="AF1287" s="443"/>
      <c r="AG1287" s="443" t="s">
        <v>289</v>
      </c>
      <c r="AH1287" s="443" t="s">
        <v>289</v>
      </c>
      <c r="AI1287" s="443"/>
      <c r="AJ1287" s="443"/>
      <c r="AK1287" s="443"/>
      <c r="AL1287" s="443"/>
      <c r="AM1287" s="443"/>
      <c r="AN1287" s="443"/>
      <c r="AO1287" s="443"/>
      <c r="AP1287" s="443"/>
      <c r="AQ1287" s="443"/>
      <c r="AR1287" s="443"/>
      <c r="AS1287" s="443"/>
      <c r="AT1287" s="443"/>
      <c r="AU1287" s="443"/>
      <c r="AV1287" s="443"/>
      <c r="AW1287" s="443"/>
      <c r="AX1287" s="443"/>
      <c r="AY1287" s="443"/>
      <c r="AZ1287" s="443"/>
      <c r="BA1287" s="443"/>
      <c r="BB1287" s="443"/>
      <c r="BC1287" s="443"/>
      <c r="BD1287" s="443"/>
      <c r="BE1287" s="443"/>
    </row>
    <row r="1288">
      <c r="A1288" s="445" t="str">
        <f t="shared" si="5"/>
        <v/>
      </c>
      <c r="B1288" s="443"/>
      <c r="C1288" s="443"/>
      <c r="D1288" s="462"/>
      <c r="E1288" s="436" t="str">
        <f t="array" ref="E1288">IF(B1288=0,"",(J1288+K1288)/60)</f>
        <v/>
      </c>
      <c r="F1288" s="437" t="str">
        <f t="shared" si="1"/>
        <v/>
      </c>
      <c r="G1288" s="438" t="str">
        <f t="shared" si="9"/>
        <v/>
      </c>
      <c r="H1288" s="438" t="str">
        <f t="shared" si="3"/>
        <v/>
      </c>
      <c r="I1288" s="436" t="str">
        <f t="shared" si="11"/>
        <v/>
      </c>
      <c r="J1288" s="464"/>
      <c r="K1288" s="464"/>
      <c r="L1288" s="443"/>
      <c r="M1288" s="443"/>
      <c r="N1288" s="443"/>
      <c r="O1288" s="443"/>
      <c r="P1288" s="443"/>
      <c r="Q1288" s="443"/>
      <c r="R1288" s="443"/>
      <c r="S1288" s="443"/>
      <c r="T1288" s="443"/>
      <c r="U1288" s="443"/>
      <c r="V1288" s="443"/>
      <c r="W1288" s="443"/>
      <c r="X1288" s="443"/>
      <c r="Y1288" s="443"/>
      <c r="Z1288" s="443"/>
      <c r="AA1288" s="443"/>
      <c r="AB1288" s="443"/>
      <c r="AC1288" s="443"/>
      <c r="AD1288" s="443"/>
      <c r="AE1288" s="443"/>
      <c r="AF1288" s="443"/>
      <c r="AG1288" s="443" t="s">
        <v>289</v>
      </c>
      <c r="AH1288" s="443" t="s">
        <v>289</v>
      </c>
      <c r="AI1288" s="443"/>
      <c r="AJ1288" s="443"/>
      <c r="AK1288" s="443"/>
      <c r="AL1288" s="443"/>
      <c r="AM1288" s="443"/>
      <c r="AN1288" s="443"/>
      <c r="AO1288" s="443"/>
      <c r="AP1288" s="443"/>
      <c r="AQ1288" s="443"/>
      <c r="AR1288" s="443"/>
      <c r="AS1288" s="443"/>
      <c r="AT1288" s="443"/>
      <c r="AU1288" s="443"/>
      <c r="AV1288" s="443"/>
      <c r="AW1288" s="443"/>
      <c r="AX1288" s="443"/>
      <c r="AY1288" s="443"/>
      <c r="AZ1288" s="443"/>
      <c r="BA1288" s="443"/>
      <c r="BB1288" s="443"/>
      <c r="BC1288" s="443"/>
      <c r="BD1288" s="443"/>
      <c r="BE1288" s="443"/>
    </row>
    <row r="1289">
      <c r="A1289" s="445" t="str">
        <f t="shared" si="5"/>
        <v/>
      </c>
      <c r="B1289" s="443"/>
      <c r="C1289" s="443"/>
      <c r="D1289" s="462"/>
      <c r="E1289" s="436" t="str">
        <f t="array" ref="E1289">IF(B1289=0,"",(J1289+K1289)/60)</f>
        <v/>
      </c>
      <c r="F1289" s="437" t="str">
        <f t="shared" si="1"/>
        <v/>
      </c>
      <c r="G1289" s="438" t="str">
        <f t="shared" si="9"/>
        <v/>
      </c>
      <c r="H1289" s="438" t="str">
        <f t="shared" si="3"/>
        <v/>
      </c>
      <c r="I1289" s="436" t="str">
        <f t="shared" si="11"/>
        <v/>
      </c>
      <c r="J1289" s="464"/>
      <c r="K1289" s="464"/>
      <c r="L1289" s="443"/>
      <c r="M1289" s="443"/>
      <c r="N1289" s="443"/>
      <c r="O1289" s="443"/>
      <c r="P1289" s="443"/>
      <c r="Q1289" s="443"/>
      <c r="R1289" s="443"/>
      <c r="S1289" s="443"/>
      <c r="T1289" s="443"/>
      <c r="U1289" s="443"/>
      <c r="V1289" s="443"/>
      <c r="W1289" s="443"/>
      <c r="X1289" s="443"/>
      <c r="Y1289" s="443"/>
      <c r="Z1289" s="443"/>
      <c r="AA1289" s="443"/>
      <c r="AB1289" s="443"/>
      <c r="AC1289" s="443"/>
      <c r="AD1289" s="443"/>
      <c r="AE1289" s="443"/>
      <c r="AF1289" s="443"/>
      <c r="AG1289" s="443" t="s">
        <v>289</v>
      </c>
      <c r="AH1289" s="443" t="s">
        <v>289</v>
      </c>
      <c r="AI1289" s="443"/>
      <c r="AJ1289" s="443"/>
      <c r="AK1289" s="443"/>
      <c r="AL1289" s="443"/>
      <c r="AM1289" s="443"/>
      <c r="AN1289" s="443"/>
      <c r="AO1289" s="443"/>
      <c r="AP1289" s="443"/>
      <c r="AQ1289" s="443"/>
      <c r="AR1289" s="443"/>
      <c r="AS1289" s="443"/>
      <c r="AT1289" s="443"/>
      <c r="AU1289" s="443"/>
      <c r="AV1289" s="443"/>
      <c r="AW1289" s="443"/>
      <c r="AX1289" s="443"/>
      <c r="AY1289" s="443"/>
      <c r="AZ1289" s="443"/>
      <c r="BA1289" s="443"/>
      <c r="BB1289" s="443"/>
      <c r="BC1289" s="443"/>
      <c r="BD1289" s="443"/>
      <c r="BE1289" s="443"/>
    </row>
    <row r="1290">
      <c r="A1290" s="445" t="str">
        <f t="shared" si="5"/>
        <v/>
      </c>
      <c r="B1290" s="443"/>
      <c r="C1290" s="443"/>
      <c r="D1290" s="462"/>
      <c r="E1290" s="436" t="str">
        <f t="array" ref="E1290">IF(B1290=0,"",(J1290+K1290)/60)</f>
        <v/>
      </c>
      <c r="F1290" s="437" t="str">
        <f t="shared" si="1"/>
        <v/>
      </c>
      <c r="G1290" s="438" t="str">
        <f t="shared" si="9"/>
        <v/>
      </c>
      <c r="H1290" s="438" t="str">
        <f t="shared" si="3"/>
        <v/>
      </c>
      <c r="I1290" s="436" t="str">
        <f t="shared" si="11"/>
        <v/>
      </c>
      <c r="J1290" s="464"/>
      <c r="K1290" s="464"/>
      <c r="L1290" s="443"/>
      <c r="M1290" s="443"/>
      <c r="N1290" s="443"/>
      <c r="O1290" s="443"/>
      <c r="P1290" s="443"/>
      <c r="Q1290" s="443"/>
      <c r="R1290" s="443"/>
      <c r="S1290" s="443"/>
      <c r="T1290" s="443"/>
      <c r="U1290" s="443"/>
      <c r="V1290" s="443"/>
      <c r="W1290" s="443"/>
      <c r="X1290" s="443"/>
      <c r="Y1290" s="443"/>
      <c r="Z1290" s="443"/>
      <c r="AA1290" s="443"/>
      <c r="AB1290" s="443"/>
      <c r="AC1290" s="443"/>
      <c r="AD1290" s="443"/>
      <c r="AE1290" s="443"/>
      <c r="AF1290" s="443"/>
      <c r="AG1290" s="443" t="s">
        <v>289</v>
      </c>
      <c r="AH1290" s="443" t="s">
        <v>289</v>
      </c>
      <c r="AI1290" s="443"/>
      <c r="AJ1290" s="443"/>
      <c r="AK1290" s="443"/>
      <c r="AL1290" s="443"/>
      <c r="AM1290" s="443"/>
      <c r="AN1290" s="443"/>
      <c r="AO1290" s="443"/>
      <c r="AP1290" s="443"/>
      <c r="AQ1290" s="443"/>
      <c r="AR1290" s="443"/>
      <c r="AS1290" s="443"/>
      <c r="AT1290" s="443"/>
      <c r="AU1290" s="443"/>
      <c r="AV1290" s="443"/>
      <c r="AW1290" s="443"/>
      <c r="AX1290" s="443"/>
      <c r="AY1290" s="443"/>
      <c r="AZ1290" s="443"/>
      <c r="BA1290" s="443"/>
      <c r="BB1290" s="443"/>
      <c r="BC1290" s="443"/>
      <c r="BD1290" s="443"/>
      <c r="BE1290" s="443"/>
    </row>
    <row r="1291">
      <c r="A1291" s="445" t="str">
        <f t="shared" si="5"/>
        <v/>
      </c>
      <c r="B1291" s="443"/>
      <c r="C1291" s="443"/>
      <c r="D1291" s="462"/>
      <c r="E1291" s="436" t="str">
        <f t="array" ref="E1291">IF(B1291=0,"",(J1291+K1291)/60)</f>
        <v/>
      </c>
      <c r="F1291" s="437" t="str">
        <f t="shared" si="1"/>
        <v/>
      </c>
      <c r="G1291" s="438" t="str">
        <f t="shared" si="9"/>
        <v/>
      </c>
      <c r="H1291" s="438" t="str">
        <f t="shared" si="3"/>
        <v/>
      </c>
      <c r="I1291" s="436" t="str">
        <f t="shared" si="11"/>
        <v/>
      </c>
      <c r="J1291" s="464"/>
      <c r="K1291" s="464"/>
      <c r="L1291" s="443"/>
      <c r="M1291" s="443"/>
      <c r="N1291" s="443"/>
      <c r="O1291" s="443"/>
      <c r="P1291" s="443"/>
      <c r="Q1291" s="443"/>
      <c r="R1291" s="443"/>
      <c r="S1291" s="443"/>
      <c r="T1291" s="443"/>
      <c r="U1291" s="443"/>
      <c r="V1291" s="443"/>
      <c r="W1291" s="443"/>
      <c r="X1291" s="443"/>
      <c r="Y1291" s="443"/>
      <c r="Z1291" s="443"/>
      <c r="AA1291" s="443"/>
      <c r="AB1291" s="443"/>
      <c r="AC1291" s="443"/>
      <c r="AD1291" s="443"/>
      <c r="AE1291" s="443"/>
      <c r="AF1291" s="443"/>
      <c r="AG1291" s="443" t="s">
        <v>289</v>
      </c>
      <c r="AH1291" s="443" t="s">
        <v>289</v>
      </c>
      <c r="AI1291" s="443"/>
      <c r="AJ1291" s="443"/>
      <c r="AK1291" s="443"/>
      <c r="AL1291" s="443"/>
      <c r="AM1291" s="443"/>
      <c r="AN1291" s="443"/>
      <c r="AO1291" s="443"/>
      <c r="AP1291" s="443"/>
      <c r="AQ1291" s="443"/>
      <c r="AR1291" s="443"/>
      <c r="AS1291" s="443"/>
      <c r="AT1291" s="443"/>
      <c r="AU1291" s="443"/>
      <c r="AV1291" s="443"/>
      <c r="AW1291" s="443"/>
      <c r="AX1291" s="443"/>
      <c r="AY1291" s="443"/>
      <c r="AZ1291" s="443"/>
      <c r="BA1291" s="443"/>
      <c r="BB1291" s="443"/>
      <c r="BC1291" s="443"/>
      <c r="BD1291" s="443"/>
      <c r="BE1291" s="443"/>
    </row>
    <row r="1292">
      <c r="A1292" s="445" t="str">
        <f t="shared" si="5"/>
        <v/>
      </c>
      <c r="B1292" s="443"/>
      <c r="C1292" s="443"/>
      <c r="D1292" s="462"/>
      <c r="E1292" s="436" t="str">
        <f t="array" ref="E1292">IF(B1292=0,"",(J1292+K1292)/60)</f>
        <v/>
      </c>
      <c r="F1292" s="437" t="str">
        <f t="shared" si="1"/>
        <v/>
      </c>
      <c r="G1292" s="438" t="str">
        <f t="shared" si="9"/>
        <v/>
      </c>
      <c r="H1292" s="438" t="str">
        <f t="shared" si="3"/>
        <v/>
      </c>
      <c r="I1292" s="436" t="str">
        <f t="shared" si="11"/>
        <v/>
      </c>
      <c r="J1292" s="464"/>
      <c r="K1292" s="464"/>
      <c r="L1292" s="443"/>
      <c r="M1292" s="443"/>
      <c r="N1292" s="443"/>
      <c r="O1292" s="443"/>
      <c r="P1292" s="443"/>
      <c r="Q1292" s="443"/>
      <c r="R1292" s="443"/>
      <c r="S1292" s="443"/>
      <c r="T1292" s="443"/>
      <c r="U1292" s="443"/>
      <c r="V1292" s="443"/>
      <c r="W1292" s="443"/>
      <c r="X1292" s="443"/>
      <c r="Y1292" s="443"/>
      <c r="Z1292" s="443"/>
      <c r="AA1292" s="443"/>
      <c r="AB1292" s="443"/>
      <c r="AC1292" s="443"/>
      <c r="AD1292" s="443"/>
      <c r="AE1292" s="443"/>
      <c r="AF1292" s="443"/>
      <c r="AG1292" s="443" t="s">
        <v>289</v>
      </c>
      <c r="AH1292" s="443" t="s">
        <v>289</v>
      </c>
      <c r="AI1292" s="443"/>
      <c r="AJ1292" s="443"/>
      <c r="AK1292" s="443"/>
      <c r="AL1292" s="443"/>
      <c r="AM1292" s="443"/>
      <c r="AN1292" s="443"/>
      <c r="AO1292" s="443"/>
      <c r="AP1292" s="443"/>
      <c r="AQ1292" s="443"/>
      <c r="AR1292" s="443"/>
      <c r="AS1292" s="443"/>
      <c r="AT1292" s="443"/>
      <c r="AU1292" s="443"/>
      <c r="AV1292" s="443"/>
      <c r="AW1292" s="443"/>
      <c r="AX1292" s="443"/>
      <c r="AY1292" s="443"/>
      <c r="AZ1292" s="443"/>
      <c r="BA1292" s="443"/>
      <c r="BB1292" s="443"/>
      <c r="BC1292" s="443"/>
      <c r="BD1292" s="443"/>
      <c r="BE1292" s="443"/>
    </row>
    <row r="1293">
      <c r="A1293" s="445" t="str">
        <f t="shared" si="5"/>
        <v/>
      </c>
      <c r="B1293" s="443"/>
      <c r="C1293" s="443"/>
      <c r="D1293" s="462"/>
      <c r="E1293" s="436" t="str">
        <f t="array" ref="E1293">IF(B1293=0,"",(J1293+K1293)/60)</f>
        <v/>
      </c>
      <c r="F1293" s="437" t="str">
        <f t="shared" si="1"/>
        <v/>
      </c>
      <c r="G1293" s="438" t="str">
        <f t="shared" si="9"/>
        <v/>
      </c>
      <c r="H1293" s="438" t="str">
        <f t="shared" si="3"/>
        <v/>
      </c>
      <c r="I1293" s="436" t="str">
        <f t="shared" si="11"/>
        <v/>
      </c>
      <c r="J1293" s="464"/>
      <c r="K1293" s="464"/>
      <c r="L1293" s="443"/>
      <c r="M1293" s="443"/>
      <c r="N1293" s="443"/>
      <c r="O1293" s="443"/>
      <c r="P1293" s="443"/>
      <c r="Q1293" s="443"/>
      <c r="R1293" s="443"/>
      <c r="S1293" s="443"/>
      <c r="T1293" s="443"/>
      <c r="U1293" s="443"/>
      <c r="V1293" s="443"/>
      <c r="W1293" s="443"/>
      <c r="X1293" s="443"/>
      <c r="Y1293" s="443"/>
      <c r="Z1293" s="443"/>
      <c r="AA1293" s="443"/>
      <c r="AB1293" s="443"/>
      <c r="AC1293" s="443"/>
      <c r="AD1293" s="443"/>
      <c r="AE1293" s="443"/>
      <c r="AF1293" s="443"/>
      <c r="AG1293" s="443" t="s">
        <v>289</v>
      </c>
      <c r="AH1293" s="443" t="s">
        <v>289</v>
      </c>
      <c r="AI1293" s="443"/>
      <c r="AJ1293" s="443"/>
      <c r="AK1293" s="443"/>
      <c r="AL1293" s="443"/>
      <c r="AM1293" s="443"/>
      <c r="AN1293" s="443"/>
      <c r="AO1293" s="443"/>
      <c r="AP1293" s="443"/>
      <c r="AQ1293" s="443"/>
      <c r="AR1293" s="443"/>
      <c r="AS1293" s="443"/>
      <c r="AT1293" s="443"/>
      <c r="AU1293" s="443"/>
      <c r="AV1293" s="443"/>
      <c r="AW1293" s="443"/>
      <c r="AX1293" s="443"/>
      <c r="AY1293" s="443"/>
      <c r="AZ1293" s="443"/>
      <c r="BA1293" s="443"/>
      <c r="BB1293" s="443"/>
      <c r="BC1293" s="443"/>
      <c r="BD1293" s="443"/>
      <c r="BE1293" s="443"/>
    </row>
    <row r="1294">
      <c r="A1294" s="445" t="str">
        <f t="shared" si="5"/>
        <v/>
      </c>
      <c r="B1294" s="443"/>
      <c r="C1294" s="443"/>
      <c r="D1294" s="462"/>
      <c r="E1294" s="436" t="str">
        <f t="array" ref="E1294">IF(B1294=0,"",(J1294+K1294)/60)</f>
        <v/>
      </c>
      <c r="F1294" s="437" t="str">
        <f t="shared" si="1"/>
        <v/>
      </c>
      <c r="G1294" s="438" t="str">
        <f t="shared" si="9"/>
        <v/>
      </c>
      <c r="H1294" s="438" t="str">
        <f t="shared" si="3"/>
        <v/>
      </c>
      <c r="I1294" s="436" t="str">
        <f t="shared" si="11"/>
        <v/>
      </c>
      <c r="J1294" s="464"/>
      <c r="K1294" s="464"/>
      <c r="L1294" s="443"/>
      <c r="M1294" s="443"/>
      <c r="N1294" s="443"/>
      <c r="O1294" s="443"/>
      <c r="P1294" s="443"/>
      <c r="Q1294" s="443"/>
      <c r="R1294" s="443"/>
      <c r="S1294" s="443"/>
      <c r="T1294" s="443"/>
      <c r="U1294" s="443"/>
      <c r="V1294" s="443"/>
      <c r="W1294" s="443"/>
      <c r="X1294" s="443"/>
      <c r="Y1294" s="443"/>
      <c r="Z1294" s="443"/>
      <c r="AA1294" s="443"/>
      <c r="AB1294" s="443"/>
      <c r="AC1294" s="443"/>
      <c r="AD1294" s="443"/>
      <c r="AE1294" s="443"/>
      <c r="AF1294" s="443"/>
      <c r="AG1294" s="443" t="s">
        <v>289</v>
      </c>
      <c r="AH1294" s="443" t="s">
        <v>289</v>
      </c>
      <c r="AI1294" s="443"/>
      <c r="AJ1294" s="443"/>
      <c r="AK1294" s="443"/>
      <c r="AL1294" s="443"/>
      <c r="AM1294" s="443"/>
      <c r="AN1294" s="443"/>
      <c r="AO1294" s="443"/>
      <c r="AP1294" s="443"/>
      <c r="AQ1294" s="443"/>
      <c r="AR1294" s="443"/>
      <c r="AS1294" s="443"/>
      <c r="AT1294" s="443"/>
      <c r="AU1294" s="443"/>
      <c r="AV1294" s="443"/>
      <c r="AW1294" s="443"/>
      <c r="AX1294" s="443"/>
      <c r="AY1294" s="443"/>
      <c r="AZ1294" s="443"/>
      <c r="BA1294" s="443"/>
      <c r="BB1294" s="443"/>
      <c r="BC1294" s="443"/>
      <c r="BD1294" s="443"/>
      <c r="BE1294" s="443"/>
    </row>
    <row r="1295">
      <c r="A1295" s="445" t="str">
        <f t="shared" si="5"/>
        <v/>
      </c>
      <c r="B1295" s="443"/>
      <c r="C1295" s="443"/>
      <c r="D1295" s="462"/>
      <c r="E1295" s="436" t="str">
        <f t="array" ref="E1295">IF(B1295=0,"",(J1295+K1295)/60)</f>
        <v/>
      </c>
      <c r="F1295" s="437" t="str">
        <f t="shared" si="1"/>
        <v/>
      </c>
      <c r="G1295" s="438" t="str">
        <f t="shared" si="9"/>
        <v/>
      </c>
      <c r="H1295" s="438" t="str">
        <f t="shared" si="3"/>
        <v/>
      </c>
      <c r="I1295" s="436" t="str">
        <f t="shared" si="11"/>
        <v/>
      </c>
      <c r="J1295" s="464"/>
      <c r="K1295" s="464"/>
      <c r="L1295" s="443"/>
      <c r="M1295" s="443"/>
      <c r="N1295" s="443"/>
      <c r="O1295" s="443"/>
      <c r="P1295" s="443"/>
      <c r="Q1295" s="443"/>
      <c r="R1295" s="443"/>
      <c r="S1295" s="443"/>
      <c r="T1295" s="443"/>
      <c r="U1295" s="443"/>
      <c r="V1295" s="443"/>
      <c r="W1295" s="443"/>
      <c r="X1295" s="443"/>
      <c r="Y1295" s="443"/>
      <c r="Z1295" s="443"/>
      <c r="AA1295" s="443"/>
      <c r="AB1295" s="443"/>
      <c r="AC1295" s="443"/>
      <c r="AD1295" s="443"/>
      <c r="AE1295" s="443"/>
      <c r="AF1295" s="443"/>
      <c r="AG1295" s="443" t="s">
        <v>289</v>
      </c>
      <c r="AH1295" s="443" t="s">
        <v>289</v>
      </c>
      <c r="AI1295" s="443"/>
      <c r="AJ1295" s="443"/>
      <c r="AK1295" s="443"/>
      <c r="AL1295" s="443"/>
      <c r="AM1295" s="443"/>
      <c r="AN1295" s="443"/>
      <c r="AO1295" s="443"/>
      <c r="AP1295" s="443"/>
      <c r="AQ1295" s="443"/>
      <c r="AR1295" s="443"/>
      <c r="AS1295" s="443"/>
      <c r="AT1295" s="443"/>
      <c r="AU1295" s="443"/>
      <c r="AV1295" s="443"/>
      <c r="AW1295" s="443"/>
      <c r="AX1295" s="443"/>
      <c r="AY1295" s="443"/>
      <c r="AZ1295" s="443"/>
      <c r="BA1295" s="443"/>
      <c r="BB1295" s="443"/>
      <c r="BC1295" s="443"/>
      <c r="BD1295" s="443"/>
      <c r="BE1295" s="443"/>
    </row>
    <row r="1296">
      <c r="A1296" s="445" t="str">
        <f t="shared" si="5"/>
        <v/>
      </c>
      <c r="B1296" s="443"/>
      <c r="C1296" s="443"/>
      <c r="D1296" s="462"/>
      <c r="E1296" s="436" t="str">
        <f t="array" ref="E1296">IF(B1296=0,"",(J1296+K1296)/60)</f>
        <v/>
      </c>
      <c r="F1296" s="437" t="str">
        <f t="shared" si="1"/>
        <v/>
      </c>
      <c r="G1296" s="438" t="str">
        <f t="shared" si="9"/>
        <v/>
      </c>
      <c r="H1296" s="438" t="str">
        <f t="shared" si="3"/>
        <v/>
      </c>
      <c r="I1296" s="436" t="str">
        <f t="shared" si="11"/>
        <v/>
      </c>
      <c r="J1296" s="464"/>
      <c r="K1296" s="464"/>
      <c r="L1296" s="443"/>
      <c r="M1296" s="443"/>
      <c r="N1296" s="443"/>
      <c r="O1296" s="443"/>
      <c r="P1296" s="443"/>
      <c r="Q1296" s="443"/>
      <c r="R1296" s="443"/>
      <c r="S1296" s="443"/>
      <c r="T1296" s="443"/>
      <c r="U1296" s="443"/>
      <c r="V1296" s="443"/>
      <c r="W1296" s="443"/>
      <c r="X1296" s="443"/>
      <c r="Y1296" s="443"/>
      <c r="Z1296" s="443"/>
      <c r="AA1296" s="443"/>
      <c r="AB1296" s="443"/>
      <c r="AC1296" s="443"/>
      <c r="AD1296" s="443"/>
      <c r="AE1296" s="443"/>
      <c r="AF1296" s="443"/>
      <c r="AG1296" s="443" t="s">
        <v>289</v>
      </c>
      <c r="AH1296" s="443" t="s">
        <v>289</v>
      </c>
      <c r="AI1296" s="443"/>
      <c r="AJ1296" s="443"/>
      <c r="AK1296" s="443"/>
      <c r="AL1296" s="443"/>
      <c r="AM1296" s="443"/>
      <c r="AN1296" s="443"/>
      <c r="AO1296" s="443"/>
      <c r="AP1296" s="443"/>
      <c r="AQ1296" s="443"/>
      <c r="AR1296" s="443"/>
      <c r="AS1296" s="443"/>
      <c r="AT1296" s="443"/>
      <c r="AU1296" s="443"/>
      <c r="AV1296" s="443"/>
      <c r="AW1296" s="443"/>
      <c r="AX1296" s="443"/>
      <c r="AY1296" s="443"/>
      <c r="AZ1296" s="443"/>
      <c r="BA1296" s="443"/>
      <c r="BB1296" s="443"/>
      <c r="BC1296" s="443"/>
      <c r="BD1296" s="443"/>
      <c r="BE1296" s="443"/>
    </row>
    <row r="1297">
      <c r="A1297" s="445" t="str">
        <f t="shared" si="5"/>
        <v/>
      </c>
      <c r="B1297" s="443"/>
      <c r="C1297" s="443"/>
      <c r="D1297" s="462"/>
      <c r="E1297" s="436" t="str">
        <f t="array" ref="E1297">IF(B1297=0,"",(J1297+K1297)/60)</f>
        <v/>
      </c>
      <c r="F1297" s="437" t="str">
        <f t="shared" si="1"/>
        <v/>
      </c>
      <c r="G1297" s="438" t="str">
        <f t="shared" si="9"/>
        <v/>
      </c>
      <c r="H1297" s="438" t="str">
        <f t="shared" si="3"/>
        <v/>
      </c>
      <c r="I1297" s="436" t="str">
        <f t="shared" si="11"/>
        <v/>
      </c>
      <c r="J1297" s="464"/>
      <c r="K1297" s="464"/>
      <c r="L1297" s="443"/>
      <c r="M1297" s="443"/>
      <c r="N1297" s="443"/>
      <c r="O1297" s="443"/>
      <c r="P1297" s="443"/>
      <c r="Q1297" s="443"/>
      <c r="R1297" s="443"/>
      <c r="S1297" s="443"/>
      <c r="T1297" s="443"/>
      <c r="U1297" s="443"/>
      <c r="V1297" s="443"/>
      <c r="W1297" s="443"/>
      <c r="X1297" s="443"/>
      <c r="Y1297" s="443"/>
      <c r="Z1297" s="443"/>
      <c r="AA1297" s="443"/>
      <c r="AB1297" s="443"/>
      <c r="AC1297" s="443"/>
      <c r="AD1297" s="443"/>
      <c r="AE1297" s="443"/>
      <c r="AF1297" s="443"/>
      <c r="AG1297" s="443" t="s">
        <v>289</v>
      </c>
      <c r="AH1297" s="443" t="s">
        <v>289</v>
      </c>
      <c r="AI1297" s="443"/>
      <c r="AJ1297" s="443"/>
      <c r="AK1297" s="443"/>
      <c r="AL1297" s="443"/>
      <c r="AM1297" s="443"/>
      <c r="AN1297" s="443"/>
      <c r="AO1297" s="443"/>
      <c r="AP1297" s="443"/>
      <c r="AQ1297" s="443"/>
      <c r="AR1297" s="443"/>
      <c r="AS1297" s="443"/>
      <c r="AT1297" s="443"/>
      <c r="AU1297" s="443"/>
      <c r="AV1297" s="443"/>
      <c r="AW1297" s="443"/>
      <c r="AX1297" s="443"/>
      <c r="AY1297" s="443"/>
      <c r="AZ1297" s="443"/>
      <c r="BA1297" s="443"/>
      <c r="BB1297" s="443"/>
      <c r="BC1297" s="443"/>
      <c r="BD1297" s="443"/>
      <c r="BE1297" s="443"/>
    </row>
    <row r="1298">
      <c r="A1298" s="445" t="str">
        <f t="shared" si="5"/>
        <v/>
      </c>
      <c r="B1298" s="443"/>
      <c r="C1298" s="443"/>
      <c r="D1298" s="462"/>
      <c r="E1298" s="436" t="str">
        <f t="array" ref="E1298">IF(B1298=0,"",(J1298+K1298)/60)</f>
        <v/>
      </c>
      <c r="F1298" s="437" t="str">
        <f t="shared" si="1"/>
        <v/>
      </c>
      <c r="G1298" s="438" t="str">
        <f t="shared" si="9"/>
        <v/>
      </c>
      <c r="H1298" s="438" t="str">
        <f t="shared" si="3"/>
        <v/>
      </c>
      <c r="I1298" s="436" t="str">
        <f t="shared" si="11"/>
        <v/>
      </c>
      <c r="J1298" s="464"/>
      <c r="K1298" s="464"/>
      <c r="L1298" s="443"/>
      <c r="M1298" s="443"/>
      <c r="N1298" s="443"/>
      <c r="O1298" s="443"/>
      <c r="P1298" s="443"/>
      <c r="Q1298" s="443"/>
      <c r="R1298" s="443"/>
      <c r="S1298" s="443"/>
      <c r="T1298" s="443"/>
      <c r="U1298" s="443"/>
      <c r="V1298" s="443"/>
      <c r="W1298" s="443"/>
      <c r="X1298" s="443"/>
      <c r="Y1298" s="443"/>
      <c r="Z1298" s="443"/>
      <c r="AA1298" s="443"/>
      <c r="AB1298" s="443"/>
      <c r="AC1298" s="443"/>
      <c r="AD1298" s="443"/>
      <c r="AE1298" s="443"/>
      <c r="AF1298" s="443"/>
      <c r="AG1298" s="443" t="s">
        <v>289</v>
      </c>
      <c r="AH1298" s="443" t="s">
        <v>289</v>
      </c>
      <c r="AI1298" s="443"/>
      <c r="AJ1298" s="443"/>
      <c r="AK1298" s="443"/>
      <c r="AL1298" s="443"/>
      <c r="AM1298" s="443"/>
      <c r="AN1298" s="443"/>
      <c r="AO1298" s="443"/>
      <c r="AP1298" s="443"/>
      <c r="AQ1298" s="443"/>
      <c r="AR1298" s="443"/>
      <c r="AS1298" s="443"/>
      <c r="AT1298" s="443"/>
      <c r="AU1298" s="443"/>
      <c r="AV1298" s="443"/>
      <c r="AW1298" s="443"/>
      <c r="AX1298" s="443"/>
      <c r="AY1298" s="443"/>
      <c r="AZ1298" s="443"/>
      <c r="BA1298" s="443"/>
      <c r="BB1298" s="443"/>
      <c r="BC1298" s="443"/>
      <c r="BD1298" s="443"/>
      <c r="BE1298" s="443"/>
    </row>
    <row r="1299">
      <c r="A1299" s="445" t="str">
        <f t="shared" si="5"/>
        <v/>
      </c>
      <c r="B1299" s="443"/>
      <c r="C1299" s="443"/>
      <c r="D1299" s="462"/>
      <c r="E1299" s="436" t="str">
        <f t="array" ref="E1299">IF(B1299=0,"",(J1299+K1299)/60)</f>
        <v/>
      </c>
      <c r="F1299" s="437" t="str">
        <f t="shared" si="1"/>
        <v/>
      </c>
      <c r="G1299" s="438" t="str">
        <f t="shared" si="9"/>
        <v/>
      </c>
      <c r="H1299" s="438" t="str">
        <f t="shared" si="3"/>
        <v/>
      </c>
      <c r="I1299" s="436" t="str">
        <f t="shared" si="11"/>
        <v/>
      </c>
      <c r="J1299" s="464"/>
      <c r="K1299" s="464"/>
      <c r="L1299" s="443"/>
      <c r="M1299" s="443"/>
      <c r="N1299" s="443"/>
      <c r="O1299" s="443"/>
      <c r="P1299" s="443"/>
      <c r="Q1299" s="443"/>
      <c r="R1299" s="443"/>
      <c r="S1299" s="443"/>
      <c r="T1299" s="443"/>
      <c r="U1299" s="443"/>
      <c r="V1299" s="443"/>
      <c r="W1299" s="443"/>
      <c r="X1299" s="443"/>
      <c r="Y1299" s="443"/>
      <c r="Z1299" s="443"/>
      <c r="AA1299" s="443"/>
      <c r="AB1299" s="443"/>
      <c r="AC1299" s="443"/>
      <c r="AD1299" s="443"/>
      <c r="AE1299" s="443"/>
      <c r="AF1299" s="443"/>
      <c r="AG1299" s="443" t="s">
        <v>289</v>
      </c>
      <c r="AH1299" s="443" t="s">
        <v>289</v>
      </c>
      <c r="AI1299" s="443"/>
      <c r="AJ1299" s="443"/>
      <c r="AK1299" s="443"/>
      <c r="AL1299" s="443"/>
      <c r="AM1299" s="443"/>
      <c r="AN1299" s="443"/>
      <c r="AO1299" s="443"/>
      <c r="AP1299" s="443"/>
      <c r="AQ1299" s="443"/>
      <c r="AR1299" s="443"/>
      <c r="AS1299" s="443"/>
      <c r="AT1299" s="443"/>
      <c r="AU1299" s="443"/>
      <c r="AV1299" s="443"/>
      <c r="AW1299" s="443"/>
      <c r="AX1299" s="443"/>
      <c r="AY1299" s="443"/>
      <c r="AZ1299" s="443"/>
      <c r="BA1299" s="443"/>
      <c r="BB1299" s="443"/>
      <c r="BC1299" s="443"/>
      <c r="BD1299" s="443"/>
      <c r="BE1299" s="443"/>
    </row>
    <row r="1300">
      <c r="A1300" s="445" t="str">
        <f t="shared" si="5"/>
        <v/>
      </c>
      <c r="B1300" s="443"/>
      <c r="C1300" s="443"/>
      <c r="D1300" s="462"/>
      <c r="E1300" s="436" t="str">
        <f t="array" ref="E1300">IF(B1300=0,"",(J1300+K1300)/60)</f>
        <v/>
      </c>
      <c r="F1300" s="437" t="str">
        <f t="shared" si="1"/>
        <v/>
      </c>
      <c r="G1300" s="438" t="str">
        <f t="shared" si="9"/>
        <v/>
      </c>
      <c r="H1300" s="438" t="str">
        <f t="shared" si="3"/>
        <v/>
      </c>
      <c r="I1300" s="436" t="str">
        <f t="shared" si="11"/>
        <v/>
      </c>
      <c r="J1300" s="464"/>
      <c r="K1300" s="464"/>
      <c r="L1300" s="443"/>
      <c r="M1300" s="443"/>
      <c r="N1300" s="443"/>
      <c r="O1300" s="443"/>
      <c r="P1300" s="443"/>
      <c r="Q1300" s="443"/>
      <c r="R1300" s="443"/>
      <c r="S1300" s="443"/>
      <c r="T1300" s="443"/>
      <c r="U1300" s="443"/>
      <c r="V1300" s="443"/>
      <c r="W1300" s="443"/>
      <c r="X1300" s="443"/>
      <c r="Y1300" s="443"/>
      <c r="Z1300" s="443"/>
      <c r="AA1300" s="443"/>
      <c r="AB1300" s="443"/>
      <c r="AC1300" s="443"/>
      <c r="AD1300" s="443"/>
      <c r="AE1300" s="443"/>
      <c r="AF1300" s="443"/>
      <c r="AG1300" s="443" t="s">
        <v>289</v>
      </c>
      <c r="AH1300" s="443" t="s">
        <v>289</v>
      </c>
      <c r="AI1300" s="443"/>
      <c r="AJ1300" s="443"/>
      <c r="AK1300" s="443"/>
      <c r="AL1300" s="443"/>
      <c r="AM1300" s="443"/>
      <c r="AN1300" s="443"/>
      <c r="AO1300" s="443"/>
      <c r="AP1300" s="443"/>
      <c r="AQ1300" s="443"/>
      <c r="AR1300" s="443"/>
      <c r="AS1300" s="443"/>
      <c r="AT1300" s="443"/>
      <c r="AU1300" s="443"/>
      <c r="AV1300" s="443"/>
      <c r="AW1300" s="443"/>
      <c r="AX1300" s="443"/>
      <c r="AY1300" s="443"/>
      <c r="AZ1300" s="443"/>
      <c r="BA1300" s="443"/>
      <c r="BB1300" s="443"/>
      <c r="BC1300" s="443"/>
      <c r="BD1300" s="443"/>
      <c r="BE1300" s="443"/>
    </row>
    <row r="1301">
      <c r="A1301" s="445" t="str">
        <f t="shared" si="5"/>
        <v/>
      </c>
      <c r="B1301" s="443"/>
      <c r="C1301" s="443"/>
      <c r="D1301" s="462"/>
      <c r="E1301" s="436" t="str">
        <f t="array" ref="E1301">IF(B1301=0,"",(J1301+K1301)/60)</f>
        <v/>
      </c>
      <c r="F1301" s="437" t="str">
        <f t="shared" si="1"/>
        <v/>
      </c>
      <c r="G1301" s="438" t="str">
        <f t="shared" si="9"/>
        <v/>
      </c>
      <c r="H1301" s="438" t="str">
        <f t="shared" si="3"/>
        <v/>
      </c>
      <c r="I1301" s="436" t="str">
        <f t="shared" si="11"/>
        <v/>
      </c>
      <c r="J1301" s="464"/>
      <c r="K1301" s="464"/>
      <c r="L1301" s="443"/>
      <c r="M1301" s="443"/>
      <c r="N1301" s="443"/>
      <c r="O1301" s="443"/>
      <c r="P1301" s="443"/>
      <c r="Q1301" s="443"/>
      <c r="R1301" s="443"/>
      <c r="S1301" s="443"/>
      <c r="T1301" s="443"/>
      <c r="U1301" s="443"/>
      <c r="V1301" s="443"/>
      <c r="W1301" s="443"/>
      <c r="X1301" s="443"/>
      <c r="Y1301" s="443"/>
      <c r="Z1301" s="443"/>
      <c r="AA1301" s="443"/>
      <c r="AB1301" s="443"/>
      <c r="AC1301" s="443"/>
      <c r="AD1301" s="443"/>
      <c r="AE1301" s="443"/>
      <c r="AF1301" s="443"/>
      <c r="AG1301" s="443" t="s">
        <v>289</v>
      </c>
      <c r="AH1301" s="443" t="s">
        <v>289</v>
      </c>
      <c r="AI1301" s="443"/>
      <c r="AJ1301" s="443"/>
      <c r="AK1301" s="443"/>
      <c r="AL1301" s="443"/>
      <c r="AM1301" s="443"/>
      <c r="AN1301" s="443"/>
      <c r="AO1301" s="443"/>
      <c r="AP1301" s="443"/>
      <c r="AQ1301" s="443"/>
      <c r="AR1301" s="443"/>
      <c r="AS1301" s="443"/>
      <c r="AT1301" s="443"/>
      <c r="AU1301" s="443"/>
      <c r="AV1301" s="443"/>
      <c r="AW1301" s="443"/>
      <c r="AX1301" s="443"/>
      <c r="AY1301" s="443"/>
      <c r="AZ1301" s="443"/>
      <c r="BA1301" s="443"/>
      <c r="BB1301" s="443"/>
      <c r="BC1301" s="443"/>
      <c r="BD1301" s="443"/>
      <c r="BE1301" s="443"/>
    </row>
    <row r="1302">
      <c r="A1302" s="445" t="str">
        <f t="shared" si="5"/>
        <v/>
      </c>
      <c r="B1302" s="443"/>
      <c r="C1302" s="443"/>
      <c r="D1302" s="462"/>
      <c r="E1302" s="436" t="str">
        <f t="array" ref="E1302">IF(B1302=0,"",(J1302+K1302)/60)</f>
        <v/>
      </c>
      <c r="F1302" s="437" t="str">
        <f t="shared" si="1"/>
        <v/>
      </c>
      <c r="G1302" s="438" t="str">
        <f t="shared" si="9"/>
        <v/>
      </c>
      <c r="H1302" s="438" t="str">
        <f t="shared" si="3"/>
        <v/>
      </c>
      <c r="I1302" s="436" t="str">
        <f t="shared" si="11"/>
        <v/>
      </c>
      <c r="J1302" s="464"/>
      <c r="K1302" s="464"/>
      <c r="L1302" s="443"/>
      <c r="M1302" s="443"/>
      <c r="N1302" s="443"/>
      <c r="O1302" s="443"/>
      <c r="P1302" s="443"/>
      <c r="Q1302" s="443"/>
      <c r="R1302" s="443"/>
      <c r="S1302" s="443"/>
      <c r="T1302" s="443"/>
      <c r="U1302" s="443"/>
      <c r="V1302" s="443"/>
      <c r="W1302" s="443"/>
      <c r="X1302" s="443"/>
      <c r="Y1302" s="443"/>
      <c r="Z1302" s="443"/>
      <c r="AA1302" s="443"/>
      <c r="AB1302" s="443"/>
      <c r="AC1302" s="443"/>
      <c r="AD1302" s="443"/>
      <c r="AE1302" s="443"/>
      <c r="AF1302" s="443"/>
      <c r="AG1302" s="443" t="s">
        <v>289</v>
      </c>
      <c r="AH1302" s="443" t="s">
        <v>289</v>
      </c>
      <c r="AI1302" s="443"/>
      <c r="AJ1302" s="443"/>
      <c r="AK1302" s="443"/>
      <c r="AL1302" s="443"/>
      <c r="AM1302" s="443"/>
      <c r="AN1302" s="443"/>
      <c r="AO1302" s="443"/>
      <c r="AP1302" s="443"/>
      <c r="AQ1302" s="443"/>
      <c r="AR1302" s="443"/>
      <c r="AS1302" s="443"/>
      <c r="AT1302" s="443"/>
      <c r="AU1302" s="443"/>
      <c r="AV1302" s="443"/>
      <c r="AW1302" s="443"/>
      <c r="AX1302" s="443"/>
      <c r="AY1302" s="443"/>
      <c r="AZ1302" s="443"/>
      <c r="BA1302" s="443"/>
      <c r="BB1302" s="443"/>
      <c r="BC1302" s="443"/>
      <c r="BD1302" s="443"/>
      <c r="BE1302" s="443"/>
    </row>
    <row r="1303">
      <c r="A1303" s="445" t="str">
        <f t="shared" si="5"/>
        <v/>
      </c>
      <c r="B1303" s="443"/>
      <c r="C1303" s="443"/>
      <c r="D1303" s="462"/>
      <c r="E1303" s="436" t="str">
        <f t="array" ref="E1303">IF(B1303=0,"",(J1303+K1303)/60)</f>
        <v/>
      </c>
      <c r="F1303" s="437" t="str">
        <f t="shared" si="1"/>
        <v/>
      </c>
      <c r="G1303" s="438" t="str">
        <f t="shared" si="9"/>
        <v/>
      </c>
      <c r="H1303" s="438" t="str">
        <f t="shared" si="3"/>
        <v/>
      </c>
      <c r="I1303" s="436" t="str">
        <f t="shared" si="11"/>
        <v/>
      </c>
      <c r="J1303" s="464"/>
      <c r="K1303" s="464"/>
      <c r="L1303" s="443"/>
      <c r="M1303" s="443"/>
      <c r="N1303" s="443"/>
      <c r="O1303" s="443"/>
      <c r="P1303" s="443"/>
      <c r="Q1303" s="443"/>
      <c r="R1303" s="443"/>
      <c r="S1303" s="443"/>
      <c r="T1303" s="443"/>
      <c r="U1303" s="443"/>
      <c r="V1303" s="443"/>
      <c r="W1303" s="443"/>
      <c r="X1303" s="443"/>
      <c r="Y1303" s="443"/>
      <c r="Z1303" s="443"/>
      <c r="AA1303" s="443"/>
      <c r="AB1303" s="443"/>
      <c r="AC1303" s="443"/>
      <c r="AD1303" s="443"/>
      <c r="AE1303" s="443"/>
      <c r="AF1303" s="443"/>
      <c r="AG1303" s="443" t="s">
        <v>289</v>
      </c>
      <c r="AH1303" s="443" t="s">
        <v>289</v>
      </c>
      <c r="AI1303" s="443"/>
      <c r="AJ1303" s="443"/>
      <c r="AK1303" s="443"/>
      <c r="AL1303" s="443"/>
      <c r="AM1303" s="443"/>
      <c r="AN1303" s="443"/>
      <c r="AO1303" s="443"/>
      <c r="AP1303" s="443"/>
      <c r="AQ1303" s="443"/>
      <c r="AR1303" s="443"/>
      <c r="AS1303" s="443"/>
      <c r="AT1303" s="443"/>
      <c r="AU1303" s="443"/>
      <c r="AV1303" s="443"/>
      <c r="AW1303" s="443"/>
      <c r="AX1303" s="443"/>
      <c r="AY1303" s="443"/>
      <c r="AZ1303" s="443"/>
      <c r="BA1303" s="443"/>
      <c r="BB1303" s="443"/>
      <c r="BC1303" s="443"/>
      <c r="BD1303" s="443"/>
      <c r="BE1303" s="443"/>
    </row>
    <row r="1304">
      <c r="A1304" s="445" t="str">
        <f t="shared" si="5"/>
        <v/>
      </c>
      <c r="B1304" s="443"/>
      <c r="C1304" s="443"/>
      <c r="D1304" s="462"/>
      <c r="E1304" s="436" t="str">
        <f t="array" ref="E1304">IF(B1304=0,"",(J1304+K1304)/60)</f>
        <v/>
      </c>
      <c r="F1304" s="437" t="str">
        <f t="shared" si="1"/>
        <v/>
      </c>
      <c r="G1304" s="438" t="str">
        <f t="shared" si="9"/>
        <v/>
      </c>
      <c r="H1304" s="438" t="str">
        <f t="shared" si="3"/>
        <v/>
      </c>
      <c r="I1304" s="436" t="str">
        <f t="shared" si="11"/>
        <v/>
      </c>
      <c r="J1304" s="464"/>
      <c r="K1304" s="464"/>
      <c r="L1304" s="443"/>
      <c r="M1304" s="443"/>
      <c r="N1304" s="443"/>
      <c r="O1304" s="443"/>
      <c r="P1304" s="443"/>
      <c r="Q1304" s="443"/>
      <c r="R1304" s="443"/>
      <c r="S1304" s="443"/>
      <c r="T1304" s="443"/>
      <c r="U1304" s="443"/>
      <c r="V1304" s="443"/>
      <c r="W1304" s="443"/>
      <c r="X1304" s="443"/>
      <c r="Y1304" s="443"/>
      <c r="Z1304" s="443"/>
      <c r="AA1304" s="443"/>
      <c r="AB1304" s="443"/>
      <c r="AC1304" s="443"/>
      <c r="AD1304" s="443"/>
      <c r="AE1304" s="443"/>
      <c r="AF1304" s="443"/>
      <c r="AG1304" s="443" t="s">
        <v>289</v>
      </c>
      <c r="AH1304" s="443" t="s">
        <v>289</v>
      </c>
      <c r="AI1304" s="443"/>
      <c r="AJ1304" s="443"/>
      <c r="AK1304" s="443"/>
      <c r="AL1304" s="443"/>
      <c r="AM1304" s="443"/>
      <c r="AN1304" s="443"/>
      <c r="AO1304" s="443"/>
      <c r="AP1304" s="443"/>
      <c r="AQ1304" s="443"/>
      <c r="AR1304" s="443"/>
      <c r="AS1304" s="443"/>
      <c r="AT1304" s="443"/>
      <c r="AU1304" s="443"/>
      <c r="AV1304" s="443"/>
      <c r="AW1304" s="443"/>
      <c r="AX1304" s="443"/>
      <c r="AY1304" s="443"/>
      <c r="AZ1304" s="443"/>
      <c r="BA1304" s="443"/>
      <c r="BB1304" s="443"/>
      <c r="BC1304" s="443"/>
      <c r="BD1304" s="443"/>
      <c r="BE1304" s="443"/>
    </row>
    <row r="1305">
      <c r="A1305" s="445" t="str">
        <f t="shared" si="5"/>
        <v/>
      </c>
      <c r="B1305" s="443"/>
      <c r="C1305" s="443"/>
      <c r="D1305" s="462"/>
      <c r="E1305" s="436" t="str">
        <f t="array" ref="E1305">IF(B1305=0,"",(J1305+K1305)/60)</f>
        <v/>
      </c>
      <c r="F1305" s="437" t="str">
        <f t="shared" si="1"/>
        <v/>
      </c>
      <c r="G1305" s="438" t="str">
        <f t="shared" si="9"/>
        <v/>
      </c>
      <c r="H1305" s="438" t="str">
        <f t="shared" si="3"/>
        <v/>
      </c>
      <c r="I1305" s="436" t="str">
        <f t="shared" si="11"/>
        <v/>
      </c>
      <c r="J1305" s="464"/>
      <c r="K1305" s="464"/>
      <c r="L1305" s="443"/>
      <c r="M1305" s="443"/>
      <c r="N1305" s="443"/>
      <c r="O1305" s="443"/>
      <c r="P1305" s="443"/>
      <c r="Q1305" s="443"/>
      <c r="R1305" s="443"/>
      <c r="S1305" s="443"/>
      <c r="T1305" s="443"/>
      <c r="U1305" s="443"/>
      <c r="V1305" s="443"/>
      <c r="W1305" s="443"/>
      <c r="X1305" s="443"/>
      <c r="Y1305" s="443"/>
      <c r="Z1305" s="443"/>
      <c r="AA1305" s="443"/>
      <c r="AB1305" s="443"/>
      <c r="AC1305" s="443"/>
      <c r="AD1305" s="443"/>
      <c r="AE1305" s="443"/>
      <c r="AF1305" s="443"/>
      <c r="AG1305" s="443" t="s">
        <v>289</v>
      </c>
      <c r="AH1305" s="443" t="s">
        <v>289</v>
      </c>
      <c r="AI1305" s="443"/>
      <c r="AJ1305" s="443"/>
      <c r="AK1305" s="443"/>
      <c r="AL1305" s="443"/>
      <c r="AM1305" s="443"/>
      <c r="AN1305" s="443"/>
      <c r="AO1305" s="443"/>
      <c r="AP1305" s="443"/>
      <c r="AQ1305" s="443"/>
      <c r="AR1305" s="443"/>
      <c r="AS1305" s="443"/>
      <c r="AT1305" s="443"/>
      <c r="AU1305" s="443"/>
      <c r="AV1305" s="443"/>
      <c r="AW1305" s="443"/>
      <c r="AX1305" s="443"/>
      <c r="AY1305" s="443"/>
      <c r="AZ1305" s="443"/>
      <c r="BA1305" s="443"/>
      <c r="BB1305" s="443"/>
      <c r="BC1305" s="443"/>
      <c r="BD1305" s="443"/>
      <c r="BE1305" s="443"/>
    </row>
    <row r="1306">
      <c r="A1306" s="445" t="str">
        <f t="shared" si="5"/>
        <v/>
      </c>
      <c r="B1306" s="443"/>
      <c r="C1306" s="443"/>
      <c r="D1306" s="462"/>
      <c r="E1306" s="436" t="str">
        <f t="array" ref="E1306">IF(B1306=0,"",(J1306+K1306)/60)</f>
        <v/>
      </c>
      <c r="F1306" s="437" t="str">
        <f t="shared" si="1"/>
        <v/>
      </c>
      <c r="G1306" s="438" t="str">
        <f t="shared" si="9"/>
        <v/>
      </c>
      <c r="H1306" s="438" t="str">
        <f t="shared" si="3"/>
        <v/>
      </c>
      <c r="I1306" s="436" t="str">
        <f t="shared" si="11"/>
        <v/>
      </c>
      <c r="J1306" s="464"/>
      <c r="K1306" s="464"/>
      <c r="L1306" s="443"/>
      <c r="M1306" s="443"/>
      <c r="N1306" s="443"/>
      <c r="O1306" s="443"/>
      <c r="P1306" s="443"/>
      <c r="Q1306" s="443"/>
      <c r="R1306" s="443"/>
      <c r="S1306" s="443"/>
      <c r="T1306" s="443"/>
      <c r="U1306" s="443"/>
      <c r="V1306" s="443"/>
      <c r="W1306" s="443"/>
      <c r="X1306" s="443"/>
      <c r="Y1306" s="443"/>
      <c r="Z1306" s="443"/>
      <c r="AA1306" s="443"/>
      <c r="AB1306" s="443"/>
      <c r="AC1306" s="443"/>
      <c r="AD1306" s="443"/>
      <c r="AE1306" s="443"/>
      <c r="AF1306" s="443"/>
      <c r="AG1306" s="443" t="s">
        <v>289</v>
      </c>
      <c r="AH1306" s="443" t="s">
        <v>289</v>
      </c>
      <c r="AI1306" s="443"/>
      <c r="AJ1306" s="443"/>
      <c r="AK1306" s="443"/>
      <c r="AL1306" s="443"/>
      <c r="AM1306" s="443"/>
      <c r="AN1306" s="443"/>
      <c r="AO1306" s="443"/>
      <c r="AP1306" s="443"/>
      <c r="AQ1306" s="443"/>
      <c r="AR1306" s="443"/>
      <c r="AS1306" s="443"/>
      <c r="AT1306" s="443"/>
      <c r="AU1306" s="443"/>
      <c r="AV1306" s="443"/>
      <c r="AW1306" s="443"/>
      <c r="AX1306" s="443"/>
      <c r="AY1306" s="443"/>
      <c r="AZ1306" s="443"/>
      <c r="BA1306" s="443"/>
      <c r="BB1306" s="443"/>
      <c r="BC1306" s="443"/>
      <c r="BD1306" s="443"/>
      <c r="BE1306" s="443"/>
    </row>
    <row r="1307">
      <c r="A1307" s="445" t="str">
        <f t="shared" si="5"/>
        <v/>
      </c>
      <c r="B1307" s="443"/>
      <c r="C1307" s="443"/>
      <c r="D1307" s="462"/>
      <c r="E1307" s="436" t="str">
        <f t="array" ref="E1307">IF(B1307=0,"",(J1307+K1307)/60)</f>
        <v/>
      </c>
      <c r="F1307" s="437" t="str">
        <f t="shared" si="1"/>
        <v/>
      </c>
      <c r="G1307" s="438" t="str">
        <f t="shared" si="9"/>
        <v/>
      </c>
      <c r="H1307" s="438" t="str">
        <f t="shared" si="3"/>
        <v/>
      </c>
      <c r="I1307" s="436" t="str">
        <f t="shared" si="11"/>
        <v/>
      </c>
      <c r="J1307" s="464"/>
      <c r="K1307" s="464"/>
      <c r="L1307" s="443"/>
      <c r="M1307" s="443"/>
      <c r="N1307" s="443"/>
      <c r="O1307" s="443"/>
      <c r="P1307" s="443"/>
      <c r="Q1307" s="443"/>
      <c r="R1307" s="443"/>
      <c r="S1307" s="443"/>
      <c r="T1307" s="443"/>
      <c r="U1307" s="443"/>
      <c r="V1307" s="443"/>
      <c r="W1307" s="443"/>
      <c r="X1307" s="443"/>
      <c r="Y1307" s="443"/>
      <c r="Z1307" s="443"/>
      <c r="AA1307" s="443"/>
      <c r="AB1307" s="443"/>
      <c r="AC1307" s="443"/>
      <c r="AD1307" s="443"/>
      <c r="AE1307" s="443"/>
      <c r="AF1307" s="443"/>
      <c r="AG1307" s="443" t="s">
        <v>289</v>
      </c>
      <c r="AH1307" s="443" t="s">
        <v>289</v>
      </c>
      <c r="AI1307" s="443"/>
      <c r="AJ1307" s="443"/>
      <c r="AK1307" s="443"/>
      <c r="AL1307" s="443"/>
      <c r="AM1307" s="443"/>
      <c r="AN1307" s="443"/>
      <c r="AO1307" s="443"/>
      <c r="AP1307" s="443"/>
      <c r="AQ1307" s="443"/>
      <c r="AR1307" s="443"/>
      <c r="AS1307" s="443"/>
      <c r="AT1307" s="443"/>
      <c r="AU1307" s="443"/>
      <c r="AV1307" s="443"/>
      <c r="AW1307" s="443"/>
      <c r="AX1307" s="443"/>
      <c r="AY1307" s="443"/>
      <c r="AZ1307" s="443"/>
      <c r="BA1307" s="443"/>
      <c r="BB1307" s="443"/>
      <c r="BC1307" s="443"/>
      <c r="BD1307" s="443"/>
      <c r="BE1307" s="443"/>
    </row>
    <row r="1308">
      <c r="A1308" s="445" t="str">
        <f t="shared" si="5"/>
        <v/>
      </c>
      <c r="B1308" s="443"/>
      <c r="C1308" s="443"/>
      <c r="D1308" s="462"/>
      <c r="E1308" s="436" t="str">
        <f t="array" ref="E1308">IF(B1308=0,"",(J1308+K1308)/60)</f>
        <v/>
      </c>
      <c r="F1308" s="437" t="str">
        <f t="shared" si="1"/>
        <v/>
      </c>
      <c r="G1308" s="438" t="str">
        <f t="shared" si="9"/>
        <v/>
      </c>
      <c r="H1308" s="438" t="str">
        <f t="shared" si="3"/>
        <v/>
      </c>
      <c r="I1308" s="436" t="str">
        <f t="shared" si="11"/>
        <v/>
      </c>
      <c r="J1308" s="464"/>
      <c r="K1308" s="464"/>
      <c r="L1308" s="443"/>
      <c r="M1308" s="443"/>
      <c r="N1308" s="443"/>
      <c r="O1308" s="443"/>
      <c r="P1308" s="443"/>
      <c r="Q1308" s="443"/>
      <c r="R1308" s="443"/>
      <c r="S1308" s="443"/>
      <c r="T1308" s="443"/>
      <c r="U1308" s="443"/>
      <c r="V1308" s="443"/>
      <c r="W1308" s="443"/>
      <c r="X1308" s="443"/>
      <c r="Y1308" s="443"/>
      <c r="Z1308" s="443"/>
      <c r="AA1308" s="443"/>
      <c r="AB1308" s="443"/>
      <c r="AC1308" s="443"/>
      <c r="AD1308" s="443"/>
      <c r="AE1308" s="443"/>
      <c r="AF1308" s="443"/>
      <c r="AG1308" s="443" t="s">
        <v>289</v>
      </c>
      <c r="AH1308" s="443" t="s">
        <v>289</v>
      </c>
      <c r="AI1308" s="443"/>
      <c r="AJ1308" s="443"/>
      <c r="AK1308" s="443"/>
      <c r="AL1308" s="443"/>
      <c r="AM1308" s="443"/>
      <c r="AN1308" s="443"/>
      <c r="AO1308" s="443"/>
      <c r="AP1308" s="443"/>
      <c r="AQ1308" s="443"/>
      <c r="AR1308" s="443"/>
      <c r="AS1308" s="443"/>
      <c r="AT1308" s="443"/>
      <c r="AU1308" s="443"/>
      <c r="AV1308" s="443"/>
      <c r="AW1308" s="443"/>
      <c r="AX1308" s="443"/>
      <c r="AY1308" s="443"/>
      <c r="AZ1308" s="443"/>
      <c r="BA1308" s="443"/>
      <c r="BB1308" s="443"/>
      <c r="BC1308" s="443"/>
      <c r="BD1308" s="443"/>
      <c r="BE1308" s="443"/>
    </row>
    <row r="1309">
      <c r="A1309" s="445" t="str">
        <f t="shared" si="5"/>
        <v/>
      </c>
      <c r="B1309" s="443"/>
      <c r="C1309" s="443"/>
      <c r="D1309" s="462"/>
      <c r="E1309" s="436" t="str">
        <f t="array" ref="E1309">IF(B1309=0,"",(J1309+K1309)/60)</f>
        <v/>
      </c>
      <c r="F1309" s="437" t="str">
        <f t="shared" si="1"/>
        <v/>
      </c>
      <c r="G1309" s="438" t="str">
        <f t="shared" si="9"/>
        <v/>
      </c>
      <c r="H1309" s="438" t="str">
        <f t="shared" si="3"/>
        <v/>
      </c>
      <c r="I1309" s="436" t="str">
        <f t="shared" si="11"/>
        <v/>
      </c>
      <c r="J1309" s="464"/>
      <c r="K1309" s="464"/>
      <c r="L1309" s="443"/>
      <c r="M1309" s="443"/>
      <c r="N1309" s="443"/>
      <c r="O1309" s="443"/>
      <c r="P1309" s="443"/>
      <c r="Q1309" s="443"/>
      <c r="R1309" s="443"/>
      <c r="S1309" s="443"/>
      <c r="T1309" s="443"/>
      <c r="U1309" s="443"/>
      <c r="V1309" s="443"/>
      <c r="W1309" s="443"/>
      <c r="X1309" s="443"/>
      <c r="Y1309" s="443"/>
      <c r="Z1309" s="443"/>
      <c r="AA1309" s="443"/>
      <c r="AB1309" s="443"/>
      <c r="AC1309" s="443"/>
      <c r="AD1309" s="443"/>
      <c r="AE1309" s="443"/>
      <c r="AF1309" s="443"/>
      <c r="AG1309" s="443" t="s">
        <v>289</v>
      </c>
      <c r="AH1309" s="443" t="s">
        <v>289</v>
      </c>
      <c r="AI1309" s="443"/>
      <c r="AJ1309" s="443"/>
      <c r="AK1309" s="443"/>
      <c r="AL1309" s="443"/>
      <c r="AM1309" s="443"/>
      <c r="AN1309" s="443"/>
      <c r="AO1309" s="443"/>
      <c r="AP1309" s="443"/>
      <c r="AQ1309" s="443"/>
      <c r="AR1309" s="443"/>
      <c r="AS1309" s="443"/>
      <c r="AT1309" s="443"/>
      <c r="AU1309" s="443"/>
      <c r="AV1309" s="443"/>
      <c r="AW1309" s="443"/>
      <c r="AX1309" s="443"/>
      <c r="AY1309" s="443"/>
      <c r="AZ1309" s="443"/>
      <c r="BA1309" s="443"/>
      <c r="BB1309" s="443"/>
      <c r="BC1309" s="443"/>
      <c r="BD1309" s="443"/>
      <c r="BE1309" s="443"/>
    </row>
    <row r="1310">
      <c r="A1310" s="445" t="str">
        <f t="shared" si="5"/>
        <v/>
      </c>
      <c r="B1310" s="443"/>
      <c r="C1310" s="443"/>
      <c r="D1310" s="462"/>
      <c r="E1310" s="436" t="str">
        <f t="array" ref="E1310">IF(B1310=0,"",(J1310+K1310)/60)</f>
        <v/>
      </c>
      <c r="F1310" s="437" t="str">
        <f t="shared" si="1"/>
        <v/>
      </c>
      <c r="G1310" s="438" t="str">
        <f t="shared" si="9"/>
        <v/>
      </c>
      <c r="H1310" s="438" t="str">
        <f t="shared" si="3"/>
        <v/>
      </c>
      <c r="I1310" s="436" t="str">
        <f t="shared" si="11"/>
        <v/>
      </c>
      <c r="J1310" s="464"/>
      <c r="K1310" s="464"/>
      <c r="L1310" s="443"/>
      <c r="M1310" s="443"/>
      <c r="N1310" s="443"/>
      <c r="O1310" s="443"/>
      <c r="P1310" s="443"/>
      <c r="Q1310" s="443"/>
      <c r="R1310" s="443"/>
      <c r="S1310" s="443"/>
      <c r="T1310" s="443"/>
      <c r="U1310" s="443"/>
      <c r="V1310" s="443"/>
      <c r="W1310" s="443"/>
      <c r="X1310" s="443"/>
      <c r="Y1310" s="443"/>
      <c r="Z1310" s="443"/>
      <c r="AA1310" s="443"/>
      <c r="AB1310" s="443"/>
      <c r="AC1310" s="443"/>
      <c r="AD1310" s="443"/>
      <c r="AE1310" s="443"/>
      <c r="AF1310" s="443"/>
      <c r="AG1310" s="443" t="s">
        <v>289</v>
      </c>
      <c r="AH1310" s="443" t="s">
        <v>289</v>
      </c>
      <c r="AI1310" s="443"/>
      <c r="AJ1310" s="443"/>
      <c r="AK1310" s="443"/>
      <c r="AL1310" s="443"/>
      <c r="AM1310" s="443"/>
      <c r="AN1310" s="443"/>
      <c r="AO1310" s="443"/>
      <c r="AP1310" s="443"/>
      <c r="AQ1310" s="443"/>
      <c r="AR1310" s="443"/>
      <c r="AS1310" s="443"/>
      <c r="AT1310" s="443"/>
      <c r="AU1310" s="443"/>
      <c r="AV1310" s="443"/>
      <c r="AW1310" s="443"/>
      <c r="AX1310" s="443"/>
      <c r="AY1310" s="443"/>
      <c r="AZ1310" s="443"/>
      <c r="BA1310" s="443"/>
      <c r="BB1310" s="443"/>
      <c r="BC1310" s="443"/>
      <c r="BD1310" s="443"/>
      <c r="BE1310" s="443"/>
    </row>
    <row r="1311">
      <c r="A1311" s="445" t="str">
        <f t="shared" si="5"/>
        <v/>
      </c>
      <c r="B1311" s="443"/>
      <c r="C1311" s="443"/>
      <c r="D1311" s="462"/>
      <c r="E1311" s="436" t="str">
        <f t="array" ref="E1311">IF(B1311=0,"",(J1311+K1311)/60)</f>
        <v/>
      </c>
      <c r="F1311" s="437" t="str">
        <f t="shared" si="1"/>
        <v/>
      </c>
      <c r="G1311" s="438" t="str">
        <f t="shared" si="9"/>
        <v/>
      </c>
      <c r="H1311" s="438" t="str">
        <f t="shared" si="3"/>
        <v/>
      </c>
      <c r="I1311" s="436" t="str">
        <f t="shared" si="11"/>
        <v/>
      </c>
      <c r="J1311" s="464"/>
      <c r="K1311" s="464"/>
      <c r="L1311" s="443"/>
      <c r="M1311" s="443"/>
      <c r="N1311" s="443"/>
      <c r="O1311" s="443"/>
      <c r="P1311" s="443"/>
      <c r="Q1311" s="443"/>
      <c r="R1311" s="443"/>
      <c r="S1311" s="443"/>
      <c r="T1311" s="443"/>
      <c r="U1311" s="443"/>
      <c r="V1311" s="443"/>
      <c r="W1311" s="443"/>
      <c r="X1311" s="443"/>
      <c r="Y1311" s="443"/>
      <c r="Z1311" s="443"/>
      <c r="AA1311" s="443"/>
      <c r="AB1311" s="443"/>
      <c r="AC1311" s="443"/>
      <c r="AD1311" s="443"/>
      <c r="AE1311" s="443"/>
      <c r="AF1311" s="443"/>
      <c r="AG1311" s="443" t="s">
        <v>289</v>
      </c>
      <c r="AH1311" s="443" t="s">
        <v>289</v>
      </c>
      <c r="AI1311" s="443"/>
      <c r="AJ1311" s="443"/>
      <c r="AK1311" s="443"/>
      <c r="AL1311" s="443"/>
      <c r="AM1311" s="443"/>
      <c r="AN1311" s="443"/>
      <c r="AO1311" s="443"/>
      <c r="AP1311" s="443"/>
      <c r="AQ1311" s="443"/>
      <c r="AR1311" s="443"/>
      <c r="AS1311" s="443"/>
      <c r="AT1311" s="443"/>
      <c r="AU1311" s="443"/>
      <c r="AV1311" s="443"/>
      <c r="AW1311" s="443"/>
      <c r="AX1311" s="443"/>
      <c r="AY1311" s="443"/>
      <c r="AZ1311" s="443"/>
      <c r="BA1311" s="443"/>
      <c r="BB1311" s="443"/>
      <c r="BC1311" s="443"/>
      <c r="BD1311" s="443"/>
      <c r="BE1311" s="443"/>
    </row>
    <row r="1312">
      <c r="A1312" s="445" t="str">
        <f t="shared" si="5"/>
        <v/>
      </c>
      <c r="B1312" s="443"/>
      <c r="C1312" s="443"/>
      <c r="D1312" s="462"/>
      <c r="E1312" s="436" t="str">
        <f t="array" ref="E1312">IF(B1312=0,"",(J1312+K1312)/60)</f>
        <v/>
      </c>
      <c r="F1312" s="437" t="str">
        <f t="shared" si="1"/>
        <v/>
      </c>
      <c r="G1312" s="438" t="str">
        <f t="shared" si="9"/>
        <v/>
      </c>
      <c r="H1312" s="438" t="str">
        <f t="shared" si="3"/>
        <v/>
      </c>
      <c r="I1312" s="436" t="str">
        <f t="shared" si="11"/>
        <v/>
      </c>
      <c r="J1312" s="464"/>
      <c r="K1312" s="464"/>
      <c r="L1312" s="443"/>
      <c r="M1312" s="443"/>
      <c r="N1312" s="443"/>
      <c r="O1312" s="443"/>
      <c r="P1312" s="443"/>
      <c r="Q1312" s="443"/>
      <c r="R1312" s="443"/>
      <c r="S1312" s="443"/>
      <c r="T1312" s="443"/>
      <c r="U1312" s="443"/>
      <c r="V1312" s="443"/>
      <c r="W1312" s="443"/>
      <c r="X1312" s="443"/>
      <c r="Y1312" s="443"/>
      <c r="Z1312" s="443"/>
      <c r="AA1312" s="443"/>
      <c r="AB1312" s="443"/>
      <c r="AC1312" s="443"/>
      <c r="AD1312" s="443"/>
      <c r="AE1312" s="443"/>
      <c r="AF1312" s="443"/>
      <c r="AG1312" s="443" t="s">
        <v>289</v>
      </c>
      <c r="AH1312" s="443" t="s">
        <v>289</v>
      </c>
      <c r="AI1312" s="443"/>
      <c r="AJ1312" s="443"/>
      <c r="AK1312" s="443"/>
      <c r="AL1312" s="443"/>
      <c r="AM1312" s="443"/>
      <c r="AN1312" s="443"/>
      <c r="AO1312" s="443"/>
      <c r="AP1312" s="443"/>
      <c r="AQ1312" s="443"/>
      <c r="AR1312" s="443"/>
      <c r="AS1312" s="443"/>
      <c r="AT1312" s="443"/>
      <c r="AU1312" s="443"/>
      <c r="AV1312" s="443"/>
      <c r="AW1312" s="443"/>
      <c r="AX1312" s="443"/>
      <c r="AY1312" s="443"/>
      <c r="AZ1312" s="443"/>
      <c r="BA1312" s="443"/>
      <c r="BB1312" s="443"/>
      <c r="BC1312" s="443"/>
      <c r="BD1312" s="443"/>
      <c r="BE1312" s="443"/>
    </row>
    <row r="1313">
      <c r="A1313" s="445" t="str">
        <f t="shared" si="5"/>
        <v/>
      </c>
      <c r="B1313" s="443"/>
      <c r="C1313" s="443"/>
      <c r="D1313" s="462"/>
      <c r="E1313" s="436" t="str">
        <f t="array" ref="E1313">IF(B1313=0,"",(J1313+K1313)/60)</f>
        <v/>
      </c>
      <c r="F1313" s="437" t="str">
        <f t="shared" si="1"/>
        <v/>
      </c>
      <c r="G1313" s="438" t="str">
        <f t="shared" si="9"/>
        <v/>
      </c>
      <c r="H1313" s="438" t="str">
        <f t="shared" si="3"/>
        <v/>
      </c>
      <c r="I1313" s="436" t="str">
        <f t="shared" si="11"/>
        <v/>
      </c>
      <c r="J1313" s="464"/>
      <c r="K1313" s="464"/>
      <c r="L1313" s="443"/>
      <c r="M1313" s="443"/>
      <c r="N1313" s="443"/>
      <c r="O1313" s="443"/>
      <c r="P1313" s="443"/>
      <c r="Q1313" s="443"/>
      <c r="R1313" s="443"/>
      <c r="S1313" s="443"/>
      <c r="T1313" s="443"/>
      <c r="U1313" s="443"/>
      <c r="V1313" s="443"/>
      <c r="W1313" s="443"/>
      <c r="X1313" s="443"/>
      <c r="Y1313" s="443"/>
      <c r="Z1313" s="443"/>
      <c r="AA1313" s="443"/>
      <c r="AB1313" s="443"/>
      <c r="AC1313" s="443"/>
      <c r="AD1313" s="443"/>
      <c r="AE1313" s="443"/>
      <c r="AF1313" s="443"/>
      <c r="AG1313" s="443" t="s">
        <v>289</v>
      </c>
      <c r="AH1313" s="443" t="s">
        <v>289</v>
      </c>
      <c r="AI1313" s="443"/>
      <c r="AJ1313" s="443"/>
      <c r="AK1313" s="443"/>
      <c r="AL1313" s="443"/>
      <c r="AM1313" s="443"/>
      <c r="AN1313" s="443"/>
      <c r="AO1313" s="443"/>
      <c r="AP1313" s="443"/>
      <c r="AQ1313" s="443"/>
      <c r="AR1313" s="443"/>
      <c r="AS1313" s="443"/>
      <c r="AT1313" s="443"/>
      <c r="AU1313" s="443"/>
      <c r="AV1313" s="443"/>
      <c r="AW1313" s="443"/>
      <c r="AX1313" s="443"/>
      <c r="AY1313" s="443"/>
      <c r="AZ1313" s="443"/>
      <c r="BA1313" s="443"/>
      <c r="BB1313" s="443"/>
      <c r="BC1313" s="443"/>
      <c r="BD1313" s="443"/>
      <c r="BE1313" s="443"/>
    </row>
    <row r="1314">
      <c r="A1314" s="445" t="str">
        <f t="shared" si="5"/>
        <v/>
      </c>
      <c r="B1314" s="443"/>
      <c r="C1314" s="443"/>
      <c r="D1314" s="462"/>
      <c r="E1314" s="436" t="str">
        <f t="array" ref="E1314">IF(B1314=0,"",(J1314+K1314)/60)</f>
        <v/>
      </c>
      <c r="F1314" s="437" t="str">
        <f t="shared" si="1"/>
        <v/>
      </c>
      <c r="G1314" s="438" t="str">
        <f t="shared" si="9"/>
        <v/>
      </c>
      <c r="H1314" s="438" t="str">
        <f t="shared" si="3"/>
        <v/>
      </c>
      <c r="I1314" s="436" t="str">
        <f t="shared" si="11"/>
        <v/>
      </c>
      <c r="J1314" s="464"/>
      <c r="K1314" s="464"/>
      <c r="L1314" s="443"/>
      <c r="M1314" s="443"/>
      <c r="N1314" s="443"/>
      <c r="O1314" s="443"/>
      <c r="P1314" s="443"/>
      <c r="Q1314" s="443"/>
      <c r="R1314" s="443"/>
      <c r="S1314" s="443"/>
      <c r="T1314" s="443"/>
      <c r="U1314" s="443"/>
      <c r="V1314" s="443"/>
      <c r="W1314" s="443"/>
      <c r="X1314" s="443"/>
      <c r="Y1314" s="443"/>
      <c r="Z1314" s="443"/>
      <c r="AA1314" s="443"/>
      <c r="AB1314" s="443"/>
      <c r="AC1314" s="443"/>
      <c r="AD1314" s="443"/>
      <c r="AE1314" s="443"/>
      <c r="AF1314" s="443"/>
      <c r="AG1314" s="443" t="s">
        <v>289</v>
      </c>
      <c r="AH1314" s="443" t="s">
        <v>289</v>
      </c>
      <c r="AI1314" s="443"/>
      <c r="AJ1314" s="443"/>
      <c r="AK1314" s="443"/>
      <c r="AL1314" s="443"/>
      <c r="AM1314" s="443"/>
      <c r="AN1314" s="443"/>
      <c r="AO1314" s="443"/>
      <c r="AP1314" s="443"/>
      <c r="AQ1314" s="443"/>
      <c r="AR1314" s="443"/>
      <c r="AS1314" s="443"/>
      <c r="AT1314" s="443"/>
      <c r="AU1314" s="443"/>
      <c r="AV1314" s="443"/>
      <c r="AW1314" s="443"/>
      <c r="AX1314" s="443"/>
      <c r="AY1314" s="443"/>
      <c r="AZ1314" s="443"/>
      <c r="BA1314" s="443"/>
      <c r="BB1314" s="443"/>
      <c r="BC1314" s="443"/>
      <c r="BD1314" s="443"/>
      <c r="BE1314" s="443"/>
    </row>
    <row r="1315">
      <c r="A1315" s="445" t="str">
        <f t="shared" si="5"/>
        <v/>
      </c>
      <c r="B1315" s="443"/>
      <c r="C1315" s="443"/>
      <c r="D1315" s="462"/>
      <c r="E1315" s="436" t="str">
        <f t="array" ref="E1315">IF(B1315=0,"",(J1315+K1315)/60)</f>
        <v/>
      </c>
      <c r="F1315" s="437" t="str">
        <f t="shared" si="1"/>
        <v/>
      </c>
      <c r="G1315" s="438" t="str">
        <f t="shared" si="9"/>
        <v/>
      </c>
      <c r="H1315" s="438" t="str">
        <f t="shared" si="3"/>
        <v/>
      </c>
      <c r="I1315" s="436" t="str">
        <f t="shared" si="11"/>
        <v/>
      </c>
      <c r="J1315" s="464"/>
      <c r="K1315" s="464"/>
      <c r="L1315" s="443"/>
      <c r="M1315" s="443"/>
      <c r="N1315" s="443"/>
      <c r="O1315" s="443"/>
      <c r="P1315" s="443"/>
      <c r="Q1315" s="443"/>
      <c r="R1315" s="443"/>
      <c r="S1315" s="443"/>
      <c r="T1315" s="443"/>
      <c r="U1315" s="443"/>
      <c r="V1315" s="443"/>
      <c r="W1315" s="443"/>
      <c r="X1315" s="443"/>
      <c r="Y1315" s="443"/>
      <c r="Z1315" s="443"/>
      <c r="AA1315" s="443"/>
      <c r="AB1315" s="443"/>
      <c r="AC1315" s="443"/>
      <c r="AD1315" s="443"/>
      <c r="AE1315" s="443"/>
      <c r="AF1315" s="443"/>
      <c r="AG1315" s="443" t="s">
        <v>289</v>
      </c>
      <c r="AH1315" s="443" t="s">
        <v>289</v>
      </c>
      <c r="AI1315" s="443"/>
      <c r="AJ1315" s="443"/>
      <c r="AK1315" s="443"/>
      <c r="AL1315" s="443"/>
      <c r="AM1315" s="443"/>
      <c r="AN1315" s="443"/>
      <c r="AO1315" s="443"/>
      <c r="AP1315" s="443"/>
      <c r="AQ1315" s="443"/>
      <c r="AR1315" s="443"/>
      <c r="AS1315" s="443"/>
      <c r="AT1315" s="443"/>
      <c r="AU1315" s="443"/>
      <c r="AV1315" s="443"/>
      <c r="AW1315" s="443"/>
      <c r="AX1315" s="443"/>
      <c r="AY1315" s="443"/>
      <c r="AZ1315" s="443"/>
      <c r="BA1315" s="443"/>
      <c r="BB1315" s="443"/>
      <c r="BC1315" s="443"/>
      <c r="BD1315" s="443"/>
      <c r="BE1315" s="443"/>
    </row>
    <row r="1316">
      <c r="A1316" s="445" t="str">
        <f t="shared" si="5"/>
        <v/>
      </c>
      <c r="B1316" s="443"/>
      <c r="C1316" s="443"/>
      <c r="D1316" s="462"/>
      <c r="E1316" s="436" t="str">
        <f t="array" ref="E1316">IF(B1316=0,"",(J1316+K1316)/60)</f>
        <v/>
      </c>
      <c r="F1316" s="437" t="str">
        <f t="shared" si="1"/>
        <v/>
      </c>
      <c r="G1316" s="438" t="str">
        <f t="shared" si="9"/>
        <v/>
      </c>
      <c r="H1316" s="438" t="str">
        <f t="shared" si="3"/>
        <v/>
      </c>
      <c r="I1316" s="436" t="str">
        <f t="shared" si="11"/>
        <v/>
      </c>
      <c r="J1316" s="464"/>
      <c r="K1316" s="464"/>
      <c r="L1316" s="443"/>
      <c r="M1316" s="443"/>
      <c r="N1316" s="443"/>
      <c r="O1316" s="443"/>
      <c r="P1316" s="443"/>
      <c r="Q1316" s="443"/>
      <c r="R1316" s="443"/>
      <c r="S1316" s="443"/>
      <c r="T1316" s="443"/>
      <c r="U1316" s="443"/>
      <c r="V1316" s="443"/>
      <c r="W1316" s="443"/>
      <c r="X1316" s="443"/>
      <c r="Y1316" s="443"/>
      <c r="Z1316" s="443"/>
      <c r="AA1316" s="443"/>
      <c r="AB1316" s="443"/>
      <c r="AC1316" s="443"/>
      <c r="AD1316" s="443"/>
      <c r="AE1316" s="443"/>
      <c r="AF1316" s="443"/>
      <c r="AG1316" s="443" t="s">
        <v>289</v>
      </c>
      <c r="AH1316" s="443" t="s">
        <v>289</v>
      </c>
      <c r="AI1316" s="443"/>
      <c r="AJ1316" s="443"/>
      <c r="AK1316" s="443"/>
      <c r="AL1316" s="443"/>
      <c r="AM1316" s="443"/>
      <c r="AN1316" s="443"/>
      <c r="AO1316" s="443"/>
      <c r="AP1316" s="443"/>
      <c r="AQ1316" s="443"/>
      <c r="AR1316" s="443"/>
      <c r="AS1316" s="443"/>
      <c r="AT1316" s="443"/>
      <c r="AU1316" s="443"/>
      <c r="AV1316" s="443"/>
      <c r="AW1316" s="443"/>
      <c r="AX1316" s="443"/>
      <c r="AY1316" s="443"/>
      <c r="AZ1316" s="443"/>
      <c r="BA1316" s="443"/>
      <c r="BB1316" s="443"/>
      <c r="BC1316" s="443"/>
      <c r="BD1316" s="443"/>
      <c r="BE1316" s="443"/>
    </row>
    <row r="1317">
      <c r="A1317" s="445" t="str">
        <f t="shared" si="5"/>
        <v/>
      </c>
      <c r="B1317" s="443"/>
      <c r="C1317" s="443"/>
      <c r="D1317" s="462"/>
      <c r="E1317" s="436" t="str">
        <f t="array" ref="E1317">IF(B1317=0,"",(J1317+K1317)/60)</f>
        <v/>
      </c>
      <c r="F1317" s="437" t="str">
        <f t="shared" si="1"/>
        <v/>
      </c>
      <c r="G1317" s="438" t="str">
        <f t="shared" si="9"/>
        <v/>
      </c>
      <c r="H1317" s="438" t="str">
        <f t="shared" si="3"/>
        <v/>
      </c>
      <c r="I1317" s="436" t="str">
        <f t="shared" si="11"/>
        <v/>
      </c>
      <c r="J1317" s="464"/>
      <c r="K1317" s="464"/>
      <c r="L1317" s="443"/>
      <c r="M1317" s="443"/>
      <c r="N1317" s="443"/>
      <c r="O1317" s="443"/>
      <c r="P1317" s="443"/>
      <c r="Q1317" s="443"/>
      <c r="R1317" s="443"/>
      <c r="S1317" s="443"/>
      <c r="T1317" s="443"/>
      <c r="U1317" s="443"/>
      <c r="V1317" s="443"/>
      <c r="W1317" s="443"/>
      <c r="X1317" s="443"/>
      <c r="Y1317" s="443"/>
      <c r="Z1317" s="443"/>
      <c r="AA1317" s="443"/>
      <c r="AB1317" s="443"/>
      <c r="AC1317" s="443"/>
      <c r="AD1317" s="443"/>
      <c r="AE1317" s="443"/>
      <c r="AF1317" s="443"/>
      <c r="AG1317" s="443" t="s">
        <v>289</v>
      </c>
      <c r="AH1317" s="443" t="s">
        <v>289</v>
      </c>
      <c r="AI1317" s="443"/>
      <c r="AJ1317" s="443"/>
      <c r="AK1317" s="443"/>
      <c r="AL1317" s="443"/>
      <c r="AM1317" s="443"/>
      <c r="AN1317" s="443"/>
      <c r="AO1317" s="443"/>
      <c r="AP1317" s="443"/>
      <c r="AQ1317" s="443"/>
      <c r="AR1317" s="443"/>
      <c r="AS1317" s="443"/>
      <c r="AT1317" s="443"/>
      <c r="AU1317" s="443"/>
      <c r="AV1317" s="443"/>
      <c r="AW1317" s="443"/>
      <c r="AX1317" s="443"/>
      <c r="AY1317" s="443"/>
      <c r="AZ1317" s="443"/>
      <c r="BA1317" s="443"/>
      <c r="BB1317" s="443"/>
      <c r="BC1317" s="443"/>
      <c r="BD1317" s="443"/>
      <c r="BE1317" s="443"/>
    </row>
    <row r="1318">
      <c r="A1318" s="445" t="str">
        <f t="shared" si="5"/>
        <v/>
      </c>
      <c r="B1318" s="443"/>
      <c r="C1318" s="443"/>
      <c r="D1318" s="462"/>
      <c r="E1318" s="436" t="str">
        <f t="array" ref="E1318">IF(B1318=0,"",(J1318+K1318)/60)</f>
        <v/>
      </c>
      <c r="F1318" s="437" t="str">
        <f t="shared" si="1"/>
        <v/>
      </c>
      <c r="G1318" s="438" t="str">
        <f t="shared" si="9"/>
        <v/>
      </c>
      <c r="H1318" s="438" t="str">
        <f t="shared" si="3"/>
        <v/>
      </c>
      <c r="I1318" s="436" t="str">
        <f t="shared" si="11"/>
        <v/>
      </c>
      <c r="J1318" s="464"/>
      <c r="K1318" s="464"/>
      <c r="L1318" s="443"/>
      <c r="M1318" s="443"/>
      <c r="N1318" s="443"/>
      <c r="O1318" s="443"/>
      <c r="P1318" s="443"/>
      <c r="Q1318" s="443"/>
      <c r="R1318" s="443"/>
      <c r="S1318" s="443"/>
      <c r="T1318" s="443"/>
      <c r="U1318" s="443"/>
      <c r="V1318" s="443"/>
      <c r="W1318" s="443"/>
      <c r="X1318" s="443"/>
      <c r="Y1318" s="443"/>
      <c r="Z1318" s="443"/>
      <c r="AA1318" s="443"/>
      <c r="AB1318" s="443"/>
      <c r="AC1318" s="443"/>
      <c r="AD1318" s="443"/>
      <c r="AE1318" s="443"/>
      <c r="AF1318" s="443"/>
      <c r="AG1318" s="443" t="s">
        <v>289</v>
      </c>
      <c r="AH1318" s="443" t="s">
        <v>289</v>
      </c>
      <c r="AI1318" s="443"/>
      <c r="AJ1318" s="443"/>
      <c r="AK1318" s="443"/>
      <c r="AL1318" s="443"/>
      <c r="AM1318" s="443"/>
      <c r="AN1318" s="443"/>
      <c r="AO1318" s="443"/>
      <c r="AP1318" s="443"/>
      <c r="AQ1318" s="443"/>
      <c r="AR1318" s="443"/>
      <c r="AS1318" s="443"/>
      <c r="AT1318" s="443"/>
      <c r="AU1318" s="443"/>
      <c r="AV1318" s="443"/>
      <c r="AW1318" s="443"/>
      <c r="AX1318" s="443"/>
      <c r="AY1318" s="443"/>
      <c r="AZ1318" s="443"/>
      <c r="BA1318" s="443"/>
      <c r="BB1318" s="443"/>
      <c r="BC1318" s="443"/>
      <c r="BD1318" s="443"/>
      <c r="BE1318" s="443"/>
    </row>
    <row r="1319">
      <c r="A1319" s="445" t="str">
        <f t="shared" si="5"/>
        <v/>
      </c>
      <c r="B1319" s="443"/>
      <c r="C1319" s="443"/>
      <c r="D1319" s="462"/>
      <c r="E1319" s="436" t="str">
        <f t="array" ref="E1319">IF(B1319=0,"",(J1319+K1319)/60)</f>
        <v/>
      </c>
      <c r="F1319" s="437" t="str">
        <f t="shared" si="1"/>
        <v/>
      </c>
      <c r="G1319" s="438" t="str">
        <f t="shared" si="9"/>
        <v/>
      </c>
      <c r="H1319" s="438" t="str">
        <f t="shared" si="3"/>
        <v/>
      </c>
      <c r="I1319" s="436" t="str">
        <f t="shared" si="11"/>
        <v/>
      </c>
      <c r="J1319" s="464"/>
      <c r="K1319" s="464"/>
      <c r="L1319" s="443"/>
      <c r="M1319" s="443"/>
      <c r="N1319" s="443"/>
      <c r="O1319" s="443"/>
      <c r="P1319" s="443"/>
      <c r="Q1319" s="443"/>
      <c r="R1319" s="443"/>
      <c r="S1319" s="443"/>
      <c r="T1319" s="443"/>
      <c r="U1319" s="443"/>
      <c r="V1319" s="443"/>
      <c r="W1319" s="443"/>
      <c r="X1319" s="443"/>
      <c r="Y1319" s="443"/>
      <c r="Z1319" s="443"/>
      <c r="AA1319" s="443"/>
      <c r="AB1319" s="443"/>
      <c r="AC1319" s="443"/>
      <c r="AD1319" s="443"/>
      <c r="AE1319" s="443"/>
      <c r="AF1319" s="443"/>
      <c r="AG1319" s="443" t="s">
        <v>289</v>
      </c>
      <c r="AH1319" s="443" t="s">
        <v>289</v>
      </c>
      <c r="AI1319" s="443"/>
      <c r="AJ1319" s="443"/>
      <c r="AK1319" s="443"/>
      <c r="AL1319" s="443"/>
      <c r="AM1319" s="443"/>
      <c r="AN1319" s="443"/>
      <c r="AO1319" s="443"/>
      <c r="AP1319" s="443"/>
      <c r="AQ1319" s="443"/>
      <c r="AR1319" s="443"/>
      <c r="AS1319" s="443"/>
      <c r="AT1319" s="443"/>
      <c r="AU1319" s="443"/>
      <c r="AV1319" s="443"/>
      <c r="AW1319" s="443"/>
      <c r="AX1319" s="443"/>
      <c r="AY1319" s="443"/>
      <c r="AZ1319" s="443"/>
      <c r="BA1319" s="443"/>
      <c r="BB1319" s="443"/>
      <c r="BC1319" s="443"/>
      <c r="BD1319" s="443"/>
      <c r="BE1319" s="443"/>
    </row>
    <row r="1320">
      <c r="A1320" s="445" t="str">
        <f t="shared" si="5"/>
        <v/>
      </c>
      <c r="B1320" s="443"/>
      <c r="C1320" s="443"/>
      <c r="D1320" s="462"/>
      <c r="E1320" s="436" t="str">
        <f t="array" ref="E1320">IF(B1320=0,"",(J1320+K1320)/60)</f>
        <v/>
      </c>
      <c r="F1320" s="437" t="str">
        <f t="shared" si="1"/>
        <v/>
      </c>
      <c r="G1320" s="438" t="str">
        <f t="shared" si="9"/>
        <v/>
      </c>
      <c r="H1320" s="438" t="str">
        <f t="shared" si="3"/>
        <v/>
      </c>
      <c r="I1320" s="436" t="str">
        <f t="shared" si="11"/>
        <v/>
      </c>
      <c r="J1320" s="464"/>
      <c r="K1320" s="464"/>
      <c r="L1320" s="443"/>
      <c r="M1320" s="443"/>
      <c r="N1320" s="443"/>
      <c r="O1320" s="443"/>
      <c r="P1320" s="443"/>
      <c r="Q1320" s="443"/>
      <c r="R1320" s="443"/>
      <c r="S1320" s="443"/>
      <c r="T1320" s="443"/>
      <c r="U1320" s="443"/>
      <c r="V1320" s="443"/>
      <c r="W1320" s="443"/>
      <c r="X1320" s="443"/>
      <c r="Y1320" s="443"/>
      <c r="Z1320" s="443"/>
      <c r="AA1320" s="443"/>
      <c r="AB1320" s="443"/>
      <c r="AC1320" s="443"/>
      <c r="AD1320" s="443"/>
      <c r="AE1320" s="443"/>
      <c r="AF1320" s="443"/>
      <c r="AG1320" s="443" t="s">
        <v>289</v>
      </c>
      <c r="AH1320" s="443" t="s">
        <v>289</v>
      </c>
      <c r="AI1320" s="443"/>
      <c r="AJ1320" s="443"/>
      <c r="AK1320" s="443"/>
      <c r="AL1320" s="443"/>
      <c r="AM1320" s="443"/>
      <c r="AN1320" s="443"/>
      <c r="AO1320" s="443"/>
      <c r="AP1320" s="443"/>
      <c r="AQ1320" s="443"/>
      <c r="AR1320" s="443"/>
      <c r="AS1320" s="443"/>
      <c r="AT1320" s="443"/>
      <c r="AU1320" s="443"/>
      <c r="AV1320" s="443"/>
      <c r="AW1320" s="443"/>
      <c r="AX1320" s="443"/>
      <c r="AY1320" s="443"/>
      <c r="AZ1320" s="443"/>
      <c r="BA1320" s="443"/>
      <c r="BB1320" s="443"/>
      <c r="BC1320" s="443"/>
      <c r="BD1320" s="443"/>
      <c r="BE1320" s="443"/>
    </row>
    <row r="1321">
      <c r="A1321" s="445" t="str">
        <f t="shared" si="5"/>
        <v/>
      </c>
      <c r="B1321" s="443"/>
      <c r="C1321" s="443"/>
      <c r="D1321" s="462"/>
      <c r="E1321" s="436" t="str">
        <f t="array" ref="E1321">IF(B1321=0,"",(J1321+K1321)/60)</f>
        <v/>
      </c>
      <c r="F1321" s="437" t="str">
        <f t="shared" si="1"/>
        <v/>
      </c>
      <c r="G1321" s="438" t="str">
        <f t="shared" si="9"/>
        <v/>
      </c>
      <c r="H1321" s="438" t="str">
        <f t="shared" si="3"/>
        <v/>
      </c>
      <c r="I1321" s="436" t="str">
        <f t="shared" si="11"/>
        <v/>
      </c>
      <c r="J1321" s="464"/>
      <c r="K1321" s="464"/>
      <c r="L1321" s="443"/>
      <c r="M1321" s="443"/>
      <c r="N1321" s="443"/>
      <c r="O1321" s="443"/>
      <c r="P1321" s="443"/>
      <c r="Q1321" s="443"/>
      <c r="R1321" s="443"/>
      <c r="S1321" s="443"/>
      <c r="T1321" s="443"/>
      <c r="U1321" s="443"/>
      <c r="V1321" s="443"/>
      <c r="W1321" s="443"/>
      <c r="X1321" s="443"/>
      <c r="Y1321" s="443"/>
      <c r="Z1321" s="443"/>
      <c r="AA1321" s="443"/>
      <c r="AB1321" s="443"/>
      <c r="AC1321" s="443"/>
      <c r="AD1321" s="443"/>
      <c r="AE1321" s="443"/>
      <c r="AF1321" s="443"/>
      <c r="AG1321" s="443" t="s">
        <v>289</v>
      </c>
      <c r="AH1321" s="443" t="s">
        <v>289</v>
      </c>
      <c r="AI1321" s="443"/>
      <c r="AJ1321" s="443"/>
      <c r="AK1321" s="443"/>
      <c r="AL1321" s="443"/>
      <c r="AM1321" s="443"/>
      <c r="AN1321" s="443"/>
      <c r="AO1321" s="443"/>
      <c r="AP1321" s="443"/>
      <c r="AQ1321" s="443"/>
      <c r="AR1321" s="443"/>
      <c r="AS1321" s="443"/>
      <c r="AT1321" s="443"/>
      <c r="AU1321" s="443"/>
      <c r="AV1321" s="443"/>
      <c r="AW1321" s="443"/>
      <c r="AX1321" s="443"/>
      <c r="AY1321" s="443"/>
      <c r="AZ1321" s="443"/>
      <c r="BA1321" s="443"/>
      <c r="BB1321" s="443"/>
      <c r="BC1321" s="443"/>
      <c r="BD1321" s="443"/>
      <c r="BE1321" s="443"/>
    </row>
    <row r="1322">
      <c r="A1322" s="445" t="str">
        <f t="shared" si="5"/>
        <v/>
      </c>
      <c r="B1322" s="443"/>
      <c r="C1322" s="443"/>
      <c r="D1322" s="462"/>
      <c r="E1322" s="436" t="str">
        <f t="array" ref="E1322">IF(B1322=0,"",(J1322+K1322)/60)</f>
        <v/>
      </c>
      <c r="F1322" s="437" t="str">
        <f t="shared" si="1"/>
        <v/>
      </c>
      <c r="G1322" s="438" t="str">
        <f t="shared" si="9"/>
        <v/>
      </c>
      <c r="H1322" s="438" t="str">
        <f t="shared" si="3"/>
        <v/>
      </c>
      <c r="I1322" s="436" t="str">
        <f t="shared" si="11"/>
        <v/>
      </c>
      <c r="J1322" s="464"/>
      <c r="K1322" s="464"/>
      <c r="L1322" s="443"/>
      <c r="M1322" s="443"/>
      <c r="N1322" s="443"/>
      <c r="O1322" s="443"/>
      <c r="P1322" s="443"/>
      <c r="Q1322" s="443"/>
      <c r="R1322" s="443"/>
      <c r="S1322" s="443"/>
      <c r="T1322" s="443"/>
      <c r="U1322" s="443"/>
      <c r="V1322" s="443"/>
      <c r="W1322" s="443"/>
      <c r="X1322" s="443"/>
      <c r="Y1322" s="443"/>
      <c r="Z1322" s="443"/>
      <c r="AA1322" s="443"/>
      <c r="AB1322" s="443"/>
      <c r="AC1322" s="443"/>
      <c r="AD1322" s="443"/>
      <c r="AE1322" s="443"/>
      <c r="AF1322" s="443"/>
      <c r="AG1322" s="443" t="s">
        <v>289</v>
      </c>
      <c r="AH1322" s="443" t="s">
        <v>289</v>
      </c>
      <c r="AI1322" s="443"/>
      <c r="AJ1322" s="443"/>
      <c r="AK1322" s="443"/>
      <c r="AL1322" s="443"/>
      <c r="AM1322" s="443"/>
      <c r="AN1322" s="443"/>
      <c r="AO1322" s="443"/>
      <c r="AP1322" s="443"/>
      <c r="AQ1322" s="443"/>
      <c r="AR1322" s="443"/>
      <c r="AS1322" s="443"/>
      <c r="AT1322" s="443"/>
      <c r="AU1322" s="443"/>
      <c r="AV1322" s="443"/>
      <c r="AW1322" s="443"/>
      <c r="AX1322" s="443"/>
      <c r="AY1322" s="443"/>
      <c r="AZ1322" s="443"/>
      <c r="BA1322" s="443"/>
      <c r="BB1322" s="443"/>
      <c r="BC1322" s="443"/>
      <c r="BD1322" s="443"/>
      <c r="BE1322" s="443"/>
    </row>
    <row r="1323">
      <c r="A1323" s="445" t="str">
        <f t="shared" si="5"/>
        <v/>
      </c>
      <c r="B1323" s="443"/>
      <c r="C1323" s="443"/>
      <c r="D1323" s="462"/>
      <c r="E1323" s="436" t="str">
        <f t="array" ref="E1323">IF(B1323=0,"",(J1323+K1323)/60)</f>
        <v/>
      </c>
      <c r="F1323" s="437" t="str">
        <f t="shared" si="1"/>
        <v/>
      </c>
      <c r="G1323" s="438" t="str">
        <f t="shared" si="9"/>
        <v/>
      </c>
      <c r="H1323" s="438" t="str">
        <f t="shared" si="3"/>
        <v/>
      </c>
      <c r="I1323" s="436" t="str">
        <f t="shared" si="11"/>
        <v/>
      </c>
      <c r="J1323" s="464"/>
      <c r="K1323" s="464"/>
      <c r="L1323" s="443"/>
      <c r="M1323" s="443"/>
      <c r="N1323" s="443"/>
      <c r="O1323" s="443"/>
      <c r="P1323" s="443"/>
      <c r="Q1323" s="443"/>
      <c r="R1323" s="443"/>
      <c r="S1323" s="443"/>
      <c r="T1323" s="443"/>
      <c r="U1323" s="443"/>
      <c r="V1323" s="443"/>
      <c r="W1323" s="443"/>
      <c r="X1323" s="443"/>
      <c r="Y1323" s="443"/>
      <c r="Z1323" s="443"/>
      <c r="AA1323" s="443"/>
      <c r="AB1323" s="443"/>
      <c r="AC1323" s="443"/>
      <c r="AD1323" s="443"/>
      <c r="AE1323" s="443"/>
      <c r="AF1323" s="443"/>
      <c r="AG1323" s="443" t="s">
        <v>289</v>
      </c>
      <c r="AH1323" s="443" t="s">
        <v>289</v>
      </c>
      <c r="AI1323" s="443"/>
      <c r="AJ1323" s="443"/>
      <c r="AK1323" s="443"/>
      <c r="AL1323" s="443"/>
      <c r="AM1323" s="443"/>
      <c r="AN1323" s="443"/>
      <c r="AO1323" s="443"/>
      <c r="AP1323" s="443"/>
      <c r="AQ1323" s="443"/>
      <c r="AR1323" s="443"/>
      <c r="AS1323" s="443"/>
      <c r="AT1323" s="443"/>
      <c r="AU1323" s="443"/>
      <c r="AV1323" s="443"/>
      <c r="AW1323" s="443"/>
      <c r="AX1323" s="443"/>
      <c r="AY1323" s="443"/>
      <c r="AZ1323" s="443"/>
      <c r="BA1323" s="443"/>
      <c r="BB1323" s="443"/>
      <c r="BC1323" s="443"/>
      <c r="BD1323" s="443"/>
      <c r="BE1323" s="443"/>
    </row>
    <row r="1324">
      <c r="A1324" s="445" t="str">
        <f t="shared" si="5"/>
        <v/>
      </c>
      <c r="B1324" s="443"/>
      <c r="C1324" s="443"/>
      <c r="D1324" s="462"/>
      <c r="E1324" s="436" t="str">
        <f t="array" ref="E1324">IF(B1324=0,"",(J1324+K1324)/60)</f>
        <v/>
      </c>
      <c r="F1324" s="437" t="str">
        <f t="shared" si="1"/>
        <v/>
      </c>
      <c r="G1324" s="438" t="str">
        <f t="shared" si="9"/>
        <v/>
      </c>
      <c r="H1324" s="438" t="str">
        <f t="shared" si="3"/>
        <v/>
      </c>
      <c r="I1324" s="436" t="str">
        <f t="shared" si="11"/>
        <v/>
      </c>
      <c r="J1324" s="464"/>
      <c r="K1324" s="464"/>
      <c r="L1324" s="443"/>
      <c r="M1324" s="443"/>
      <c r="N1324" s="443"/>
      <c r="O1324" s="443"/>
      <c r="P1324" s="443"/>
      <c r="Q1324" s="443"/>
      <c r="R1324" s="443"/>
      <c r="S1324" s="443"/>
      <c r="T1324" s="443"/>
      <c r="U1324" s="443"/>
      <c r="V1324" s="443"/>
      <c r="W1324" s="443"/>
      <c r="X1324" s="443"/>
      <c r="Y1324" s="443"/>
      <c r="Z1324" s="443"/>
      <c r="AA1324" s="443"/>
      <c r="AB1324" s="443"/>
      <c r="AC1324" s="443"/>
      <c r="AD1324" s="443"/>
      <c r="AE1324" s="443"/>
      <c r="AF1324" s="443"/>
      <c r="AG1324" s="443" t="s">
        <v>289</v>
      </c>
      <c r="AH1324" s="443" t="s">
        <v>289</v>
      </c>
      <c r="AI1324" s="443"/>
      <c r="AJ1324" s="443"/>
      <c r="AK1324" s="443"/>
      <c r="AL1324" s="443"/>
      <c r="AM1324" s="443"/>
      <c r="AN1324" s="443"/>
      <c r="AO1324" s="443"/>
      <c r="AP1324" s="443"/>
      <c r="AQ1324" s="443"/>
      <c r="AR1324" s="443"/>
      <c r="AS1324" s="443"/>
      <c r="AT1324" s="443"/>
      <c r="AU1324" s="443"/>
      <c r="AV1324" s="443"/>
      <c r="AW1324" s="443"/>
      <c r="AX1324" s="443"/>
      <c r="AY1324" s="443"/>
      <c r="AZ1324" s="443"/>
      <c r="BA1324" s="443"/>
      <c r="BB1324" s="443"/>
      <c r="BC1324" s="443"/>
      <c r="BD1324" s="443"/>
      <c r="BE1324" s="443"/>
    </row>
    <row r="1325">
      <c r="A1325" s="445" t="str">
        <f t="shared" si="5"/>
        <v/>
      </c>
      <c r="B1325" s="443"/>
      <c r="C1325" s="443"/>
      <c r="D1325" s="462"/>
      <c r="E1325" s="436" t="str">
        <f t="array" ref="E1325">IF(B1325=0,"",(J1325+K1325)/60)</f>
        <v/>
      </c>
      <c r="F1325" s="437" t="str">
        <f t="shared" si="1"/>
        <v/>
      </c>
      <c r="G1325" s="438" t="str">
        <f t="shared" si="9"/>
        <v/>
      </c>
      <c r="H1325" s="438" t="str">
        <f t="shared" si="3"/>
        <v/>
      </c>
      <c r="I1325" s="436" t="str">
        <f t="shared" si="11"/>
        <v/>
      </c>
      <c r="J1325" s="464"/>
      <c r="K1325" s="464"/>
      <c r="L1325" s="443"/>
      <c r="M1325" s="443"/>
      <c r="N1325" s="443"/>
      <c r="O1325" s="443"/>
      <c r="P1325" s="443"/>
      <c r="Q1325" s="443"/>
      <c r="R1325" s="443"/>
      <c r="S1325" s="443"/>
      <c r="T1325" s="443"/>
      <c r="U1325" s="443"/>
      <c r="V1325" s="443"/>
      <c r="W1325" s="443"/>
      <c r="X1325" s="443"/>
      <c r="Y1325" s="443"/>
      <c r="Z1325" s="443"/>
      <c r="AA1325" s="443"/>
      <c r="AB1325" s="443"/>
      <c r="AC1325" s="443"/>
      <c r="AD1325" s="443"/>
      <c r="AE1325" s="443"/>
      <c r="AF1325" s="443"/>
      <c r="AG1325" s="443" t="s">
        <v>289</v>
      </c>
      <c r="AH1325" s="443" t="s">
        <v>289</v>
      </c>
      <c r="AI1325" s="443"/>
      <c r="AJ1325" s="443"/>
      <c r="AK1325" s="443"/>
      <c r="AL1325" s="443"/>
      <c r="AM1325" s="443"/>
      <c r="AN1325" s="443"/>
      <c r="AO1325" s="443"/>
      <c r="AP1325" s="443"/>
      <c r="AQ1325" s="443"/>
      <c r="AR1325" s="443"/>
      <c r="AS1325" s="443"/>
      <c r="AT1325" s="443"/>
      <c r="AU1325" s="443"/>
      <c r="AV1325" s="443"/>
      <c r="AW1325" s="443"/>
      <c r="AX1325" s="443"/>
      <c r="AY1325" s="443"/>
      <c r="AZ1325" s="443"/>
      <c r="BA1325" s="443"/>
      <c r="BB1325" s="443"/>
      <c r="BC1325" s="443"/>
      <c r="BD1325" s="443"/>
      <c r="BE1325" s="443"/>
    </row>
    <row r="1326">
      <c r="A1326" s="445" t="str">
        <f t="shared" si="5"/>
        <v/>
      </c>
      <c r="B1326" s="443"/>
      <c r="C1326" s="443"/>
      <c r="D1326" s="462"/>
      <c r="E1326" s="436" t="str">
        <f t="array" ref="E1326">IF(B1326=0,"",(J1326+K1326)/60)</f>
        <v/>
      </c>
      <c r="F1326" s="437" t="str">
        <f t="shared" si="1"/>
        <v/>
      </c>
      <c r="G1326" s="438" t="str">
        <f t="shared" si="9"/>
        <v/>
      </c>
      <c r="H1326" s="438" t="str">
        <f t="shared" si="3"/>
        <v/>
      </c>
      <c r="I1326" s="436" t="str">
        <f t="shared" si="11"/>
        <v/>
      </c>
      <c r="J1326" s="464"/>
      <c r="K1326" s="464"/>
      <c r="L1326" s="443"/>
      <c r="M1326" s="443"/>
      <c r="N1326" s="443"/>
      <c r="O1326" s="443"/>
      <c r="P1326" s="443"/>
      <c r="Q1326" s="443"/>
      <c r="R1326" s="443"/>
      <c r="S1326" s="443"/>
      <c r="T1326" s="443"/>
      <c r="U1326" s="443"/>
      <c r="V1326" s="443"/>
      <c r="W1326" s="443"/>
      <c r="X1326" s="443"/>
      <c r="Y1326" s="443"/>
      <c r="Z1326" s="443"/>
      <c r="AA1326" s="443"/>
      <c r="AB1326" s="443"/>
      <c r="AC1326" s="443"/>
      <c r="AD1326" s="443"/>
      <c r="AE1326" s="443"/>
      <c r="AF1326" s="443"/>
      <c r="AG1326" s="443" t="s">
        <v>289</v>
      </c>
      <c r="AH1326" s="443" t="s">
        <v>289</v>
      </c>
      <c r="AI1326" s="443"/>
      <c r="AJ1326" s="443"/>
      <c r="AK1326" s="443"/>
      <c r="AL1326" s="443"/>
      <c r="AM1326" s="443"/>
      <c r="AN1326" s="443"/>
      <c r="AO1326" s="443"/>
      <c r="AP1326" s="443"/>
      <c r="AQ1326" s="443"/>
      <c r="AR1326" s="443"/>
      <c r="AS1326" s="443"/>
      <c r="AT1326" s="443"/>
      <c r="AU1326" s="443"/>
      <c r="AV1326" s="443"/>
      <c r="AW1326" s="443"/>
      <c r="AX1326" s="443"/>
      <c r="AY1326" s="443"/>
      <c r="AZ1326" s="443"/>
      <c r="BA1326" s="443"/>
      <c r="BB1326" s="443"/>
      <c r="BC1326" s="443"/>
      <c r="BD1326" s="443"/>
      <c r="BE1326" s="443"/>
    </row>
    <row r="1327">
      <c r="A1327" s="445" t="str">
        <f t="shared" si="5"/>
        <v/>
      </c>
      <c r="B1327" s="443"/>
      <c r="C1327" s="443"/>
      <c r="D1327" s="462"/>
      <c r="E1327" s="436" t="str">
        <f t="array" ref="E1327">IF(B1327=0,"",(J1327+K1327)/60)</f>
        <v/>
      </c>
      <c r="F1327" s="437" t="str">
        <f t="shared" si="1"/>
        <v/>
      </c>
      <c r="G1327" s="438" t="str">
        <f t="shared" si="9"/>
        <v/>
      </c>
      <c r="H1327" s="438" t="str">
        <f t="shared" si="3"/>
        <v/>
      </c>
      <c r="I1327" s="436" t="str">
        <f t="shared" si="11"/>
        <v/>
      </c>
      <c r="J1327" s="464"/>
      <c r="K1327" s="464"/>
      <c r="L1327" s="443"/>
      <c r="M1327" s="443"/>
      <c r="N1327" s="443"/>
      <c r="O1327" s="443"/>
      <c r="P1327" s="443"/>
      <c r="Q1327" s="443"/>
      <c r="R1327" s="443"/>
      <c r="S1327" s="443"/>
      <c r="T1327" s="443"/>
      <c r="U1327" s="443"/>
      <c r="V1327" s="443"/>
      <c r="W1327" s="443"/>
      <c r="X1327" s="443"/>
      <c r="Y1327" s="443"/>
      <c r="Z1327" s="443"/>
      <c r="AA1327" s="443"/>
      <c r="AB1327" s="443"/>
      <c r="AC1327" s="443"/>
      <c r="AD1327" s="443"/>
      <c r="AE1327" s="443"/>
      <c r="AF1327" s="443"/>
      <c r="AG1327" s="443" t="s">
        <v>289</v>
      </c>
      <c r="AH1327" s="443" t="s">
        <v>289</v>
      </c>
      <c r="AI1327" s="443"/>
      <c r="AJ1327" s="443"/>
      <c r="AK1327" s="443"/>
      <c r="AL1327" s="443"/>
      <c r="AM1327" s="443"/>
      <c r="AN1327" s="443"/>
      <c r="AO1327" s="443"/>
      <c r="AP1327" s="443"/>
      <c r="AQ1327" s="443"/>
      <c r="AR1327" s="443"/>
      <c r="AS1327" s="443"/>
      <c r="AT1327" s="443"/>
      <c r="AU1327" s="443"/>
      <c r="AV1327" s="443"/>
      <c r="AW1327" s="443"/>
      <c r="AX1327" s="443"/>
      <c r="AY1327" s="443"/>
      <c r="AZ1327" s="443"/>
      <c r="BA1327" s="443"/>
      <c r="BB1327" s="443"/>
      <c r="BC1327" s="443"/>
      <c r="BD1327" s="443"/>
      <c r="BE1327" s="443"/>
    </row>
    <row r="1328">
      <c r="A1328" s="445" t="str">
        <f t="shared" si="5"/>
        <v/>
      </c>
      <c r="B1328" s="443"/>
      <c r="C1328" s="443"/>
      <c r="D1328" s="462"/>
      <c r="E1328" s="436" t="str">
        <f t="array" ref="E1328">IF(B1328=0,"",(J1328+K1328)/60)</f>
        <v/>
      </c>
      <c r="F1328" s="437" t="str">
        <f t="shared" si="1"/>
        <v/>
      </c>
      <c r="G1328" s="438" t="str">
        <f t="shared" si="9"/>
        <v/>
      </c>
      <c r="H1328" s="438" t="str">
        <f t="shared" si="3"/>
        <v/>
      </c>
      <c r="I1328" s="436" t="str">
        <f t="shared" si="11"/>
        <v/>
      </c>
      <c r="J1328" s="464"/>
      <c r="K1328" s="464"/>
      <c r="L1328" s="443"/>
      <c r="M1328" s="443"/>
      <c r="N1328" s="443"/>
      <c r="O1328" s="443"/>
      <c r="P1328" s="443"/>
      <c r="Q1328" s="443"/>
      <c r="R1328" s="443"/>
      <c r="S1328" s="443"/>
      <c r="T1328" s="443"/>
      <c r="U1328" s="443"/>
      <c r="V1328" s="443"/>
      <c r="W1328" s="443"/>
      <c r="X1328" s="443"/>
      <c r="Y1328" s="443"/>
      <c r="Z1328" s="443"/>
      <c r="AA1328" s="443"/>
      <c r="AB1328" s="443"/>
      <c r="AC1328" s="443"/>
      <c r="AD1328" s="443"/>
      <c r="AE1328" s="443"/>
      <c r="AF1328" s="443"/>
      <c r="AG1328" s="443" t="s">
        <v>289</v>
      </c>
      <c r="AH1328" s="443" t="s">
        <v>289</v>
      </c>
      <c r="AI1328" s="443"/>
      <c r="AJ1328" s="443"/>
      <c r="AK1328" s="443"/>
      <c r="AL1328" s="443"/>
      <c r="AM1328" s="443"/>
      <c r="AN1328" s="443"/>
      <c r="AO1328" s="443"/>
      <c r="AP1328" s="443"/>
      <c r="AQ1328" s="443"/>
      <c r="AR1328" s="443"/>
      <c r="AS1328" s="443"/>
      <c r="AT1328" s="443"/>
      <c r="AU1328" s="443"/>
      <c r="AV1328" s="443"/>
      <c r="AW1328" s="443"/>
      <c r="AX1328" s="443"/>
      <c r="AY1328" s="443"/>
      <c r="AZ1328" s="443"/>
      <c r="BA1328" s="443"/>
      <c r="BB1328" s="443"/>
      <c r="BC1328" s="443"/>
      <c r="BD1328" s="443"/>
      <c r="BE1328" s="443"/>
    </row>
    <row r="1329">
      <c r="A1329" s="445" t="str">
        <f t="shared" si="5"/>
        <v/>
      </c>
      <c r="B1329" s="443"/>
      <c r="C1329" s="443"/>
      <c r="D1329" s="462"/>
      <c r="E1329" s="436" t="str">
        <f t="array" ref="E1329">IF(B1329=0,"",(J1329+K1329)/60)</f>
        <v/>
      </c>
      <c r="F1329" s="437" t="str">
        <f t="shared" si="1"/>
        <v/>
      </c>
      <c r="G1329" s="438" t="str">
        <f t="shared" si="9"/>
        <v/>
      </c>
      <c r="H1329" s="438" t="str">
        <f t="shared" si="3"/>
        <v/>
      </c>
      <c r="I1329" s="436" t="str">
        <f t="shared" si="11"/>
        <v/>
      </c>
      <c r="J1329" s="464"/>
      <c r="K1329" s="464"/>
      <c r="L1329" s="443"/>
      <c r="M1329" s="443"/>
      <c r="N1329" s="443"/>
      <c r="O1329" s="443"/>
      <c r="P1329" s="443"/>
      <c r="Q1329" s="443"/>
      <c r="R1329" s="443"/>
      <c r="S1329" s="443"/>
      <c r="T1329" s="443"/>
      <c r="U1329" s="443"/>
      <c r="V1329" s="443"/>
      <c r="W1329" s="443"/>
      <c r="X1329" s="443"/>
      <c r="Y1329" s="443"/>
      <c r="Z1329" s="443"/>
      <c r="AA1329" s="443"/>
      <c r="AB1329" s="443"/>
      <c r="AC1329" s="443"/>
      <c r="AD1329" s="443"/>
      <c r="AE1329" s="443"/>
      <c r="AF1329" s="443"/>
      <c r="AG1329" s="443" t="s">
        <v>289</v>
      </c>
      <c r="AH1329" s="443" t="s">
        <v>289</v>
      </c>
      <c r="AI1329" s="443"/>
      <c r="AJ1329" s="443"/>
      <c r="AK1329" s="443"/>
      <c r="AL1329" s="443"/>
      <c r="AM1329" s="443"/>
      <c r="AN1329" s="443"/>
      <c r="AO1329" s="443"/>
      <c r="AP1329" s="443"/>
      <c r="AQ1329" s="443"/>
      <c r="AR1329" s="443"/>
      <c r="AS1329" s="443"/>
      <c r="AT1329" s="443"/>
      <c r="AU1329" s="443"/>
      <c r="AV1329" s="443"/>
      <c r="AW1329" s="443"/>
      <c r="AX1329" s="443"/>
      <c r="AY1329" s="443"/>
      <c r="AZ1329" s="443"/>
      <c r="BA1329" s="443"/>
      <c r="BB1329" s="443"/>
      <c r="BC1329" s="443"/>
      <c r="BD1329" s="443"/>
      <c r="BE1329" s="443"/>
    </row>
    <row r="1330">
      <c r="A1330" s="445" t="str">
        <f t="shared" si="5"/>
        <v/>
      </c>
      <c r="B1330" s="443"/>
      <c r="C1330" s="443"/>
      <c r="D1330" s="462"/>
      <c r="E1330" s="436" t="str">
        <f t="array" ref="E1330">IF(B1330=0,"",(J1330+K1330)/60)</f>
        <v/>
      </c>
      <c r="F1330" s="437" t="str">
        <f t="shared" si="1"/>
        <v/>
      </c>
      <c r="G1330" s="438" t="str">
        <f t="shared" si="9"/>
        <v/>
      </c>
      <c r="H1330" s="438" t="str">
        <f t="shared" si="3"/>
        <v/>
      </c>
      <c r="I1330" s="436" t="str">
        <f t="shared" si="11"/>
        <v/>
      </c>
      <c r="J1330" s="464"/>
      <c r="K1330" s="464"/>
      <c r="L1330" s="443"/>
      <c r="M1330" s="443"/>
      <c r="N1330" s="443"/>
      <c r="O1330" s="443"/>
      <c r="P1330" s="443"/>
      <c r="Q1330" s="443"/>
      <c r="R1330" s="443"/>
      <c r="S1330" s="443"/>
      <c r="T1330" s="443"/>
      <c r="U1330" s="443"/>
      <c r="V1330" s="443"/>
      <c r="W1330" s="443"/>
      <c r="X1330" s="443"/>
      <c r="Y1330" s="443"/>
      <c r="Z1330" s="443"/>
      <c r="AA1330" s="443"/>
      <c r="AB1330" s="443"/>
      <c r="AC1330" s="443"/>
      <c r="AD1330" s="443"/>
      <c r="AE1330" s="443"/>
      <c r="AF1330" s="443"/>
      <c r="AG1330" s="443" t="s">
        <v>289</v>
      </c>
      <c r="AH1330" s="443" t="s">
        <v>289</v>
      </c>
      <c r="AI1330" s="443"/>
      <c r="AJ1330" s="443"/>
      <c r="AK1330" s="443"/>
      <c r="AL1330" s="443"/>
      <c r="AM1330" s="443"/>
      <c r="AN1330" s="443"/>
      <c r="AO1330" s="443"/>
      <c r="AP1330" s="443"/>
      <c r="AQ1330" s="443"/>
      <c r="AR1330" s="443"/>
      <c r="AS1330" s="443"/>
      <c r="AT1330" s="443"/>
      <c r="AU1330" s="443"/>
      <c r="AV1330" s="443"/>
      <c r="AW1330" s="443"/>
      <c r="AX1330" s="443"/>
      <c r="AY1330" s="443"/>
      <c r="AZ1330" s="443"/>
      <c r="BA1330" s="443"/>
      <c r="BB1330" s="443"/>
      <c r="BC1330" s="443"/>
      <c r="BD1330" s="443"/>
      <c r="BE1330" s="443"/>
    </row>
    <row r="1331">
      <c r="A1331" s="445" t="str">
        <f t="shared" si="5"/>
        <v/>
      </c>
      <c r="B1331" s="443"/>
      <c r="C1331" s="443"/>
      <c r="D1331" s="462"/>
      <c r="E1331" s="436" t="str">
        <f t="array" ref="E1331">IF(B1331=0,"",(J1331+K1331)/60)</f>
        <v/>
      </c>
      <c r="F1331" s="437" t="str">
        <f t="shared" si="1"/>
        <v/>
      </c>
      <c r="G1331" s="438" t="str">
        <f t="shared" si="9"/>
        <v/>
      </c>
      <c r="H1331" s="438" t="str">
        <f t="shared" si="3"/>
        <v/>
      </c>
      <c r="I1331" s="436" t="str">
        <f t="shared" si="11"/>
        <v/>
      </c>
      <c r="J1331" s="464"/>
      <c r="K1331" s="464"/>
      <c r="L1331" s="443"/>
      <c r="M1331" s="443"/>
      <c r="N1331" s="443"/>
      <c r="O1331" s="443"/>
      <c r="P1331" s="443"/>
      <c r="Q1331" s="443"/>
      <c r="R1331" s="443"/>
      <c r="S1331" s="443"/>
      <c r="T1331" s="443"/>
      <c r="U1331" s="443"/>
      <c r="V1331" s="443"/>
      <c r="W1331" s="443"/>
      <c r="X1331" s="443"/>
      <c r="Y1331" s="443"/>
      <c r="Z1331" s="443"/>
      <c r="AA1331" s="443"/>
      <c r="AB1331" s="443"/>
      <c r="AC1331" s="443"/>
      <c r="AD1331" s="443"/>
      <c r="AE1331" s="443"/>
      <c r="AF1331" s="443"/>
      <c r="AG1331" s="443" t="s">
        <v>289</v>
      </c>
      <c r="AH1331" s="443" t="s">
        <v>289</v>
      </c>
      <c r="AI1331" s="443"/>
      <c r="AJ1331" s="443"/>
      <c r="AK1331" s="443"/>
      <c r="AL1331" s="443"/>
      <c r="AM1331" s="443"/>
      <c r="AN1331" s="443"/>
      <c r="AO1331" s="443"/>
      <c r="AP1331" s="443"/>
      <c r="AQ1331" s="443"/>
      <c r="AR1331" s="443"/>
      <c r="AS1331" s="443"/>
      <c r="AT1331" s="443"/>
      <c r="AU1331" s="443"/>
      <c r="AV1331" s="443"/>
      <c r="AW1331" s="443"/>
      <c r="AX1331" s="443"/>
      <c r="AY1331" s="443"/>
      <c r="AZ1331" s="443"/>
      <c r="BA1331" s="443"/>
      <c r="BB1331" s="443"/>
      <c r="BC1331" s="443"/>
      <c r="BD1331" s="443"/>
      <c r="BE1331" s="443"/>
    </row>
    <row r="1332">
      <c r="A1332" s="445" t="str">
        <f t="shared" si="5"/>
        <v/>
      </c>
      <c r="B1332" s="443"/>
      <c r="C1332" s="443"/>
      <c r="D1332" s="462"/>
      <c r="E1332" s="436" t="str">
        <f t="array" ref="E1332">IF(B1332=0,"",(J1332+K1332)/60)</f>
        <v/>
      </c>
      <c r="F1332" s="437" t="str">
        <f t="shared" si="1"/>
        <v/>
      </c>
      <c r="G1332" s="438" t="str">
        <f t="shared" si="9"/>
        <v/>
      </c>
      <c r="H1332" s="438" t="str">
        <f t="shared" si="3"/>
        <v/>
      </c>
      <c r="I1332" s="436" t="str">
        <f t="shared" si="11"/>
        <v/>
      </c>
      <c r="J1332" s="464"/>
      <c r="K1332" s="464"/>
      <c r="L1332" s="443"/>
      <c r="M1332" s="443"/>
      <c r="N1332" s="443"/>
      <c r="O1332" s="443"/>
      <c r="P1332" s="443"/>
      <c r="Q1332" s="443"/>
      <c r="R1332" s="443"/>
      <c r="S1332" s="443"/>
      <c r="T1332" s="443"/>
      <c r="U1332" s="443"/>
      <c r="V1332" s="443"/>
      <c r="W1332" s="443"/>
      <c r="X1332" s="443"/>
      <c r="Y1332" s="443"/>
      <c r="Z1332" s="443"/>
      <c r="AA1332" s="443"/>
      <c r="AB1332" s="443"/>
      <c r="AC1332" s="443"/>
      <c r="AD1332" s="443"/>
      <c r="AE1332" s="443"/>
      <c r="AF1332" s="443"/>
      <c r="AG1332" s="443" t="s">
        <v>289</v>
      </c>
      <c r="AH1332" s="443" t="s">
        <v>289</v>
      </c>
      <c r="AI1332" s="443"/>
      <c r="AJ1332" s="443"/>
      <c r="AK1332" s="443"/>
      <c r="AL1332" s="443"/>
      <c r="AM1332" s="443"/>
      <c r="AN1332" s="443"/>
      <c r="AO1332" s="443"/>
      <c r="AP1332" s="443"/>
      <c r="AQ1332" s="443"/>
      <c r="AR1332" s="443"/>
      <c r="AS1332" s="443"/>
      <c r="AT1332" s="443"/>
      <c r="AU1332" s="443"/>
      <c r="AV1332" s="443"/>
      <c r="AW1332" s="443"/>
      <c r="AX1332" s="443"/>
      <c r="AY1332" s="443"/>
      <c r="AZ1332" s="443"/>
      <c r="BA1332" s="443"/>
      <c r="BB1332" s="443"/>
      <c r="BC1332" s="443"/>
      <c r="BD1332" s="443"/>
      <c r="BE1332" s="443"/>
    </row>
    <row r="1333">
      <c r="A1333" s="445" t="str">
        <f t="shared" si="5"/>
        <v/>
      </c>
      <c r="B1333" s="443"/>
      <c r="C1333" s="443"/>
      <c r="D1333" s="462"/>
      <c r="E1333" s="436" t="str">
        <f t="array" ref="E1333">IF(B1333=0,"",(J1333+K1333)/60)</f>
        <v/>
      </c>
      <c r="F1333" s="437" t="str">
        <f t="shared" si="1"/>
        <v/>
      </c>
      <c r="G1333" s="438" t="str">
        <f t="shared" si="9"/>
        <v/>
      </c>
      <c r="H1333" s="438" t="str">
        <f t="shared" si="3"/>
        <v/>
      </c>
      <c r="I1333" s="436" t="str">
        <f t="shared" si="11"/>
        <v/>
      </c>
      <c r="J1333" s="464"/>
      <c r="K1333" s="464"/>
      <c r="L1333" s="443"/>
      <c r="M1333" s="443"/>
      <c r="N1333" s="443"/>
      <c r="O1333" s="443"/>
      <c r="P1333" s="443"/>
      <c r="Q1333" s="443"/>
      <c r="R1333" s="443"/>
      <c r="S1333" s="443"/>
      <c r="T1333" s="443"/>
      <c r="U1333" s="443"/>
      <c r="V1333" s="443"/>
      <c r="W1333" s="443"/>
      <c r="X1333" s="443"/>
      <c r="Y1333" s="443"/>
      <c r="Z1333" s="443"/>
      <c r="AA1333" s="443"/>
      <c r="AB1333" s="443"/>
      <c r="AC1333" s="443"/>
      <c r="AD1333" s="443"/>
      <c r="AE1333" s="443"/>
      <c r="AF1333" s="443"/>
      <c r="AG1333" s="443" t="s">
        <v>289</v>
      </c>
      <c r="AH1333" s="443" t="s">
        <v>289</v>
      </c>
      <c r="AI1333" s="443"/>
      <c r="AJ1333" s="443"/>
      <c r="AK1333" s="443"/>
      <c r="AL1333" s="443"/>
      <c r="AM1333" s="443"/>
      <c r="AN1333" s="443"/>
      <c r="AO1333" s="443"/>
      <c r="AP1333" s="443"/>
      <c r="AQ1333" s="443"/>
      <c r="AR1333" s="443"/>
      <c r="AS1333" s="443"/>
      <c r="AT1333" s="443"/>
      <c r="AU1333" s="443"/>
      <c r="AV1333" s="443"/>
      <c r="AW1333" s="443"/>
      <c r="AX1333" s="443"/>
      <c r="AY1333" s="443"/>
      <c r="AZ1333" s="443"/>
      <c r="BA1333" s="443"/>
      <c r="BB1333" s="443"/>
      <c r="BC1333" s="443"/>
      <c r="BD1333" s="443"/>
      <c r="BE1333" s="443"/>
    </row>
    <row r="1334">
      <c r="A1334" s="445" t="str">
        <f t="shared" si="5"/>
        <v/>
      </c>
      <c r="B1334" s="443"/>
      <c r="C1334" s="443"/>
      <c r="D1334" s="462"/>
      <c r="E1334" s="436" t="str">
        <f t="array" ref="E1334">IF(B1334=0,"",(J1334+K1334)/60)</f>
        <v/>
      </c>
      <c r="F1334" s="437" t="str">
        <f t="shared" si="1"/>
        <v/>
      </c>
      <c r="G1334" s="438" t="str">
        <f t="shared" si="9"/>
        <v/>
      </c>
      <c r="H1334" s="438" t="str">
        <f t="shared" si="3"/>
        <v/>
      </c>
      <c r="I1334" s="436" t="str">
        <f t="shared" si="11"/>
        <v/>
      </c>
      <c r="J1334" s="464"/>
      <c r="K1334" s="464"/>
      <c r="L1334" s="443"/>
      <c r="M1334" s="443"/>
      <c r="N1334" s="443"/>
      <c r="O1334" s="443"/>
      <c r="P1334" s="443"/>
      <c r="Q1334" s="443"/>
      <c r="R1334" s="443"/>
      <c r="S1334" s="443"/>
      <c r="T1334" s="443"/>
      <c r="U1334" s="443"/>
      <c r="V1334" s="443"/>
      <c r="W1334" s="443"/>
      <c r="X1334" s="443"/>
      <c r="Y1334" s="443"/>
      <c r="Z1334" s="443"/>
      <c r="AA1334" s="443"/>
      <c r="AB1334" s="443"/>
      <c r="AC1334" s="443"/>
      <c r="AD1334" s="443"/>
      <c r="AE1334" s="443"/>
      <c r="AF1334" s="443"/>
      <c r="AG1334" s="443" t="s">
        <v>289</v>
      </c>
      <c r="AH1334" s="443" t="s">
        <v>289</v>
      </c>
      <c r="AI1334" s="443"/>
      <c r="AJ1334" s="443"/>
      <c r="AK1334" s="443"/>
      <c r="AL1334" s="443"/>
      <c r="AM1334" s="443"/>
      <c r="AN1334" s="443"/>
      <c r="AO1334" s="443"/>
      <c r="AP1334" s="443"/>
      <c r="AQ1334" s="443"/>
      <c r="AR1334" s="443"/>
      <c r="AS1334" s="443"/>
      <c r="AT1334" s="443"/>
      <c r="AU1334" s="443"/>
      <c r="AV1334" s="443"/>
      <c r="AW1334" s="443"/>
      <c r="AX1334" s="443"/>
      <c r="AY1334" s="443"/>
      <c r="AZ1334" s="443"/>
      <c r="BA1334" s="443"/>
      <c r="BB1334" s="443"/>
      <c r="BC1334" s="443"/>
      <c r="BD1334" s="443"/>
      <c r="BE1334" s="443"/>
    </row>
    <row r="1335">
      <c r="A1335" s="445" t="str">
        <f t="shared" si="5"/>
        <v/>
      </c>
      <c r="B1335" s="443"/>
      <c r="C1335" s="443"/>
      <c r="D1335" s="462"/>
      <c r="E1335" s="436" t="str">
        <f t="array" ref="E1335">IF(B1335=0,"",(J1335+K1335)/60)</f>
        <v/>
      </c>
      <c r="F1335" s="437" t="str">
        <f t="shared" si="1"/>
        <v/>
      </c>
      <c r="G1335" s="438" t="str">
        <f t="shared" si="9"/>
        <v/>
      </c>
      <c r="H1335" s="438" t="str">
        <f t="shared" si="3"/>
        <v/>
      </c>
      <c r="I1335" s="436" t="str">
        <f t="shared" si="11"/>
        <v/>
      </c>
      <c r="J1335" s="464"/>
      <c r="K1335" s="464"/>
      <c r="L1335" s="443"/>
      <c r="M1335" s="443"/>
      <c r="N1335" s="443"/>
      <c r="O1335" s="443"/>
      <c r="P1335" s="443"/>
      <c r="Q1335" s="443"/>
      <c r="R1335" s="443"/>
      <c r="S1335" s="443"/>
      <c r="T1335" s="443"/>
      <c r="U1335" s="443"/>
      <c r="V1335" s="443"/>
      <c r="W1335" s="443"/>
      <c r="X1335" s="443"/>
      <c r="Y1335" s="443"/>
      <c r="Z1335" s="443"/>
      <c r="AA1335" s="443"/>
      <c r="AB1335" s="443"/>
      <c r="AC1335" s="443"/>
      <c r="AD1335" s="443"/>
      <c r="AE1335" s="443"/>
      <c r="AF1335" s="443"/>
      <c r="AG1335" s="443" t="s">
        <v>289</v>
      </c>
      <c r="AH1335" s="443" t="s">
        <v>289</v>
      </c>
      <c r="AI1335" s="443"/>
      <c r="AJ1335" s="443"/>
      <c r="AK1335" s="443"/>
      <c r="AL1335" s="443"/>
      <c r="AM1335" s="443"/>
      <c r="AN1335" s="443"/>
      <c r="AO1335" s="443"/>
      <c r="AP1335" s="443"/>
      <c r="AQ1335" s="443"/>
      <c r="AR1335" s="443"/>
      <c r="AS1335" s="443"/>
      <c r="AT1335" s="443"/>
      <c r="AU1335" s="443"/>
      <c r="AV1335" s="443"/>
      <c r="AW1335" s="443"/>
      <c r="AX1335" s="443"/>
      <c r="AY1335" s="443"/>
      <c r="AZ1335" s="443"/>
      <c r="BA1335" s="443"/>
      <c r="BB1335" s="443"/>
      <c r="BC1335" s="443"/>
      <c r="BD1335" s="443"/>
      <c r="BE1335" s="443"/>
    </row>
    <row r="1336">
      <c r="A1336" s="445" t="str">
        <f t="shared" si="5"/>
        <v/>
      </c>
      <c r="B1336" s="443"/>
      <c r="C1336" s="443"/>
      <c r="D1336" s="462"/>
      <c r="E1336" s="436" t="str">
        <f t="array" ref="E1336">IF(B1336=0,"",(J1336+K1336)/60)</f>
        <v/>
      </c>
      <c r="F1336" s="437" t="str">
        <f t="shared" si="1"/>
        <v/>
      </c>
      <c r="G1336" s="438" t="str">
        <f t="shared" si="9"/>
        <v/>
      </c>
      <c r="H1336" s="438" t="str">
        <f t="shared" si="3"/>
        <v/>
      </c>
      <c r="I1336" s="436" t="str">
        <f t="shared" si="11"/>
        <v/>
      </c>
      <c r="J1336" s="464"/>
      <c r="K1336" s="464"/>
      <c r="L1336" s="443"/>
      <c r="M1336" s="443"/>
      <c r="N1336" s="443"/>
      <c r="O1336" s="443"/>
      <c r="P1336" s="443"/>
      <c r="Q1336" s="443"/>
      <c r="R1336" s="443"/>
      <c r="S1336" s="443"/>
      <c r="T1336" s="443"/>
      <c r="U1336" s="443"/>
      <c r="V1336" s="443"/>
      <c r="W1336" s="443"/>
      <c r="X1336" s="443"/>
      <c r="Y1336" s="443"/>
      <c r="Z1336" s="443"/>
      <c r="AA1336" s="443"/>
      <c r="AB1336" s="443"/>
      <c r="AC1336" s="443"/>
      <c r="AD1336" s="443"/>
      <c r="AE1336" s="443"/>
      <c r="AF1336" s="443"/>
      <c r="AG1336" s="443" t="s">
        <v>289</v>
      </c>
      <c r="AH1336" s="443" t="s">
        <v>289</v>
      </c>
      <c r="AI1336" s="443"/>
      <c r="AJ1336" s="443"/>
      <c r="AK1336" s="443"/>
      <c r="AL1336" s="443"/>
      <c r="AM1336" s="443"/>
      <c r="AN1336" s="443"/>
      <c r="AO1336" s="443"/>
      <c r="AP1336" s="443"/>
      <c r="AQ1336" s="443"/>
      <c r="AR1336" s="443"/>
      <c r="AS1336" s="443"/>
      <c r="AT1336" s="443"/>
      <c r="AU1336" s="443"/>
      <c r="AV1336" s="443"/>
      <c r="AW1336" s="443"/>
      <c r="AX1336" s="443"/>
      <c r="AY1336" s="443"/>
      <c r="AZ1336" s="443"/>
      <c r="BA1336" s="443"/>
      <c r="BB1336" s="443"/>
      <c r="BC1336" s="443"/>
      <c r="BD1336" s="443"/>
      <c r="BE1336" s="443"/>
    </row>
    <row r="1337">
      <c r="A1337" s="445" t="str">
        <f t="shared" si="5"/>
        <v/>
      </c>
      <c r="B1337" s="443"/>
      <c r="C1337" s="443"/>
      <c r="D1337" s="462"/>
      <c r="E1337" s="436" t="str">
        <f t="array" ref="E1337">IF(B1337=0,"",(J1337+K1337)/60)</f>
        <v/>
      </c>
      <c r="F1337" s="437" t="str">
        <f t="shared" si="1"/>
        <v/>
      </c>
      <c r="G1337" s="438" t="str">
        <f t="shared" si="9"/>
        <v/>
      </c>
      <c r="H1337" s="438" t="str">
        <f t="shared" si="3"/>
        <v/>
      </c>
      <c r="I1337" s="436" t="str">
        <f t="shared" si="11"/>
        <v/>
      </c>
      <c r="J1337" s="464"/>
      <c r="K1337" s="464"/>
      <c r="L1337" s="443"/>
      <c r="M1337" s="443"/>
      <c r="N1337" s="443"/>
      <c r="O1337" s="443"/>
      <c r="P1337" s="443"/>
      <c r="Q1337" s="443"/>
      <c r="R1337" s="443"/>
      <c r="S1337" s="443"/>
      <c r="T1337" s="443"/>
      <c r="U1337" s="443"/>
      <c r="V1337" s="443"/>
      <c r="W1337" s="443"/>
      <c r="X1337" s="443"/>
      <c r="Y1337" s="443"/>
      <c r="Z1337" s="443"/>
      <c r="AA1337" s="443"/>
      <c r="AB1337" s="443"/>
      <c r="AC1337" s="443"/>
      <c r="AD1337" s="443"/>
      <c r="AE1337" s="443"/>
      <c r="AF1337" s="443"/>
      <c r="AG1337" s="443" t="s">
        <v>289</v>
      </c>
      <c r="AH1337" s="443" t="s">
        <v>289</v>
      </c>
      <c r="AI1337" s="443"/>
      <c r="AJ1337" s="443"/>
      <c r="AK1337" s="443"/>
      <c r="AL1337" s="443"/>
      <c r="AM1337" s="443"/>
      <c r="AN1337" s="443"/>
      <c r="AO1337" s="443"/>
      <c r="AP1337" s="443"/>
      <c r="AQ1337" s="443"/>
      <c r="AR1337" s="443"/>
      <c r="AS1337" s="443"/>
      <c r="AT1337" s="443"/>
      <c r="AU1337" s="443"/>
      <c r="AV1337" s="443"/>
      <c r="AW1337" s="443"/>
      <c r="AX1337" s="443"/>
      <c r="AY1337" s="443"/>
      <c r="AZ1337" s="443"/>
      <c r="BA1337" s="443"/>
      <c r="BB1337" s="443"/>
      <c r="BC1337" s="443"/>
      <c r="BD1337" s="443"/>
      <c r="BE1337" s="443"/>
    </row>
    <row r="1338">
      <c r="A1338" s="445" t="str">
        <f t="shared" si="5"/>
        <v/>
      </c>
      <c r="B1338" s="443"/>
      <c r="C1338" s="443"/>
      <c r="D1338" s="462"/>
      <c r="E1338" s="436" t="str">
        <f t="array" ref="E1338">IF(B1338=0,"",(J1338+K1338)/60)</f>
        <v/>
      </c>
      <c r="F1338" s="437" t="str">
        <f t="shared" si="1"/>
        <v/>
      </c>
      <c r="G1338" s="438" t="str">
        <f t="shared" si="9"/>
        <v/>
      </c>
      <c r="H1338" s="438" t="str">
        <f t="shared" si="3"/>
        <v/>
      </c>
      <c r="I1338" s="436" t="str">
        <f t="shared" si="11"/>
        <v/>
      </c>
      <c r="J1338" s="464"/>
      <c r="K1338" s="464"/>
      <c r="L1338" s="443"/>
      <c r="M1338" s="443"/>
      <c r="N1338" s="443"/>
      <c r="O1338" s="443"/>
      <c r="P1338" s="443"/>
      <c r="Q1338" s="443"/>
      <c r="R1338" s="443"/>
      <c r="S1338" s="443"/>
      <c r="T1338" s="443"/>
      <c r="U1338" s="443"/>
      <c r="V1338" s="443"/>
      <c r="W1338" s="443"/>
      <c r="X1338" s="443"/>
      <c r="Y1338" s="443"/>
      <c r="Z1338" s="443"/>
      <c r="AA1338" s="443"/>
      <c r="AB1338" s="443"/>
      <c r="AC1338" s="443"/>
      <c r="AD1338" s="443"/>
      <c r="AE1338" s="443"/>
      <c r="AF1338" s="443"/>
      <c r="AG1338" s="443" t="s">
        <v>289</v>
      </c>
      <c r="AH1338" s="443" t="s">
        <v>289</v>
      </c>
      <c r="AI1338" s="443"/>
      <c r="AJ1338" s="443"/>
      <c r="AK1338" s="443"/>
      <c r="AL1338" s="443"/>
      <c r="AM1338" s="443"/>
      <c r="AN1338" s="443"/>
      <c r="AO1338" s="443"/>
      <c r="AP1338" s="443"/>
      <c r="AQ1338" s="443"/>
      <c r="AR1338" s="443"/>
      <c r="AS1338" s="443"/>
      <c r="AT1338" s="443"/>
      <c r="AU1338" s="443"/>
      <c r="AV1338" s="443"/>
      <c r="AW1338" s="443"/>
      <c r="AX1338" s="443"/>
      <c r="AY1338" s="443"/>
      <c r="AZ1338" s="443"/>
      <c r="BA1338" s="443"/>
      <c r="BB1338" s="443"/>
      <c r="BC1338" s="443"/>
      <c r="BD1338" s="443"/>
      <c r="BE1338" s="443"/>
    </row>
    <row r="1339">
      <c r="A1339" s="445" t="str">
        <f t="shared" si="5"/>
        <v/>
      </c>
      <c r="B1339" s="443"/>
      <c r="C1339" s="443"/>
      <c r="D1339" s="462"/>
      <c r="E1339" s="436" t="str">
        <f t="array" ref="E1339">IF(B1339=0,"",(J1339+K1339)/60)</f>
        <v/>
      </c>
      <c r="F1339" s="437" t="str">
        <f t="shared" si="1"/>
        <v/>
      </c>
      <c r="G1339" s="438" t="str">
        <f t="shared" si="9"/>
        <v/>
      </c>
      <c r="H1339" s="438" t="str">
        <f t="shared" si="3"/>
        <v/>
      </c>
      <c r="I1339" s="436" t="str">
        <f t="shared" si="11"/>
        <v/>
      </c>
      <c r="J1339" s="464"/>
      <c r="K1339" s="464"/>
      <c r="L1339" s="443"/>
      <c r="M1339" s="443"/>
      <c r="N1339" s="443"/>
      <c r="O1339" s="443"/>
      <c r="P1339" s="443"/>
      <c r="Q1339" s="443"/>
      <c r="R1339" s="443"/>
      <c r="S1339" s="443"/>
      <c r="T1339" s="443"/>
      <c r="U1339" s="443"/>
      <c r="V1339" s="443"/>
      <c r="W1339" s="443"/>
      <c r="X1339" s="443"/>
      <c r="Y1339" s="443"/>
      <c r="Z1339" s="443"/>
      <c r="AA1339" s="443"/>
      <c r="AB1339" s="443"/>
      <c r="AC1339" s="443"/>
      <c r="AD1339" s="443"/>
      <c r="AE1339" s="443"/>
      <c r="AF1339" s="443"/>
      <c r="AG1339" s="443" t="s">
        <v>289</v>
      </c>
      <c r="AH1339" s="443" t="s">
        <v>289</v>
      </c>
      <c r="AI1339" s="443"/>
      <c r="AJ1339" s="443"/>
      <c r="AK1339" s="443"/>
      <c r="AL1339" s="443"/>
      <c r="AM1339" s="443"/>
      <c r="AN1339" s="443"/>
      <c r="AO1339" s="443"/>
      <c r="AP1339" s="443"/>
      <c r="AQ1339" s="443"/>
      <c r="AR1339" s="443"/>
      <c r="AS1339" s="443"/>
      <c r="AT1339" s="443"/>
      <c r="AU1339" s="443"/>
      <c r="AV1339" s="443"/>
      <c r="AW1339" s="443"/>
      <c r="AX1339" s="443"/>
      <c r="AY1339" s="443"/>
      <c r="AZ1339" s="443"/>
      <c r="BA1339" s="443"/>
      <c r="BB1339" s="443"/>
      <c r="BC1339" s="443"/>
      <c r="BD1339" s="443"/>
      <c r="BE1339" s="443"/>
    </row>
    <row r="1340">
      <c r="A1340" s="445" t="str">
        <f t="shared" si="5"/>
        <v/>
      </c>
      <c r="B1340" s="443"/>
      <c r="C1340" s="443"/>
      <c r="D1340" s="462"/>
      <c r="E1340" s="436" t="str">
        <f t="array" ref="E1340">IF(B1340=0,"",(J1340+K1340)/60)</f>
        <v/>
      </c>
      <c r="F1340" s="437" t="str">
        <f t="shared" si="1"/>
        <v/>
      </c>
      <c r="G1340" s="438" t="str">
        <f t="shared" si="9"/>
        <v/>
      </c>
      <c r="H1340" s="438" t="str">
        <f t="shared" si="3"/>
        <v/>
      </c>
      <c r="I1340" s="436" t="str">
        <f t="shared" si="11"/>
        <v/>
      </c>
      <c r="J1340" s="464"/>
      <c r="K1340" s="464"/>
      <c r="L1340" s="443"/>
      <c r="M1340" s="443"/>
      <c r="N1340" s="443"/>
      <c r="O1340" s="443"/>
      <c r="P1340" s="443"/>
      <c r="Q1340" s="443"/>
      <c r="R1340" s="443"/>
      <c r="S1340" s="443"/>
      <c r="T1340" s="443"/>
      <c r="U1340" s="443"/>
      <c r="V1340" s="443"/>
      <c r="W1340" s="443"/>
      <c r="X1340" s="443"/>
      <c r="Y1340" s="443"/>
      <c r="Z1340" s="443"/>
      <c r="AA1340" s="443"/>
      <c r="AB1340" s="443"/>
      <c r="AC1340" s="443"/>
      <c r="AD1340" s="443"/>
      <c r="AE1340" s="443"/>
      <c r="AF1340" s="443"/>
      <c r="AG1340" s="443" t="s">
        <v>289</v>
      </c>
      <c r="AH1340" s="443" t="s">
        <v>289</v>
      </c>
      <c r="AI1340" s="443"/>
      <c r="AJ1340" s="443"/>
      <c r="AK1340" s="443"/>
      <c r="AL1340" s="443"/>
      <c r="AM1340" s="443"/>
      <c r="AN1340" s="443"/>
      <c r="AO1340" s="443"/>
      <c r="AP1340" s="443"/>
      <c r="AQ1340" s="443"/>
      <c r="AR1340" s="443"/>
      <c r="AS1340" s="443"/>
      <c r="AT1340" s="443"/>
      <c r="AU1340" s="443"/>
      <c r="AV1340" s="443"/>
      <c r="AW1340" s="443"/>
      <c r="AX1340" s="443"/>
      <c r="AY1340" s="443"/>
      <c r="AZ1340" s="443"/>
      <c r="BA1340" s="443"/>
      <c r="BB1340" s="443"/>
      <c r="BC1340" s="443"/>
      <c r="BD1340" s="443"/>
      <c r="BE1340" s="443"/>
    </row>
    <row r="1341">
      <c r="A1341" s="445" t="str">
        <f t="shared" si="5"/>
        <v/>
      </c>
      <c r="B1341" s="443"/>
      <c r="C1341" s="443"/>
      <c r="D1341" s="462"/>
      <c r="E1341" s="436" t="str">
        <f t="array" ref="E1341">IF(B1341=0,"",(J1341+K1341)/60)</f>
        <v/>
      </c>
      <c r="F1341" s="437" t="str">
        <f t="shared" si="1"/>
        <v/>
      </c>
      <c r="G1341" s="438" t="str">
        <f t="shared" si="9"/>
        <v/>
      </c>
      <c r="H1341" s="438" t="str">
        <f t="shared" si="3"/>
        <v/>
      </c>
      <c r="I1341" s="436" t="str">
        <f t="shared" si="11"/>
        <v/>
      </c>
      <c r="J1341" s="464"/>
      <c r="K1341" s="464"/>
      <c r="L1341" s="443"/>
      <c r="M1341" s="443"/>
      <c r="N1341" s="443"/>
      <c r="O1341" s="443"/>
      <c r="P1341" s="443"/>
      <c r="Q1341" s="443"/>
      <c r="R1341" s="443"/>
      <c r="S1341" s="443"/>
      <c r="T1341" s="443"/>
      <c r="U1341" s="443"/>
      <c r="V1341" s="443"/>
      <c r="W1341" s="443"/>
      <c r="X1341" s="443"/>
      <c r="Y1341" s="443"/>
      <c r="Z1341" s="443"/>
      <c r="AA1341" s="443"/>
      <c r="AB1341" s="443"/>
      <c r="AC1341" s="443"/>
      <c r="AD1341" s="443"/>
      <c r="AE1341" s="443"/>
      <c r="AF1341" s="443"/>
      <c r="AG1341" s="443" t="s">
        <v>289</v>
      </c>
      <c r="AH1341" s="443" t="s">
        <v>289</v>
      </c>
      <c r="AI1341" s="443"/>
      <c r="AJ1341" s="443"/>
      <c r="AK1341" s="443"/>
      <c r="AL1341" s="443"/>
      <c r="AM1341" s="443"/>
      <c r="AN1341" s="443"/>
      <c r="AO1341" s="443"/>
      <c r="AP1341" s="443"/>
      <c r="AQ1341" s="443"/>
      <c r="AR1341" s="443"/>
      <c r="AS1341" s="443"/>
      <c r="AT1341" s="443"/>
      <c r="AU1341" s="443"/>
      <c r="AV1341" s="443"/>
      <c r="AW1341" s="443"/>
      <c r="AX1341" s="443"/>
      <c r="AY1341" s="443"/>
      <c r="AZ1341" s="443"/>
      <c r="BA1341" s="443"/>
      <c r="BB1341" s="443"/>
      <c r="BC1341" s="443"/>
      <c r="BD1341" s="443"/>
      <c r="BE1341" s="443"/>
    </row>
    <row r="1342">
      <c r="A1342" s="445" t="str">
        <f t="shared" si="5"/>
        <v/>
      </c>
      <c r="B1342" s="443"/>
      <c r="C1342" s="443"/>
      <c r="D1342" s="462"/>
      <c r="E1342" s="436" t="str">
        <f t="array" ref="E1342">IF(B1342=0,"",(J1342+K1342)/60)</f>
        <v/>
      </c>
      <c r="F1342" s="437" t="str">
        <f t="shared" si="1"/>
        <v/>
      </c>
      <c r="G1342" s="438" t="str">
        <f t="shared" si="9"/>
        <v/>
      </c>
      <c r="H1342" s="438" t="str">
        <f t="shared" si="3"/>
        <v/>
      </c>
      <c r="I1342" s="436" t="str">
        <f t="shared" si="11"/>
        <v/>
      </c>
      <c r="J1342" s="464"/>
      <c r="K1342" s="464"/>
      <c r="L1342" s="443"/>
      <c r="M1342" s="443"/>
      <c r="N1342" s="443"/>
      <c r="O1342" s="443"/>
      <c r="P1342" s="443"/>
      <c r="Q1342" s="443"/>
      <c r="R1342" s="443"/>
      <c r="S1342" s="443"/>
      <c r="T1342" s="443"/>
      <c r="U1342" s="443"/>
      <c r="V1342" s="443"/>
      <c r="W1342" s="443"/>
      <c r="X1342" s="443"/>
      <c r="Y1342" s="443"/>
      <c r="Z1342" s="443"/>
      <c r="AA1342" s="443"/>
      <c r="AB1342" s="443"/>
      <c r="AC1342" s="443"/>
      <c r="AD1342" s="443"/>
      <c r="AE1342" s="443"/>
      <c r="AF1342" s="443"/>
      <c r="AG1342" s="443" t="s">
        <v>289</v>
      </c>
      <c r="AH1342" s="443" t="s">
        <v>289</v>
      </c>
      <c r="AI1342" s="443"/>
      <c r="AJ1342" s="443"/>
      <c r="AK1342" s="443"/>
      <c r="AL1342" s="443"/>
      <c r="AM1342" s="443"/>
      <c r="AN1342" s="443"/>
      <c r="AO1342" s="443"/>
      <c r="AP1342" s="443"/>
      <c r="AQ1342" s="443"/>
      <c r="AR1342" s="443"/>
      <c r="AS1342" s="443"/>
      <c r="AT1342" s="443"/>
      <c r="AU1342" s="443"/>
      <c r="AV1342" s="443"/>
      <c r="AW1342" s="443"/>
      <c r="AX1342" s="443"/>
      <c r="AY1342" s="443"/>
      <c r="AZ1342" s="443"/>
      <c r="BA1342" s="443"/>
      <c r="BB1342" s="443"/>
      <c r="BC1342" s="443"/>
      <c r="BD1342" s="443"/>
      <c r="BE1342" s="443"/>
    </row>
    <row r="1343">
      <c r="A1343" s="445" t="str">
        <f t="shared" si="5"/>
        <v/>
      </c>
      <c r="B1343" s="443"/>
      <c r="C1343" s="443"/>
      <c r="D1343" s="462"/>
      <c r="E1343" s="436" t="str">
        <f t="array" ref="E1343">IF(B1343=0,"",(J1343+K1343)/60)</f>
        <v/>
      </c>
      <c r="F1343" s="437" t="str">
        <f t="shared" si="1"/>
        <v/>
      </c>
      <c r="G1343" s="438" t="str">
        <f t="shared" si="9"/>
        <v/>
      </c>
      <c r="H1343" s="438" t="str">
        <f t="shared" si="3"/>
        <v/>
      </c>
      <c r="I1343" s="436" t="str">
        <f t="shared" si="11"/>
        <v/>
      </c>
      <c r="J1343" s="464"/>
      <c r="K1343" s="464"/>
      <c r="L1343" s="443"/>
      <c r="M1343" s="443"/>
      <c r="N1343" s="443"/>
      <c r="O1343" s="443"/>
      <c r="P1343" s="443"/>
      <c r="Q1343" s="443"/>
      <c r="R1343" s="443"/>
      <c r="S1343" s="443"/>
      <c r="T1343" s="443"/>
      <c r="U1343" s="443"/>
      <c r="V1343" s="443"/>
      <c r="W1343" s="443"/>
      <c r="X1343" s="443"/>
      <c r="Y1343" s="443"/>
      <c r="Z1343" s="443"/>
      <c r="AA1343" s="443"/>
      <c r="AB1343" s="443"/>
      <c r="AC1343" s="443"/>
      <c r="AD1343" s="443"/>
      <c r="AE1343" s="443"/>
      <c r="AF1343" s="443"/>
      <c r="AG1343" s="443" t="s">
        <v>289</v>
      </c>
      <c r="AH1343" s="443" t="s">
        <v>289</v>
      </c>
      <c r="AI1343" s="443"/>
      <c r="AJ1343" s="443"/>
      <c r="AK1343" s="443"/>
      <c r="AL1343" s="443"/>
      <c r="AM1343" s="443"/>
      <c r="AN1343" s="443"/>
      <c r="AO1343" s="443"/>
      <c r="AP1343" s="443"/>
      <c r="AQ1343" s="443"/>
      <c r="AR1343" s="443"/>
      <c r="AS1343" s="443"/>
      <c r="AT1343" s="443"/>
      <c r="AU1343" s="443"/>
      <c r="AV1343" s="443"/>
      <c r="AW1343" s="443"/>
      <c r="AX1343" s="443"/>
      <c r="AY1343" s="443"/>
      <c r="AZ1343" s="443"/>
      <c r="BA1343" s="443"/>
      <c r="BB1343" s="443"/>
      <c r="BC1343" s="443"/>
      <c r="BD1343" s="443"/>
      <c r="BE1343" s="443"/>
    </row>
    <row r="1344">
      <c r="A1344" s="445" t="str">
        <f t="shared" si="5"/>
        <v/>
      </c>
      <c r="B1344" s="443"/>
      <c r="C1344" s="443"/>
      <c r="D1344" s="462"/>
      <c r="E1344" s="436" t="str">
        <f t="array" ref="E1344">IF(B1344=0,"",(J1344+K1344)/60)</f>
        <v/>
      </c>
      <c r="F1344" s="437" t="str">
        <f t="shared" si="1"/>
        <v/>
      </c>
      <c r="G1344" s="438" t="str">
        <f t="shared" si="9"/>
        <v/>
      </c>
      <c r="H1344" s="438" t="str">
        <f t="shared" si="3"/>
        <v/>
      </c>
      <c r="I1344" s="436" t="str">
        <f t="shared" si="11"/>
        <v/>
      </c>
      <c r="J1344" s="464"/>
      <c r="K1344" s="464"/>
      <c r="L1344" s="443"/>
      <c r="M1344" s="443"/>
      <c r="N1344" s="443"/>
      <c r="O1344" s="443"/>
      <c r="P1344" s="443"/>
      <c r="Q1344" s="443"/>
      <c r="R1344" s="443"/>
      <c r="S1344" s="443"/>
      <c r="T1344" s="443"/>
      <c r="U1344" s="443"/>
      <c r="V1344" s="443"/>
      <c r="W1344" s="443"/>
      <c r="X1344" s="443"/>
      <c r="Y1344" s="443"/>
      <c r="Z1344" s="443"/>
      <c r="AA1344" s="443"/>
      <c r="AB1344" s="443"/>
      <c r="AC1344" s="443"/>
      <c r="AD1344" s="443"/>
      <c r="AE1344" s="443"/>
      <c r="AF1344" s="443"/>
      <c r="AG1344" s="443" t="s">
        <v>289</v>
      </c>
      <c r="AH1344" s="443" t="s">
        <v>289</v>
      </c>
      <c r="AI1344" s="443"/>
      <c r="AJ1344" s="443"/>
      <c r="AK1344" s="443"/>
      <c r="AL1344" s="443"/>
      <c r="AM1344" s="443"/>
      <c r="AN1344" s="443"/>
      <c r="AO1344" s="443"/>
      <c r="AP1344" s="443"/>
      <c r="AQ1344" s="443"/>
      <c r="AR1344" s="443"/>
      <c r="AS1344" s="443"/>
      <c r="AT1344" s="443"/>
      <c r="AU1344" s="443"/>
      <c r="AV1344" s="443"/>
      <c r="AW1344" s="443"/>
      <c r="AX1344" s="443"/>
      <c r="AY1344" s="443"/>
      <c r="AZ1344" s="443"/>
      <c r="BA1344" s="443"/>
      <c r="BB1344" s="443"/>
      <c r="BC1344" s="443"/>
      <c r="BD1344" s="443"/>
      <c r="BE1344" s="443"/>
    </row>
    <row r="1345">
      <c r="A1345" s="445" t="str">
        <f t="shared" si="5"/>
        <v/>
      </c>
      <c r="B1345" s="443"/>
      <c r="C1345" s="443"/>
      <c r="D1345" s="462"/>
      <c r="E1345" s="436" t="str">
        <f t="array" ref="E1345">IF(B1345=0,"",(J1345+K1345)/60)</f>
        <v/>
      </c>
      <c r="F1345" s="437" t="str">
        <f t="shared" si="1"/>
        <v/>
      </c>
      <c r="G1345" s="438" t="str">
        <f t="shared" si="9"/>
        <v/>
      </c>
      <c r="H1345" s="438" t="str">
        <f t="shared" si="3"/>
        <v/>
      </c>
      <c r="I1345" s="436" t="str">
        <f t="shared" si="11"/>
        <v/>
      </c>
      <c r="J1345" s="464"/>
      <c r="K1345" s="464"/>
      <c r="L1345" s="443"/>
      <c r="M1345" s="443"/>
      <c r="N1345" s="443"/>
      <c r="O1345" s="443"/>
      <c r="P1345" s="443"/>
      <c r="Q1345" s="443"/>
      <c r="R1345" s="443"/>
      <c r="S1345" s="443"/>
      <c r="T1345" s="443"/>
      <c r="U1345" s="443"/>
      <c r="V1345" s="443"/>
      <c r="W1345" s="443"/>
      <c r="X1345" s="443"/>
      <c r="Y1345" s="443"/>
      <c r="Z1345" s="443"/>
      <c r="AA1345" s="443"/>
      <c r="AB1345" s="443"/>
      <c r="AC1345" s="443"/>
      <c r="AD1345" s="443"/>
      <c r="AE1345" s="443"/>
      <c r="AF1345" s="443"/>
      <c r="AG1345" s="443" t="s">
        <v>289</v>
      </c>
      <c r="AH1345" s="443" t="s">
        <v>289</v>
      </c>
      <c r="AI1345" s="443"/>
      <c r="AJ1345" s="443"/>
      <c r="AK1345" s="443"/>
      <c r="AL1345" s="443"/>
      <c r="AM1345" s="443"/>
      <c r="AN1345" s="443"/>
      <c r="AO1345" s="443"/>
      <c r="AP1345" s="443"/>
      <c r="AQ1345" s="443"/>
      <c r="AR1345" s="443"/>
      <c r="AS1345" s="443"/>
      <c r="AT1345" s="443"/>
      <c r="AU1345" s="443"/>
      <c r="AV1345" s="443"/>
      <c r="AW1345" s="443"/>
      <c r="AX1345" s="443"/>
      <c r="AY1345" s="443"/>
      <c r="AZ1345" s="443"/>
      <c r="BA1345" s="443"/>
      <c r="BB1345" s="443"/>
      <c r="BC1345" s="443"/>
      <c r="BD1345" s="443"/>
      <c r="BE1345" s="443"/>
    </row>
    <row r="1346">
      <c r="A1346" s="445" t="str">
        <f t="shared" si="5"/>
        <v/>
      </c>
      <c r="B1346" s="443"/>
      <c r="C1346" s="443"/>
      <c r="D1346" s="462"/>
      <c r="E1346" s="436" t="str">
        <f t="array" ref="E1346">IF(B1346=0,"",(J1346+K1346)/60)</f>
        <v/>
      </c>
      <c r="F1346" s="437" t="str">
        <f t="shared" si="1"/>
        <v/>
      </c>
      <c r="G1346" s="438" t="str">
        <f t="shared" si="9"/>
        <v/>
      </c>
      <c r="H1346" s="438" t="str">
        <f t="shared" si="3"/>
        <v/>
      </c>
      <c r="I1346" s="436" t="str">
        <f t="shared" si="11"/>
        <v/>
      </c>
      <c r="J1346" s="464"/>
      <c r="K1346" s="464"/>
      <c r="L1346" s="443"/>
      <c r="M1346" s="443"/>
      <c r="N1346" s="443"/>
      <c r="O1346" s="443"/>
      <c r="P1346" s="443"/>
      <c r="Q1346" s="443"/>
      <c r="R1346" s="443"/>
      <c r="S1346" s="443"/>
      <c r="T1346" s="443"/>
      <c r="U1346" s="443"/>
      <c r="V1346" s="443"/>
      <c r="W1346" s="443"/>
      <c r="X1346" s="443"/>
      <c r="Y1346" s="443"/>
      <c r="Z1346" s="443"/>
      <c r="AA1346" s="443"/>
      <c r="AB1346" s="443"/>
      <c r="AC1346" s="443"/>
      <c r="AD1346" s="443"/>
      <c r="AE1346" s="443"/>
      <c r="AF1346" s="443"/>
      <c r="AG1346" s="443" t="s">
        <v>289</v>
      </c>
      <c r="AH1346" s="443" t="s">
        <v>289</v>
      </c>
      <c r="AI1346" s="443"/>
      <c r="AJ1346" s="443"/>
      <c r="AK1346" s="443"/>
      <c r="AL1346" s="443"/>
      <c r="AM1346" s="443"/>
      <c r="AN1346" s="443"/>
      <c r="AO1346" s="443"/>
      <c r="AP1346" s="443"/>
      <c r="AQ1346" s="443"/>
      <c r="AR1346" s="443"/>
      <c r="AS1346" s="443"/>
      <c r="AT1346" s="443"/>
      <c r="AU1346" s="443"/>
      <c r="AV1346" s="443"/>
      <c r="AW1346" s="443"/>
      <c r="AX1346" s="443"/>
      <c r="AY1346" s="443"/>
      <c r="AZ1346" s="443"/>
      <c r="BA1346" s="443"/>
      <c r="BB1346" s="443"/>
      <c r="BC1346" s="443"/>
      <c r="BD1346" s="443"/>
      <c r="BE1346" s="443"/>
    </row>
    <row r="1347">
      <c r="A1347" s="445" t="str">
        <f t="shared" si="5"/>
        <v/>
      </c>
      <c r="B1347" s="443"/>
      <c r="C1347" s="443"/>
      <c r="D1347" s="462"/>
      <c r="E1347" s="436" t="str">
        <f t="array" ref="E1347">IF(B1347=0,"",(J1347+K1347)/60)</f>
        <v/>
      </c>
      <c r="F1347" s="437" t="str">
        <f t="shared" si="1"/>
        <v/>
      </c>
      <c r="G1347" s="438" t="str">
        <f t="shared" si="9"/>
        <v/>
      </c>
      <c r="H1347" s="438" t="str">
        <f t="shared" si="3"/>
        <v/>
      </c>
      <c r="I1347" s="436" t="str">
        <f t="shared" si="11"/>
        <v/>
      </c>
      <c r="J1347" s="464"/>
      <c r="K1347" s="464"/>
      <c r="L1347" s="443"/>
      <c r="M1347" s="443"/>
      <c r="N1347" s="443"/>
      <c r="O1347" s="443"/>
      <c r="P1347" s="443"/>
      <c r="Q1347" s="443"/>
      <c r="R1347" s="443"/>
      <c r="S1347" s="443"/>
      <c r="T1347" s="443"/>
      <c r="U1347" s="443"/>
      <c r="V1347" s="443"/>
      <c r="W1347" s="443"/>
      <c r="X1347" s="443"/>
      <c r="Y1347" s="443"/>
      <c r="Z1347" s="443"/>
      <c r="AA1347" s="443"/>
      <c r="AB1347" s="443"/>
      <c r="AC1347" s="443"/>
      <c r="AD1347" s="443"/>
      <c r="AE1347" s="443"/>
      <c r="AF1347" s="443"/>
      <c r="AG1347" s="443" t="s">
        <v>289</v>
      </c>
      <c r="AH1347" s="443" t="s">
        <v>289</v>
      </c>
      <c r="AI1347" s="443"/>
      <c r="AJ1347" s="443"/>
      <c r="AK1347" s="443"/>
      <c r="AL1347" s="443"/>
      <c r="AM1347" s="443"/>
      <c r="AN1347" s="443"/>
      <c r="AO1347" s="443"/>
      <c r="AP1347" s="443"/>
      <c r="AQ1347" s="443"/>
      <c r="AR1347" s="443"/>
      <c r="AS1347" s="443"/>
      <c r="AT1347" s="443"/>
      <c r="AU1347" s="443"/>
      <c r="AV1347" s="443"/>
      <c r="AW1347" s="443"/>
      <c r="AX1347" s="443"/>
      <c r="AY1347" s="443"/>
      <c r="AZ1347" s="443"/>
      <c r="BA1347" s="443"/>
      <c r="BB1347" s="443"/>
      <c r="BC1347" s="443"/>
      <c r="BD1347" s="443"/>
      <c r="BE1347" s="443"/>
    </row>
    <row r="1348">
      <c r="A1348" s="445" t="str">
        <f t="shared" si="5"/>
        <v/>
      </c>
      <c r="B1348" s="443"/>
      <c r="C1348" s="443"/>
      <c r="D1348" s="462"/>
      <c r="E1348" s="436" t="str">
        <f t="array" ref="E1348">IF(B1348=0,"",(J1348+K1348)/60)</f>
        <v/>
      </c>
      <c r="F1348" s="437" t="str">
        <f t="shared" si="1"/>
        <v/>
      </c>
      <c r="G1348" s="438" t="str">
        <f t="shared" si="9"/>
        <v/>
      </c>
      <c r="H1348" s="438" t="str">
        <f t="shared" si="3"/>
        <v/>
      </c>
      <c r="I1348" s="436" t="str">
        <f t="shared" si="11"/>
        <v/>
      </c>
      <c r="J1348" s="464"/>
      <c r="K1348" s="464"/>
      <c r="L1348" s="443"/>
      <c r="M1348" s="443"/>
      <c r="N1348" s="443"/>
      <c r="O1348" s="443"/>
      <c r="P1348" s="443"/>
      <c r="Q1348" s="443"/>
      <c r="R1348" s="443"/>
      <c r="S1348" s="443"/>
      <c r="T1348" s="443"/>
      <c r="U1348" s="443"/>
      <c r="V1348" s="443"/>
      <c r="W1348" s="443"/>
      <c r="X1348" s="443"/>
      <c r="Y1348" s="443"/>
      <c r="Z1348" s="443"/>
      <c r="AA1348" s="443"/>
      <c r="AB1348" s="443"/>
      <c r="AC1348" s="443"/>
      <c r="AD1348" s="443"/>
      <c r="AE1348" s="443"/>
      <c r="AF1348" s="443"/>
      <c r="AG1348" s="443" t="s">
        <v>289</v>
      </c>
      <c r="AH1348" s="443" t="s">
        <v>289</v>
      </c>
      <c r="AI1348" s="443"/>
      <c r="AJ1348" s="443"/>
      <c r="AK1348" s="443"/>
      <c r="AL1348" s="443"/>
      <c r="AM1348" s="443"/>
      <c r="AN1348" s="443"/>
      <c r="AO1348" s="443"/>
      <c r="AP1348" s="443"/>
      <c r="AQ1348" s="443"/>
      <c r="AR1348" s="443"/>
      <c r="AS1348" s="443"/>
      <c r="AT1348" s="443"/>
      <c r="AU1348" s="443"/>
      <c r="AV1348" s="443"/>
      <c r="AW1348" s="443"/>
      <c r="AX1348" s="443"/>
      <c r="AY1348" s="443"/>
      <c r="AZ1348" s="443"/>
      <c r="BA1348" s="443"/>
      <c r="BB1348" s="443"/>
      <c r="BC1348" s="443"/>
      <c r="BD1348" s="443"/>
      <c r="BE1348" s="443"/>
    </row>
    <row r="1349">
      <c r="A1349" s="445" t="str">
        <f t="shared" si="5"/>
        <v/>
      </c>
      <c r="B1349" s="443"/>
      <c r="C1349" s="443"/>
      <c r="D1349" s="462"/>
      <c r="E1349" s="436" t="str">
        <f t="array" ref="E1349">IF(B1349=0,"",(J1349+K1349)/60)</f>
        <v/>
      </c>
      <c r="F1349" s="437" t="str">
        <f t="shared" si="1"/>
        <v/>
      </c>
      <c r="G1349" s="438" t="str">
        <f t="shared" si="9"/>
        <v/>
      </c>
      <c r="H1349" s="438" t="str">
        <f t="shared" si="3"/>
        <v/>
      </c>
      <c r="I1349" s="436" t="str">
        <f t="shared" si="11"/>
        <v/>
      </c>
      <c r="J1349" s="464"/>
      <c r="K1349" s="464"/>
      <c r="L1349" s="443"/>
      <c r="M1349" s="443"/>
      <c r="N1349" s="443"/>
      <c r="O1349" s="443"/>
      <c r="P1349" s="443"/>
      <c r="Q1349" s="443"/>
      <c r="R1349" s="443"/>
      <c r="S1349" s="443"/>
      <c r="T1349" s="443"/>
      <c r="U1349" s="443"/>
      <c r="V1349" s="443"/>
      <c r="W1349" s="443"/>
      <c r="X1349" s="443"/>
      <c r="Y1349" s="443"/>
      <c r="Z1349" s="443"/>
      <c r="AA1349" s="443"/>
      <c r="AB1349" s="443"/>
      <c r="AC1349" s="443"/>
      <c r="AD1349" s="443"/>
      <c r="AE1349" s="443"/>
      <c r="AF1349" s="443"/>
      <c r="AG1349" s="443" t="s">
        <v>289</v>
      </c>
      <c r="AH1349" s="443" t="s">
        <v>289</v>
      </c>
      <c r="AI1349" s="443"/>
      <c r="AJ1349" s="443"/>
      <c r="AK1349" s="443"/>
      <c r="AL1349" s="443"/>
      <c r="AM1349" s="443"/>
      <c r="AN1349" s="443"/>
      <c r="AO1349" s="443"/>
      <c r="AP1349" s="443"/>
      <c r="AQ1349" s="443"/>
      <c r="AR1349" s="443"/>
      <c r="AS1349" s="443"/>
      <c r="AT1349" s="443"/>
      <c r="AU1349" s="443"/>
      <c r="AV1349" s="443"/>
      <c r="AW1349" s="443"/>
      <c r="AX1349" s="443"/>
      <c r="AY1349" s="443"/>
      <c r="AZ1349" s="443"/>
      <c r="BA1349" s="443"/>
      <c r="BB1349" s="443"/>
      <c r="BC1349" s="443"/>
      <c r="BD1349" s="443"/>
      <c r="BE1349" s="443"/>
    </row>
    <row r="1350">
      <c r="A1350" s="445" t="str">
        <f t="shared" si="5"/>
        <v/>
      </c>
      <c r="B1350" s="443"/>
      <c r="C1350" s="443"/>
      <c r="D1350" s="462"/>
      <c r="E1350" s="436" t="str">
        <f t="array" ref="E1350">IF(B1350=0,"",(J1350+K1350)/60)</f>
        <v/>
      </c>
      <c r="F1350" s="437" t="str">
        <f t="shared" si="1"/>
        <v/>
      </c>
      <c r="G1350" s="438" t="str">
        <f t="shared" si="9"/>
        <v/>
      </c>
      <c r="H1350" s="438" t="str">
        <f t="shared" si="3"/>
        <v/>
      </c>
      <c r="I1350" s="436" t="str">
        <f t="shared" si="11"/>
        <v/>
      </c>
      <c r="J1350" s="464"/>
      <c r="K1350" s="464"/>
      <c r="L1350" s="443"/>
      <c r="M1350" s="443"/>
      <c r="N1350" s="443"/>
      <c r="O1350" s="443"/>
      <c r="P1350" s="443"/>
      <c r="Q1350" s="443"/>
      <c r="R1350" s="443"/>
      <c r="S1350" s="443"/>
      <c r="T1350" s="443"/>
      <c r="U1350" s="443"/>
      <c r="V1350" s="443"/>
      <c r="W1350" s="443"/>
      <c r="X1350" s="443"/>
      <c r="Y1350" s="443"/>
      <c r="Z1350" s="443"/>
      <c r="AA1350" s="443"/>
      <c r="AB1350" s="443"/>
      <c r="AC1350" s="443"/>
      <c r="AD1350" s="443"/>
      <c r="AE1350" s="443"/>
      <c r="AF1350" s="443"/>
      <c r="AG1350" s="443" t="s">
        <v>289</v>
      </c>
      <c r="AH1350" s="443" t="s">
        <v>289</v>
      </c>
      <c r="AI1350" s="443"/>
      <c r="AJ1350" s="443"/>
      <c r="AK1350" s="443"/>
      <c r="AL1350" s="443"/>
      <c r="AM1350" s="443"/>
      <c r="AN1350" s="443"/>
      <c r="AO1350" s="443"/>
      <c r="AP1350" s="443"/>
      <c r="AQ1350" s="443"/>
      <c r="AR1350" s="443"/>
      <c r="AS1350" s="443"/>
      <c r="AT1350" s="443"/>
      <c r="AU1350" s="443"/>
      <c r="AV1350" s="443"/>
      <c r="AW1350" s="443"/>
      <c r="AX1350" s="443"/>
      <c r="AY1350" s="443"/>
      <c r="AZ1350" s="443"/>
      <c r="BA1350" s="443"/>
      <c r="BB1350" s="443"/>
      <c r="BC1350" s="443"/>
      <c r="BD1350" s="443"/>
      <c r="BE1350" s="443"/>
    </row>
    <row r="1351">
      <c r="A1351" s="445" t="str">
        <f t="shared" si="5"/>
        <v/>
      </c>
      <c r="B1351" s="443"/>
      <c r="C1351" s="443"/>
      <c r="D1351" s="462"/>
      <c r="E1351" s="436" t="str">
        <f t="array" ref="E1351">IF(B1351=0,"",(J1351+K1351)/60)</f>
        <v/>
      </c>
      <c r="F1351" s="437" t="str">
        <f t="shared" si="1"/>
        <v/>
      </c>
      <c r="G1351" s="438" t="str">
        <f t="shared" si="9"/>
        <v/>
      </c>
      <c r="H1351" s="438" t="str">
        <f t="shared" si="3"/>
        <v/>
      </c>
      <c r="I1351" s="436" t="str">
        <f t="shared" si="11"/>
        <v/>
      </c>
      <c r="J1351" s="464"/>
      <c r="K1351" s="464"/>
      <c r="L1351" s="443"/>
      <c r="M1351" s="443"/>
      <c r="N1351" s="443"/>
      <c r="O1351" s="443"/>
      <c r="P1351" s="443"/>
      <c r="Q1351" s="443"/>
      <c r="R1351" s="443"/>
      <c r="S1351" s="443"/>
      <c r="T1351" s="443"/>
      <c r="U1351" s="443"/>
      <c r="V1351" s="443"/>
      <c r="W1351" s="443"/>
      <c r="X1351" s="443"/>
      <c r="Y1351" s="443"/>
      <c r="Z1351" s="443"/>
      <c r="AA1351" s="443"/>
      <c r="AB1351" s="443"/>
      <c r="AC1351" s="443"/>
      <c r="AD1351" s="443"/>
      <c r="AE1351" s="443"/>
      <c r="AF1351" s="443"/>
      <c r="AG1351" s="443" t="s">
        <v>289</v>
      </c>
      <c r="AH1351" s="443" t="s">
        <v>289</v>
      </c>
      <c r="AI1351" s="443"/>
      <c r="AJ1351" s="443"/>
      <c r="AK1351" s="443"/>
      <c r="AL1351" s="443"/>
      <c r="AM1351" s="443"/>
      <c r="AN1351" s="443"/>
      <c r="AO1351" s="443"/>
      <c r="AP1351" s="443"/>
      <c r="AQ1351" s="443"/>
      <c r="AR1351" s="443"/>
      <c r="AS1351" s="443"/>
      <c r="AT1351" s="443"/>
      <c r="AU1351" s="443"/>
      <c r="AV1351" s="443"/>
      <c r="AW1351" s="443"/>
      <c r="AX1351" s="443"/>
      <c r="AY1351" s="443"/>
      <c r="AZ1351" s="443"/>
      <c r="BA1351" s="443"/>
      <c r="BB1351" s="443"/>
      <c r="BC1351" s="443"/>
      <c r="BD1351" s="443"/>
      <c r="BE1351" s="443"/>
    </row>
    <row r="1352">
      <c r="A1352" s="445" t="str">
        <f t="shared" si="5"/>
        <v/>
      </c>
      <c r="B1352" s="443"/>
      <c r="C1352" s="443"/>
      <c r="D1352" s="462"/>
      <c r="E1352" s="436" t="str">
        <f t="array" ref="E1352">IF(B1352=0,"",(J1352+K1352)/60)</f>
        <v/>
      </c>
      <c r="F1352" s="437" t="str">
        <f t="shared" si="1"/>
        <v/>
      </c>
      <c r="G1352" s="438" t="str">
        <f t="shared" si="9"/>
        <v/>
      </c>
      <c r="H1352" s="438" t="str">
        <f t="shared" si="3"/>
        <v/>
      </c>
      <c r="I1352" s="436" t="str">
        <f t="shared" si="11"/>
        <v/>
      </c>
      <c r="J1352" s="464"/>
      <c r="K1352" s="464"/>
      <c r="L1352" s="443"/>
      <c r="M1352" s="443"/>
      <c r="N1352" s="443"/>
      <c r="O1352" s="443"/>
      <c r="P1352" s="443"/>
      <c r="Q1352" s="443"/>
      <c r="R1352" s="443"/>
      <c r="S1352" s="443"/>
      <c r="T1352" s="443"/>
      <c r="U1352" s="443"/>
      <c r="V1352" s="443"/>
      <c r="W1352" s="443"/>
      <c r="X1352" s="443"/>
      <c r="Y1352" s="443"/>
      <c r="Z1352" s="443"/>
      <c r="AA1352" s="443"/>
      <c r="AB1352" s="443"/>
      <c r="AC1352" s="443"/>
      <c r="AD1352" s="443"/>
      <c r="AE1352" s="443"/>
      <c r="AF1352" s="443"/>
      <c r="AG1352" s="443" t="s">
        <v>289</v>
      </c>
      <c r="AH1352" s="443" t="s">
        <v>289</v>
      </c>
      <c r="AI1352" s="443"/>
      <c r="AJ1352" s="443"/>
      <c r="AK1352" s="443"/>
      <c r="AL1352" s="443"/>
      <c r="AM1352" s="443"/>
      <c r="AN1352" s="443"/>
      <c r="AO1352" s="443"/>
      <c r="AP1352" s="443"/>
      <c r="AQ1352" s="443"/>
      <c r="AR1352" s="443"/>
      <c r="AS1352" s="443"/>
      <c r="AT1352" s="443"/>
      <c r="AU1352" s="443"/>
      <c r="AV1352" s="443"/>
      <c r="AW1352" s="443"/>
      <c r="AX1352" s="443"/>
      <c r="AY1352" s="443"/>
      <c r="AZ1352" s="443"/>
      <c r="BA1352" s="443"/>
      <c r="BB1352" s="443"/>
      <c r="BC1352" s="443"/>
      <c r="BD1352" s="443"/>
      <c r="BE1352" s="443"/>
    </row>
    <row r="1353">
      <c r="A1353" s="445" t="str">
        <f t="shared" si="5"/>
        <v/>
      </c>
      <c r="B1353" s="443"/>
      <c r="C1353" s="443"/>
      <c r="D1353" s="462"/>
      <c r="E1353" s="436" t="str">
        <f t="array" ref="E1353">IF(B1353=0,"",(J1353+K1353)/60)</f>
        <v/>
      </c>
      <c r="F1353" s="437" t="str">
        <f t="shared" si="1"/>
        <v/>
      </c>
      <c r="G1353" s="438" t="str">
        <f t="shared" si="9"/>
        <v/>
      </c>
      <c r="H1353" s="438" t="str">
        <f t="shared" si="3"/>
        <v/>
      </c>
      <c r="I1353" s="436" t="str">
        <f t="shared" si="11"/>
        <v/>
      </c>
      <c r="J1353" s="464"/>
      <c r="K1353" s="464"/>
      <c r="L1353" s="443"/>
      <c r="M1353" s="443"/>
      <c r="N1353" s="443"/>
      <c r="O1353" s="443"/>
      <c r="P1353" s="443"/>
      <c r="Q1353" s="443"/>
      <c r="R1353" s="443"/>
      <c r="S1353" s="443"/>
      <c r="T1353" s="443"/>
      <c r="U1353" s="443"/>
      <c r="V1353" s="443"/>
      <c r="W1353" s="443"/>
      <c r="X1353" s="443"/>
      <c r="Y1353" s="443"/>
      <c r="Z1353" s="443"/>
      <c r="AA1353" s="443"/>
      <c r="AB1353" s="443"/>
      <c r="AC1353" s="443"/>
      <c r="AD1353" s="443"/>
      <c r="AE1353" s="443"/>
      <c r="AF1353" s="443"/>
      <c r="AG1353" s="443" t="s">
        <v>289</v>
      </c>
      <c r="AH1353" s="443" t="s">
        <v>289</v>
      </c>
      <c r="AI1353" s="443"/>
      <c r="AJ1353" s="443"/>
      <c r="AK1353" s="443"/>
      <c r="AL1353" s="443"/>
      <c r="AM1353" s="443"/>
      <c r="AN1353" s="443"/>
      <c r="AO1353" s="443"/>
      <c r="AP1353" s="443"/>
      <c r="AQ1353" s="443"/>
      <c r="AR1353" s="443"/>
      <c r="AS1353" s="443"/>
      <c r="AT1353" s="443"/>
      <c r="AU1353" s="443"/>
      <c r="AV1353" s="443"/>
      <c r="AW1353" s="443"/>
      <c r="AX1353" s="443"/>
      <c r="AY1353" s="443"/>
      <c r="AZ1353" s="443"/>
      <c r="BA1353" s="443"/>
      <c r="BB1353" s="443"/>
      <c r="BC1353" s="443"/>
      <c r="BD1353" s="443"/>
      <c r="BE1353" s="443"/>
    </row>
    <row r="1354">
      <c r="A1354" s="445" t="str">
        <f t="shared" si="5"/>
        <v/>
      </c>
      <c r="B1354" s="443"/>
      <c r="C1354" s="443"/>
      <c r="D1354" s="462"/>
      <c r="E1354" s="436" t="str">
        <f t="array" ref="E1354">IF(B1354=0,"",(J1354+K1354)/60)</f>
        <v/>
      </c>
      <c r="F1354" s="437" t="str">
        <f t="shared" si="1"/>
        <v/>
      </c>
      <c r="G1354" s="438" t="str">
        <f t="shared" si="9"/>
        <v/>
      </c>
      <c r="H1354" s="438" t="str">
        <f t="shared" si="3"/>
        <v/>
      </c>
      <c r="I1354" s="436" t="str">
        <f t="shared" si="11"/>
        <v/>
      </c>
      <c r="J1354" s="464"/>
      <c r="K1354" s="464"/>
      <c r="L1354" s="443"/>
      <c r="M1354" s="443"/>
      <c r="N1354" s="443"/>
      <c r="O1354" s="443"/>
      <c r="P1354" s="443"/>
      <c r="Q1354" s="443"/>
      <c r="R1354" s="443"/>
      <c r="S1354" s="443"/>
      <c r="T1354" s="443"/>
      <c r="U1354" s="443"/>
      <c r="V1354" s="443"/>
      <c r="W1354" s="443"/>
      <c r="X1354" s="443"/>
      <c r="Y1354" s="443"/>
      <c r="Z1354" s="443"/>
      <c r="AA1354" s="443"/>
      <c r="AB1354" s="443"/>
      <c r="AC1354" s="443"/>
      <c r="AD1354" s="443"/>
      <c r="AE1354" s="443"/>
      <c r="AF1354" s="443"/>
      <c r="AG1354" s="443" t="s">
        <v>289</v>
      </c>
      <c r="AH1354" s="443" t="s">
        <v>289</v>
      </c>
      <c r="AI1354" s="443"/>
      <c r="AJ1354" s="443"/>
      <c r="AK1354" s="443"/>
      <c r="AL1354" s="443"/>
      <c r="AM1354" s="443"/>
      <c r="AN1354" s="443"/>
      <c r="AO1354" s="443"/>
      <c r="AP1354" s="443"/>
      <c r="AQ1354" s="443"/>
      <c r="AR1354" s="443"/>
      <c r="AS1354" s="443"/>
      <c r="AT1354" s="443"/>
      <c r="AU1354" s="443"/>
      <c r="AV1354" s="443"/>
      <c r="AW1354" s="443"/>
      <c r="AX1354" s="443"/>
      <c r="AY1354" s="443"/>
      <c r="AZ1354" s="443"/>
      <c r="BA1354" s="443"/>
      <c r="BB1354" s="443"/>
      <c r="BC1354" s="443"/>
      <c r="BD1354" s="443"/>
      <c r="BE1354" s="443"/>
    </row>
    <row r="1355">
      <c r="A1355" s="445" t="str">
        <f t="shared" si="5"/>
        <v/>
      </c>
      <c r="B1355" s="443"/>
      <c r="C1355" s="443"/>
      <c r="D1355" s="462"/>
      <c r="E1355" s="436" t="str">
        <f t="array" ref="E1355">IF(B1355=0,"",(J1355+K1355)/60)</f>
        <v/>
      </c>
      <c r="F1355" s="437" t="str">
        <f t="shared" si="1"/>
        <v/>
      </c>
      <c r="G1355" s="438" t="str">
        <f t="shared" si="9"/>
        <v/>
      </c>
      <c r="H1355" s="438" t="str">
        <f t="shared" si="3"/>
        <v/>
      </c>
      <c r="I1355" s="436" t="str">
        <f t="shared" si="11"/>
        <v/>
      </c>
      <c r="J1355" s="464"/>
      <c r="K1355" s="464"/>
      <c r="L1355" s="443"/>
      <c r="M1355" s="443"/>
      <c r="N1355" s="443"/>
      <c r="O1355" s="443"/>
      <c r="P1355" s="443"/>
      <c r="Q1355" s="443"/>
      <c r="R1355" s="443"/>
      <c r="S1355" s="443"/>
      <c r="T1355" s="443"/>
      <c r="U1355" s="443"/>
      <c r="V1355" s="443"/>
      <c r="W1355" s="443"/>
      <c r="X1355" s="443"/>
      <c r="Y1355" s="443"/>
      <c r="Z1355" s="443"/>
      <c r="AA1355" s="443"/>
      <c r="AB1355" s="443"/>
      <c r="AC1355" s="443"/>
      <c r="AD1355" s="443"/>
      <c r="AE1355" s="443"/>
      <c r="AF1355" s="443"/>
      <c r="AG1355" s="443" t="s">
        <v>289</v>
      </c>
      <c r="AH1355" s="443" t="s">
        <v>289</v>
      </c>
      <c r="AI1355" s="443"/>
      <c r="AJ1355" s="443"/>
      <c r="AK1355" s="443"/>
      <c r="AL1355" s="443"/>
      <c r="AM1355" s="443"/>
      <c r="AN1355" s="443"/>
      <c r="AO1355" s="443"/>
      <c r="AP1355" s="443"/>
      <c r="AQ1355" s="443"/>
      <c r="AR1355" s="443"/>
      <c r="AS1355" s="443"/>
      <c r="AT1355" s="443"/>
      <c r="AU1355" s="443"/>
      <c r="AV1355" s="443"/>
      <c r="AW1355" s="443"/>
      <c r="AX1355" s="443"/>
      <c r="AY1355" s="443"/>
      <c r="AZ1355" s="443"/>
      <c r="BA1355" s="443"/>
      <c r="BB1355" s="443"/>
      <c r="BC1355" s="443"/>
      <c r="BD1355" s="443"/>
      <c r="BE1355" s="443"/>
    </row>
    <row r="1356">
      <c r="A1356" s="445" t="str">
        <f t="shared" si="5"/>
        <v/>
      </c>
      <c r="B1356" s="443"/>
      <c r="C1356" s="443"/>
      <c r="D1356" s="462"/>
      <c r="E1356" s="436" t="str">
        <f t="array" ref="E1356">IF(B1356=0,"",(J1356+K1356)/60)</f>
        <v/>
      </c>
      <c r="F1356" s="437" t="str">
        <f t="shared" si="1"/>
        <v/>
      </c>
      <c r="G1356" s="438" t="str">
        <f t="shared" si="9"/>
        <v/>
      </c>
      <c r="H1356" s="438" t="str">
        <f t="shared" si="3"/>
        <v/>
      </c>
      <c r="I1356" s="436" t="str">
        <f t="shared" si="11"/>
        <v/>
      </c>
      <c r="J1356" s="464"/>
      <c r="K1356" s="464"/>
      <c r="L1356" s="443"/>
      <c r="M1356" s="443"/>
      <c r="N1356" s="443"/>
      <c r="O1356" s="443"/>
      <c r="P1356" s="443"/>
      <c r="Q1356" s="443"/>
      <c r="R1356" s="443"/>
      <c r="S1356" s="443"/>
      <c r="T1356" s="443"/>
      <c r="U1356" s="443"/>
      <c r="V1356" s="443"/>
      <c r="W1356" s="443"/>
      <c r="X1356" s="443"/>
      <c r="Y1356" s="443"/>
      <c r="Z1356" s="443"/>
      <c r="AA1356" s="443"/>
      <c r="AB1356" s="443"/>
      <c r="AC1356" s="443"/>
      <c r="AD1356" s="443"/>
      <c r="AE1356" s="443"/>
      <c r="AF1356" s="443"/>
      <c r="AG1356" s="443" t="s">
        <v>289</v>
      </c>
      <c r="AH1356" s="443" t="s">
        <v>289</v>
      </c>
      <c r="AI1356" s="443"/>
      <c r="AJ1356" s="443"/>
      <c r="AK1356" s="443"/>
      <c r="AL1356" s="443"/>
      <c r="AM1356" s="443"/>
      <c r="AN1356" s="443"/>
      <c r="AO1356" s="443"/>
      <c r="AP1356" s="443"/>
      <c r="AQ1356" s="443"/>
      <c r="AR1356" s="443"/>
      <c r="AS1356" s="443"/>
      <c r="AT1356" s="443"/>
      <c r="AU1356" s="443"/>
      <c r="AV1356" s="443"/>
      <c r="AW1356" s="443"/>
      <c r="AX1356" s="443"/>
      <c r="AY1356" s="443"/>
      <c r="AZ1356" s="443"/>
      <c r="BA1356" s="443"/>
      <c r="BB1356" s="443"/>
      <c r="BC1356" s="443"/>
      <c r="BD1356" s="443"/>
      <c r="BE1356" s="443"/>
    </row>
    <row r="1357">
      <c r="A1357" s="445" t="str">
        <f t="shared" si="5"/>
        <v/>
      </c>
      <c r="B1357" s="443"/>
      <c r="C1357" s="443"/>
      <c r="D1357" s="462"/>
      <c r="E1357" s="436" t="str">
        <f t="array" ref="E1357">IF(B1357=0,"",(J1357+K1357)/60)</f>
        <v/>
      </c>
      <c r="F1357" s="437" t="str">
        <f t="shared" si="1"/>
        <v/>
      </c>
      <c r="G1357" s="438" t="str">
        <f t="shared" si="9"/>
        <v/>
      </c>
      <c r="H1357" s="438" t="str">
        <f t="shared" si="3"/>
        <v/>
      </c>
      <c r="I1357" s="436" t="str">
        <f t="shared" si="11"/>
        <v/>
      </c>
      <c r="J1357" s="464"/>
      <c r="K1357" s="464"/>
      <c r="L1357" s="443"/>
      <c r="M1357" s="443"/>
      <c r="N1357" s="443"/>
      <c r="O1357" s="443"/>
      <c r="P1357" s="443"/>
      <c r="Q1357" s="443"/>
      <c r="R1357" s="443"/>
      <c r="S1357" s="443"/>
      <c r="T1357" s="443"/>
      <c r="U1357" s="443"/>
      <c r="V1357" s="443"/>
      <c r="W1357" s="443"/>
      <c r="X1357" s="443"/>
      <c r="Y1357" s="443"/>
      <c r="Z1357" s="443"/>
      <c r="AA1357" s="443"/>
      <c r="AB1357" s="443"/>
      <c r="AC1357" s="443"/>
      <c r="AD1357" s="443"/>
      <c r="AE1357" s="443"/>
      <c r="AF1357" s="443"/>
      <c r="AG1357" s="443" t="s">
        <v>289</v>
      </c>
      <c r="AH1357" s="443" t="s">
        <v>289</v>
      </c>
      <c r="AI1357" s="443"/>
      <c r="AJ1357" s="443"/>
      <c r="AK1357" s="443"/>
      <c r="AL1357" s="443"/>
      <c r="AM1357" s="443"/>
      <c r="AN1357" s="443"/>
      <c r="AO1357" s="443"/>
      <c r="AP1357" s="443"/>
      <c r="AQ1357" s="443"/>
      <c r="AR1357" s="443"/>
      <c r="AS1357" s="443"/>
      <c r="AT1357" s="443"/>
      <c r="AU1357" s="443"/>
      <c r="AV1357" s="443"/>
      <c r="AW1357" s="443"/>
      <c r="AX1357" s="443"/>
      <c r="AY1357" s="443"/>
      <c r="AZ1357" s="443"/>
      <c r="BA1357" s="443"/>
      <c r="BB1357" s="443"/>
      <c r="BC1357" s="443"/>
      <c r="BD1357" s="443"/>
      <c r="BE1357" s="443"/>
    </row>
    <row r="1358">
      <c r="A1358" s="445" t="str">
        <f t="shared" si="5"/>
        <v/>
      </c>
      <c r="B1358" s="443"/>
      <c r="C1358" s="443"/>
      <c r="D1358" s="462"/>
      <c r="E1358" s="436" t="str">
        <f t="array" ref="E1358">IF(B1358=0,"",(J1358+K1358)/60)</f>
        <v/>
      </c>
      <c r="F1358" s="437" t="str">
        <f t="shared" si="1"/>
        <v/>
      </c>
      <c r="G1358" s="438" t="str">
        <f t="shared" si="9"/>
        <v/>
      </c>
      <c r="H1358" s="438" t="str">
        <f t="shared" si="3"/>
        <v/>
      </c>
      <c r="I1358" s="436" t="str">
        <f t="shared" si="11"/>
        <v/>
      </c>
      <c r="J1358" s="464"/>
      <c r="K1358" s="464"/>
      <c r="L1358" s="443"/>
      <c r="M1358" s="443"/>
      <c r="N1358" s="443"/>
      <c r="O1358" s="443"/>
      <c r="P1358" s="443"/>
      <c r="Q1358" s="443"/>
      <c r="R1358" s="443"/>
      <c r="S1358" s="443"/>
      <c r="T1358" s="443"/>
      <c r="U1358" s="443"/>
      <c r="V1358" s="443"/>
      <c r="W1358" s="443"/>
      <c r="X1358" s="443"/>
      <c r="Y1358" s="443"/>
      <c r="Z1358" s="443"/>
      <c r="AA1358" s="443"/>
      <c r="AB1358" s="443"/>
      <c r="AC1358" s="443"/>
      <c r="AD1358" s="443"/>
      <c r="AE1358" s="443"/>
      <c r="AF1358" s="443"/>
      <c r="AG1358" s="443" t="s">
        <v>289</v>
      </c>
      <c r="AH1358" s="443" t="s">
        <v>289</v>
      </c>
      <c r="AI1358" s="443"/>
      <c r="AJ1358" s="443"/>
      <c r="AK1358" s="443"/>
      <c r="AL1358" s="443"/>
      <c r="AM1358" s="443"/>
      <c r="AN1358" s="443"/>
      <c r="AO1358" s="443"/>
      <c r="AP1358" s="443"/>
      <c r="AQ1358" s="443"/>
      <c r="AR1358" s="443"/>
      <c r="AS1358" s="443"/>
      <c r="AT1358" s="443"/>
      <c r="AU1358" s="443"/>
      <c r="AV1358" s="443"/>
      <c r="AW1358" s="443"/>
      <c r="AX1358" s="443"/>
      <c r="AY1358" s="443"/>
      <c r="AZ1358" s="443"/>
      <c r="BA1358" s="443"/>
      <c r="BB1358" s="443"/>
      <c r="BC1358" s="443"/>
      <c r="BD1358" s="443"/>
      <c r="BE1358" s="443"/>
    </row>
    <row r="1359">
      <c r="A1359" s="445" t="str">
        <f t="shared" si="5"/>
        <v/>
      </c>
      <c r="B1359" s="443"/>
      <c r="C1359" s="443"/>
      <c r="D1359" s="462"/>
      <c r="E1359" s="436" t="str">
        <f t="array" ref="E1359">IF(B1359=0,"",(J1359+K1359)/60)</f>
        <v/>
      </c>
      <c r="F1359" s="437" t="str">
        <f t="shared" si="1"/>
        <v/>
      </c>
      <c r="G1359" s="438" t="str">
        <f t="shared" si="9"/>
        <v/>
      </c>
      <c r="H1359" s="438" t="str">
        <f t="shared" si="3"/>
        <v/>
      </c>
      <c r="I1359" s="436" t="str">
        <f t="shared" si="11"/>
        <v/>
      </c>
      <c r="J1359" s="464"/>
      <c r="K1359" s="464"/>
      <c r="L1359" s="443"/>
      <c r="M1359" s="443"/>
      <c r="N1359" s="443"/>
      <c r="O1359" s="443"/>
      <c r="P1359" s="443"/>
      <c r="Q1359" s="443"/>
      <c r="R1359" s="443"/>
      <c r="S1359" s="443"/>
      <c r="T1359" s="443"/>
      <c r="U1359" s="443"/>
      <c r="V1359" s="443"/>
      <c r="W1359" s="443"/>
      <c r="X1359" s="443"/>
      <c r="Y1359" s="443"/>
      <c r="Z1359" s="443"/>
      <c r="AA1359" s="443"/>
      <c r="AB1359" s="443"/>
      <c r="AC1359" s="443"/>
      <c r="AD1359" s="443"/>
      <c r="AE1359" s="443"/>
      <c r="AF1359" s="443"/>
      <c r="AG1359" s="443" t="s">
        <v>289</v>
      </c>
      <c r="AH1359" s="443" t="s">
        <v>289</v>
      </c>
      <c r="AI1359" s="443"/>
      <c r="AJ1359" s="443"/>
      <c r="AK1359" s="443"/>
      <c r="AL1359" s="443"/>
      <c r="AM1359" s="443"/>
      <c r="AN1359" s="443"/>
      <c r="AO1359" s="443"/>
      <c r="AP1359" s="443"/>
      <c r="AQ1359" s="443"/>
      <c r="AR1359" s="443"/>
      <c r="AS1359" s="443"/>
      <c r="AT1359" s="443"/>
      <c r="AU1359" s="443"/>
      <c r="AV1359" s="443"/>
      <c r="AW1359" s="443"/>
      <c r="AX1359" s="443"/>
      <c r="AY1359" s="443"/>
      <c r="AZ1359" s="443"/>
      <c r="BA1359" s="443"/>
      <c r="BB1359" s="443"/>
      <c r="BC1359" s="443"/>
      <c r="BD1359" s="443"/>
      <c r="BE1359" s="443"/>
    </row>
    <row r="1360">
      <c r="A1360" s="445" t="str">
        <f t="shared" si="5"/>
        <v/>
      </c>
      <c r="B1360" s="443"/>
      <c r="C1360" s="443"/>
      <c r="D1360" s="462"/>
      <c r="E1360" s="436" t="str">
        <f t="array" ref="E1360">IF(B1360=0,"",(J1360+K1360)/60)</f>
        <v/>
      </c>
      <c r="F1360" s="437" t="str">
        <f t="shared" si="1"/>
        <v/>
      </c>
      <c r="G1360" s="438" t="str">
        <f t="shared" si="9"/>
        <v/>
      </c>
      <c r="H1360" s="438" t="str">
        <f t="shared" si="3"/>
        <v/>
      </c>
      <c r="I1360" s="436" t="str">
        <f t="shared" si="11"/>
        <v/>
      </c>
      <c r="J1360" s="464"/>
      <c r="K1360" s="464"/>
      <c r="L1360" s="443"/>
      <c r="M1360" s="443"/>
      <c r="N1360" s="443"/>
      <c r="O1360" s="443"/>
      <c r="P1360" s="443"/>
      <c r="Q1360" s="443"/>
      <c r="R1360" s="443"/>
      <c r="S1360" s="443"/>
      <c r="T1360" s="443"/>
      <c r="U1360" s="443"/>
      <c r="V1360" s="443"/>
      <c r="W1360" s="443"/>
      <c r="X1360" s="443"/>
      <c r="Y1360" s="443"/>
      <c r="Z1360" s="443"/>
      <c r="AA1360" s="443"/>
      <c r="AB1360" s="443"/>
      <c r="AC1360" s="443"/>
      <c r="AD1360" s="443"/>
      <c r="AE1360" s="443"/>
      <c r="AF1360" s="443"/>
      <c r="AG1360" s="443" t="s">
        <v>289</v>
      </c>
      <c r="AH1360" s="443" t="s">
        <v>289</v>
      </c>
      <c r="AI1360" s="443"/>
      <c r="AJ1360" s="443"/>
      <c r="AK1360" s="443"/>
      <c r="AL1360" s="443"/>
      <c r="AM1360" s="443"/>
      <c r="AN1360" s="443"/>
      <c r="AO1360" s="443"/>
      <c r="AP1360" s="443"/>
      <c r="AQ1360" s="443"/>
      <c r="AR1360" s="443"/>
      <c r="AS1360" s="443"/>
      <c r="AT1360" s="443"/>
      <c r="AU1360" s="443"/>
      <c r="AV1360" s="443"/>
      <c r="AW1360" s="443"/>
      <c r="AX1360" s="443"/>
      <c r="AY1360" s="443"/>
      <c r="AZ1360" s="443"/>
      <c r="BA1360" s="443"/>
      <c r="BB1360" s="443"/>
      <c r="BC1360" s="443"/>
      <c r="BD1360" s="443"/>
      <c r="BE1360" s="443"/>
    </row>
    <row r="1361">
      <c r="A1361" s="445" t="str">
        <f t="shared" si="5"/>
        <v/>
      </c>
      <c r="B1361" s="443"/>
      <c r="C1361" s="443"/>
      <c r="D1361" s="462"/>
      <c r="E1361" s="436" t="str">
        <f t="array" ref="E1361">IF(B1361=0,"",(J1361+K1361)/60)</f>
        <v/>
      </c>
      <c r="F1361" s="437" t="str">
        <f t="shared" si="1"/>
        <v/>
      </c>
      <c r="G1361" s="438" t="str">
        <f t="shared" si="9"/>
        <v/>
      </c>
      <c r="H1361" s="438" t="str">
        <f t="shared" si="3"/>
        <v/>
      </c>
      <c r="I1361" s="436" t="str">
        <f t="shared" si="11"/>
        <v/>
      </c>
      <c r="J1361" s="464"/>
      <c r="K1361" s="464"/>
      <c r="L1361" s="443"/>
      <c r="M1361" s="443"/>
      <c r="N1361" s="443"/>
      <c r="O1361" s="443"/>
      <c r="P1361" s="443"/>
      <c r="Q1361" s="443"/>
      <c r="R1361" s="443"/>
      <c r="S1361" s="443"/>
      <c r="T1361" s="443"/>
      <c r="U1361" s="443"/>
      <c r="V1361" s="443"/>
      <c r="W1361" s="443"/>
      <c r="X1361" s="443"/>
      <c r="Y1361" s="443"/>
      <c r="Z1361" s="443"/>
      <c r="AA1361" s="443"/>
      <c r="AB1361" s="443"/>
      <c r="AC1361" s="443"/>
      <c r="AD1361" s="443"/>
      <c r="AE1361" s="443"/>
      <c r="AF1361" s="443"/>
      <c r="AG1361" s="443" t="s">
        <v>289</v>
      </c>
      <c r="AH1361" s="443" t="s">
        <v>289</v>
      </c>
      <c r="AI1361" s="443"/>
      <c r="AJ1361" s="443"/>
      <c r="AK1361" s="443"/>
      <c r="AL1361" s="443"/>
      <c r="AM1361" s="443"/>
      <c r="AN1361" s="443"/>
      <c r="AO1361" s="443"/>
      <c r="AP1361" s="443"/>
      <c r="AQ1361" s="443"/>
      <c r="AR1361" s="443"/>
      <c r="AS1361" s="443"/>
      <c r="AT1361" s="443"/>
      <c r="AU1361" s="443"/>
      <c r="AV1361" s="443"/>
      <c r="AW1361" s="443"/>
      <c r="AX1361" s="443"/>
      <c r="AY1361" s="443"/>
      <c r="AZ1361" s="443"/>
      <c r="BA1361" s="443"/>
      <c r="BB1361" s="443"/>
      <c r="BC1361" s="443"/>
      <c r="BD1361" s="443"/>
      <c r="BE1361" s="443"/>
    </row>
    <row r="1362">
      <c r="A1362" s="445" t="str">
        <f t="shared" si="5"/>
        <v/>
      </c>
      <c r="B1362" s="443"/>
      <c r="C1362" s="443"/>
      <c r="D1362" s="462"/>
      <c r="E1362" s="436" t="str">
        <f t="array" ref="E1362">IF(B1362=0,"",(J1362+K1362)/60)</f>
        <v/>
      </c>
      <c r="F1362" s="437" t="str">
        <f t="shared" si="1"/>
        <v/>
      </c>
      <c r="G1362" s="438" t="str">
        <f t="shared" si="9"/>
        <v/>
      </c>
      <c r="H1362" s="438" t="str">
        <f t="shared" si="3"/>
        <v/>
      </c>
      <c r="I1362" s="436" t="str">
        <f t="shared" si="11"/>
        <v/>
      </c>
      <c r="J1362" s="464"/>
      <c r="K1362" s="464"/>
      <c r="L1362" s="443"/>
      <c r="M1362" s="443"/>
      <c r="N1362" s="443"/>
      <c r="O1362" s="443"/>
      <c r="P1362" s="443"/>
      <c r="Q1362" s="443"/>
      <c r="R1362" s="443"/>
      <c r="S1362" s="443"/>
      <c r="T1362" s="443"/>
      <c r="U1362" s="443"/>
      <c r="V1362" s="443"/>
      <c r="W1362" s="443"/>
      <c r="X1362" s="443"/>
      <c r="Y1362" s="443"/>
      <c r="Z1362" s="443"/>
      <c r="AA1362" s="443"/>
      <c r="AB1362" s="443"/>
      <c r="AC1362" s="443"/>
      <c r="AD1362" s="443"/>
      <c r="AE1362" s="443"/>
      <c r="AF1362" s="443"/>
      <c r="AG1362" s="443" t="s">
        <v>289</v>
      </c>
      <c r="AH1362" s="443" t="s">
        <v>289</v>
      </c>
      <c r="AI1362" s="443"/>
      <c r="AJ1362" s="443"/>
      <c r="AK1362" s="443"/>
      <c r="AL1362" s="443"/>
      <c r="AM1362" s="443"/>
      <c r="AN1362" s="443"/>
      <c r="AO1362" s="443"/>
      <c r="AP1362" s="443"/>
      <c r="AQ1362" s="443"/>
      <c r="AR1362" s="443"/>
      <c r="AS1362" s="443"/>
      <c r="AT1362" s="443"/>
      <c r="AU1362" s="443"/>
      <c r="AV1362" s="443"/>
      <c r="AW1362" s="443"/>
      <c r="AX1362" s="443"/>
      <c r="AY1362" s="443"/>
      <c r="AZ1362" s="443"/>
      <c r="BA1362" s="443"/>
      <c r="BB1362" s="443"/>
      <c r="BC1362" s="443"/>
      <c r="BD1362" s="443"/>
      <c r="BE1362" s="443"/>
    </row>
    <row r="1363">
      <c r="A1363" s="445" t="str">
        <f t="shared" si="5"/>
        <v/>
      </c>
      <c r="B1363" s="443"/>
      <c r="C1363" s="443"/>
      <c r="D1363" s="462"/>
      <c r="E1363" s="436" t="str">
        <f t="array" ref="E1363">IF(B1363=0,"",(J1363+K1363)/60)</f>
        <v/>
      </c>
      <c r="F1363" s="437" t="str">
        <f t="shared" si="1"/>
        <v/>
      </c>
      <c r="G1363" s="438" t="str">
        <f t="shared" si="9"/>
        <v/>
      </c>
      <c r="H1363" s="438" t="str">
        <f t="shared" si="3"/>
        <v/>
      </c>
      <c r="I1363" s="436" t="str">
        <f t="shared" si="11"/>
        <v/>
      </c>
      <c r="J1363" s="464"/>
      <c r="K1363" s="464"/>
      <c r="L1363" s="443"/>
      <c r="M1363" s="443"/>
      <c r="N1363" s="443"/>
      <c r="O1363" s="443"/>
      <c r="P1363" s="443"/>
      <c r="Q1363" s="443"/>
      <c r="R1363" s="443"/>
      <c r="S1363" s="443"/>
      <c r="T1363" s="443"/>
      <c r="U1363" s="443"/>
      <c r="V1363" s="443"/>
      <c r="W1363" s="443"/>
      <c r="X1363" s="443"/>
      <c r="Y1363" s="443"/>
      <c r="Z1363" s="443"/>
      <c r="AA1363" s="443"/>
      <c r="AB1363" s="443"/>
      <c r="AC1363" s="443"/>
      <c r="AD1363" s="443"/>
      <c r="AE1363" s="443"/>
      <c r="AF1363" s="443"/>
      <c r="AG1363" s="443" t="s">
        <v>289</v>
      </c>
      <c r="AH1363" s="443" t="s">
        <v>289</v>
      </c>
      <c r="AI1363" s="443"/>
      <c r="AJ1363" s="443"/>
      <c r="AK1363" s="443"/>
      <c r="AL1363" s="443"/>
      <c r="AM1363" s="443"/>
      <c r="AN1363" s="443"/>
      <c r="AO1363" s="443"/>
      <c r="AP1363" s="443"/>
      <c r="AQ1363" s="443"/>
      <c r="AR1363" s="443"/>
      <c r="AS1363" s="443"/>
      <c r="AT1363" s="443"/>
      <c r="AU1363" s="443"/>
      <c r="AV1363" s="443"/>
      <c r="AW1363" s="443"/>
      <c r="AX1363" s="443"/>
      <c r="AY1363" s="443"/>
      <c r="AZ1363" s="443"/>
      <c r="BA1363" s="443"/>
      <c r="BB1363" s="443"/>
      <c r="BC1363" s="443"/>
      <c r="BD1363" s="443"/>
      <c r="BE1363" s="443"/>
    </row>
    <row r="1364">
      <c r="A1364" s="445" t="str">
        <f t="shared" si="5"/>
        <v/>
      </c>
      <c r="B1364" s="443"/>
      <c r="C1364" s="443"/>
      <c r="D1364" s="462"/>
      <c r="E1364" s="436" t="str">
        <f t="array" ref="E1364">IF(B1364=0,"",(J1364+K1364)/60)</f>
        <v/>
      </c>
      <c r="F1364" s="437" t="str">
        <f t="shared" si="1"/>
        <v/>
      </c>
      <c r="G1364" s="438" t="str">
        <f t="shared" si="9"/>
        <v/>
      </c>
      <c r="H1364" s="438" t="str">
        <f t="shared" si="3"/>
        <v/>
      </c>
      <c r="I1364" s="436" t="str">
        <f t="shared" si="11"/>
        <v/>
      </c>
      <c r="J1364" s="464"/>
      <c r="K1364" s="464"/>
      <c r="L1364" s="443"/>
      <c r="M1364" s="443"/>
      <c r="N1364" s="443"/>
      <c r="O1364" s="443"/>
      <c r="P1364" s="443"/>
      <c r="Q1364" s="443"/>
      <c r="R1364" s="443"/>
      <c r="S1364" s="443"/>
      <c r="T1364" s="443"/>
      <c r="U1364" s="443"/>
      <c r="V1364" s="443"/>
      <c r="W1364" s="443"/>
      <c r="X1364" s="443"/>
      <c r="Y1364" s="443"/>
      <c r="Z1364" s="443"/>
      <c r="AA1364" s="443"/>
      <c r="AB1364" s="443"/>
      <c r="AC1364" s="443"/>
      <c r="AD1364" s="443"/>
      <c r="AE1364" s="443"/>
      <c r="AF1364" s="443"/>
      <c r="AG1364" s="443" t="s">
        <v>289</v>
      </c>
      <c r="AH1364" s="443" t="s">
        <v>289</v>
      </c>
      <c r="AI1364" s="443"/>
      <c r="AJ1364" s="443"/>
      <c r="AK1364" s="443"/>
      <c r="AL1364" s="443"/>
      <c r="AM1364" s="443"/>
      <c r="AN1364" s="443"/>
      <c r="AO1364" s="443"/>
      <c r="AP1364" s="443"/>
      <c r="AQ1364" s="443"/>
      <c r="AR1364" s="443"/>
      <c r="AS1364" s="443"/>
      <c r="AT1364" s="443"/>
      <c r="AU1364" s="443"/>
      <c r="AV1364" s="443"/>
      <c r="AW1364" s="443"/>
      <c r="AX1364" s="443"/>
      <c r="AY1364" s="443"/>
      <c r="AZ1364" s="443"/>
      <c r="BA1364" s="443"/>
      <c r="BB1364" s="443"/>
      <c r="BC1364" s="443"/>
      <c r="BD1364" s="443"/>
      <c r="BE1364" s="443"/>
    </row>
    <row r="1365">
      <c r="A1365" s="445" t="str">
        <f t="shared" si="5"/>
        <v/>
      </c>
      <c r="B1365" s="443"/>
      <c r="C1365" s="443"/>
      <c r="D1365" s="462"/>
      <c r="E1365" s="436" t="str">
        <f t="array" ref="E1365">IF(B1365=0,"",(J1365+K1365)/60)</f>
        <v/>
      </c>
      <c r="F1365" s="437" t="str">
        <f t="shared" si="1"/>
        <v/>
      </c>
      <c r="G1365" s="438" t="str">
        <f t="shared" si="9"/>
        <v/>
      </c>
      <c r="H1365" s="438" t="str">
        <f t="shared" si="3"/>
        <v/>
      </c>
      <c r="I1365" s="436" t="str">
        <f t="shared" si="11"/>
        <v/>
      </c>
      <c r="J1365" s="464"/>
      <c r="K1365" s="464"/>
      <c r="L1365" s="443"/>
      <c r="M1365" s="443"/>
      <c r="N1365" s="443"/>
      <c r="O1365" s="443"/>
      <c r="P1365" s="443"/>
      <c r="Q1365" s="443"/>
      <c r="R1365" s="443"/>
      <c r="S1365" s="443"/>
      <c r="T1365" s="443"/>
      <c r="U1365" s="443"/>
      <c r="V1365" s="443"/>
      <c r="W1365" s="443"/>
      <c r="X1365" s="443"/>
      <c r="Y1365" s="443"/>
      <c r="Z1365" s="443"/>
      <c r="AA1365" s="443"/>
      <c r="AB1365" s="443"/>
      <c r="AC1365" s="443"/>
      <c r="AD1365" s="443"/>
      <c r="AE1365" s="443"/>
      <c r="AF1365" s="443"/>
      <c r="AG1365" s="443" t="s">
        <v>289</v>
      </c>
      <c r="AH1365" s="443" t="s">
        <v>289</v>
      </c>
      <c r="AI1365" s="443"/>
      <c r="AJ1365" s="443"/>
      <c r="AK1365" s="443"/>
      <c r="AL1365" s="443"/>
      <c r="AM1365" s="443"/>
      <c r="AN1365" s="443"/>
      <c r="AO1365" s="443"/>
      <c r="AP1365" s="443"/>
      <c r="AQ1365" s="443"/>
      <c r="AR1365" s="443"/>
      <c r="AS1365" s="443"/>
      <c r="AT1365" s="443"/>
      <c r="AU1365" s="443"/>
      <c r="AV1365" s="443"/>
      <c r="AW1365" s="443"/>
      <c r="AX1365" s="443"/>
      <c r="AY1365" s="443"/>
      <c r="AZ1365" s="443"/>
      <c r="BA1365" s="443"/>
      <c r="BB1365" s="443"/>
      <c r="BC1365" s="443"/>
      <c r="BD1365" s="443"/>
      <c r="BE1365" s="443"/>
    </row>
    <row r="1366">
      <c r="A1366" s="445" t="str">
        <f t="shared" si="5"/>
        <v/>
      </c>
      <c r="B1366" s="443"/>
      <c r="C1366" s="443"/>
      <c r="D1366" s="462"/>
      <c r="E1366" s="436" t="str">
        <f t="array" ref="E1366">IF(B1366=0,"",(J1366+K1366)/60)</f>
        <v/>
      </c>
      <c r="F1366" s="437" t="str">
        <f t="shared" si="1"/>
        <v/>
      </c>
      <c r="G1366" s="438" t="str">
        <f t="shared" si="9"/>
        <v/>
      </c>
      <c r="H1366" s="438" t="str">
        <f t="shared" si="3"/>
        <v/>
      </c>
      <c r="I1366" s="436" t="str">
        <f t="shared" si="11"/>
        <v/>
      </c>
      <c r="J1366" s="464"/>
      <c r="K1366" s="464"/>
      <c r="L1366" s="443"/>
      <c r="M1366" s="443"/>
      <c r="N1366" s="443"/>
      <c r="O1366" s="443"/>
      <c r="P1366" s="443"/>
      <c r="Q1366" s="443"/>
      <c r="R1366" s="443"/>
      <c r="S1366" s="443"/>
      <c r="T1366" s="443"/>
      <c r="U1366" s="443"/>
      <c r="V1366" s="443"/>
      <c r="W1366" s="443"/>
      <c r="X1366" s="443"/>
      <c r="Y1366" s="443"/>
      <c r="Z1366" s="443"/>
      <c r="AA1366" s="443"/>
      <c r="AB1366" s="443"/>
      <c r="AC1366" s="443"/>
      <c r="AD1366" s="443"/>
      <c r="AE1366" s="443"/>
      <c r="AF1366" s="443"/>
      <c r="AG1366" s="443" t="s">
        <v>289</v>
      </c>
      <c r="AH1366" s="443" t="s">
        <v>289</v>
      </c>
      <c r="AI1366" s="443"/>
      <c r="AJ1366" s="443"/>
      <c r="AK1366" s="443"/>
      <c r="AL1366" s="443"/>
      <c r="AM1366" s="443"/>
      <c r="AN1366" s="443"/>
      <c r="AO1366" s="443"/>
      <c r="AP1366" s="443"/>
      <c r="AQ1366" s="443"/>
      <c r="AR1366" s="443"/>
      <c r="AS1366" s="443"/>
      <c r="AT1366" s="443"/>
      <c r="AU1366" s="443"/>
      <c r="AV1366" s="443"/>
      <c r="AW1366" s="443"/>
      <c r="AX1366" s="443"/>
      <c r="AY1366" s="443"/>
      <c r="AZ1366" s="443"/>
      <c r="BA1366" s="443"/>
      <c r="BB1366" s="443"/>
      <c r="BC1366" s="443"/>
      <c r="BD1366" s="443"/>
      <c r="BE1366" s="44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57"/>
    <col customWidth="1" min="2" max="2" width="15.57"/>
    <col customWidth="1" min="3" max="3" width="15.43"/>
    <col customWidth="1" min="4" max="4" width="21.86"/>
    <col customWidth="1" min="5" max="5" width="30.71"/>
    <col customWidth="1" min="6" max="6" width="22.0"/>
    <col customWidth="1" min="7" max="7" width="24.57"/>
  </cols>
  <sheetData>
    <row r="1" ht="22.5" customHeight="1">
      <c r="A1" s="450" t="s">
        <v>349</v>
      </c>
      <c r="B1" s="451" t="s">
        <v>351</v>
      </c>
      <c r="C1" s="452" t="s">
        <v>353</v>
      </c>
      <c r="D1" s="451" t="s">
        <v>354</v>
      </c>
      <c r="E1" s="451" t="s">
        <v>356</v>
      </c>
      <c r="F1" s="453" t="s">
        <v>357</v>
      </c>
    </row>
    <row r="2" ht="22.5" hidden="1" customHeight="1">
      <c r="A2" s="454">
        <v>46086.0</v>
      </c>
      <c r="B2" s="455">
        <v>0.6963194444444445</v>
      </c>
      <c r="C2" s="456">
        <v>1.0</v>
      </c>
      <c r="D2" s="457" t="s">
        <v>359</v>
      </c>
      <c r="E2" s="458" t="s">
        <v>360</v>
      </c>
      <c r="F2" s="461" t="str">
        <f>VLOOKUP(E2, 'COSTO UNITARIO'!$K$16:$L$27, 2, FALSE)</f>
        <v>Materia Fecal</v>
      </c>
    </row>
    <row r="3" ht="22.5" hidden="1" customHeight="1">
      <c r="A3" s="454">
        <v>46086.0</v>
      </c>
      <c r="B3" s="455">
        <v>0.7523958333333334</v>
      </c>
      <c r="C3" s="456">
        <v>2.0</v>
      </c>
      <c r="D3" s="457" t="s">
        <v>359</v>
      </c>
      <c r="E3" s="458" t="s">
        <v>369</v>
      </c>
      <c r="F3" s="461" t="str">
        <f>VLOOKUP(E3, 'COSTO UNITARIO'!$K$16:$L$27, 2, FALSE)</f>
        <v>Contenido Rummial</v>
      </c>
    </row>
    <row r="4" ht="22.5" hidden="1" customHeight="1">
      <c r="A4" s="454">
        <v>46086.0</v>
      </c>
      <c r="B4" s="455">
        <v>0.8102199074074075</v>
      </c>
      <c r="C4" s="456">
        <v>2.0</v>
      </c>
      <c r="D4" s="457" t="s">
        <v>359</v>
      </c>
      <c r="E4" s="458" t="s">
        <v>369</v>
      </c>
      <c r="F4" s="461" t="str">
        <f>VLOOKUP(E4, 'COSTO UNITARIO'!$K$16:$L$27, 2, FALSE)</f>
        <v>Contenido Rummial</v>
      </c>
    </row>
    <row r="5" ht="22.5" hidden="1" customHeight="1">
      <c r="A5" s="454">
        <v>46086.0</v>
      </c>
      <c r="B5" s="455">
        <v>0.7323148148148149</v>
      </c>
      <c r="C5" s="456">
        <v>1.0</v>
      </c>
      <c r="D5" s="457" t="s">
        <v>359</v>
      </c>
      <c r="E5" s="458" t="s">
        <v>360</v>
      </c>
      <c r="F5" s="461" t="str">
        <f>VLOOKUP(E5, 'COSTO UNITARIO'!$K$16:$L$27, 2, FALSE)</f>
        <v>Materia Fecal</v>
      </c>
    </row>
    <row r="6" ht="22.5" hidden="1" customHeight="1">
      <c r="A6" s="454">
        <v>46086.0</v>
      </c>
      <c r="B6" s="455">
        <v>0.8103472222222222</v>
      </c>
      <c r="C6" s="456">
        <v>1.0</v>
      </c>
      <c r="D6" s="457" t="s">
        <v>380</v>
      </c>
      <c r="E6" s="458" t="s">
        <v>381</v>
      </c>
      <c r="F6" s="461" t="str">
        <f>VLOOKUP(E6, 'COSTO UNITARIO'!$K$16:$L$27, 2, FALSE)</f>
        <v>Materia Fecal</v>
      </c>
    </row>
    <row r="7" ht="22.5" hidden="1" customHeight="1">
      <c r="A7" s="454">
        <v>46086.0</v>
      </c>
      <c r="B7" s="455">
        <v>0.7374768518518519</v>
      </c>
      <c r="C7" s="456">
        <v>1.0</v>
      </c>
      <c r="D7" s="457" t="s">
        <v>359</v>
      </c>
      <c r="E7" s="458" t="s">
        <v>385</v>
      </c>
      <c r="F7" s="461" t="str">
        <f>VLOOKUP(E7, 'COSTO UNITARIO'!$K$16:$L$27, 2, FALSE)</f>
        <v>Contenido Rummial</v>
      </c>
    </row>
    <row r="8" ht="22.5" hidden="1" customHeight="1">
      <c r="A8" s="454">
        <v>46086.0</v>
      </c>
      <c r="B8" s="455">
        <v>0.7720717592592593</v>
      </c>
      <c r="C8" s="456">
        <v>2.0</v>
      </c>
      <c r="D8" s="457" t="s">
        <v>359</v>
      </c>
      <c r="E8" s="458" t="s">
        <v>369</v>
      </c>
      <c r="F8" s="461" t="str">
        <f>VLOOKUP(E8, 'COSTO UNITARIO'!$K$16:$L$27, 2, FALSE)</f>
        <v>Contenido Rummial</v>
      </c>
    </row>
    <row r="9" ht="22.5" hidden="1" customHeight="1">
      <c r="A9" s="454">
        <v>46086.0</v>
      </c>
      <c r="B9" s="455">
        <v>0.7996064814814815</v>
      </c>
      <c r="C9" s="456">
        <v>2.0</v>
      </c>
      <c r="D9" s="457" t="s">
        <v>359</v>
      </c>
      <c r="E9" s="458" t="s">
        <v>369</v>
      </c>
      <c r="F9" s="461" t="str">
        <f>VLOOKUP(E9, 'COSTO UNITARIO'!$K$16:$L$27, 2, FALSE)</f>
        <v>Contenido Rummial</v>
      </c>
    </row>
    <row r="10" ht="22.5" hidden="1" customHeight="1">
      <c r="A10" s="454">
        <v>46086.0</v>
      </c>
      <c r="B10" s="455">
        <v>0.810300925925926</v>
      </c>
      <c r="C10" s="456">
        <v>1.0</v>
      </c>
      <c r="D10" s="457" t="s">
        <v>380</v>
      </c>
      <c r="E10" s="458" t="s">
        <v>400</v>
      </c>
      <c r="F10" s="461" t="str">
        <f>VLOOKUP(E10, 'COSTO UNITARIO'!$K$16:$L$27, 2, FALSE)</f>
        <v>Materia Fecal</v>
      </c>
    </row>
    <row r="11" ht="22.5" hidden="1" customHeight="1">
      <c r="A11" s="454">
        <v>46086.0</v>
      </c>
      <c r="B11" s="455">
        <v>0.8858796296296296</v>
      </c>
      <c r="C11" s="456">
        <v>1.0</v>
      </c>
      <c r="D11" s="457" t="s">
        <v>359</v>
      </c>
      <c r="E11" s="458" t="s">
        <v>360</v>
      </c>
      <c r="F11" s="461" t="str">
        <f>VLOOKUP(E11, 'COSTO UNITARIO'!$K$16:$L$27, 2, FALSE)</f>
        <v>Materia Fecal</v>
      </c>
    </row>
    <row r="12" ht="22.5" hidden="1" customHeight="1">
      <c r="A12" s="454">
        <v>46086.0</v>
      </c>
      <c r="B12" s="455">
        <v>0.8722222222222222</v>
      </c>
      <c r="C12" s="456">
        <v>1.0</v>
      </c>
      <c r="D12" s="457" t="s">
        <v>359</v>
      </c>
      <c r="E12" s="458" t="s">
        <v>360</v>
      </c>
      <c r="F12" s="461" t="str">
        <f>VLOOKUP(E12, 'COSTO UNITARIO'!$K$16:$L$27, 2, FALSE)</f>
        <v>Materia Fecal</v>
      </c>
    </row>
    <row r="13" ht="22.5" hidden="1" customHeight="1">
      <c r="A13" s="454">
        <v>46086.0</v>
      </c>
      <c r="B13" s="455">
        <v>0.869386574074074</v>
      </c>
      <c r="C13" s="456">
        <v>2.0</v>
      </c>
      <c r="D13" s="457" t="s">
        <v>359</v>
      </c>
      <c r="E13" s="458" t="s">
        <v>369</v>
      </c>
      <c r="F13" s="461" t="str">
        <f>VLOOKUP(E13, 'COSTO UNITARIO'!$K$16:$L$27, 2, FALSE)</f>
        <v>Contenido Rummial</v>
      </c>
    </row>
    <row r="14" ht="22.5" hidden="1" customHeight="1">
      <c r="A14" s="454">
        <v>46086.0</v>
      </c>
      <c r="B14" s="455">
        <v>0.42083333333333334</v>
      </c>
      <c r="C14" s="456">
        <v>1.0</v>
      </c>
      <c r="D14" s="457" t="s">
        <v>380</v>
      </c>
      <c r="E14" s="458" t="s">
        <v>413</v>
      </c>
      <c r="F14" s="461" t="str">
        <f>VLOOKUP(E14, 'COSTO UNITARIO'!$K$16:$L$27, 2, FALSE)</f>
        <v>Materia Fecal</v>
      </c>
    </row>
    <row r="15" ht="22.5" hidden="1" customHeight="1">
      <c r="A15" s="454">
        <v>46086.0</v>
      </c>
      <c r="B15" s="455">
        <v>0.42083333333333334</v>
      </c>
      <c r="C15" s="456">
        <v>1.0</v>
      </c>
      <c r="D15" s="457" t="s">
        <v>380</v>
      </c>
      <c r="E15" s="458" t="s">
        <v>400</v>
      </c>
      <c r="F15" s="461" t="str">
        <f>VLOOKUP(E15, 'COSTO UNITARIO'!$K$16:$L$27, 2, FALSE)</f>
        <v>Materia Fecal</v>
      </c>
    </row>
    <row r="16" ht="22.5" hidden="1" customHeight="1">
      <c r="A16" s="454">
        <v>46086.0</v>
      </c>
      <c r="B16" s="455">
        <v>0.4284722222222222</v>
      </c>
      <c r="C16" s="456">
        <v>1.0</v>
      </c>
      <c r="D16" s="457" t="s">
        <v>380</v>
      </c>
      <c r="E16" s="458" t="s">
        <v>413</v>
      </c>
      <c r="F16" s="461" t="str">
        <f>VLOOKUP(E16, 'COSTO UNITARIO'!$K$16:$L$27, 2, FALSE)</f>
        <v>Materia Fecal</v>
      </c>
    </row>
    <row r="17" ht="22.5" hidden="1" customHeight="1">
      <c r="A17" s="454">
        <v>46086.0</v>
      </c>
      <c r="B17" s="455">
        <v>0.4284722222222222</v>
      </c>
      <c r="C17" s="456">
        <v>2.0</v>
      </c>
      <c r="D17" s="457" t="s">
        <v>359</v>
      </c>
      <c r="E17" s="458" t="s">
        <v>369</v>
      </c>
      <c r="F17" s="461" t="str">
        <f>VLOOKUP(E17, 'COSTO UNITARIO'!$K$16:$L$27, 2, FALSE)</f>
        <v>Contenido Rummial</v>
      </c>
    </row>
    <row r="18" ht="22.5" hidden="1" customHeight="1">
      <c r="A18" s="454">
        <v>46086.0</v>
      </c>
      <c r="B18" s="465">
        <v>0.4354166666666667</v>
      </c>
      <c r="C18" s="466">
        <v>2.0</v>
      </c>
      <c r="D18" s="467" t="s">
        <v>359</v>
      </c>
      <c r="E18" s="468" t="s">
        <v>430</v>
      </c>
      <c r="F18" s="461" t="str">
        <f>VLOOKUP(E18, 'COSTO UNITARIO'!$K$16:$L$27, 2, FALSE)</f>
        <v>Contenido Rummial</v>
      </c>
    </row>
    <row r="19" ht="22.5" hidden="1" customHeight="1">
      <c r="A19" s="454">
        <v>46086.0</v>
      </c>
      <c r="B19" s="465">
        <v>0.44375</v>
      </c>
      <c r="C19" s="466">
        <v>2.0</v>
      </c>
      <c r="D19" s="467" t="s">
        <v>380</v>
      </c>
      <c r="E19" s="468" t="s">
        <v>400</v>
      </c>
      <c r="F19" s="461" t="str">
        <f>VLOOKUP(E19, 'COSTO UNITARIO'!$K$16:$L$27, 2, FALSE)</f>
        <v>Materia Fecal</v>
      </c>
    </row>
    <row r="20" ht="22.5" hidden="1" customHeight="1">
      <c r="A20" s="454">
        <v>46086.0</v>
      </c>
      <c r="B20" s="465">
        <v>0.44375</v>
      </c>
      <c r="C20" s="466">
        <v>2.0</v>
      </c>
      <c r="D20" s="467" t="s">
        <v>359</v>
      </c>
      <c r="E20" s="468" t="s">
        <v>369</v>
      </c>
      <c r="F20" s="461" t="str">
        <f>VLOOKUP(E20, 'COSTO UNITARIO'!$K$16:$L$27, 2, FALSE)</f>
        <v>Contenido Rummial</v>
      </c>
    </row>
    <row r="21" ht="22.5" hidden="1" customHeight="1">
      <c r="A21" s="454">
        <v>46086.0</v>
      </c>
      <c r="B21" s="465">
        <v>0.9493055555555555</v>
      </c>
      <c r="C21" s="466">
        <v>2.0</v>
      </c>
      <c r="D21" s="467" t="s">
        <v>380</v>
      </c>
      <c r="E21" s="468" t="s">
        <v>413</v>
      </c>
      <c r="F21" s="461" t="str">
        <f>VLOOKUP(E21, 'COSTO UNITARIO'!$K$16:$L$27, 2, FALSE)</f>
        <v>Materia Fecal</v>
      </c>
    </row>
    <row r="22" ht="22.5" hidden="1" customHeight="1">
      <c r="A22" s="454">
        <v>46087.0</v>
      </c>
      <c r="B22" s="455">
        <v>0.6166666666666667</v>
      </c>
      <c r="C22" s="456">
        <v>1.0</v>
      </c>
      <c r="D22" s="457" t="s">
        <v>359</v>
      </c>
      <c r="E22" s="458" t="s">
        <v>369</v>
      </c>
      <c r="F22" s="461" t="str">
        <f>VLOOKUP(E22, 'COSTO UNITARIO'!$K$16:$L$27, 2, FALSE)</f>
        <v>Contenido Rummial</v>
      </c>
    </row>
    <row r="23" ht="22.5" hidden="1" customHeight="1">
      <c r="A23" s="454">
        <v>46087.0</v>
      </c>
      <c r="B23" s="455">
        <v>0.6222222222222222</v>
      </c>
      <c r="C23" s="456">
        <v>1.0</v>
      </c>
      <c r="D23" s="457" t="s">
        <v>359</v>
      </c>
      <c r="E23" s="458" t="s">
        <v>369</v>
      </c>
      <c r="F23" s="461" t="str">
        <f>VLOOKUP(E23, 'COSTO UNITARIO'!$K$16:$L$27, 2, FALSE)</f>
        <v>Contenido Rummial</v>
      </c>
    </row>
    <row r="24" ht="22.5" hidden="1" customHeight="1">
      <c r="A24" s="454">
        <v>46087.0</v>
      </c>
      <c r="B24" s="455">
        <v>0.7458333333333333</v>
      </c>
      <c r="C24" s="456">
        <v>1.0</v>
      </c>
      <c r="D24" s="457" t="s">
        <v>380</v>
      </c>
      <c r="E24" s="458" t="s">
        <v>381</v>
      </c>
      <c r="F24" s="461" t="str">
        <f>VLOOKUP(E24, 'COSTO UNITARIO'!$K$16:$L$27, 2, FALSE)</f>
        <v>Materia Fecal</v>
      </c>
    </row>
    <row r="25" ht="22.5" hidden="1" customHeight="1">
      <c r="A25" s="454">
        <v>46087.0</v>
      </c>
      <c r="B25" s="455">
        <v>0.8243055555555555</v>
      </c>
      <c r="C25" s="456">
        <v>1.0</v>
      </c>
      <c r="D25" s="457" t="s">
        <v>359</v>
      </c>
      <c r="E25" s="458" t="s">
        <v>369</v>
      </c>
      <c r="F25" s="461" t="str">
        <f>VLOOKUP(E25, 'COSTO UNITARIO'!$K$16:$L$27, 2, FALSE)</f>
        <v>Contenido Rummial</v>
      </c>
    </row>
    <row r="26" ht="22.5" hidden="1" customHeight="1">
      <c r="A26" s="454">
        <v>46087.0</v>
      </c>
      <c r="B26" s="455">
        <v>0.8388888888888889</v>
      </c>
      <c r="C26" s="456">
        <v>2.0</v>
      </c>
      <c r="D26" s="457" t="s">
        <v>380</v>
      </c>
      <c r="E26" s="458" t="s">
        <v>381</v>
      </c>
      <c r="F26" s="461" t="str">
        <f>VLOOKUP(E26, 'COSTO UNITARIO'!$K$16:$L$27, 2, FALSE)</f>
        <v>Materia Fecal</v>
      </c>
    </row>
    <row r="27" ht="22.5" hidden="1" customHeight="1">
      <c r="A27" s="454">
        <v>46088.0</v>
      </c>
      <c r="B27" s="455">
        <v>0.8090277777777778</v>
      </c>
      <c r="C27" s="456">
        <v>1.0</v>
      </c>
      <c r="D27" s="457" t="s">
        <v>380</v>
      </c>
      <c r="E27" s="458" t="s">
        <v>413</v>
      </c>
      <c r="F27" s="461" t="str">
        <f>VLOOKUP(E27, 'COSTO UNITARIO'!$K$16:$L$27, 2, FALSE)</f>
        <v>Materia Fecal</v>
      </c>
      <c r="H27" s="112" t="s">
        <v>27</v>
      </c>
    </row>
    <row r="28" ht="22.5" hidden="1" customHeight="1">
      <c r="A28" s="454">
        <v>46088.0</v>
      </c>
      <c r="B28" s="455">
        <v>0.8159722222222222</v>
      </c>
      <c r="C28" s="456">
        <v>1.0</v>
      </c>
      <c r="D28" s="457" t="s">
        <v>380</v>
      </c>
      <c r="E28" s="458" t="s">
        <v>451</v>
      </c>
      <c r="F28" s="461" t="str">
        <f>VLOOKUP(E28, 'COSTO UNITARIO'!$K$16:$L$27, 2, FALSE)</f>
        <v>Materia Fecal</v>
      </c>
    </row>
    <row r="29" ht="22.5" hidden="1" customHeight="1">
      <c r="A29" s="454">
        <v>46090.0</v>
      </c>
      <c r="B29" s="455">
        <v>0.6847222222222222</v>
      </c>
      <c r="C29" s="456">
        <v>1.0</v>
      </c>
      <c r="D29" s="457" t="s">
        <v>380</v>
      </c>
      <c r="E29" s="458" t="s">
        <v>381</v>
      </c>
      <c r="F29" s="461" t="str">
        <f>VLOOKUP(E29, 'COSTO UNITARIO'!$K$16:$L$27, 2, FALSE)</f>
        <v>Materia Fecal</v>
      </c>
    </row>
    <row r="30" ht="22.5" hidden="1" customHeight="1">
      <c r="A30" s="454">
        <v>46090.0</v>
      </c>
      <c r="B30" s="455">
        <v>0.6868055555555556</v>
      </c>
      <c r="C30" s="456">
        <v>1.0</v>
      </c>
      <c r="D30" s="457" t="s">
        <v>359</v>
      </c>
      <c r="E30" s="458" t="s">
        <v>385</v>
      </c>
      <c r="F30" s="461" t="str">
        <f>VLOOKUP(E30, 'COSTO UNITARIO'!$K$16:$L$27, 2, FALSE)</f>
        <v>Contenido Rummial</v>
      </c>
    </row>
    <row r="31" ht="22.5" hidden="1" customHeight="1">
      <c r="A31" s="454">
        <v>46090.0</v>
      </c>
      <c r="B31" s="455">
        <v>0.8479166666666667</v>
      </c>
      <c r="C31" s="456">
        <v>1.0</v>
      </c>
      <c r="D31" s="457" t="s">
        <v>359</v>
      </c>
      <c r="E31" s="458" t="s">
        <v>369</v>
      </c>
      <c r="F31" s="461" t="str">
        <f>VLOOKUP(E31, 'COSTO UNITARIO'!$K$16:$L$27, 2, FALSE)</f>
        <v>Contenido Rummial</v>
      </c>
    </row>
    <row r="32" ht="22.5" hidden="1" customHeight="1">
      <c r="A32" s="454">
        <v>46090.0</v>
      </c>
      <c r="B32" s="455">
        <v>0.7013888888888888</v>
      </c>
      <c r="C32" s="456">
        <v>1.0</v>
      </c>
      <c r="D32" s="457" t="s">
        <v>380</v>
      </c>
      <c r="E32" s="458" t="s">
        <v>381</v>
      </c>
      <c r="F32" s="461" t="str">
        <f>VLOOKUP(E32, 'COSTO UNITARIO'!$K$16:$L$27, 2, FALSE)</f>
        <v>Materia Fecal</v>
      </c>
    </row>
    <row r="33" ht="22.5" hidden="1" customHeight="1">
      <c r="A33" s="454">
        <v>46090.0</v>
      </c>
      <c r="B33" s="455">
        <v>0.7006944444444444</v>
      </c>
      <c r="C33" s="456">
        <v>1.0</v>
      </c>
      <c r="D33" s="457" t="s">
        <v>380</v>
      </c>
      <c r="E33" s="458" t="s">
        <v>381</v>
      </c>
      <c r="F33" s="461" t="str">
        <f>VLOOKUP(E33, 'COSTO UNITARIO'!$K$16:$L$27, 2, FALSE)</f>
        <v>Materia Fecal</v>
      </c>
    </row>
    <row r="34" ht="22.5" hidden="1" customHeight="1">
      <c r="A34" s="454">
        <v>46090.0</v>
      </c>
      <c r="B34" s="455">
        <v>0.7083333333333334</v>
      </c>
      <c r="C34" s="456">
        <v>1.0</v>
      </c>
      <c r="D34" s="457" t="s">
        <v>380</v>
      </c>
      <c r="E34" s="458" t="s">
        <v>381</v>
      </c>
      <c r="F34" s="461" t="str">
        <f>VLOOKUP(E34, 'COSTO UNITARIO'!$K$16:$L$27, 2, FALSE)</f>
        <v>Materia Fecal</v>
      </c>
    </row>
    <row r="35" ht="22.5" hidden="1" customHeight="1">
      <c r="A35" s="454">
        <v>46091.0</v>
      </c>
      <c r="B35" s="455">
        <v>0.6263888888888889</v>
      </c>
      <c r="C35" s="456">
        <v>1.0</v>
      </c>
      <c r="D35" s="457" t="s">
        <v>359</v>
      </c>
      <c r="E35" s="458" t="s">
        <v>360</v>
      </c>
      <c r="F35" s="461" t="str">
        <f>VLOOKUP(E35, 'COSTO UNITARIO'!$K$16:$L$27, 2, FALSE)</f>
        <v>Materia Fecal</v>
      </c>
    </row>
    <row r="36" ht="22.5" hidden="1" customHeight="1">
      <c r="A36" s="454">
        <v>46091.0</v>
      </c>
      <c r="B36" s="455">
        <v>0.6548611111111111</v>
      </c>
      <c r="C36" s="456">
        <v>1.0</v>
      </c>
      <c r="D36" s="457" t="s">
        <v>380</v>
      </c>
      <c r="E36" s="458" t="s">
        <v>400</v>
      </c>
      <c r="F36" s="461" t="str">
        <f>VLOOKUP(E36, 'COSTO UNITARIO'!$K$16:$L$27, 2, FALSE)</f>
        <v>Materia Fecal</v>
      </c>
    </row>
    <row r="37" ht="22.5" hidden="1" customHeight="1">
      <c r="A37" s="454">
        <v>46091.0</v>
      </c>
      <c r="B37" s="455">
        <v>0.6694444444444444</v>
      </c>
      <c r="C37" s="456">
        <v>2.0</v>
      </c>
      <c r="D37" s="457" t="s">
        <v>380</v>
      </c>
      <c r="E37" s="458" t="s">
        <v>381</v>
      </c>
      <c r="F37" s="461" t="str">
        <f>VLOOKUP(E37, 'COSTO UNITARIO'!$K$16:$L$27, 2, FALSE)</f>
        <v>Materia Fecal</v>
      </c>
    </row>
    <row r="38" ht="22.5" hidden="1" customHeight="1">
      <c r="A38" s="454">
        <v>46091.0</v>
      </c>
      <c r="B38" s="455">
        <v>0.7131944444444445</v>
      </c>
      <c r="C38" s="456">
        <v>1.0</v>
      </c>
      <c r="D38" s="457" t="s">
        <v>359</v>
      </c>
      <c r="E38" s="458" t="s">
        <v>360</v>
      </c>
      <c r="F38" s="461" t="str">
        <f>VLOOKUP(E38, 'COSTO UNITARIO'!$K$16:$L$27, 2, FALSE)</f>
        <v>Materia Fecal</v>
      </c>
    </row>
    <row r="39" ht="22.5" hidden="1" customHeight="1">
      <c r="A39" s="454">
        <v>46091.0</v>
      </c>
      <c r="B39" s="455">
        <v>0.7395833333333334</v>
      </c>
      <c r="C39" s="456">
        <v>1.0</v>
      </c>
      <c r="D39" s="457" t="s">
        <v>359</v>
      </c>
      <c r="E39" s="458" t="s">
        <v>360</v>
      </c>
      <c r="F39" s="461" t="str">
        <f>VLOOKUP(E39, 'COSTO UNITARIO'!$K$16:$L$27, 2, FALSE)</f>
        <v>Materia Fecal</v>
      </c>
    </row>
    <row r="40" ht="22.5" hidden="1" customHeight="1">
      <c r="A40" s="454">
        <v>46091.0</v>
      </c>
      <c r="B40" s="455">
        <v>0.7701388888888889</v>
      </c>
      <c r="C40" s="456">
        <v>1.0</v>
      </c>
      <c r="D40" s="457" t="s">
        <v>359</v>
      </c>
      <c r="E40" s="458" t="s">
        <v>360</v>
      </c>
      <c r="F40" s="461" t="str">
        <f>VLOOKUP(E40, 'COSTO UNITARIO'!$K$16:$L$27, 2, FALSE)</f>
        <v>Materia Fecal</v>
      </c>
    </row>
    <row r="41" ht="22.5" hidden="1" customHeight="1">
      <c r="A41" s="454">
        <v>46091.0</v>
      </c>
      <c r="B41" s="455">
        <v>0.7131944444444445</v>
      </c>
      <c r="C41" s="456">
        <v>1.0</v>
      </c>
      <c r="D41" s="457" t="s">
        <v>380</v>
      </c>
      <c r="E41" s="458" t="s">
        <v>381</v>
      </c>
      <c r="F41" s="461" t="str">
        <f>VLOOKUP(E41, 'COSTO UNITARIO'!$K$16:$L$27, 2, FALSE)</f>
        <v>Materia Fecal</v>
      </c>
    </row>
    <row r="42" ht="22.5" hidden="1" customHeight="1">
      <c r="A42" s="454">
        <v>46091.0</v>
      </c>
      <c r="B42" s="455">
        <v>0.7131944444444445</v>
      </c>
      <c r="C42" s="456">
        <v>1.0</v>
      </c>
      <c r="D42" s="457" t="s">
        <v>380</v>
      </c>
      <c r="E42" s="458" t="s">
        <v>381</v>
      </c>
      <c r="F42" s="461" t="str">
        <f>VLOOKUP(E42, 'COSTO UNITARIO'!$K$16:$L$27, 2, FALSE)</f>
        <v>Materia Fecal</v>
      </c>
    </row>
    <row r="43" ht="22.5" hidden="1" customHeight="1">
      <c r="A43" s="454">
        <v>46091.0</v>
      </c>
      <c r="B43" s="455">
        <v>0.7944444444444444</v>
      </c>
      <c r="C43" s="456">
        <v>1.0</v>
      </c>
      <c r="D43" s="457" t="s">
        <v>359</v>
      </c>
      <c r="E43" s="458" t="s">
        <v>360</v>
      </c>
      <c r="F43" s="461" t="str">
        <f>VLOOKUP(E43, 'COSTO UNITARIO'!$K$16:$L$27, 2, FALSE)</f>
        <v>Materia Fecal</v>
      </c>
    </row>
    <row r="44" ht="22.5" hidden="1" customHeight="1">
      <c r="A44" s="454">
        <v>46091.0</v>
      </c>
      <c r="B44" s="455">
        <v>0.7972222222222223</v>
      </c>
      <c r="C44" s="456">
        <v>1.0</v>
      </c>
      <c r="D44" s="457" t="s">
        <v>359</v>
      </c>
      <c r="E44" s="458" t="s">
        <v>369</v>
      </c>
      <c r="F44" s="461" t="str">
        <f>VLOOKUP(E44, 'COSTO UNITARIO'!$K$16:$L$27, 2, FALSE)</f>
        <v>Contenido Rummial</v>
      </c>
    </row>
    <row r="45" ht="22.5" hidden="1" customHeight="1">
      <c r="A45" s="454">
        <v>46091.0</v>
      </c>
      <c r="B45" s="455">
        <v>0.8805555555555555</v>
      </c>
      <c r="C45" s="456">
        <v>1.0</v>
      </c>
      <c r="D45" s="457" t="s">
        <v>359</v>
      </c>
      <c r="E45" s="458" t="s">
        <v>360</v>
      </c>
      <c r="F45" s="461" t="str">
        <f>VLOOKUP(E45, 'COSTO UNITARIO'!$K$16:$L$27, 2, FALSE)</f>
        <v>Materia Fecal</v>
      </c>
    </row>
    <row r="46" ht="22.5" hidden="1" customHeight="1">
      <c r="A46" s="454">
        <v>46092.0</v>
      </c>
      <c r="B46" s="455">
        <v>0.6430555555555556</v>
      </c>
      <c r="C46" s="456">
        <v>1.0</v>
      </c>
      <c r="D46" s="457" t="s">
        <v>359</v>
      </c>
      <c r="E46" s="458" t="s">
        <v>369</v>
      </c>
      <c r="F46" s="461" t="str">
        <f>VLOOKUP(E46, 'COSTO UNITARIO'!$K$16:$L$27, 2, FALSE)</f>
        <v>Contenido Rummial</v>
      </c>
    </row>
    <row r="47" ht="22.5" hidden="1" customHeight="1">
      <c r="A47" s="454">
        <v>46092.0</v>
      </c>
      <c r="B47" s="455">
        <v>0.6965277777777777</v>
      </c>
      <c r="C47" s="456">
        <v>1.0</v>
      </c>
      <c r="D47" s="457" t="s">
        <v>380</v>
      </c>
      <c r="E47" s="458" t="s">
        <v>381</v>
      </c>
      <c r="F47" s="461" t="str">
        <f>VLOOKUP(E47, 'COSTO UNITARIO'!$K$16:$L$27, 2, FALSE)</f>
        <v>Materia Fecal</v>
      </c>
    </row>
    <row r="48" ht="22.5" hidden="1" customHeight="1">
      <c r="A48" s="454">
        <v>46092.0</v>
      </c>
      <c r="B48" s="455">
        <v>0.7013888888888888</v>
      </c>
      <c r="C48" s="456">
        <v>1.0</v>
      </c>
      <c r="D48" s="457" t="s">
        <v>380</v>
      </c>
      <c r="E48" s="458" t="s">
        <v>381</v>
      </c>
      <c r="F48" s="461" t="str">
        <f>VLOOKUP(E48, 'COSTO UNITARIO'!$K$16:$L$27, 2, FALSE)</f>
        <v>Materia Fecal</v>
      </c>
    </row>
    <row r="49" ht="22.5" hidden="1" customHeight="1">
      <c r="A49" s="454">
        <v>46092.0</v>
      </c>
      <c r="B49" s="455">
        <v>0.7034722222222223</v>
      </c>
      <c r="C49" s="456">
        <v>1.0</v>
      </c>
      <c r="D49" s="457" t="s">
        <v>359</v>
      </c>
      <c r="E49" s="458" t="s">
        <v>360</v>
      </c>
      <c r="F49" s="461" t="str">
        <f>VLOOKUP(E49, 'COSTO UNITARIO'!$K$16:$L$27, 2, FALSE)</f>
        <v>Materia Fecal</v>
      </c>
    </row>
    <row r="50" ht="22.5" hidden="1" customHeight="1">
      <c r="A50" s="454">
        <v>46092.0</v>
      </c>
      <c r="B50" s="455">
        <v>0.7673611111111112</v>
      </c>
      <c r="C50" s="456">
        <v>2.0</v>
      </c>
      <c r="D50" s="457" t="s">
        <v>359</v>
      </c>
      <c r="E50" s="458" t="s">
        <v>369</v>
      </c>
      <c r="F50" s="461" t="str">
        <f>VLOOKUP(E50, 'COSTO UNITARIO'!$K$16:$L$27, 2, FALSE)</f>
        <v>Contenido Rummial</v>
      </c>
    </row>
    <row r="51" ht="22.5" hidden="1" customHeight="1">
      <c r="A51" s="454">
        <v>46092.0</v>
      </c>
      <c r="B51" s="455">
        <v>0.8229166666666666</v>
      </c>
      <c r="C51" s="456">
        <v>1.0</v>
      </c>
      <c r="D51" s="457" t="s">
        <v>359</v>
      </c>
      <c r="E51" s="458" t="s">
        <v>360</v>
      </c>
      <c r="F51" s="461" t="str">
        <f>VLOOKUP(E51, 'COSTO UNITARIO'!$K$16:$L$27, 2, FALSE)</f>
        <v>Materia Fecal</v>
      </c>
    </row>
    <row r="52" ht="22.5" hidden="1" customHeight="1">
      <c r="A52" s="454">
        <v>46092.0</v>
      </c>
      <c r="B52" s="455">
        <v>0.8326388888888889</v>
      </c>
      <c r="C52" s="456">
        <v>1.0</v>
      </c>
      <c r="D52" s="457" t="s">
        <v>359</v>
      </c>
      <c r="E52" s="458" t="s">
        <v>360</v>
      </c>
      <c r="F52" s="461" t="str">
        <f>VLOOKUP(E52, 'COSTO UNITARIO'!$K$16:$L$27, 2, FALSE)</f>
        <v>Materia Fecal</v>
      </c>
    </row>
    <row r="53" ht="22.5" hidden="1" customHeight="1">
      <c r="A53" s="454">
        <v>46092.0</v>
      </c>
      <c r="B53" s="455">
        <v>0.8513888888888889</v>
      </c>
      <c r="C53" s="456">
        <v>1.0</v>
      </c>
      <c r="D53" s="457" t="s">
        <v>380</v>
      </c>
      <c r="E53" s="458" t="s">
        <v>400</v>
      </c>
      <c r="F53" s="461" t="str">
        <f>VLOOKUP(E53, 'COSTO UNITARIO'!$K$16:$L$27, 2, FALSE)</f>
        <v>Materia Fecal</v>
      </c>
    </row>
    <row r="54" ht="22.5" hidden="1" customHeight="1">
      <c r="A54" s="454">
        <v>46093.0</v>
      </c>
      <c r="B54" s="455">
        <v>0.6152777777751908</v>
      </c>
      <c r="C54" s="456">
        <v>1.0</v>
      </c>
      <c r="D54" s="457" t="s">
        <v>359</v>
      </c>
      <c r="E54" s="458" t="s">
        <v>369</v>
      </c>
      <c r="F54" s="461" t="str">
        <f>VLOOKUP(E54, 'COSTO UNITARIO'!$K$16:$L$27, 2, FALSE)</f>
        <v>Contenido Rummial</v>
      </c>
    </row>
    <row r="55" ht="22.5" hidden="1" customHeight="1">
      <c r="A55" s="454">
        <v>46093.0</v>
      </c>
      <c r="B55" s="455">
        <v>0.6666666666666666</v>
      </c>
      <c r="C55" s="456">
        <v>2.0</v>
      </c>
      <c r="D55" s="457" t="s">
        <v>359</v>
      </c>
      <c r="E55" s="458" t="s">
        <v>360</v>
      </c>
      <c r="F55" s="461" t="str">
        <f>VLOOKUP(E55, 'COSTO UNITARIO'!$K$16:$L$27, 2, FALSE)</f>
        <v>Materia Fecal</v>
      </c>
    </row>
    <row r="56" ht="22.5" hidden="1" customHeight="1">
      <c r="A56" s="454">
        <v>46093.0</v>
      </c>
      <c r="B56" s="475"/>
      <c r="C56" s="456">
        <v>1.0</v>
      </c>
      <c r="D56" s="457" t="s">
        <v>380</v>
      </c>
      <c r="E56" s="458" t="s">
        <v>381</v>
      </c>
      <c r="F56" s="461" t="str">
        <f>VLOOKUP(E56, 'COSTO UNITARIO'!$K$16:$L$27, 2, FALSE)</f>
        <v>Materia Fecal</v>
      </c>
    </row>
    <row r="57" ht="22.5" hidden="1" customHeight="1">
      <c r="A57" s="454">
        <v>46093.0</v>
      </c>
      <c r="B57" s="475"/>
      <c r="C57" s="456">
        <v>1.0</v>
      </c>
      <c r="D57" s="457" t="s">
        <v>380</v>
      </c>
      <c r="E57" s="458" t="s">
        <v>381</v>
      </c>
      <c r="F57" s="461" t="str">
        <f>VLOOKUP(E57, 'COSTO UNITARIO'!$K$16:$L$27, 2, FALSE)</f>
        <v>Materia Fecal</v>
      </c>
    </row>
    <row r="58" ht="22.5" hidden="1" customHeight="1">
      <c r="A58" s="454">
        <v>46093.0</v>
      </c>
      <c r="B58" s="475"/>
      <c r="C58" s="456">
        <v>1.0</v>
      </c>
      <c r="D58" s="457" t="s">
        <v>380</v>
      </c>
      <c r="E58" s="458" t="s">
        <v>400</v>
      </c>
      <c r="F58" s="461" t="str">
        <f>VLOOKUP(E58, 'COSTO UNITARIO'!$K$16:$L$27, 2, FALSE)</f>
        <v>Materia Fecal</v>
      </c>
    </row>
    <row r="59" ht="22.5" hidden="1" customHeight="1">
      <c r="A59" s="454">
        <v>46094.0</v>
      </c>
      <c r="B59" s="455">
        <v>0.6111111111111112</v>
      </c>
      <c r="C59" s="456">
        <v>2.0</v>
      </c>
      <c r="D59" s="457" t="s">
        <v>380</v>
      </c>
      <c r="E59" s="458" t="s">
        <v>413</v>
      </c>
      <c r="F59" s="461" t="str">
        <f>VLOOKUP(E59, 'COSTO UNITARIO'!$K$16:$L$27, 2, FALSE)</f>
        <v>Materia Fecal</v>
      </c>
    </row>
    <row r="60" ht="22.5" hidden="1" customHeight="1">
      <c r="A60" s="454">
        <v>46094.0</v>
      </c>
      <c r="B60" s="455">
        <v>0.625</v>
      </c>
      <c r="C60" s="456">
        <v>2.0</v>
      </c>
      <c r="D60" s="457" t="s">
        <v>380</v>
      </c>
      <c r="E60" s="458" t="s">
        <v>413</v>
      </c>
      <c r="F60" s="461" t="str">
        <f>VLOOKUP(E60, 'COSTO UNITARIO'!$K$16:$L$27, 2, FALSE)</f>
        <v>Materia Fecal</v>
      </c>
    </row>
    <row r="61" ht="22.5" hidden="1" customHeight="1">
      <c r="A61" s="454">
        <v>46094.0</v>
      </c>
      <c r="B61" s="455">
        <v>0.6513888888888889</v>
      </c>
      <c r="C61" s="456">
        <v>2.0</v>
      </c>
      <c r="D61" s="457" t="s">
        <v>359</v>
      </c>
      <c r="E61" s="458" t="s">
        <v>385</v>
      </c>
      <c r="F61" s="461" t="str">
        <f>VLOOKUP(E61, 'COSTO UNITARIO'!$K$16:$L$27, 2, FALSE)</f>
        <v>Contenido Rummial</v>
      </c>
    </row>
    <row r="62" ht="22.5" hidden="1" customHeight="1">
      <c r="A62" s="454">
        <v>46094.0</v>
      </c>
      <c r="B62" s="455">
        <v>0.7</v>
      </c>
      <c r="C62" s="456">
        <v>1.0</v>
      </c>
      <c r="D62" s="457" t="s">
        <v>380</v>
      </c>
      <c r="E62" s="458" t="s">
        <v>381</v>
      </c>
      <c r="F62" s="461" t="str">
        <f>VLOOKUP(E62, 'COSTO UNITARIO'!$K$16:$L$27, 2, FALSE)</f>
        <v>Materia Fecal</v>
      </c>
    </row>
    <row r="63" ht="22.5" hidden="1" customHeight="1">
      <c r="A63" s="454">
        <v>46094.0</v>
      </c>
      <c r="B63" s="455">
        <v>0.7180555555555556</v>
      </c>
      <c r="C63" s="456">
        <v>1.0</v>
      </c>
      <c r="D63" s="457" t="s">
        <v>359</v>
      </c>
      <c r="E63" s="458" t="s">
        <v>360</v>
      </c>
      <c r="F63" s="461" t="str">
        <f>VLOOKUP(E63, 'COSTO UNITARIO'!$K$16:$L$27, 2, FALSE)</f>
        <v>Materia Fecal</v>
      </c>
    </row>
    <row r="64" ht="22.5" hidden="1" customHeight="1">
      <c r="A64" s="454">
        <v>46094.0</v>
      </c>
      <c r="B64" s="455">
        <v>0.8131944444444444</v>
      </c>
      <c r="C64" s="456">
        <v>1.0</v>
      </c>
      <c r="D64" s="457" t="s">
        <v>380</v>
      </c>
      <c r="E64" s="458" t="s">
        <v>381</v>
      </c>
      <c r="F64" s="461" t="str">
        <f>VLOOKUP(E64, 'COSTO UNITARIO'!$K$16:$L$27, 2, FALSE)</f>
        <v>Materia Fecal</v>
      </c>
    </row>
    <row r="65" ht="22.5" hidden="1" customHeight="1">
      <c r="A65" s="454">
        <v>46094.0</v>
      </c>
      <c r="B65" s="455">
        <v>0.8298611111111112</v>
      </c>
      <c r="C65" s="456">
        <v>1.0</v>
      </c>
      <c r="D65" s="457" t="s">
        <v>380</v>
      </c>
      <c r="E65" s="458" t="s">
        <v>381</v>
      </c>
      <c r="F65" s="461" t="str">
        <f>VLOOKUP(E65, 'COSTO UNITARIO'!$K$16:$L$27, 2, FALSE)</f>
        <v>Materia Fecal</v>
      </c>
    </row>
    <row r="66" ht="22.5" hidden="1" customHeight="1">
      <c r="A66" s="454">
        <v>46094.0</v>
      </c>
      <c r="B66" s="455">
        <v>0.75</v>
      </c>
      <c r="C66" s="456">
        <v>2.0</v>
      </c>
      <c r="D66" s="457" t="s">
        <v>380</v>
      </c>
      <c r="E66" s="458" t="s">
        <v>400</v>
      </c>
      <c r="F66" s="461" t="str">
        <f>VLOOKUP(E66, 'COSTO UNITARIO'!$K$16:$L$27, 2, FALSE)</f>
        <v>Materia Fecal</v>
      </c>
    </row>
    <row r="67" ht="22.5" hidden="1" customHeight="1">
      <c r="A67" s="454">
        <v>46094.0</v>
      </c>
      <c r="B67" s="455">
        <v>0.775</v>
      </c>
      <c r="C67" s="456">
        <v>1.0</v>
      </c>
      <c r="D67" s="457" t="s">
        <v>380</v>
      </c>
      <c r="E67" s="458" t="s">
        <v>381</v>
      </c>
      <c r="F67" s="461" t="str">
        <f>VLOOKUP(E67, 'COSTO UNITARIO'!$K$16:$L$27, 2, FALSE)</f>
        <v>Materia Fecal</v>
      </c>
    </row>
    <row r="68" ht="22.5" hidden="1" customHeight="1">
      <c r="A68" s="454">
        <v>46094.0</v>
      </c>
      <c r="B68" s="455">
        <v>0.8631944444444445</v>
      </c>
      <c r="C68" s="456">
        <v>1.0</v>
      </c>
      <c r="D68" s="457" t="s">
        <v>380</v>
      </c>
      <c r="E68" s="458" t="s">
        <v>381</v>
      </c>
      <c r="F68" s="461" t="str">
        <f>VLOOKUP(E68, 'COSTO UNITARIO'!$K$16:$L$27, 2, FALSE)</f>
        <v>Materia Fecal</v>
      </c>
    </row>
    <row r="69" ht="22.5" hidden="1" customHeight="1">
      <c r="A69" s="454">
        <v>46095.0</v>
      </c>
      <c r="B69" s="455">
        <v>0.7173611111111111</v>
      </c>
      <c r="C69" s="456">
        <v>1.0</v>
      </c>
      <c r="D69" s="457" t="s">
        <v>380</v>
      </c>
      <c r="E69" s="458" t="s">
        <v>400</v>
      </c>
      <c r="F69" s="461" t="str">
        <f>VLOOKUP(E69, 'COSTO UNITARIO'!$K$16:$L$27, 2, FALSE)</f>
        <v>Materia Fecal</v>
      </c>
    </row>
    <row r="70" ht="22.5" hidden="1" customHeight="1">
      <c r="A70" s="454">
        <v>46095.0</v>
      </c>
      <c r="B70" s="455">
        <v>0.7326388888888888</v>
      </c>
      <c r="C70" s="456">
        <v>1.0</v>
      </c>
      <c r="D70" s="457" t="s">
        <v>359</v>
      </c>
      <c r="E70" s="458" t="s">
        <v>360</v>
      </c>
      <c r="F70" s="461" t="str">
        <f>VLOOKUP(E70, 'COSTO UNITARIO'!$K$16:$L$27, 2, FALSE)</f>
        <v>Materia Fecal</v>
      </c>
    </row>
    <row r="71" ht="22.5" hidden="1" customHeight="1">
      <c r="A71" s="454">
        <v>46095.0</v>
      </c>
      <c r="B71" s="455">
        <v>0.7361111111111112</v>
      </c>
      <c r="C71" s="456">
        <v>1.0</v>
      </c>
      <c r="D71" s="457" t="s">
        <v>380</v>
      </c>
      <c r="E71" s="458" t="s">
        <v>400</v>
      </c>
      <c r="F71" s="461" t="str">
        <f>VLOOKUP(E71, 'COSTO UNITARIO'!$K$16:$L$27, 2, FALSE)</f>
        <v>Materia Fecal</v>
      </c>
    </row>
    <row r="72" ht="22.5" hidden="1" customHeight="1">
      <c r="A72" s="454">
        <v>46097.0</v>
      </c>
      <c r="B72" s="455">
        <v>0.7263888888888889</v>
      </c>
      <c r="C72" s="456">
        <v>1.0</v>
      </c>
      <c r="D72" s="457" t="s">
        <v>380</v>
      </c>
      <c r="E72" s="458" t="s">
        <v>381</v>
      </c>
      <c r="F72" s="461" t="str">
        <f>VLOOKUP(E72, 'COSTO UNITARIO'!$K$16:$L$27, 2, FALSE)</f>
        <v>Materia Fecal</v>
      </c>
    </row>
    <row r="73" ht="22.5" hidden="1" customHeight="1">
      <c r="A73" s="454">
        <v>46097.0</v>
      </c>
      <c r="B73" s="455">
        <v>0.7541666666666667</v>
      </c>
      <c r="C73" s="456">
        <v>1.0</v>
      </c>
      <c r="D73" s="457" t="s">
        <v>380</v>
      </c>
      <c r="E73" s="458" t="s">
        <v>413</v>
      </c>
      <c r="F73" s="461" t="str">
        <f>VLOOKUP(E73, 'COSTO UNITARIO'!$K$16:$L$27, 2, FALSE)</f>
        <v>Materia Fecal</v>
      </c>
    </row>
    <row r="74" ht="22.5" hidden="1" customHeight="1">
      <c r="A74" s="454">
        <v>46097.0</v>
      </c>
      <c r="B74" s="455">
        <v>0.7611111111111111</v>
      </c>
      <c r="C74" s="456">
        <v>1.0</v>
      </c>
      <c r="D74" s="457" t="s">
        <v>380</v>
      </c>
      <c r="E74" s="458" t="s">
        <v>381</v>
      </c>
      <c r="F74" s="461" t="str">
        <f>VLOOKUP(E74, 'COSTO UNITARIO'!$K$16:$L$27, 2, FALSE)</f>
        <v>Materia Fecal</v>
      </c>
    </row>
    <row r="75" ht="22.5" hidden="1" customHeight="1">
      <c r="A75" s="454">
        <v>46097.0</v>
      </c>
      <c r="B75" s="455">
        <v>0.875</v>
      </c>
      <c r="C75" s="456">
        <v>1.0</v>
      </c>
      <c r="D75" s="457" t="s">
        <v>380</v>
      </c>
      <c r="E75" s="458" t="s">
        <v>381</v>
      </c>
      <c r="F75" s="461" t="str">
        <f>VLOOKUP(E75, 'COSTO UNITARIO'!$K$16:$L$27, 2, FALSE)</f>
        <v>Materia Fecal</v>
      </c>
    </row>
    <row r="76" ht="22.5" hidden="1" customHeight="1">
      <c r="A76" s="454">
        <v>46097.0</v>
      </c>
      <c r="B76" s="455">
        <v>0.9152777777777777</v>
      </c>
      <c r="C76" s="456">
        <v>1.0</v>
      </c>
      <c r="D76" s="457" t="s">
        <v>380</v>
      </c>
      <c r="E76" s="458" t="s">
        <v>451</v>
      </c>
      <c r="F76" s="461" t="str">
        <f>VLOOKUP(E76, 'COSTO UNITARIO'!$K$16:$L$27, 2, FALSE)</f>
        <v>Materia Fecal</v>
      </c>
    </row>
    <row r="77" ht="22.5" hidden="1" customHeight="1">
      <c r="A77" s="454">
        <v>46098.0</v>
      </c>
      <c r="B77" s="475"/>
      <c r="C77" s="456">
        <v>1.0</v>
      </c>
      <c r="D77" s="457" t="s">
        <v>380</v>
      </c>
      <c r="E77" s="458" t="s">
        <v>381</v>
      </c>
      <c r="F77" s="461" t="str">
        <f>VLOOKUP(E77, 'COSTO UNITARIO'!$K$16:$L$27, 2, FALSE)</f>
        <v>Materia Fecal</v>
      </c>
    </row>
    <row r="78" ht="22.5" hidden="1" customHeight="1">
      <c r="A78" s="454">
        <v>46098.0</v>
      </c>
      <c r="B78" s="475"/>
      <c r="C78" s="456">
        <v>2.0</v>
      </c>
      <c r="D78" s="457" t="s">
        <v>359</v>
      </c>
      <c r="E78" s="458" t="s">
        <v>385</v>
      </c>
      <c r="F78" s="461" t="str">
        <f>VLOOKUP(E78, 'COSTO UNITARIO'!$K$16:$L$27, 2, FALSE)</f>
        <v>Contenido Rummial</v>
      </c>
    </row>
    <row r="79" ht="22.5" hidden="1" customHeight="1">
      <c r="A79" s="454">
        <v>46098.0</v>
      </c>
      <c r="B79" s="475"/>
      <c r="C79" s="456">
        <v>1.0</v>
      </c>
      <c r="D79" s="457" t="s">
        <v>380</v>
      </c>
      <c r="E79" s="458" t="s">
        <v>400</v>
      </c>
      <c r="F79" s="461" t="str">
        <f>VLOOKUP(E79, 'COSTO UNITARIO'!$K$16:$L$27, 2, FALSE)</f>
        <v>Materia Fecal</v>
      </c>
    </row>
    <row r="80" ht="22.5" hidden="1" customHeight="1">
      <c r="A80" s="454">
        <v>46098.0</v>
      </c>
      <c r="B80" s="455">
        <v>0.6465277777777778</v>
      </c>
      <c r="C80" s="456">
        <v>1.0</v>
      </c>
      <c r="D80" s="457" t="s">
        <v>380</v>
      </c>
      <c r="E80" s="458" t="s">
        <v>381</v>
      </c>
      <c r="F80" s="461" t="str">
        <f>VLOOKUP(E80, 'COSTO UNITARIO'!$K$16:$L$27, 2, FALSE)</f>
        <v>Materia Fecal</v>
      </c>
    </row>
    <row r="81" ht="22.5" hidden="1" customHeight="1">
      <c r="A81" s="454">
        <v>46099.0</v>
      </c>
      <c r="B81" s="455">
        <v>0.7013888888888888</v>
      </c>
      <c r="C81" s="456">
        <v>1.0</v>
      </c>
      <c r="D81" s="457" t="s">
        <v>380</v>
      </c>
      <c r="E81" s="458" t="s">
        <v>413</v>
      </c>
      <c r="F81" s="461" t="str">
        <f>VLOOKUP(E81, 'COSTO UNITARIO'!$K$16:$L$27, 2, FALSE)</f>
        <v>Materia Fecal</v>
      </c>
    </row>
    <row r="82" ht="22.5" hidden="1" customHeight="1">
      <c r="A82" s="454">
        <v>46099.0</v>
      </c>
      <c r="B82" s="455">
        <v>0.7451388888888889</v>
      </c>
      <c r="C82" s="456">
        <v>1.0</v>
      </c>
      <c r="D82" s="457" t="s">
        <v>380</v>
      </c>
      <c r="E82" s="458" t="s">
        <v>381</v>
      </c>
      <c r="F82" s="461" t="str">
        <f>VLOOKUP(E82, 'COSTO UNITARIO'!$K$16:$L$27, 2, FALSE)</f>
        <v>Materia Fecal</v>
      </c>
    </row>
    <row r="83" ht="22.5" hidden="1" customHeight="1">
      <c r="A83" s="454">
        <v>46099.0</v>
      </c>
      <c r="B83" s="455">
        <v>0.7986111111111112</v>
      </c>
      <c r="C83" s="456">
        <v>1.0</v>
      </c>
      <c r="D83" s="457" t="s">
        <v>359</v>
      </c>
      <c r="E83" s="458" t="s">
        <v>385</v>
      </c>
      <c r="F83" s="461" t="str">
        <f>VLOOKUP(E83, 'COSTO UNITARIO'!$K$16:$L$27, 2, FALSE)</f>
        <v>Contenido Rummial</v>
      </c>
    </row>
    <row r="84" ht="22.5" hidden="1" customHeight="1">
      <c r="A84" s="454">
        <v>46100.0</v>
      </c>
      <c r="B84" s="455">
        <v>0.6319444444452529</v>
      </c>
      <c r="C84" s="456">
        <v>1.0</v>
      </c>
      <c r="D84" s="457" t="s">
        <v>380</v>
      </c>
      <c r="E84" s="458" t="s">
        <v>400</v>
      </c>
      <c r="F84" s="461" t="str">
        <f>VLOOKUP(E84, 'COSTO UNITARIO'!$K$16:$L$27, 2, FALSE)</f>
        <v>Materia Fecal</v>
      </c>
    </row>
    <row r="85" ht="22.5" hidden="1" customHeight="1">
      <c r="A85" s="454">
        <v>46100.0</v>
      </c>
      <c r="B85" s="455">
        <v>0.6319444444452529</v>
      </c>
      <c r="C85" s="456">
        <v>1.0</v>
      </c>
      <c r="D85" s="457" t="s">
        <v>380</v>
      </c>
      <c r="E85" s="458" t="s">
        <v>381</v>
      </c>
      <c r="F85" s="461" t="str">
        <f>VLOOKUP(E85, 'COSTO UNITARIO'!$K$16:$L$27, 2, FALSE)</f>
        <v>Materia Fecal</v>
      </c>
    </row>
    <row r="86" ht="22.5" hidden="1" customHeight="1">
      <c r="A86" s="454">
        <v>46100.0</v>
      </c>
      <c r="B86" s="455">
        <v>0.6340277777781012</v>
      </c>
      <c r="C86" s="456">
        <v>1.0</v>
      </c>
      <c r="D86" s="457" t="s">
        <v>359</v>
      </c>
      <c r="E86" s="458" t="s">
        <v>360</v>
      </c>
      <c r="F86" s="461" t="str">
        <f>VLOOKUP(E86, 'COSTO UNITARIO'!$K$16:$L$27, 2, FALSE)</f>
        <v>Materia Fecal</v>
      </c>
    </row>
    <row r="87" ht="22.5" hidden="1" customHeight="1">
      <c r="A87" s="454">
        <v>46100.0</v>
      </c>
      <c r="B87" s="455">
        <v>0.6368055555503815</v>
      </c>
      <c r="C87" s="456">
        <v>1.0</v>
      </c>
      <c r="D87" s="457" t="s">
        <v>359</v>
      </c>
      <c r="E87" s="458" t="s">
        <v>369</v>
      </c>
      <c r="F87" s="461" t="str">
        <f>VLOOKUP(E87, 'COSTO UNITARIO'!$K$16:$L$27, 2, FALSE)</f>
        <v>Contenido Rummial</v>
      </c>
    </row>
    <row r="88" ht="22.5" hidden="1" customHeight="1">
      <c r="A88" s="454">
        <v>46100.0</v>
      </c>
      <c r="B88" s="455">
        <v>0.6423611111094942</v>
      </c>
      <c r="C88" s="456">
        <v>1.0</v>
      </c>
      <c r="D88" s="457" t="s">
        <v>359</v>
      </c>
      <c r="E88" s="458" t="s">
        <v>360</v>
      </c>
      <c r="F88" s="461" t="str">
        <f>VLOOKUP(E88, 'COSTO UNITARIO'!$K$16:$L$27, 2, FALSE)</f>
        <v>Materia Fecal</v>
      </c>
    </row>
    <row r="89" ht="22.5" hidden="1" customHeight="1">
      <c r="A89" s="454">
        <v>46100.0</v>
      </c>
      <c r="B89" s="455">
        <v>0.6458333333284827</v>
      </c>
      <c r="C89" s="456">
        <v>2.0</v>
      </c>
      <c r="D89" s="457" t="s">
        <v>359</v>
      </c>
      <c r="E89" s="458" t="s">
        <v>360</v>
      </c>
      <c r="F89" s="461" t="str">
        <f>VLOOKUP(E89, 'COSTO UNITARIO'!$K$16:$L$27, 2, FALSE)</f>
        <v>Materia Fecal</v>
      </c>
    </row>
    <row r="90" ht="22.5" hidden="1" customHeight="1">
      <c r="A90" s="454">
        <v>46100.0</v>
      </c>
      <c r="B90" s="455">
        <v>0.6729166666627862</v>
      </c>
      <c r="C90" s="456">
        <v>1.0</v>
      </c>
      <c r="D90" s="457" t="s">
        <v>359</v>
      </c>
      <c r="E90" s="458" t="s">
        <v>360</v>
      </c>
      <c r="F90" s="461" t="str">
        <f>VLOOKUP(E90, 'COSTO UNITARIO'!$K$16:$L$27, 2, FALSE)</f>
        <v>Materia Fecal</v>
      </c>
    </row>
    <row r="91" ht="22.5" hidden="1" customHeight="1">
      <c r="A91" s="454">
        <v>46100.0</v>
      </c>
      <c r="B91" s="455">
        <v>0.6777777777751908</v>
      </c>
      <c r="C91" s="456">
        <v>1.0</v>
      </c>
      <c r="D91" s="457" t="s">
        <v>359</v>
      </c>
      <c r="E91" s="458" t="s">
        <v>360</v>
      </c>
      <c r="F91" s="461" t="str">
        <f>VLOOKUP(E91, 'COSTO UNITARIO'!$K$16:$L$27, 2, FALSE)</f>
        <v>Materia Fecal</v>
      </c>
    </row>
    <row r="92" ht="22.5" hidden="1" customHeight="1">
      <c r="A92" s="454">
        <v>46100.0</v>
      </c>
      <c r="B92" s="455">
        <v>0.6812500000014552</v>
      </c>
      <c r="C92" s="456">
        <v>1.0</v>
      </c>
      <c r="D92" s="457" t="s">
        <v>359</v>
      </c>
      <c r="E92" s="458" t="s">
        <v>360</v>
      </c>
      <c r="F92" s="461" t="str">
        <f>VLOOKUP(E92, 'COSTO UNITARIO'!$K$16:$L$27, 2, FALSE)</f>
        <v>Materia Fecal</v>
      </c>
    </row>
    <row r="93" ht="22.5" hidden="1" customHeight="1">
      <c r="A93" s="454">
        <v>46100.0</v>
      </c>
      <c r="B93" s="455">
        <v>0.6861111111065838</v>
      </c>
      <c r="C93" s="456">
        <v>2.0</v>
      </c>
      <c r="D93" s="457" t="s">
        <v>359</v>
      </c>
      <c r="E93" s="458" t="s">
        <v>360</v>
      </c>
      <c r="F93" s="461" t="str">
        <f>VLOOKUP(E93, 'COSTO UNITARIO'!$K$16:$L$27, 2, FALSE)</f>
        <v>Materia Fecal</v>
      </c>
    </row>
    <row r="94" ht="22.5" hidden="1" customHeight="1">
      <c r="A94" s="454">
        <v>46100.0</v>
      </c>
      <c r="B94" s="455">
        <v>0.6909722222189885</v>
      </c>
      <c r="C94" s="456">
        <v>1.0</v>
      </c>
      <c r="D94" s="457" t="s">
        <v>359</v>
      </c>
      <c r="E94" s="458" t="s">
        <v>360</v>
      </c>
      <c r="F94" s="461" t="str">
        <f>VLOOKUP(E94, 'COSTO UNITARIO'!$K$16:$L$27, 2, FALSE)</f>
        <v>Materia Fecal</v>
      </c>
    </row>
    <row r="95" ht="22.5" hidden="1" customHeight="1">
      <c r="A95" s="454">
        <v>46100.0</v>
      </c>
      <c r="B95" s="455">
        <v>0.7104166666666667</v>
      </c>
      <c r="C95" s="456">
        <v>1.0</v>
      </c>
      <c r="D95" s="457" t="s">
        <v>359</v>
      </c>
      <c r="E95" s="458" t="s">
        <v>400</v>
      </c>
      <c r="F95" s="461" t="str">
        <f>VLOOKUP(E95, 'COSTO UNITARIO'!$K$16:$L$27, 2, FALSE)</f>
        <v>Materia Fecal</v>
      </c>
    </row>
    <row r="96" ht="22.5" hidden="1" customHeight="1">
      <c r="A96" s="454">
        <v>46101.0</v>
      </c>
      <c r="B96" s="455">
        <v>0.7006944444444444</v>
      </c>
      <c r="C96" s="456">
        <v>2.0</v>
      </c>
      <c r="D96" s="457" t="s">
        <v>359</v>
      </c>
      <c r="E96" s="458" t="s">
        <v>369</v>
      </c>
      <c r="F96" s="461" t="str">
        <f>VLOOKUP(E96, 'COSTO UNITARIO'!$K$16:$L$27, 2, FALSE)</f>
        <v>Contenido Rummial</v>
      </c>
    </row>
    <row r="97" ht="22.5" hidden="1" customHeight="1">
      <c r="A97" s="454">
        <v>46101.0</v>
      </c>
      <c r="B97" s="455">
        <v>0.7194444444444444</v>
      </c>
      <c r="C97" s="456">
        <v>1.0</v>
      </c>
      <c r="D97" s="457" t="s">
        <v>380</v>
      </c>
      <c r="E97" s="458" t="s">
        <v>381</v>
      </c>
      <c r="F97" s="461" t="str">
        <f>VLOOKUP(E97, 'COSTO UNITARIO'!$K$16:$L$27, 2, FALSE)</f>
        <v>Materia Fecal</v>
      </c>
    </row>
    <row r="98" ht="22.5" hidden="1" customHeight="1">
      <c r="A98" s="454">
        <v>46102.0</v>
      </c>
      <c r="B98" s="455">
        <v>0.6736111111111112</v>
      </c>
      <c r="C98" s="456">
        <v>2.0</v>
      </c>
      <c r="D98" s="457" t="s">
        <v>380</v>
      </c>
      <c r="E98" s="458" t="s">
        <v>381</v>
      </c>
      <c r="F98" s="461" t="str">
        <f>VLOOKUP(E98, 'COSTO UNITARIO'!$K$16:$L$27, 2, FALSE)</f>
        <v>Materia Fecal</v>
      </c>
    </row>
    <row r="99" ht="22.5" hidden="1" customHeight="1">
      <c r="A99" s="454">
        <v>46102.0</v>
      </c>
      <c r="B99" s="475"/>
      <c r="C99" s="456">
        <v>1.0</v>
      </c>
      <c r="D99" s="457" t="s">
        <v>359</v>
      </c>
      <c r="E99" s="458" t="s">
        <v>369</v>
      </c>
      <c r="F99" s="461" t="str">
        <f>VLOOKUP(E99, 'COSTO UNITARIO'!$K$16:$L$27, 2, FALSE)</f>
        <v>Contenido Rummial</v>
      </c>
    </row>
    <row r="100" ht="22.5" hidden="1" customHeight="1">
      <c r="A100" s="454">
        <v>46104.0</v>
      </c>
      <c r="B100" s="455">
        <v>0.6527777777777778</v>
      </c>
      <c r="C100" s="456">
        <v>1.0</v>
      </c>
      <c r="D100" s="457" t="s">
        <v>380</v>
      </c>
      <c r="E100" s="458" t="s">
        <v>381</v>
      </c>
      <c r="F100" s="461" t="str">
        <f>VLOOKUP(E100, 'COSTO UNITARIO'!$K$16:$L$27, 2, FALSE)</f>
        <v>Materia Fecal</v>
      </c>
    </row>
    <row r="101" ht="22.5" hidden="1" customHeight="1">
      <c r="A101" s="454">
        <v>46104.0</v>
      </c>
      <c r="B101" s="455">
        <v>0.74375</v>
      </c>
      <c r="C101" s="456">
        <v>1.0</v>
      </c>
      <c r="D101" s="457" t="s">
        <v>380</v>
      </c>
      <c r="E101" s="458" t="s">
        <v>400</v>
      </c>
      <c r="F101" s="461" t="str">
        <f>VLOOKUP(E101, 'COSTO UNITARIO'!$K$16:$L$27, 2, FALSE)</f>
        <v>Materia Fecal</v>
      </c>
    </row>
    <row r="102" ht="22.5" hidden="1" customHeight="1">
      <c r="A102" s="454">
        <v>46104.0</v>
      </c>
      <c r="B102" s="475"/>
      <c r="C102" s="456">
        <v>1.0</v>
      </c>
      <c r="D102" s="457" t="s">
        <v>380</v>
      </c>
      <c r="E102" s="458" t="s">
        <v>381</v>
      </c>
      <c r="F102" s="461" t="str">
        <f>VLOOKUP(E102, 'COSTO UNITARIO'!$K$16:$L$27, 2, FALSE)</f>
        <v>Materia Fecal</v>
      </c>
    </row>
    <row r="103" ht="22.5" hidden="1" customHeight="1">
      <c r="A103" s="454">
        <v>46105.0</v>
      </c>
      <c r="B103" s="455">
        <v>0.6645833333313931</v>
      </c>
      <c r="C103" s="456">
        <v>1.0</v>
      </c>
      <c r="D103" s="457" t="s">
        <v>359</v>
      </c>
      <c r="E103" s="458" t="s">
        <v>369</v>
      </c>
      <c r="F103" s="461" t="str">
        <f>VLOOKUP(E103, 'COSTO UNITARIO'!$K$16:$L$27, 2, FALSE)</f>
        <v>Contenido Rummial</v>
      </c>
    </row>
    <row r="104" ht="22.5" hidden="1" customHeight="1">
      <c r="A104" s="454">
        <v>46105.0</v>
      </c>
      <c r="B104" s="455">
        <v>0.6972222222222222</v>
      </c>
      <c r="C104" s="456">
        <v>1.0</v>
      </c>
      <c r="D104" s="457" t="s">
        <v>380</v>
      </c>
      <c r="E104" s="458" t="s">
        <v>381</v>
      </c>
      <c r="F104" s="461" t="str">
        <f>VLOOKUP(E104, 'COSTO UNITARIO'!$K$16:$L$27, 2, FALSE)</f>
        <v>Materia Fecal</v>
      </c>
    </row>
    <row r="105" ht="22.5" hidden="1" customHeight="1">
      <c r="A105" s="454">
        <v>46105.0</v>
      </c>
      <c r="B105" s="455">
        <v>0.7069444444444445</v>
      </c>
      <c r="C105" s="456">
        <v>1.0</v>
      </c>
      <c r="D105" s="457" t="s">
        <v>380</v>
      </c>
      <c r="E105" s="458" t="s">
        <v>400</v>
      </c>
      <c r="F105" s="461" t="str">
        <f>VLOOKUP(E105, 'COSTO UNITARIO'!$K$16:$L$27, 2, FALSE)</f>
        <v>Materia Fecal</v>
      </c>
    </row>
    <row r="106" ht="22.5" hidden="1" customHeight="1">
      <c r="A106" s="454">
        <v>46105.0</v>
      </c>
      <c r="B106" s="455">
        <v>0.7159722222222222</v>
      </c>
      <c r="C106" s="456">
        <v>1.0</v>
      </c>
      <c r="D106" s="457" t="s">
        <v>359</v>
      </c>
      <c r="E106" s="458" t="s">
        <v>360</v>
      </c>
      <c r="F106" s="461" t="str">
        <f>VLOOKUP(E106, 'COSTO UNITARIO'!$K$16:$L$27, 2, FALSE)</f>
        <v>Materia Fecal</v>
      </c>
    </row>
    <row r="107" ht="22.5" hidden="1" customHeight="1">
      <c r="A107" s="454">
        <v>46105.0</v>
      </c>
      <c r="B107" s="455">
        <v>0.7284722222222222</v>
      </c>
      <c r="C107" s="456">
        <v>1.0</v>
      </c>
      <c r="D107" s="457" t="s">
        <v>380</v>
      </c>
      <c r="E107" s="458" t="s">
        <v>400</v>
      </c>
      <c r="F107" s="461" t="str">
        <f>VLOOKUP(E107, 'COSTO UNITARIO'!$K$16:$L$27, 2, FALSE)</f>
        <v>Materia Fecal</v>
      </c>
    </row>
    <row r="108" ht="22.5" hidden="1" customHeight="1">
      <c r="A108" s="454">
        <v>46105.0</v>
      </c>
      <c r="B108" s="455">
        <v>0.7347222222222223</v>
      </c>
      <c r="C108" s="456">
        <v>1.0</v>
      </c>
      <c r="D108" s="457" t="s">
        <v>359</v>
      </c>
      <c r="E108" s="458" t="s">
        <v>465</v>
      </c>
      <c r="F108" s="461" t="str">
        <f>VLOOKUP(E108, 'COSTO UNITARIO'!$K$16:$L$27, 2, FALSE)</f>
        <v>Materia Fecal</v>
      </c>
    </row>
    <row r="109" ht="22.5" hidden="1" customHeight="1">
      <c r="A109" s="454">
        <v>46105.0</v>
      </c>
      <c r="B109" s="455">
        <v>0.7430555555555556</v>
      </c>
      <c r="C109" s="456">
        <v>1.0</v>
      </c>
      <c r="D109" s="457" t="s">
        <v>359</v>
      </c>
      <c r="E109" s="458" t="s">
        <v>360</v>
      </c>
      <c r="F109" s="461" t="str">
        <f>VLOOKUP(E109, 'COSTO UNITARIO'!$K$16:$L$27, 2, FALSE)</f>
        <v>Materia Fecal</v>
      </c>
    </row>
    <row r="110" ht="22.5" hidden="1" customHeight="1">
      <c r="A110" s="454">
        <v>46105.0</v>
      </c>
      <c r="B110" s="475"/>
      <c r="C110" s="456">
        <v>2.0</v>
      </c>
      <c r="D110" s="457" t="s">
        <v>359</v>
      </c>
      <c r="E110" s="458" t="s">
        <v>369</v>
      </c>
      <c r="F110" s="461" t="str">
        <f>VLOOKUP(E110, 'COSTO UNITARIO'!$K$16:$L$27, 2, FALSE)</f>
        <v>Contenido Rummial</v>
      </c>
    </row>
    <row r="111" ht="22.5" hidden="1" customHeight="1">
      <c r="A111" s="454">
        <v>46105.0</v>
      </c>
      <c r="B111" s="475"/>
      <c r="C111" s="456">
        <v>2.0</v>
      </c>
      <c r="D111" s="457" t="s">
        <v>359</v>
      </c>
      <c r="E111" s="458" t="s">
        <v>369</v>
      </c>
      <c r="F111" s="461" t="str">
        <f>VLOOKUP(E111, 'COSTO UNITARIO'!$K$16:$L$27, 2, FALSE)</f>
        <v>Contenido Rummial</v>
      </c>
    </row>
    <row r="112" ht="22.5" hidden="1" customHeight="1">
      <c r="A112" s="454">
        <v>46106.0</v>
      </c>
      <c r="B112" s="455">
        <v>0.7256944444444444</v>
      </c>
      <c r="C112" s="456">
        <v>2.0</v>
      </c>
      <c r="D112" s="457" t="s">
        <v>359</v>
      </c>
      <c r="E112" s="458" t="s">
        <v>369</v>
      </c>
      <c r="F112" s="461" t="str">
        <f>VLOOKUP(E112, 'COSTO UNITARIO'!$K$16:$L$27, 2, FALSE)</f>
        <v>Contenido Rummial</v>
      </c>
    </row>
    <row r="113" ht="22.5" hidden="1" customHeight="1">
      <c r="A113" s="454">
        <v>46106.0</v>
      </c>
      <c r="B113" s="455">
        <v>0.75</v>
      </c>
      <c r="C113" s="456">
        <v>1.0</v>
      </c>
      <c r="D113" s="457" t="s">
        <v>359</v>
      </c>
      <c r="E113" s="458" t="s">
        <v>360</v>
      </c>
      <c r="F113" s="461" t="str">
        <f>VLOOKUP(E113, 'COSTO UNITARIO'!$K$16:$L$27, 2, FALSE)</f>
        <v>Materia Fecal</v>
      </c>
    </row>
    <row r="114" ht="22.5" hidden="1" customHeight="1">
      <c r="A114" s="454">
        <v>46106.0</v>
      </c>
      <c r="B114" s="455">
        <v>0.7520833333333333</v>
      </c>
      <c r="C114" s="456">
        <v>1.0</v>
      </c>
      <c r="D114" s="457" t="s">
        <v>359</v>
      </c>
      <c r="E114" s="458" t="s">
        <v>369</v>
      </c>
      <c r="F114" s="461" t="str">
        <f>VLOOKUP(E114, 'COSTO UNITARIO'!$K$16:$L$27, 2, FALSE)</f>
        <v>Contenido Rummial</v>
      </c>
    </row>
    <row r="115" ht="22.5" hidden="1" customHeight="1">
      <c r="A115" s="454">
        <v>46106.0</v>
      </c>
      <c r="B115" s="455">
        <v>0.7583333333333333</v>
      </c>
      <c r="C115" s="456">
        <v>1.0</v>
      </c>
      <c r="D115" s="457" t="s">
        <v>380</v>
      </c>
      <c r="E115" s="458" t="s">
        <v>381</v>
      </c>
      <c r="F115" s="461" t="str">
        <f>VLOOKUP(E115, 'COSTO UNITARIO'!$K$16:$L$27, 2, FALSE)</f>
        <v>Materia Fecal</v>
      </c>
    </row>
    <row r="116" ht="22.5" hidden="1" customHeight="1">
      <c r="A116" s="454">
        <v>46107.0</v>
      </c>
      <c r="B116" s="455">
        <v>0.7152777777777778</v>
      </c>
      <c r="C116" s="456">
        <v>1.0</v>
      </c>
      <c r="D116" s="457" t="s">
        <v>359</v>
      </c>
      <c r="E116" s="458" t="s">
        <v>360</v>
      </c>
      <c r="F116" s="461" t="str">
        <f>VLOOKUP(E116, 'COSTO UNITARIO'!$K$16:$L$27, 2, FALSE)</f>
        <v>Materia Fecal</v>
      </c>
    </row>
    <row r="117" ht="22.5" hidden="1" customHeight="1">
      <c r="A117" s="517">
        <v>46107.0</v>
      </c>
      <c r="B117" s="518">
        <v>0.6444444444444445</v>
      </c>
      <c r="C117" s="519">
        <v>1.0</v>
      </c>
      <c r="D117" s="519" t="s">
        <v>359</v>
      </c>
      <c r="E117" s="520" t="s">
        <v>385</v>
      </c>
      <c r="F117" s="461" t="str">
        <f>VLOOKUP(E117, 'COSTO UNITARIO'!$K$16:$L$27, 2, FALSE)</f>
        <v>Contenido Rummial</v>
      </c>
    </row>
    <row r="118" ht="22.5" hidden="1" customHeight="1">
      <c r="A118" s="521">
        <v>46107.0</v>
      </c>
      <c r="B118" s="522">
        <v>0.6472222222222223</v>
      </c>
      <c r="C118" s="523">
        <v>1.0</v>
      </c>
      <c r="D118" s="523" t="s">
        <v>380</v>
      </c>
      <c r="E118" s="524" t="s">
        <v>400</v>
      </c>
      <c r="F118" s="461" t="str">
        <f>VLOOKUP(E118, 'COSTO UNITARIO'!$K$16:$L$27, 2, FALSE)</f>
        <v>Materia Fecal</v>
      </c>
    </row>
    <row r="119" ht="22.5" hidden="1" customHeight="1">
      <c r="A119" s="521">
        <v>46107.0</v>
      </c>
      <c r="B119" s="455">
        <v>0.7333333333333333</v>
      </c>
      <c r="C119" s="456">
        <v>2.0</v>
      </c>
      <c r="D119" s="457" t="s">
        <v>359</v>
      </c>
      <c r="E119" s="458" t="s">
        <v>385</v>
      </c>
      <c r="F119" s="461" t="str">
        <f>VLOOKUP(E119, 'COSTO UNITARIO'!$K$16:$L$27, 2, FALSE)</f>
        <v>Contenido Rummial</v>
      </c>
    </row>
    <row r="120" ht="22.5" hidden="1" customHeight="1">
      <c r="A120" s="521">
        <v>46107.0</v>
      </c>
      <c r="B120" s="455">
        <v>0.7548611111111111</v>
      </c>
      <c r="C120" s="456">
        <v>1.0</v>
      </c>
      <c r="D120" s="457" t="s">
        <v>380</v>
      </c>
      <c r="E120" s="458" t="s">
        <v>381</v>
      </c>
      <c r="F120" s="461" t="str">
        <f>VLOOKUP(E120, 'COSTO UNITARIO'!$K$16:$L$27, 2, FALSE)</f>
        <v>Materia Fecal</v>
      </c>
    </row>
    <row r="121" ht="22.5" hidden="1" customHeight="1">
      <c r="A121" s="521">
        <v>46107.0</v>
      </c>
      <c r="B121" s="455">
        <v>0.7548611111111111</v>
      </c>
      <c r="C121" s="456">
        <v>1.0</v>
      </c>
      <c r="D121" s="457" t="s">
        <v>359</v>
      </c>
      <c r="E121" s="458" t="s">
        <v>477</v>
      </c>
      <c r="F121" s="461" t="str">
        <f>VLOOKUP(E121, 'COSTO UNITARIO'!$K$16:$L$27, 2, FALSE)</f>
        <v>Contenido Rummial</v>
      </c>
    </row>
    <row r="122" ht="22.5" hidden="1" customHeight="1">
      <c r="A122" s="454">
        <v>46107.0</v>
      </c>
      <c r="B122" s="455">
        <v>0.7590277777777777</v>
      </c>
      <c r="C122" s="456">
        <v>2.0</v>
      </c>
      <c r="D122" s="457" t="s">
        <v>359</v>
      </c>
      <c r="E122" s="458" t="s">
        <v>385</v>
      </c>
      <c r="F122" s="461" t="str">
        <f>VLOOKUP(E122, 'COSTO UNITARIO'!$K$16:$L$27, 2, FALSE)</f>
        <v>Contenido Rummial</v>
      </c>
    </row>
    <row r="123" ht="22.5" hidden="1" customHeight="1">
      <c r="A123" s="454">
        <v>46107.0</v>
      </c>
      <c r="B123" s="455">
        <v>0.7666666666666667</v>
      </c>
      <c r="C123" s="456">
        <v>2.0</v>
      </c>
      <c r="D123" s="457" t="s">
        <v>380</v>
      </c>
      <c r="E123" s="458" t="s">
        <v>381</v>
      </c>
      <c r="F123" s="461" t="str">
        <f>VLOOKUP(E123, 'COSTO UNITARIO'!$K$16:$L$27, 2, FALSE)</f>
        <v>Materia Fecal</v>
      </c>
    </row>
    <row r="124" ht="22.5" customHeight="1">
      <c r="A124" s="454">
        <v>46108.0</v>
      </c>
      <c r="B124" s="455">
        <v>0.6729166666666667</v>
      </c>
      <c r="C124" s="456">
        <v>1.0</v>
      </c>
      <c r="D124" s="457" t="s">
        <v>380</v>
      </c>
      <c r="E124" s="458" t="s">
        <v>381</v>
      </c>
      <c r="F124" s="461" t="str">
        <f>VLOOKUP(E124, 'COSTO UNITARIO'!$K$16:$L$27, 2, FALSE)</f>
        <v>Materia Fecal</v>
      </c>
    </row>
    <row r="125" ht="22.5" customHeight="1">
      <c r="A125" s="454">
        <v>46108.0</v>
      </c>
      <c r="B125" s="455">
        <v>0.6833333333333333</v>
      </c>
      <c r="C125" s="456">
        <v>2.0</v>
      </c>
      <c r="D125" s="457" t="s">
        <v>359</v>
      </c>
      <c r="E125" s="458" t="s">
        <v>369</v>
      </c>
      <c r="F125" s="461" t="str">
        <f>VLOOKUP(E125, 'COSTO UNITARIO'!$K$16:$L$27, 2, FALSE)</f>
        <v>Contenido Rummial</v>
      </c>
    </row>
    <row r="126" ht="22.5" customHeight="1">
      <c r="A126" s="454">
        <v>46108.0</v>
      </c>
      <c r="B126" s="455">
        <v>0.6833333333333333</v>
      </c>
      <c r="C126" s="456">
        <v>1.0</v>
      </c>
      <c r="D126" s="457" t="s">
        <v>359</v>
      </c>
      <c r="E126" s="458" t="s">
        <v>360</v>
      </c>
      <c r="F126" s="461" t="str">
        <f>VLOOKUP(E126, 'COSTO UNITARIO'!$K$16:$L$27, 2, FALSE)</f>
        <v>Materia Fecal</v>
      </c>
    </row>
    <row r="127" ht="22.5" customHeight="1">
      <c r="A127" s="454">
        <v>46108.0</v>
      </c>
      <c r="B127" s="455">
        <v>0.6951388888888889</v>
      </c>
      <c r="C127" s="456">
        <v>2.0</v>
      </c>
      <c r="D127" s="457" t="s">
        <v>359</v>
      </c>
      <c r="E127" s="458" t="s">
        <v>360</v>
      </c>
      <c r="F127" s="461" t="str">
        <f>VLOOKUP(E127, 'COSTO UNITARIO'!$K$16:$L$27, 2, FALSE)</f>
        <v>Materia Fecal</v>
      </c>
    </row>
    <row r="128" ht="22.5" customHeight="1">
      <c r="A128" s="454">
        <v>46108.0</v>
      </c>
      <c r="B128" s="455">
        <v>0.7319444444444444</v>
      </c>
      <c r="C128" s="456">
        <v>1.0</v>
      </c>
      <c r="D128" s="457" t="s">
        <v>380</v>
      </c>
      <c r="E128" s="458" t="s">
        <v>413</v>
      </c>
      <c r="F128" s="461" t="str">
        <f>VLOOKUP(E128, 'COSTO UNITARIO'!$K$16:$L$27, 2, FALSE)</f>
        <v>Materia Fecal</v>
      </c>
    </row>
    <row r="129" ht="22.5" customHeight="1">
      <c r="A129" s="454">
        <v>46109.0</v>
      </c>
      <c r="B129" s="455">
        <v>0.6944444444444444</v>
      </c>
      <c r="C129" s="456">
        <v>1.0</v>
      </c>
      <c r="D129" s="457" t="s">
        <v>359</v>
      </c>
      <c r="E129" s="458" t="s">
        <v>360</v>
      </c>
      <c r="F129" s="461" t="str">
        <f>VLOOKUP(E129, 'COSTO UNITARIO'!$K$16:$L$27, 2, FALSE)</f>
        <v>Materia Fecal</v>
      </c>
    </row>
    <row r="130" ht="22.5" customHeight="1">
      <c r="A130" s="454">
        <v>46109.0</v>
      </c>
      <c r="B130" s="455">
        <v>0.7458333333333333</v>
      </c>
      <c r="C130" s="456">
        <v>1.0</v>
      </c>
      <c r="D130" s="457" t="s">
        <v>380</v>
      </c>
      <c r="E130" s="458" t="s">
        <v>400</v>
      </c>
      <c r="F130" s="461" t="str">
        <f>VLOOKUP(E130, 'COSTO UNITARIO'!$K$16:$L$27, 2, FALSE)</f>
        <v>Materia Fecal</v>
      </c>
    </row>
    <row r="131" ht="22.5" customHeight="1">
      <c r="A131" s="454">
        <v>46111.0</v>
      </c>
      <c r="B131" s="455">
        <v>0.7270833333313931</v>
      </c>
      <c r="C131" s="456">
        <v>1.0</v>
      </c>
      <c r="D131" s="457" t="s">
        <v>359</v>
      </c>
      <c r="E131" s="458" t="s">
        <v>360</v>
      </c>
      <c r="F131" s="461" t="str">
        <f>VLOOKUP(E131, 'COSTO UNITARIO'!$K$16:$L$27, 2, FALSE)</f>
        <v>Materia Fecal</v>
      </c>
    </row>
    <row r="132" ht="22.5" customHeight="1">
      <c r="A132" s="454">
        <v>46111.0</v>
      </c>
      <c r="B132" s="455">
        <v>0.7458333333333333</v>
      </c>
      <c r="C132" s="456">
        <v>1.0</v>
      </c>
      <c r="D132" s="457" t="s">
        <v>380</v>
      </c>
      <c r="E132" s="458" t="s">
        <v>381</v>
      </c>
      <c r="F132" s="461" t="str">
        <f>VLOOKUP(E132, 'COSTO UNITARIO'!$K$16:$L$27, 2, FALSE)</f>
        <v>Materia Fecal</v>
      </c>
    </row>
    <row r="133" ht="22.5" customHeight="1">
      <c r="A133" s="454">
        <v>46111.0</v>
      </c>
      <c r="B133" s="475"/>
      <c r="C133" s="456">
        <v>1.0</v>
      </c>
      <c r="D133" s="457" t="s">
        <v>359</v>
      </c>
      <c r="E133" s="458" t="s">
        <v>369</v>
      </c>
      <c r="F133" s="461" t="str">
        <f>VLOOKUP(E133, 'COSTO UNITARIO'!$K$16:$L$27, 2, FALSE)</f>
        <v>Contenido Rummial</v>
      </c>
    </row>
    <row r="134" ht="22.5" customHeight="1">
      <c r="A134" s="454">
        <v>46111.0</v>
      </c>
      <c r="B134" s="475"/>
      <c r="C134" s="456">
        <v>1.0</v>
      </c>
      <c r="D134" s="457" t="s">
        <v>359</v>
      </c>
      <c r="E134" s="458" t="s">
        <v>360</v>
      </c>
      <c r="F134" s="461" t="str">
        <f>VLOOKUP(E134, 'COSTO UNITARIO'!$K$16:$L$27, 2, FALSE)</f>
        <v>Materia Fecal</v>
      </c>
    </row>
    <row r="135" ht="22.5" customHeight="1">
      <c r="A135" s="454">
        <v>46111.0</v>
      </c>
      <c r="B135" s="475"/>
      <c r="C135" s="456">
        <v>1.0</v>
      </c>
      <c r="D135" s="457" t="s">
        <v>380</v>
      </c>
      <c r="E135" s="458" t="s">
        <v>381</v>
      </c>
      <c r="F135" s="461" t="str">
        <f>VLOOKUP(E135, 'COSTO UNITARIO'!$K$16:$L$27, 2, FALSE)</f>
        <v>Materia Fecal</v>
      </c>
    </row>
    <row r="136" ht="22.5" customHeight="1">
      <c r="A136" s="454">
        <v>46112.0</v>
      </c>
      <c r="B136" s="455">
        <v>0.6722222222222223</v>
      </c>
      <c r="C136" s="456">
        <v>1.0</v>
      </c>
      <c r="D136" s="457" t="s">
        <v>380</v>
      </c>
      <c r="E136" s="458" t="s">
        <v>381</v>
      </c>
      <c r="F136" s="461" t="str">
        <f>VLOOKUP(E136, 'COSTO UNITARIO'!$K$16:$L$27, 2, FALSE)</f>
        <v>Materia Fecal</v>
      </c>
    </row>
    <row r="137" ht="22.5" customHeight="1">
      <c r="A137" s="454">
        <v>46112.0</v>
      </c>
      <c r="B137" s="475"/>
      <c r="C137" s="456">
        <v>1.0</v>
      </c>
      <c r="D137" s="457" t="s">
        <v>359</v>
      </c>
      <c r="E137" s="458" t="s">
        <v>360</v>
      </c>
      <c r="F137" s="461" t="str">
        <f>VLOOKUP(E137, 'COSTO UNITARIO'!$K$16:$L$27, 2, FALSE)</f>
        <v>Materia Fecal</v>
      </c>
    </row>
    <row r="138" ht="22.5" customHeight="1">
      <c r="A138" s="454">
        <v>46112.0</v>
      </c>
      <c r="B138" s="475"/>
      <c r="C138" s="456">
        <v>2.0</v>
      </c>
      <c r="D138" s="457" t="s">
        <v>359</v>
      </c>
      <c r="E138" s="458" t="s">
        <v>369</v>
      </c>
      <c r="F138" s="461" t="str">
        <f>VLOOKUP(E138, 'COSTO UNITARIO'!$K$16:$L$27, 2, FALSE)</f>
        <v>Contenido Rummial</v>
      </c>
    </row>
    <row r="139" ht="22.5" customHeight="1">
      <c r="A139" s="454">
        <v>46116.0</v>
      </c>
      <c r="B139" s="455">
        <v>0.6854166666671517</v>
      </c>
      <c r="C139" s="456">
        <v>1.0</v>
      </c>
      <c r="D139" s="457" t="s">
        <v>380</v>
      </c>
      <c r="E139" s="458" t="s">
        <v>400</v>
      </c>
      <c r="F139" s="461" t="str">
        <f>VLOOKUP(E139, 'COSTO UNITARIO'!$K$16:$L$27, 2, FALSE)</f>
        <v>Materia Fecal</v>
      </c>
    </row>
    <row r="140" ht="22.5" customHeight="1">
      <c r="A140" s="454">
        <v>46119.0</v>
      </c>
      <c r="B140" s="455">
        <v>0.6645833333333333</v>
      </c>
      <c r="C140" s="456">
        <v>2.0</v>
      </c>
      <c r="D140" s="457" t="s">
        <v>380</v>
      </c>
      <c r="E140" s="458" t="s">
        <v>381</v>
      </c>
      <c r="F140" s="461" t="str">
        <f>VLOOKUP(E140, 'COSTO UNITARIO'!$K$16:$L$27, 2, FALSE)</f>
        <v>Materia Fecal</v>
      </c>
    </row>
    <row r="141" ht="22.5" customHeight="1">
      <c r="A141" s="454">
        <v>46119.0</v>
      </c>
      <c r="B141" s="455">
        <v>0.6645833333333333</v>
      </c>
      <c r="C141" s="456">
        <v>1.0</v>
      </c>
      <c r="D141" s="457" t="s">
        <v>380</v>
      </c>
      <c r="E141" s="458" t="s">
        <v>381</v>
      </c>
      <c r="F141" s="461" t="str">
        <f>VLOOKUP(E141, 'COSTO UNITARIO'!$K$16:$L$27, 2, FALSE)</f>
        <v>Materia Fecal</v>
      </c>
    </row>
    <row r="142" ht="22.5" customHeight="1">
      <c r="A142" s="454">
        <v>46125.0</v>
      </c>
      <c r="B142" s="455">
        <v>0.6770833333333334</v>
      </c>
      <c r="C142" s="456">
        <v>1.0</v>
      </c>
      <c r="D142" s="457" t="s">
        <v>359</v>
      </c>
      <c r="E142" s="458" t="s">
        <v>369</v>
      </c>
      <c r="F142" s="461" t="str">
        <f>VLOOKUP(E142, 'COSTO UNITARIO'!$K$16:$L$27, 2, FALSE)</f>
        <v>Contenido Rummial</v>
      </c>
    </row>
    <row r="143" ht="22.5" customHeight="1">
      <c r="A143" s="454">
        <v>46125.0</v>
      </c>
      <c r="B143" s="455">
        <v>0.6770833333333334</v>
      </c>
      <c r="C143" s="456">
        <v>1.0</v>
      </c>
      <c r="D143" s="457" t="s">
        <v>359</v>
      </c>
      <c r="E143" s="458" t="s">
        <v>360</v>
      </c>
      <c r="F143" s="461" t="str">
        <f>VLOOKUP(E143, 'COSTO UNITARIO'!$K$16:$L$27, 2, FALSE)</f>
        <v>Materia Fecal</v>
      </c>
    </row>
    <row r="144" ht="22.5" customHeight="1">
      <c r="A144" s="454">
        <v>46125.0</v>
      </c>
      <c r="B144" s="455">
        <v>0.6770833333333334</v>
      </c>
      <c r="C144" s="456">
        <v>1.0</v>
      </c>
      <c r="D144" s="457" t="s">
        <v>380</v>
      </c>
      <c r="E144" s="458" t="s">
        <v>381</v>
      </c>
      <c r="F144" s="461" t="str">
        <f>VLOOKUP(E144, 'COSTO UNITARIO'!$K$16:$L$27, 2, FALSE)</f>
        <v>Materia Fecal</v>
      </c>
    </row>
    <row r="145" ht="22.5" customHeight="1">
      <c r="A145" s="454">
        <v>46125.0</v>
      </c>
      <c r="B145" s="455">
        <v>0.7701388888888889</v>
      </c>
      <c r="C145" s="456">
        <v>1.0</v>
      </c>
      <c r="D145" s="457" t="s">
        <v>359</v>
      </c>
      <c r="E145" s="458" t="s">
        <v>369</v>
      </c>
      <c r="F145" s="461" t="str">
        <f>VLOOKUP(E145, 'COSTO UNITARIO'!$K$16:$L$27, 2, FALSE)</f>
        <v>Contenido Rummial</v>
      </c>
    </row>
    <row r="146" ht="22.5" customHeight="1">
      <c r="A146" s="454">
        <v>46125.0</v>
      </c>
      <c r="B146" s="455">
        <v>0.7701388888888889</v>
      </c>
      <c r="C146" s="456">
        <v>1.0</v>
      </c>
      <c r="D146" s="457" t="s">
        <v>380</v>
      </c>
      <c r="E146" s="458" t="s">
        <v>381</v>
      </c>
      <c r="F146" s="461" t="str">
        <f>VLOOKUP(E146, 'COSTO UNITARIO'!$K$16:$L$27, 2, FALSE)</f>
        <v>Materia Fecal</v>
      </c>
    </row>
    <row r="147" ht="22.5" customHeight="1">
      <c r="A147" s="454">
        <v>46129.0</v>
      </c>
      <c r="B147" s="455">
        <v>0.7027777777777777</v>
      </c>
      <c r="C147" s="456">
        <v>1.0</v>
      </c>
      <c r="D147" s="457" t="s">
        <v>380</v>
      </c>
      <c r="E147" s="458" t="s">
        <v>381</v>
      </c>
      <c r="F147" s="461" t="str">
        <f>VLOOKUP(E147, 'COSTO UNITARIO'!$K$16:$L$27, 2, FALSE)</f>
        <v>Materia Fecal</v>
      </c>
    </row>
    <row r="148" ht="22.5" customHeight="1">
      <c r="A148" s="454">
        <v>46129.0</v>
      </c>
      <c r="B148" s="455">
        <v>0.7131944444444445</v>
      </c>
      <c r="C148" s="456">
        <v>1.0</v>
      </c>
      <c r="D148" s="457" t="s">
        <v>359</v>
      </c>
      <c r="E148" s="458" t="s">
        <v>360</v>
      </c>
      <c r="F148" s="461" t="str">
        <f>VLOOKUP(E148, 'COSTO UNITARIO'!$K$16:$L$27, 2, FALSE)</f>
        <v>Materia Fecal</v>
      </c>
    </row>
    <row r="149" ht="22.5" customHeight="1">
      <c r="A149" s="454">
        <v>46129.0</v>
      </c>
      <c r="B149" s="455">
        <v>0.73125</v>
      </c>
      <c r="C149" s="456">
        <v>1.0</v>
      </c>
      <c r="D149" s="457" t="s">
        <v>380</v>
      </c>
      <c r="E149" s="458" t="s">
        <v>381</v>
      </c>
      <c r="F149" s="461" t="str">
        <f>VLOOKUP(E149, 'COSTO UNITARIO'!$K$16:$L$27, 2, FALSE)</f>
        <v>Materia Fecal</v>
      </c>
    </row>
    <row r="150" ht="22.5" customHeight="1">
      <c r="A150" s="454">
        <v>46129.0</v>
      </c>
      <c r="B150" s="455">
        <v>0.7486111111111111</v>
      </c>
      <c r="C150" s="456">
        <v>1.0</v>
      </c>
      <c r="D150" s="457" t="s">
        <v>380</v>
      </c>
      <c r="E150" s="458" t="s">
        <v>381</v>
      </c>
      <c r="F150" s="461" t="str">
        <f>VLOOKUP(E150, 'COSTO UNITARIO'!$K$16:$L$27, 2, FALSE)</f>
        <v>Materia Fecal</v>
      </c>
    </row>
    <row r="151" ht="22.5" customHeight="1">
      <c r="A151" s="454">
        <v>46134.0</v>
      </c>
      <c r="B151" s="455">
        <v>0.6458333333333334</v>
      </c>
      <c r="C151" s="456">
        <v>1.0</v>
      </c>
      <c r="D151" s="457" t="s">
        <v>359</v>
      </c>
      <c r="E151" s="458" t="s">
        <v>385</v>
      </c>
      <c r="F151" s="461" t="str">
        <f>VLOOKUP(E151, 'COSTO UNITARIO'!$K$16:$L$27, 2, FALSE)</f>
        <v>Contenido Rummial</v>
      </c>
    </row>
    <row r="152" ht="22.5" customHeight="1">
      <c r="A152" s="454">
        <v>46134.0</v>
      </c>
      <c r="B152" s="455">
        <v>0.6979166666678793</v>
      </c>
      <c r="C152" s="456">
        <v>1.0</v>
      </c>
      <c r="D152" s="457" t="s">
        <v>380</v>
      </c>
      <c r="E152" s="458" t="s">
        <v>381</v>
      </c>
      <c r="F152" s="461" t="str">
        <f>VLOOKUP(E152, 'COSTO UNITARIO'!$K$16:$L$27, 2, FALSE)</f>
        <v>Materia Fecal</v>
      </c>
    </row>
    <row r="153" ht="22.5" customHeight="1">
      <c r="A153" s="454">
        <v>46134.0</v>
      </c>
      <c r="B153" s="455">
        <v>0.7048611111094942</v>
      </c>
      <c r="C153" s="456">
        <v>1.0</v>
      </c>
      <c r="D153" s="457" t="s">
        <v>380</v>
      </c>
      <c r="E153" s="458" t="s">
        <v>381</v>
      </c>
      <c r="F153" s="461" t="str">
        <f>VLOOKUP(E153, 'COSTO UNITARIO'!$K$16:$L$27, 2, FALSE)</f>
        <v>Materia Fecal</v>
      </c>
    </row>
    <row r="154" ht="22.5" customHeight="1">
      <c r="A154" s="454">
        <v>46134.0</v>
      </c>
      <c r="B154" s="455">
        <v>0.7395833333284827</v>
      </c>
      <c r="C154" s="456">
        <v>1.0</v>
      </c>
      <c r="D154" s="457" t="s">
        <v>359</v>
      </c>
      <c r="E154" s="458" t="s">
        <v>369</v>
      </c>
      <c r="F154" s="461" t="str">
        <f>VLOOKUP(E154, 'COSTO UNITARIO'!$K$16:$L$27, 2, FALSE)</f>
        <v>Contenido Rummial</v>
      </c>
    </row>
    <row r="155" ht="22.5" customHeight="1">
      <c r="A155" s="454">
        <v>46134.0</v>
      </c>
      <c r="B155" s="455">
        <v>0.7458333333343035</v>
      </c>
      <c r="C155" s="526"/>
      <c r="D155" s="457" t="s">
        <v>359</v>
      </c>
      <c r="E155" s="458" t="s">
        <v>369</v>
      </c>
      <c r="F155" s="461" t="str">
        <f>VLOOKUP(E155, 'COSTO UNITARIO'!$K$16:$L$27, 2, FALSE)</f>
        <v>Contenido Rummial</v>
      </c>
    </row>
    <row r="156" ht="22.5" customHeight="1">
      <c r="A156" s="454">
        <v>46134.0</v>
      </c>
      <c r="B156" s="455">
        <v>0.7680555555555556</v>
      </c>
      <c r="C156" s="456">
        <v>1.0</v>
      </c>
      <c r="D156" s="457" t="s">
        <v>380</v>
      </c>
      <c r="E156" s="458" t="s">
        <v>381</v>
      </c>
      <c r="F156" s="461" t="str">
        <f>VLOOKUP(E156, 'COSTO UNITARIO'!$K$16:$L$27, 2, FALSE)</f>
        <v>Materia Fecal</v>
      </c>
    </row>
    <row r="157" ht="22.5" customHeight="1">
      <c r="A157" s="454">
        <v>46134.0</v>
      </c>
      <c r="B157" s="455">
        <v>0.7875</v>
      </c>
      <c r="C157" s="456">
        <v>1.0</v>
      </c>
      <c r="D157" s="457" t="s">
        <v>380</v>
      </c>
      <c r="E157" s="458" t="s">
        <v>381</v>
      </c>
      <c r="F157" s="461" t="str">
        <f>VLOOKUP(E157, 'COSTO UNITARIO'!$K$16:$L$27, 2, FALSE)</f>
        <v>Materia Fecal</v>
      </c>
    </row>
    <row r="158" ht="22.5" customHeight="1">
      <c r="A158" s="454">
        <v>46135.0</v>
      </c>
      <c r="B158" s="455">
        <v>0.6354166666715173</v>
      </c>
      <c r="C158" s="456">
        <v>2.0</v>
      </c>
      <c r="D158" s="457" t="s">
        <v>359</v>
      </c>
      <c r="E158" s="458" t="s">
        <v>369</v>
      </c>
      <c r="F158" s="461" t="str">
        <f>VLOOKUP(E158, 'COSTO UNITARIO'!$K$16:$L$27, 2, FALSE)</f>
        <v>Contenido Rummial</v>
      </c>
    </row>
    <row r="159" ht="22.5" customHeight="1">
      <c r="A159" s="454">
        <v>46135.0</v>
      </c>
      <c r="B159" s="475"/>
      <c r="C159" s="456">
        <v>2.0</v>
      </c>
      <c r="D159" s="457" t="s">
        <v>380</v>
      </c>
      <c r="E159" s="458" t="s">
        <v>381</v>
      </c>
      <c r="F159" s="461" t="str">
        <f>VLOOKUP(E159, 'COSTO UNITARIO'!$K$16:$L$27, 2, FALSE)</f>
        <v>Materia Fecal</v>
      </c>
    </row>
    <row r="160" ht="22.5" customHeight="1">
      <c r="A160" s="454">
        <v>46135.0</v>
      </c>
      <c r="B160" s="475"/>
      <c r="C160" s="456">
        <v>1.0</v>
      </c>
      <c r="D160" s="457" t="s">
        <v>380</v>
      </c>
      <c r="E160" s="458" t="s">
        <v>400</v>
      </c>
      <c r="F160" s="461" t="str">
        <f>VLOOKUP(E160, 'COSTO UNITARIO'!$K$16:$L$27, 2, FALSE)</f>
        <v>Materia Fecal</v>
      </c>
    </row>
    <row r="161" ht="22.5" customHeight="1">
      <c r="A161" s="454">
        <v>46135.0</v>
      </c>
      <c r="B161" s="475"/>
      <c r="C161" s="456">
        <v>2.0</v>
      </c>
      <c r="D161" s="457" t="s">
        <v>380</v>
      </c>
      <c r="E161" s="458" t="s">
        <v>400</v>
      </c>
      <c r="F161" s="461" t="str">
        <f>VLOOKUP(E161, 'COSTO UNITARIO'!$K$16:$L$27, 2, FALSE)</f>
        <v>Materia Fecal</v>
      </c>
    </row>
    <row r="162" ht="22.5" customHeight="1">
      <c r="A162" s="454">
        <v>46135.0</v>
      </c>
      <c r="B162" s="475"/>
      <c r="C162" s="456">
        <v>2.0</v>
      </c>
      <c r="D162" s="457" t="s">
        <v>380</v>
      </c>
      <c r="E162" s="458" t="s">
        <v>400</v>
      </c>
      <c r="F162" s="461" t="str">
        <f>VLOOKUP(E162, 'COSTO UNITARIO'!$K$16:$L$27, 2, FALSE)</f>
        <v>Materia Fecal</v>
      </c>
    </row>
    <row r="163" ht="22.5" customHeight="1">
      <c r="A163" s="454">
        <v>46140.0</v>
      </c>
      <c r="B163" s="455">
        <v>0.625</v>
      </c>
      <c r="C163" s="456">
        <v>1.0</v>
      </c>
      <c r="D163" s="457" t="s">
        <v>359</v>
      </c>
      <c r="E163" s="458" t="s">
        <v>360</v>
      </c>
      <c r="F163" s="461" t="str">
        <f>VLOOKUP(E163, 'COSTO UNITARIO'!$K$16:$L$27, 2, FALSE)</f>
        <v>Materia Fecal</v>
      </c>
    </row>
    <row r="164" ht="22.5" customHeight="1">
      <c r="A164" s="454">
        <v>46140.0</v>
      </c>
      <c r="B164" s="455">
        <v>0.6666666666666666</v>
      </c>
      <c r="C164" s="456">
        <v>2.0</v>
      </c>
      <c r="D164" s="457" t="s">
        <v>359</v>
      </c>
      <c r="E164" s="458" t="s">
        <v>385</v>
      </c>
      <c r="F164" s="461" t="str">
        <f>VLOOKUP(E164, 'COSTO UNITARIO'!$K$16:$L$27, 2, FALSE)</f>
        <v>Contenido Rummial</v>
      </c>
    </row>
    <row r="165" ht="22.5" customHeight="1">
      <c r="A165" s="454">
        <v>46140.0</v>
      </c>
      <c r="B165" s="455">
        <v>0.6965277777777777</v>
      </c>
      <c r="C165" s="456">
        <v>1.0</v>
      </c>
      <c r="D165" s="457" t="s">
        <v>359</v>
      </c>
      <c r="E165" s="458" t="s">
        <v>369</v>
      </c>
      <c r="F165" s="461" t="str">
        <f>VLOOKUP(E165, 'COSTO UNITARIO'!$K$16:$L$27, 2, FALSE)</f>
        <v>Contenido Rummial</v>
      </c>
    </row>
    <row r="166" ht="22.5" customHeight="1">
      <c r="A166" s="454">
        <v>46140.0</v>
      </c>
      <c r="B166" s="455">
        <v>0.7041666666666667</v>
      </c>
      <c r="C166" s="456">
        <v>1.0</v>
      </c>
      <c r="D166" s="457" t="s">
        <v>359</v>
      </c>
      <c r="E166" s="458" t="s">
        <v>360</v>
      </c>
      <c r="F166" s="461" t="str">
        <f>VLOOKUP(E166, 'COSTO UNITARIO'!$K$16:$L$27, 2, FALSE)</f>
        <v>Materia Fecal</v>
      </c>
    </row>
    <row r="167" ht="22.5" customHeight="1">
      <c r="A167" s="454">
        <v>46140.0</v>
      </c>
      <c r="B167" s="475"/>
      <c r="C167" s="456">
        <v>1.0</v>
      </c>
      <c r="D167" s="457" t="s">
        <v>359</v>
      </c>
      <c r="E167" s="458" t="s">
        <v>360</v>
      </c>
      <c r="F167" s="461" t="str">
        <f>VLOOKUP(E167, 'COSTO UNITARIO'!$K$16:$L$27, 2, FALSE)</f>
        <v>Materia Fecal</v>
      </c>
    </row>
    <row r="168" ht="22.5" customHeight="1">
      <c r="A168" s="454">
        <v>46140.0</v>
      </c>
      <c r="B168" s="475"/>
      <c r="C168" s="456">
        <v>1.0</v>
      </c>
      <c r="D168" s="457" t="s">
        <v>380</v>
      </c>
      <c r="E168" s="458" t="s">
        <v>381</v>
      </c>
      <c r="F168" s="461" t="str">
        <f>VLOOKUP(E168, 'COSTO UNITARIO'!$K$16:$L$27, 2, FALSE)</f>
        <v>Materia Fecal</v>
      </c>
    </row>
    <row r="169" ht="22.5" customHeight="1">
      <c r="A169" s="454">
        <v>46148.0</v>
      </c>
      <c r="B169" s="455">
        <v>0.75</v>
      </c>
      <c r="C169" s="456">
        <v>2.0</v>
      </c>
      <c r="D169" s="457" t="s">
        <v>359</v>
      </c>
      <c r="E169" s="458" t="s">
        <v>385</v>
      </c>
      <c r="F169" s="461" t="str">
        <f>VLOOKUP(E169, 'COSTO UNITARIO'!$K$16:$L$27, 2, FALSE)</f>
        <v>Contenido Rummial</v>
      </c>
    </row>
    <row r="170" ht="22.5" customHeight="1">
      <c r="A170" s="529"/>
      <c r="B170" s="475"/>
      <c r="C170" s="526"/>
      <c r="D170" s="457"/>
      <c r="E170" s="530"/>
      <c r="F170" s="461" t="str">
        <f>VLOOKUP(E170, 'COSTO UNITARIO'!$K$16:$L$27, 2, FALSE)</f>
        <v>#N/A</v>
      </c>
    </row>
    <row r="171" ht="22.5" customHeight="1">
      <c r="A171" s="529"/>
      <c r="B171" s="475"/>
      <c r="C171" s="526"/>
      <c r="D171" s="457"/>
      <c r="E171" s="530"/>
      <c r="F171" s="461" t="str">
        <f>VLOOKUP(E171, 'COSTO UNITARIO'!$K$16:$L$27, 2, FALSE)</f>
        <v>#N/A</v>
      </c>
    </row>
    <row r="172" ht="22.5" customHeight="1">
      <c r="A172" s="529"/>
      <c r="B172" s="475"/>
      <c r="C172" s="526"/>
      <c r="D172" s="457"/>
      <c r="E172" s="530"/>
      <c r="F172" s="461" t="str">
        <f>VLOOKUP(E172, 'COSTO UNITARIO'!$K$16:$L$27, 2, FALSE)</f>
        <v>#N/A</v>
      </c>
    </row>
    <row r="173" ht="22.5" customHeight="1">
      <c r="A173" s="529"/>
      <c r="B173" s="475"/>
      <c r="C173" s="526"/>
      <c r="D173" s="457"/>
      <c r="E173" s="530"/>
      <c r="F173" s="461" t="str">
        <f>VLOOKUP(E173, 'COSTO UNITARIO'!$K$16:$L$27, 2, FALSE)</f>
        <v>#N/A</v>
      </c>
    </row>
    <row r="174" ht="22.5" customHeight="1">
      <c r="A174" s="529"/>
      <c r="B174" s="475"/>
      <c r="C174" s="526"/>
      <c r="D174" s="457"/>
      <c r="E174" s="530"/>
      <c r="F174" s="461" t="str">
        <f>VLOOKUP(E174, 'COSTO UNITARIO'!$K$16:$L$27, 2, FALSE)</f>
        <v>#N/A</v>
      </c>
    </row>
    <row r="175" ht="22.5" customHeight="1">
      <c r="A175" s="529"/>
      <c r="B175" s="475"/>
      <c r="C175" s="526"/>
      <c r="D175" s="457"/>
      <c r="E175" s="530"/>
      <c r="F175" s="461" t="str">
        <f>VLOOKUP(E175, 'COSTO UNITARIO'!$K$16:$L$27, 2, FALSE)</f>
        <v>#N/A</v>
      </c>
    </row>
    <row r="176" ht="22.5" customHeight="1">
      <c r="A176" s="529"/>
      <c r="B176" s="475"/>
      <c r="C176" s="526"/>
      <c r="D176" s="457"/>
      <c r="E176" s="530"/>
      <c r="F176" s="461" t="str">
        <f>VLOOKUP(E176, 'COSTO UNITARIO'!$K$16:$L$27, 2, FALSE)</f>
        <v>#N/A</v>
      </c>
    </row>
    <row r="177" ht="22.5" customHeight="1">
      <c r="A177" s="529"/>
      <c r="B177" s="475"/>
      <c r="C177" s="526"/>
      <c r="D177" s="457"/>
      <c r="E177" s="530"/>
      <c r="F177" s="461" t="str">
        <f>VLOOKUP(E177, 'COSTO UNITARIO'!$K$16:$L$27, 2, FALSE)</f>
        <v>#N/A</v>
      </c>
    </row>
    <row r="178" ht="22.5" customHeight="1">
      <c r="A178" s="529"/>
      <c r="B178" s="475"/>
      <c r="C178" s="526"/>
      <c r="D178" s="457"/>
      <c r="E178" s="530"/>
      <c r="F178" s="461" t="str">
        <f>VLOOKUP(E178, 'COSTO UNITARIO'!$K$16:$L$27, 2, FALSE)</f>
        <v>#N/A</v>
      </c>
    </row>
    <row r="179" ht="22.5" customHeight="1">
      <c r="A179" s="529"/>
      <c r="B179" s="475"/>
      <c r="C179" s="526"/>
      <c r="D179" s="457"/>
      <c r="E179" s="530"/>
      <c r="F179" s="461" t="str">
        <f>VLOOKUP(E179, 'COSTO UNITARIO'!$K$16:$L$27, 2, FALSE)</f>
        <v>#N/A</v>
      </c>
    </row>
    <row r="180" ht="22.5" customHeight="1">
      <c r="A180" s="529"/>
      <c r="B180" s="475"/>
      <c r="C180" s="526"/>
      <c r="D180" s="457"/>
      <c r="E180" s="530"/>
      <c r="F180" s="461" t="str">
        <f>VLOOKUP(E180, 'COSTO UNITARIO'!$K$16:$L$27, 2, FALSE)</f>
        <v>#N/A</v>
      </c>
    </row>
    <row r="181" ht="22.5" customHeight="1">
      <c r="A181" s="529"/>
      <c r="B181" s="475"/>
      <c r="C181" s="526"/>
      <c r="D181" s="457"/>
      <c r="E181" s="530"/>
      <c r="F181" s="461" t="str">
        <f>VLOOKUP(E181, 'COSTO UNITARIO'!$K$16:$L$27, 2, FALSE)</f>
        <v>#N/A</v>
      </c>
    </row>
    <row r="182" ht="22.5" customHeight="1">
      <c r="A182" s="529"/>
      <c r="B182" s="475"/>
      <c r="C182" s="526"/>
      <c r="D182" s="457"/>
      <c r="E182" s="530"/>
      <c r="F182" s="461" t="str">
        <f>VLOOKUP(E182, 'COSTO UNITARIO'!$K$16:$L$27, 2, FALSE)</f>
        <v>#N/A</v>
      </c>
    </row>
    <row r="183" ht="22.5" customHeight="1">
      <c r="A183" s="529"/>
      <c r="B183" s="475"/>
      <c r="C183" s="526"/>
      <c r="D183" s="457"/>
      <c r="E183" s="530"/>
      <c r="F183" s="461" t="str">
        <f>VLOOKUP(E183, 'COSTO UNITARIO'!$K$16:$L$27, 2, FALSE)</f>
        <v>#N/A</v>
      </c>
    </row>
    <row r="184" ht="22.5" customHeight="1">
      <c r="A184" s="529"/>
      <c r="B184" s="475"/>
      <c r="C184" s="526"/>
      <c r="D184" s="457"/>
      <c r="E184" s="530"/>
      <c r="F184" s="461" t="str">
        <f>VLOOKUP(E184, 'COSTO UNITARIO'!$K$16:$L$27, 2, FALSE)</f>
        <v>#N/A</v>
      </c>
    </row>
    <row r="185" ht="22.5" customHeight="1">
      <c r="A185" s="529"/>
      <c r="B185" s="475"/>
      <c r="C185" s="526"/>
      <c r="D185" s="457"/>
      <c r="E185" s="530"/>
      <c r="F185" s="461" t="str">
        <f>VLOOKUP(E185, 'COSTO UNITARIO'!$K$16:$L$27, 2, FALSE)</f>
        <v>#N/A</v>
      </c>
    </row>
    <row r="186" ht="22.5" customHeight="1">
      <c r="A186" s="529"/>
      <c r="B186" s="475"/>
      <c r="C186" s="526"/>
      <c r="D186" s="457"/>
      <c r="E186" s="530"/>
      <c r="F186" s="461" t="str">
        <f>VLOOKUP(E186, 'COSTO UNITARIO'!$K$16:$L$27, 2, FALSE)</f>
        <v>#N/A</v>
      </c>
    </row>
    <row r="187" ht="22.5" customHeight="1">
      <c r="A187" s="529"/>
      <c r="B187" s="475"/>
      <c r="C187" s="526"/>
      <c r="D187" s="457"/>
      <c r="E187" s="530"/>
      <c r="F187" s="461" t="str">
        <f>VLOOKUP(E187, 'COSTO UNITARIO'!$K$16:$L$27, 2, FALSE)</f>
        <v>#N/A</v>
      </c>
    </row>
    <row r="188" ht="22.5" customHeight="1">
      <c r="A188" s="529"/>
      <c r="B188" s="475"/>
      <c r="C188" s="526"/>
      <c r="D188" s="457"/>
      <c r="E188" s="530"/>
      <c r="F188" s="461" t="str">
        <f>VLOOKUP(E188, 'COSTO UNITARIO'!$K$16:$L$27, 2, FALSE)</f>
        <v>#N/A</v>
      </c>
    </row>
    <row r="189" ht="22.5" customHeight="1">
      <c r="A189" s="529"/>
      <c r="B189" s="475"/>
      <c r="C189" s="526"/>
      <c r="D189" s="457"/>
      <c r="E189" s="530"/>
      <c r="F189" s="461" t="str">
        <f>VLOOKUP(E189, 'COSTO UNITARIO'!$K$16:$L$27, 2, FALSE)</f>
        <v>#N/A</v>
      </c>
    </row>
    <row r="190" ht="22.5" customHeight="1">
      <c r="A190" s="529"/>
      <c r="B190" s="475"/>
      <c r="C190" s="526"/>
      <c r="D190" s="457"/>
      <c r="E190" s="530"/>
      <c r="F190" s="461" t="str">
        <f>VLOOKUP(E190, 'COSTO UNITARIO'!$K$16:$L$27, 2, FALSE)</f>
        <v>#N/A</v>
      </c>
    </row>
    <row r="191" ht="22.5" customHeight="1">
      <c r="A191" s="529"/>
      <c r="B191" s="475"/>
      <c r="C191" s="526"/>
      <c r="D191" s="457"/>
      <c r="E191" s="530"/>
      <c r="F191" s="461" t="str">
        <f>VLOOKUP(E191, 'COSTO UNITARIO'!$K$16:$L$27, 2, FALSE)</f>
        <v>#N/A</v>
      </c>
    </row>
    <row r="192" ht="22.5" customHeight="1">
      <c r="A192" s="529"/>
      <c r="B192" s="475"/>
      <c r="C192" s="526"/>
      <c r="D192" s="457"/>
      <c r="E192" s="530"/>
      <c r="F192" s="461" t="str">
        <f>VLOOKUP(E192, 'COSTO UNITARIO'!$K$16:$L$27, 2, FALSE)</f>
        <v>#N/A</v>
      </c>
    </row>
    <row r="193" ht="22.5" customHeight="1">
      <c r="A193" s="529"/>
      <c r="B193" s="475"/>
      <c r="C193" s="526"/>
      <c r="D193" s="457"/>
      <c r="E193" s="530"/>
      <c r="F193" s="461" t="str">
        <f>VLOOKUP(E193, 'COSTO UNITARIO'!$K$16:$L$27, 2, FALSE)</f>
        <v>#N/A</v>
      </c>
    </row>
    <row r="194" ht="22.5" customHeight="1">
      <c r="A194" s="529"/>
      <c r="B194" s="475"/>
      <c r="C194" s="526"/>
      <c r="D194" s="457"/>
      <c r="E194" s="530"/>
      <c r="F194" s="461" t="str">
        <f>VLOOKUP(E194, 'COSTO UNITARIO'!$K$16:$L$27, 2, FALSE)</f>
        <v>#N/A</v>
      </c>
    </row>
    <row r="195" ht="22.5" customHeight="1">
      <c r="A195" s="529"/>
      <c r="B195" s="475"/>
      <c r="C195" s="526"/>
      <c r="D195" s="457"/>
      <c r="E195" s="530"/>
      <c r="F195" s="461" t="str">
        <f>VLOOKUP(E195, 'COSTO UNITARIO'!$K$16:$L$27, 2, FALSE)</f>
        <v>#N/A</v>
      </c>
    </row>
    <row r="196" ht="22.5" customHeight="1">
      <c r="A196" s="529"/>
      <c r="B196" s="475"/>
      <c r="C196" s="526"/>
      <c r="D196" s="457"/>
      <c r="E196" s="530"/>
      <c r="F196" s="461" t="str">
        <f>VLOOKUP(E196, 'COSTO UNITARIO'!$K$16:$L$27, 2, FALSE)</f>
        <v>#N/A</v>
      </c>
    </row>
    <row r="197" ht="22.5" customHeight="1">
      <c r="A197" s="529"/>
      <c r="B197" s="475"/>
      <c r="C197" s="526"/>
      <c r="D197" s="457"/>
      <c r="E197" s="530"/>
      <c r="F197" s="461" t="str">
        <f>VLOOKUP(E197, 'COSTO UNITARIO'!$K$16:$L$27, 2, FALSE)</f>
        <v>#N/A</v>
      </c>
    </row>
    <row r="198" ht="22.5" customHeight="1">
      <c r="A198" s="529"/>
      <c r="B198" s="475"/>
      <c r="C198" s="526"/>
      <c r="D198" s="457"/>
      <c r="E198" s="530"/>
      <c r="F198" s="461" t="str">
        <f>VLOOKUP(E198, 'COSTO UNITARIO'!$K$16:$L$27, 2, FALSE)</f>
        <v>#N/A</v>
      </c>
    </row>
    <row r="199" ht="22.5" customHeight="1">
      <c r="A199" s="529"/>
      <c r="B199" s="475"/>
      <c r="C199" s="526"/>
      <c r="D199" s="457"/>
      <c r="E199" s="530"/>
      <c r="F199" s="461" t="str">
        <f>VLOOKUP(E199, 'COSTO UNITARIO'!$K$16:$L$27, 2, FALSE)</f>
        <v>#N/A</v>
      </c>
    </row>
    <row r="200" ht="22.5" customHeight="1">
      <c r="A200" s="529"/>
      <c r="B200" s="475"/>
      <c r="C200" s="526"/>
      <c r="D200" s="457"/>
      <c r="E200" s="530"/>
      <c r="F200" s="461" t="str">
        <f>VLOOKUP(E200, 'COSTO UNITARIO'!$K$16:$L$27, 2, FALSE)</f>
        <v>#N/A</v>
      </c>
    </row>
    <row r="201" ht="22.5" customHeight="1">
      <c r="A201" s="529"/>
      <c r="B201" s="475"/>
      <c r="C201" s="526"/>
      <c r="D201" s="457"/>
      <c r="E201" s="530"/>
      <c r="F201" s="461" t="str">
        <f>VLOOKUP(E201, 'COSTO UNITARIO'!$K$16:$L$27, 2, FALSE)</f>
        <v>#N/A</v>
      </c>
    </row>
    <row r="202" ht="22.5" customHeight="1">
      <c r="A202" s="529"/>
      <c r="B202" s="475"/>
      <c r="C202" s="526"/>
      <c r="D202" s="457"/>
      <c r="E202" s="530"/>
      <c r="F202" s="461" t="str">
        <f>VLOOKUP(E202, 'COSTO UNITARIO'!$K$16:$L$27, 2, FALSE)</f>
        <v>#N/A</v>
      </c>
    </row>
    <row r="203" ht="22.5" customHeight="1">
      <c r="A203" s="529"/>
      <c r="B203" s="475"/>
      <c r="C203" s="526"/>
      <c r="D203" s="457"/>
      <c r="E203" s="530"/>
      <c r="F203" s="461" t="str">
        <f>VLOOKUP(E203, 'COSTO UNITARIO'!$K$16:$L$27, 2, FALSE)</f>
        <v>#N/A</v>
      </c>
    </row>
    <row r="204" ht="22.5" customHeight="1">
      <c r="A204" s="529"/>
      <c r="B204" s="475"/>
      <c r="C204" s="526"/>
      <c r="D204" s="457"/>
      <c r="E204" s="530"/>
      <c r="F204" s="461" t="str">
        <f>VLOOKUP(E204, 'COSTO UNITARIO'!$K$16:$L$27, 2, FALSE)</f>
        <v>#N/A</v>
      </c>
    </row>
    <row r="205" ht="22.5" customHeight="1">
      <c r="A205" s="529"/>
      <c r="B205" s="475"/>
      <c r="C205" s="526"/>
      <c r="D205" s="457"/>
      <c r="E205" s="530"/>
      <c r="F205" s="461" t="str">
        <f>VLOOKUP(E205, 'COSTO UNITARIO'!$K$16:$L$27, 2, FALSE)</f>
        <v>#N/A</v>
      </c>
    </row>
    <row r="206" ht="22.5" customHeight="1">
      <c r="A206" s="529"/>
      <c r="B206" s="475"/>
      <c r="C206" s="526"/>
      <c r="D206" s="457"/>
      <c r="E206" s="530"/>
      <c r="F206" s="461" t="str">
        <f>VLOOKUP(E206, 'COSTO UNITARIO'!$K$16:$L$27, 2, FALSE)</f>
        <v>#N/A</v>
      </c>
    </row>
    <row r="207" ht="22.5" customHeight="1">
      <c r="A207" s="529"/>
      <c r="B207" s="475"/>
      <c r="C207" s="526"/>
      <c r="D207" s="457"/>
      <c r="E207" s="530"/>
      <c r="F207" s="461" t="str">
        <f>VLOOKUP(E207, 'COSTO UNITARIO'!$K$16:$L$27, 2, FALSE)</f>
        <v>#N/A</v>
      </c>
    </row>
    <row r="208" ht="22.5" customHeight="1">
      <c r="A208" s="529"/>
      <c r="B208" s="475"/>
      <c r="C208" s="526"/>
      <c r="D208" s="457"/>
      <c r="E208" s="530"/>
      <c r="F208" s="461" t="str">
        <f>VLOOKUP(E208, 'COSTO UNITARIO'!$K$16:$L$27, 2, FALSE)</f>
        <v>#N/A</v>
      </c>
    </row>
    <row r="209" ht="22.5" customHeight="1">
      <c r="A209" s="529"/>
      <c r="B209" s="475"/>
      <c r="C209" s="526"/>
      <c r="D209" s="457"/>
      <c r="E209" s="530"/>
      <c r="F209" s="461" t="str">
        <f>VLOOKUP(E209, 'COSTO UNITARIO'!$K$16:$L$27, 2, FALSE)</f>
        <v>#N/A</v>
      </c>
    </row>
    <row r="210" ht="22.5" customHeight="1">
      <c r="A210" s="529"/>
      <c r="B210" s="475"/>
      <c r="C210" s="526"/>
      <c r="D210" s="457"/>
      <c r="E210" s="530"/>
      <c r="F210" s="461" t="str">
        <f>VLOOKUP(E210, 'COSTO UNITARIO'!$K$16:$L$27, 2, FALSE)</f>
        <v>#N/A</v>
      </c>
    </row>
    <row r="211" ht="22.5" customHeight="1">
      <c r="A211" s="529"/>
      <c r="B211" s="475"/>
      <c r="C211" s="526"/>
      <c r="D211" s="457"/>
      <c r="E211" s="530"/>
      <c r="F211" s="461" t="str">
        <f>VLOOKUP(E211, 'COSTO UNITARIO'!$K$16:$L$27, 2, FALSE)</f>
        <v>#N/A</v>
      </c>
    </row>
    <row r="212" ht="22.5" customHeight="1">
      <c r="A212" s="529"/>
      <c r="B212" s="475"/>
      <c r="C212" s="526"/>
      <c r="D212" s="457"/>
      <c r="E212" s="530"/>
      <c r="F212" s="461" t="str">
        <f>VLOOKUP(E212, 'COSTO UNITARIO'!$K$16:$L$27, 2, FALSE)</f>
        <v>#N/A</v>
      </c>
    </row>
    <row r="213" ht="22.5" customHeight="1">
      <c r="A213" s="529"/>
      <c r="B213" s="475"/>
      <c r="C213" s="526"/>
      <c r="D213" s="457"/>
      <c r="E213" s="530"/>
      <c r="F213" s="461" t="str">
        <f>VLOOKUP(E213, 'COSTO UNITARIO'!$K$16:$L$27, 2, FALSE)</f>
        <v>#N/A</v>
      </c>
    </row>
    <row r="214" ht="22.5" customHeight="1">
      <c r="A214" s="529"/>
      <c r="B214" s="475"/>
      <c r="C214" s="526"/>
      <c r="D214" s="457"/>
      <c r="E214" s="530"/>
      <c r="F214" s="461" t="str">
        <f>VLOOKUP(E214, 'COSTO UNITARIO'!$K$16:$L$27, 2, FALSE)</f>
        <v>#N/A</v>
      </c>
    </row>
    <row r="215" ht="22.5" customHeight="1">
      <c r="A215" s="529"/>
      <c r="B215" s="475"/>
      <c r="C215" s="526"/>
      <c r="D215" s="457"/>
      <c r="E215" s="530"/>
      <c r="F215" s="461" t="str">
        <f>VLOOKUP(E215, 'COSTO UNITARIO'!$K$16:$L$27, 2, FALSE)</f>
        <v>#N/A</v>
      </c>
    </row>
    <row r="216" ht="22.5" customHeight="1">
      <c r="A216" s="529"/>
      <c r="B216" s="475"/>
      <c r="C216" s="526"/>
      <c r="D216" s="457"/>
      <c r="E216" s="530"/>
      <c r="F216" s="461" t="str">
        <f>VLOOKUP(E216, 'COSTO UNITARIO'!$K$16:$L$27, 2, FALSE)</f>
        <v>#N/A</v>
      </c>
    </row>
    <row r="217" ht="22.5" customHeight="1">
      <c r="A217" s="529"/>
      <c r="B217" s="475"/>
      <c r="C217" s="526"/>
      <c r="D217" s="457"/>
      <c r="E217" s="530"/>
      <c r="F217" s="461" t="str">
        <f>VLOOKUP(E217, 'COSTO UNITARIO'!$K$16:$L$27, 2, FALSE)</f>
        <v>#N/A</v>
      </c>
    </row>
    <row r="218" ht="22.5" customHeight="1">
      <c r="A218" s="529"/>
      <c r="B218" s="475"/>
      <c r="C218" s="526"/>
      <c r="D218" s="457"/>
      <c r="E218" s="530"/>
      <c r="F218" s="461" t="str">
        <f>VLOOKUP(E218, 'COSTO UNITARIO'!$K$16:$L$27, 2, FALSE)</f>
        <v>#N/A</v>
      </c>
    </row>
    <row r="219" ht="22.5" customHeight="1">
      <c r="A219" s="529"/>
      <c r="B219" s="475"/>
      <c r="C219" s="526"/>
      <c r="D219" s="457"/>
      <c r="E219" s="530"/>
      <c r="F219" s="461" t="str">
        <f>VLOOKUP(E219, 'COSTO UNITARIO'!$K$16:$L$27, 2, FALSE)</f>
        <v>#N/A</v>
      </c>
    </row>
    <row r="220" ht="22.5" customHeight="1">
      <c r="A220" s="529"/>
      <c r="B220" s="475"/>
      <c r="C220" s="526"/>
      <c r="D220" s="457"/>
      <c r="E220" s="530"/>
      <c r="F220" s="461" t="str">
        <f>VLOOKUP(E220, 'COSTO UNITARIO'!$K$16:$L$27, 2, FALSE)</f>
        <v>#N/A</v>
      </c>
    </row>
    <row r="221" ht="22.5" customHeight="1">
      <c r="A221" s="529"/>
      <c r="B221" s="475"/>
      <c r="C221" s="526"/>
      <c r="D221" s="457"/>
      <c r="E221" s="530"/>
      <c r="F221" s="461" t="str">
        <f>VLOOKUP(E221, 'COSTO UNITARIO'!$K$16:$L$27, 2, FALSE)</f>
        <v>#N/A</v>
      </c>
    </row>
    <row r="222" ht="22.5" customHeight="1">
      <c r="A222" s="529"/>
      <c r="B222" s="475"/>
      <c r="C222" s="526"/>
      <c r="D222" s="457"/>
      <c r="E222" s="530"/>
      <c r="F222" s="461" t="str">
        <f>VLOOKUP(E222, 'COSTO UNITARIO'!$K$16:$L$27, 2, FALSE)</f>
        <v>#N/A</v>
      </c>
    </row>
    <row r="223" ht="22.5" customHeight="1">
      <c r="A223" s="529"/>
      <c r="B223" s="475"/>
      <c r="C223" s="526"/>
      <c r="D223" s="457"/>
      <c r="E223" s="530"/>
      <c r="F223" s="461" t="str">
        <f>VLOOKUP(E223, 'COSTO UNITARIO'!$K$16:$L$27, 2, FALSE)</f>
        <v>#N/A</v>
      </c>
    </row>
    <row r="224" ht="22.5" customHeight="1">
      <c r="A224" s="529"/>
      <c r="B224" s="475"/>
      <c r="C224" s="526"/>
      <c r="D224" s="457"/>
      <c r="E224" s="530"/>
      <c r="F224" s="461" t="str">
        <f>VLOOKUP(E224, 'COSTO UNITARIO'!$K$16:$L$27, 2, FALSE)</f>
        <v>#N/A</v>
      </c>
    </row>
    <row r="225" ht="22.5" customHeight="1">
      <c r="A225" s="529"/>
      <c r="B225" s="475"/>
      <c r="C225" s="526"/>
      <c r="D225" s="457"/>
      <c r="E225" s="530"/>
      <c r="F225" s="461" t="str">
        <f>VLOOKUP(E225, 'COSTO UNITARIO'!$K$16:$L$27, 2, FALSE)</f>
        <v>#N/A</v>
      </c>
    </row>
    <row r="226" ht="22.5" customHeight="1">
      <c r="A226" s="529"/>
      <c r="B226" s="475"/>
      <c r="C226" s="526"/>
      <c r="D226" s="457"/>
      <c r="E226" s="530"/>
      <c r="F226" s="461" t="str">
        <f>VLOOKUP(E226, 'COSTO UNITARIO'!$K$16:$L$27, 2, FALSE)</f>
        <v>#N/A</v>
      </c>
    </row>
    <row r="227" ht="22.5" customHeight="1">
      <c r="A227" s="529"/>
      <c r="B227" s="475"/>
      <c r="C227" s="526"/>
      <c r="D227" s="457"/>
      <c r="E227" s="530"/>
      <c r="F227" s="461" t="str">
        <f>VLOOKUP(E227, 'COSTO UNITARIO'!$K$16:$L$27, 2, FALSE)</f>
        <v>#N/A</v>
      </c>
    </row>
    <row r="228" ht="22.5" customHeight="1">
      <c r="A228" s="529"/>
      <c r="B228" s="475"/>
      <c r="C228" s="526"/>
      <c r="D228" s="457"/>
      <c r="E228" s="530"/>
      <c r="F228" s="461" t="str">
        <f>VLOOKUP(E228, 'COSTO UNITARIO'!$K$16:$L$27, 2, FALSE)</f>
        <v>#N/A</v>
      </c>
    </row>
    <row r="229" ht="22.5" customHeight="1">
      <c r="A229" s="529"/>
      <c r="B229" s="475"/>
      <c r="C229" s="526"/>
      <c r="D229" s="457"/>
      <c r="E229" s="530"/>
      <c r="F229" s="461" t="str">
        <f>VLOOKUP(E229, 'COSTO UNITARIO'!$K$16:$L$27, 2, FALSE)</f>
        <v>#N/A</v>
      </c>
    </row>
    <row r="230" ht="22.5" customHeight="1">
      <c r="A230" s="529"/>
      <c r="B230" s="475"/>
      <c r="C230" s="526"/>
      <c r="D230" s="457"/>
      <c r="E230" s="530"/>
      <c r="F230" s="461" t="str">
        <f>VLOOKUP(E230, 'COSTO UNITARIO'!$K$16:$L$27, 2, FALSE)</f>
        <v>#N/A</v>
      </c>
    </row>
    <row r="231" ht="22.5" customHeight="1">
      <c r="A231" s="529"/>
      <c r="B231" s="475"/>
      <c r="C231" s="526"/>
      <c r="D231" s="457"/>
      <c r="E231" s="530"/>
      <c r="F231" s="461" t="str">
        <f>VLOOKUP(E231, 'COSTO UNITARIO'!$K$16:$L$27, 2, FALSE)</f>
        <v>#N/A</v>
      </c>
    </row>
    <row r="232" ht="22.5" customHeight="1">
      <c r="A232" s="529"/>
      <c r="B232" s="475"/>
      <c r="C232" s="526"/>
      <c r="D232" s="457"/>
      <c r="E232" s="530"/>
      <c r="F232" s="461" t="str">
        <f>VLOOKUP(E232, 'COSTO UNITARIO'!$K$16:$L$27, 2, FALSE)</f>
        <v>#N/A</v>
      </c>
    </row>
    <row r="233" ht="22.5" customHeight="1">
      <c r="A233" s="529"/>
      <c r="B233" s="475"/>
      <c r="C233" s="526"/>
      <c r="D233" s="457"/>
      <c r="E233" s="530"/>
      <c r="F233" s="461" t="str">
        <f>VLOOKUP(E233, 'COSTO UNITARIO'!$K$16:$L$27, 2, FALSE)</f>
        <v>#N/A</v>
      </c>
    </row>
    <row r="234" ht="22.5" customHeight="1">
      <c r="A234" s="529"/>
      <c r="B234" s="475"/>
      <c r="C234" s="526"/>
      <c r="D234" s="457"/>
      <c r="E234" s="530"/>
      <c r="F234" s="461" t="str">
        <f>VLOOKUP(E234, 'COSTO UNITARIO'!$K$16:$L$27, 2, FALSE)</f>
        <v>#N/A</v>
      </c>
    </row>
    <row r="235" ht="22.5" customHeight="1">
      <c r="A235" s="529"/>
      <c r="B235" s="475"/>
      <c r="C235" s="526"/>
      <c r="D235" s="457"/>
      <c r="E235" s="530"/>
      <c r="F235" s="461" t="str">
        <f>VLOOKUP(E235, 'COSTO UNITARIO'!$K$16:$L$27, 2, FALSE)</f>
        <v>#N/A</v>
      </c>
    </row>
    <row r="236" ht="22.5" customHeight="1">
      <c r="A236" s="529"/>
      <c r="B236" s="475"/>
      <c r="C236" s="526"/>
      <c r="D236" s="457"/>
      <c r="E236" s="530"/>
      <c r="F236" s="461" t="str">
        <f>VLOOKUP(E236, 'COSTO UNITARIO'!$K$16:$L$27, 2, FALSE)</f>
        <v>#N/A</v>
      </c>
    </row>
    <row r="237" ht="22.5" customHeight="1">
      <c r="A237" s="529"/>
      <c r="B237" s="475"/>
      <c r="C237" s="526"/>
      <c r="D237" s="457"/>
      <c r="E237" s="530"/>
      <c r="F237" s="461" t="str">
        <f>VLOOKUP(E237, 'COSTO UNITARIO'!$K$16:$L$27, 2, FALSE)</f>
        <v>#N/A</v>
      </c>
    </row>
    <row r="238" ht="22.5" customHeight="1">
      <c r="A238" s="529"/>
      <c r="B238" s="475"/>
      <c r="C238" s="526"/>
      <c r="D238" s="457"/>
      <c r="E238" s="530"/>
      <c r="F238" s="461" t="str">
        <f>VLOOKUP(E238, 'COSTO UNITARIO'!$K$16:$L$27, 2, FALSE)</f>
        <v>#N/A</v>
      </c>
    </row>
    <row r="239" ht="22.5" customHeight="1">
      <c r="A239" s="529"/>
      <c r="B239" s="475"/>
      <c r="C239" s="526"/>
      <c r="D239" s="457"/>
      <c r="E239" s="530"/>
      <c r="F239" s="461" t="str">
        <f>VLOOKUP(E239, 'COSTO UNITARIO'!$K$16:$L$27, 2, FALSE)</f>
        <v>#N/A</v>
      </c>
    </row>
    <row r="240" ht="22.5" customHeight="1">
      <c r="A240" s="529"/>
      <c r="B240" s="475"/>
      <c r="C240" s="526"/>
      <c r="D240" s="457"/>
      <c r="E240" s="530"/>
      <c r="F240" s="461" t="str">
        <f>VLOOKUP(E240, 'COSTO UNITARIO'!$K$16:$L$27, 2, FALSE)</f>
        <v>#N/A</v>
      </c>
    </row>
    <row r="241" ht="22.5" customHeight="1">
      <c r="A241" s="529"/>
      <c r="B241" s="475"/>
      <c r="C241" s="526"/>
      <c r="D241" s="457"/>
      <c r="E241" s="530"/>
      <c r="F241" s="461" t="str">
        <f>VLOOKUP(E241, 'COSTO UNITARIO'!$K$16:$L$27, 2, FALSE)</f>
        <v>#N/A</v>
      </c>
    </row>
    <row r="242" ht="22.5" customHeight="1">
      <c r="A242" s="529"/>
      <c r="B242" s="475"/>
      <c r="C242" s="526"/>
      <c r="D242" s="457"/>
      <c r="E242" s="530"/>
      <c r="F242" s="461" t="str">
        <f>VLOOKUP(E242, 'COSTO UNITARIO'!$K$16:$L$27, 2, FALSE)</f>
        <v>#N/A</v>
      </c>
    </row>
    <row r="243" ht="22.5" customHeight="1">
      <c r="A243" s="529"/>
      <c r="B243" s="475"/>
      <c r="C243" s="526"/>
      <c r="D243" s="457"/>
      <c r="E243" s="530"/>
      <c r="F243" s="461" t="str">
        <f>VLOOKUP(E243, 'COSTO UNITARIO'!$K$16:$L$27, 2, FALSE)</f>
        <v>#N/A</v>
      </c>
    </row>
    <row r="244" ht="22.5" customHeight="1">
      <c r="A244" s="529"/>
      <c r="B244" s="475"/>
      <c r="C244" s="526"/>
      <c r="D244" s="457"/>
      <c r="E244" s="530"/>
      <c r="F244" s="461" t="str">
        <f>VLOOKUP(E244, 'COSTO UNITARIO'!$K$16:$L$27, 2, FALSE)</f>
        <v>#N/A</v>
      </c>
    </row>
    <row r="245" ht="22.5" customHeight="1">
      <c r="A245" s="529"/>
      <c r="B245" s="475"/>
      <c r="C245" s="526"/>
      <c r="D245" s="457"/>
      <c r="E245" s="530"/>
      <c r="F245" s="461" t="str">
        <f>VLOOKUP(E245, 'COSTO UNITARIO'!$K$16:$L$27, 2, FALSE)</f>
        <v>#N/A</v>
      </c>
    </row>
    <row r="246" ht="22.5" customHeight="1">
      <c r="A246" s="529"/>
      <c r="B246" s="475"/>
      <c r="C246" s="526"/>
      <c r="D246" s="457"/>
      <c r="E246" s="530"/>
      <c r="F246" s="461" t="str">
        <f>VLOOKUP(E246, 'COSTO UNITARIO'!$K$16:$L$27, 2, FALSE)</f>
        <v>#N/A</v>
      </c>
    </row>
    <row r="247" ht="22.5" customHeight="1">
      <c r="A247" s="529"/>
      <c r="B247" s="475"/>
      <c r="C247" s="526"/>
      <c r="D247" s="457"/>
      <c r="E247" s="530"/>
      <c r="F247" s="461" t="str">
        <f>VLOOKUP(E247, 'COSTO UNITARIO'!$K$16:$L$27, 2, FALSE)</f>
        <v>#N/A</v>
      </c>
    </row>
    <row r="248" ht="22.5" customHeight="1">
      <c r="A248" s="529"/>
      <c r="B248" s="475"/>
      <c r="C248" s="526"/>
      <c r="D248" s="457"/>
      <c r="E248" s="530"/>
      <c r="F248" s="461" t="str">
        <f>VLOOKUP(E248, 'COSTO UNITARIO'!$K$16:$L$27, 2, FALSE)</f>
        <v>#N/A</v>
      </c>
    </row>
    <row r="249" ht="22.5" customHeight="1">
      <c r="A249" s="529"/>
      <c r="B249" s="475"/>
      <c r="C249" s="526"/>
      <c r="D249" s="457"/>
      <c r="E249" s="530"/>
      <c r="F249" s="461" t="str">
        <f>VLOOKUP(E249, 'COSTO UNITARIO'!$K$16:$L$27, 2, FALSE)</f>
        <v>#N/A</v>
      </c>
    </row>
    <row r="250" ht="22.5" customHeight="1">
      <c r="A250" s="529"/>
      <c r="B250" s="475"/>
      <c r="C250" s="526"/>
      <c r="D250" s="457"/>
      <c r="E250" s="530"/>
      <c r="F250" s="461" t="str">
        <f>VLOOKUP(E250, 'COSTO UNITARIO'!$K$16:$L$27, 2, FALSE)</f>
        <v>#N/A</v>
      </c>
    </row>
    <row r="251" ht="22.5" customHeight="1">
      <c r="A251" s="529"/>
      <c r="B251" s="475"/>
      <c r="C251" s="526"/>
      <c r="D251" s="457"/>
      <c r="E251" s="530"/>
      <c r="F251" s="461" t="str">
        <f>VLOOKUP(E251, 'COSTO UNITARIO'!$K$16:$L$27, 2, FALSE)</f>
        <v>#N/A</v>
      </c>
    </row>
    <row r="252" ht="22.5" customHeight="1">
      <c r="A252" s="529"/>
      <c r="B252" s="475"/>
      <c r="C252" s="526"/>
      <c r="D252" s="457"/>
      <c r="E252" s="530"/>
      <c r="F252" s="461" t="str">
        <f>VLOOKUP(E252, 'COSTO UNITARIO'!$K$16:$L$27, 2, FALSE)</f>
        <v>#N/A</v>
      </c>
    </row>
    <row r="253" ht="22.5" customHeight="1">
      <c r="A253" s="529"/>
      <c r="B253" s="475"/>
      <c r="C253" s="526"/>
      <c r="D253" s="457"/>
      <c r="E253" s="530"/>
      <c r="F253" s="461" t="str">
        <f>VLOOKUP(E253, 'COSTO UNITARIO'!$K$16:$L$27, 2, FALSE)</f>
        <v>#N/A</v>
      </c>
    </row>
    <row r="254" ht="22.5" customHeight="1">
      <c r="A254" s="529"/>
      <c r="B254" s="475"/>
      <c r="C254" s="526"/>
      <c r="D254" s="457"/>
      <c r="E254" s="530"/>
      <c r="F254" s="461" t="str">
        <f>VLOOKUP(E254, 'COSTO UNITARIO'!$K$16:$L$27, 2, FALSE)</f>
        <v>#N/A</v>
      </c>
    </row>
    <row r="255" ht="22.5" customHeight="1">
      <c r="A255" s="529"/>
      <c r="B255" s="475"/>
      <c r="C255" s="526"/>
      <c r="D255" s="457"/>
      <c r="E255" s="530"/>
      <c r="F255" s="461" t="str">
        <f>VLOOKUP(E255, 'COSTO UNITARIO'!$K$16:$L$27, 2, FALSE)</f>
        <v>#N/A</v>
      </c>
    </row>
    <row r="256" ht="22.5" customHeight="1">
      <c r="A256" s="529"/>
      <c r="B256" s="475"/>
      <c r="C256" s="526"/>
      <c r="D256" s="457"/>
      <c r="E256" s="530"/>
      <c r="F256" s="461" t="str">
        <f>VLOOKUP(E256, 'COSTO UNITARIO'!$K$16:$L$27, 2, FALSE)</f>
        <v>#N/A</v>
      </c>
    </row>
    <row r="257" ht="22.5" customHeight="1">
      <c r="A257" s="529"/>
      <c r="B257" s="475"/>
      <c r="C257" s="526"/>
      <c r="D257" s="457"/>
      <c r="E257" s="530"/>
      <c r="F257" s="461" t="str">
        <f>VLOOKUP(E257, 'COSTO UNITARIO'!$K$16:$L$27, 2, FALSE)</f>
        <v>#N/A</v>
      </c>
    </row>
    <row r="258" ht="22.5" customHeight="1">
      <c r="A258" s="529"/>
      <c r="B258" s="475"/>
      <c r="C258" s="526"/>
      <c r="D258" s="457"/>
      <c r="E258" s="530"/>
      <c r="F258" s="461" t="str">
        <f>VLOOKUP(E258, 'COSTO UNITARIO'!$K$16:$L$27, 2, FALSE)</f>
        <v>#N/A</v>
      </c>
    </row>
    <row r="259" ht="22.5" customHeight="1">
      <c r="A259" s="529"/>
      <c r="B259" s="475"/>
      <c r="C259" s="526"/>
      <c r="D259" s="457"/>
      <c r="E259" s="530"/>
      <c r="F259" s="461" t="str">
        <f>VLOOKUP(E259, 'COSTO UNITARIO'!$K$16:$L$27, 2, FALSE)</f>
        <v>#N/A</v>
      </c>
    </row>
    <row r="260" ht="22.5" customHeight="1">
      <c r="A260" s="529"/>
      <c r="B260" s="475"/>
      <c r="C260" s="526"/>
      <c r="D260" s="457"/>
      <c r="E260" s="530"/>
      <c r="F260" s="461" t="str">
        <f>VLOOKUP(E260, 'COSTO UNITARIO'!$K$16:$L$27, 2, FALSE)</f>
        <v>#N/A</v>
      </c>
    </row>
    <row r="261" ht="22.5" customHeight="1">
      <c r="A261" s="529"/>
      <c r="B261" s="475"/>
      <c r="C261" s="526"/>
      <c r="D261" s="457"/>
      <c r="E261" s="530"/>
      <c r="F261" s="461" t="str">
        <f>VLOOKUP(E261, 'COSTO UNITARIO'!$K$16:$L$27, 2, FALSE)</f>
        <v>#N/A</v>
      </c>
    </row>
    <row r="262" ht="22.5" customHeight="1">
      <c r="A262" s="529"/>
      <c r="B262" s="475"/>
      <c r="C262" s="526"/>
      <c r="D262" s="457"/>
      <c r="E262" s="530"/>
      <c r="F262" s="461" t="str">
        <f>VLOOKUP(E262, 'COSTO UNITARIO'!$K$16:$L$27, 2, FALSE)</f>
        <v>#N/A</v>
      </c>
    </row>
    <row r="263" ht="22.5" customHeight="1">
      <c r="A263" s="529"/>
      <c r="B263" s="475"/>
      <c r="C263" s="526"/>
      <c r="D263" s="457"/>
      <c r="E263" s="530"/>
      <c r="F263" s="461" t="str">
        <f>VLOOKUP(E263, 'COSTO UNITARIO'!$K$16:$L$27, 2, FALSE)</f>
        <v>#N/A</v>
      </c>
    </row>
    <row r="264" ht="22.5" customHeight="1">
      <c r="A264" s="529"/>
      <c r="B264" s="475"/>
      <c r="C264" s="526"/>
      <c r="D264" s="457"/>
      <c r="E264" s="530"/>
      <c r="F264" s="461" t="str">
        <f>VLOOKUP(E264, 'COSTO UNITARIO'!$K$16:$L$27, 2, FALSE)</f>
        <v>#N/A</v>
      </c>
    </row>
    <row r="265" ht="22.5" customHeight="1">
      <c r="A265" s="529"/>
      <c r="B265" s="475"/>
      <c r="C265" s="526"/>
      <c r="D265" s="457"/>
      <c r="E265" s="530"/>
      <c r="F265" s="461" t="str">
        <f>VLOOKUP(E265, 'COSTO UNITARIO'!$K$16:$L$27, 2, FALSE)</f>
        <v>#N/A</v>
      </c>
    </row>
    <row r="266" ht="22.5" customHeight="1">
      <c r="A266" s="529"/>
      <c r="B266" s="475"/>
      <c r="C266" s="526"/>
      <c r="D266" s="457"/>
      <c r="E266" s="530"/>
      <c r="F266" s="461" t="str">
        <f>VLOOKUP(E266, 'COSTO UNITARIO'!$K$16:$L$27, 2, FALSE)</f>
        <v>#N/A</v>
      </c>
    </row>
    <row r="267" ht="22.5" customHeight="1">
      <c r="A267" s="529"/>
      <c r="B267" s="475"/>
      <c r="C267" s="526"/>
      <c r="D267" s="457"/>
      <c r="E267" s="530"/>
      <c r="F267" s="461" t="str">
        <f>VLOOKUP(E267, 'COSTO UNITARIO'!$K$16:$L$27, 2, FALSE)</f>
        <v>#N/A</v>
      </c>
    </row>
    <row r="268" ht="22.5" customHeight="1">
      <c r="A268" s="529"/>
      <c r="B268" s="475"/>
      <c r="C268" s="526"/>
      <c r="D268" s="457"/>
      <c r="E268" s="530"/>
      <c r="F268" s="461" t="str">
        <f>VLOOKUP(E268, 'COSTO UNITARIO'!$K$16:$L$27, 2, FALSE)</f>
        <v>#N/A</v>
      </c>
    </row>
    <row r="269" ht="22.5" customHeight="1">
      <c r="A269" s="529"/>
      <c r="B269" s="475"/>
      <c r="C269" s="526"/>
      <c r="D269" s="457"/>
      <c r="E269" s="530"/>
      <c r="F269" s="461" t="str">
        <f>VLOOKUP(E269, 'COSTO UNITARIO'!$K$16:$L$27, 2, FALSE)</f>
        <v>#N/A</v>
      </c>
    </row>
    <row r="270" ht="22.5" customHeight="1">
      <c r="A270" s="529"/>
      <c r="B270" s="475"/>
      <c r="C270" s="526"/>
      <c r="D270" s="457"/>
      <c r="E270" s="530"/>
      <c r="F270" s="461" t="str">
        <f>VLOOKUP(E270, 'COSTO UNITARIO'!$K$16:$L$27, 2, FALSE)</f>
        <v>#N/A</v>
      </c>
    </row>
    <row r="271" ht="22.5" customHeight="1">
      <c r="A271" s="529"/>
      <c r="B271" s="475"/>
      <c r="C271" s="526"/>
      <c r="D271" s="457"/>
      <c r="E271" s="530"/>
      <c r="F271" s="461" t="str">
        <f>VLOOKUP(E271, 'COSTO UNITARIO'!$K$16:$L$27, 2, FALSE)</f>
        <v>#N/A</v>
      </c>
    </row>
    <row r="272" ht="22.5" customHeight="1">
      <c r="A272" s="529"/>
      <c r="B272" s="475"/>
      <c r="C272" s="526"/>
      <c r="D272" s="457"/>
      <c r="E272" s="530"/>
      <c r="F272" s="461" t="str">
        <f>VLOOKUP(E272, 'COSTO UNITARIO'!$K$16:$L$27, 2, FALSE)</f>
        <v>#N/A</v>
      </c>
    </row>
    <row r="273" ht="22.5" customHeight="1">
      <c r="A273" s="529"/>
      <c r="B273" s="475"/>
      <c r="C273" s="526"/>
      <c r="D273" s="457"/>
      <c r="E273" s="530"/>
      <c r="F273" s="461" t="str">
        <f>VLOOKUP(E273, 'COSTO UNITARIO'!$K$16:$L$27, 2, FALSE)</f>
        <v>#N/A</v>
      </c>
    </row>
    <row r="274" ht="22.5" customHeight="1">
      <c r="A274" s="529"/>
      <c r="B274" s="475"/>
      <c r="C274" s="526"/>
      <c r="D274" s="457"/>
      <c r="E274" s="530"/>
      <c r="F274" s="461" t="str">
        <f>VLOOKUP(E274, 'COSTO UNITARIO'!$K$16:$L$27, 2, FALSE)</f>
        <v>#N/A</v>
      </c>
    </row>
    <row r="275" ht="22.5" customHeight="1">
      <c r="A275" s="529"/>
      <c r="B275" s="475"/>
      <c r="C275" s="526"/>
      <c r="D275" s="457"/>
      <c r="E275" s="530"/>
      <c r="F275" s="461" t="str">
        <f>VLOOKUP(E275, 'COSTO UNITARIO'!$K$16:$L$27, 2, FALSE)</f>
        <v>#N/A</v>
      </c>
    </row>
    <row r="276" ht="22.5" customHeight="1">
      <c r="A276" s="529"/>
      <c r="B276" s="475"/>
      <c r="C276" s="526"/>
      <c r="D276" s="457"/>
      <c r="E276" s="530"/>
      <c r="F276" s="461" t="str">
        <f>VLOOKUP(E276, 'COSTO UNITARIO'!$K$16:$L$27, 2, FALSE)</f>
        <v>#N/A</v>
      </c>
    </row>
    <row r="277" ht="22.5" customHeight="1">
      <c r="A277" s="529"/>
      <c r="B277" s="475"/>
      <c r="C277" s="526"/>
      <c r="D277" s="457"/>
      <c r="E277" s="530"/>
      <c r="F277" s="461" t="str">
        <f>VLOOKUP(E277, 'COSTO UNITARIO'!$K$16:$L$27, 2, FALSE)</f>
        <v>#N/A</v>
      </c>
    </row>
    <row r="278" ht="22.5" customHeight="1">
      <c r="A278" s="529"/>
      <c r="B278" s="475"/>
      <c r="C278" s="526"/>
      <c r="D278" s="457"/>
      <c r="E278" s="530"/>
      <c r="F278" s="461" t="str">
        <f>VLOOKUP(E278, 'COSTO UNITARIO'!$K$16:$L$27, 2, FALSE)</f>
        <v>#N/A</v>
      </c>
    </row>
    <row r="279" ht="22.5" customHeight="1">
      <c r="A279" s="529"/>
      <c r="B279" s="475"/>
      <c r="C279" s="526"/>
      <c r="D279" s="457"/>
      <c r="E279" s="530"/>
      <c r="F279" s="461" t="str">
        <f>VLOOKUP(E279, 'COSTO UNITARIO'!$K$16:$L$27, 2, FALSE)</f>
        <v>#N/A</v>
      </c>
    </row>
    <row r="280" ht="22.5" customHeight="1">
      <c r="A280" s="529"/>
      <c r="B280" s="475"/>
      <c r="C280" s="526"/>
      <c r="D280" s="457"/>
      <c r="E280" s="530"/>
      <c r="F280" s="461" t="str">
        <f>VLOOKUP(E280, 'COSTO UNITARIO'!$K$16:$L$27, 2, FALSE)</f>
        <v>#N/A</v>
      </c>
    </row>
    <row r="281" ht="22.5" customHeight="1">
      <c r="A281" s="529"/>
      <c r="B281" s="475"/>
      <c r="C281" s="526"/>
      <c r="D281" s="457"/>
      <c r="E281" s="530"/>
      <c r="F281" s="461" t="str">
        <f>VLOOKUP(E281, 'COSTO UNITARIO'!$K$16:$L$27, 2, FALSE)</f>
        <v>#N/A</v>
      </c>
    </row>
    <row r="282" ht="22.5" customHeight="1">
      <c r="A282" s="529"/>
      <c r="B282" s="475"/>
      <c r="C282" s="526"/>
      <c r="D282" s="457"/>
      <c r="E282" s="530"/>
      <c r="F282" s="461" t="str">
        <f>VLOOKUP(E282, 'COSTO UNITARIO'!$K$16:$L$27, 2, FALSE)</f>
        <v>#N/A</v>
      </c>
    </row>
    <row r="283" ht="22.5" customHeight="1">
      <c r="A283" s="529"/>
      <c r="B283" s="475"/>
      <c r="C283" s="526"/>
      <c r="D283" s="457"/>
      <c r="E283" s="530"/>
      <c r="F283" s="461" t="str">
        <f>VLOOKUP(E283, 'COSTO UNITARIO'!$K$16:$L$27, 2, FALSE)</f>
        <v>#N/A</v>
      </c>
    </row>
    <row r="284" ht="22.5" customHeight="1">
      <c r="A284" s="529"/>
      <c r="B284" s="475"/>
      <c r="C284" s="526"/>
      <c r="D284" s="457"/>
      <c r="E284" s="530"/>
      <c r="F284" s="461" t="str">
        <f>VLOOKUP(E284, 'COSTO UNITARIO'!$K$16:$L$27, 2, FALSE)</f>
        <v>#N/A</v>
      </c>
    </row>
    <row r="285" ht="22.5" customHeight="1">
      <c r="A285" s="529"/>
      <c r="B285" s="475"/>
      <c r="C285" s="526"/>
      <c r="D285" s="457"/>
      <c r="E285" s="530"/>
      <c r="F285" s="461" t="str">
        <f>VLOOKUP(E285, 'COSTO UNITARIO'!$K$16:$L$27, 2, FALSE)</f>
        <v>#N/A</v>
      </c>
    </row>
    <row r="286" ht="22.5" customHeight="1">
      <c r="A286" s="529"/>
      <c r="B286" s="475"/>
      <c r="C286" s="526"/>
      <c r="D286" s="457"/>
      <c r="E286" s="530"/>
      <c r="F286" s="461" t="str">
        <f>VLOOKUP(E286, 'COSTO UNITARIO'!$K$16:$L$27, 2, FALSE)</f>
        <v>#N/A</v>
      </c>
    </row>
    <row r="287" ht="22.5" customHeight="1">
      <c r="A287" s="529"/>
      <c r="B287" s="475"/>
      <c r="C287" s="526"/>
      <c r="D287" s="457"/>
      <c r="E287" s="530"/>
      <c r="F287" s="461" t="str">
        <f>VLOOKUP(E287, 'COSTO UNITARIO'!$K$16:$L$27, 2, FALSE)</f>
        <v>#N/A</v>
      </c>
    </row>
    <row r="288" ht="22.5" customHeight="1">
      <c r="A288" s="529"/>
      <c r="B288" s="475"/>
      <c r="C288" s="526"/>
      <c r="D288" s="457"/>
      <c r="E288" s="530"/>
      <c r="F288" s="461" t="str">
        <f>VLOOKUP(E288, 'COSTO UNITARIO'!$K$16:$L$27, 2, FALSE)</f>
        <v>#N/A</v>
      </c>
    </row>
    <row r="289" ht="22.5" customHeight="1">
      <c r="A289" s="529"/>
      <c r="B289" s="475"/>
      <c r="C289" s="526"/>
      <c r="D289" s="457"/>
      <c r="E289" s="530"/>
      <c r="F289" s="461" t="str">
        <f>VLOOKUP(E289, 'COSTO UNITARIO'!$K$16:$L$27, 2, FALSE)</f>
        <v>#N/A</v>
      </c>
    </row>
    <row r="290" ht="22.5" customHeight="1">
      <c r="A290" s="529"/>
      <c r="B290" s="475"/>
      <c r="C290" s="526"/>
      <c r="D290" s="457"/>
      <c r="E290" s="530"/>
      <c r="F290" s="461" t="str">
        <f>VLOOKUP(E290, 'COSTO UNITARIO'!$K$16:$L$27, 2, FALSE)</f>
        <v>#N/A</v>
      </c>
    </row>
    <row r="291" ht="22.5" customHeight="1">
      <c r="A291" s="529"/>
      <c r="B291" s="475"/>
      <c r="C291" s="526"/>
      <c r="D291" s="457"/>
      <c r="E291" s="530"/>
      <c r="F291" s="461" t="str">
        <f>VLOOKUP(E291, 'COSTO UNITARIO'!$K$16:$L$27, 2, FALSE)</f>
        <v>#N/A</v>
      </c>
    </row>
    <row r="292" ht="22.5" customHeight="1">
      <c r="A292" s="529"/>
      <c r="B292" s="475"/>
      <c r="C292" s="526"/>
      <c r="D292" s="457"/>
      <c r="E292" s="530"/>
      <c r="F292" s="461" t="str">
        <f>VLOOKUP(E292, 'COSTO UNITARIO'!$K$16:$L$27, 2, FALSE)</f>
        <v>#N/A</v>
      </c>
    </row>
    <row r="293" ht="22.5" customHeight="1">
      <c r="A293" s="529"/>
      <c r="B293" s="475"/>
      <c r="C293" s="526"/>
      <c r="D293" s="457"/>
      <c r="E293" s="530"/>
      <c r="F293" s="461" t="str">
        <f>VLOOKUP(E293, 'COSTO UNITARIO'!$K$16:$L$27, 2, FALSE)</f>
        <v>#N/A</v>
      </c>
    </row>
    <row r="294" ht="22.5" customHeight="1">
      <c r="A294" s="529"/>
      <c r="B294" s="475"/>
      <c r="C294" s="526"/>
      <c r="D294" s="457"/>
      <c r="E294" s="530"/>
      <c r="F294" s="461" t="str">
        <f>VLOOKUP(E294, 'COSTO UNITARIO'!$K$16:$L$27, 2, FALSE)</f>
        <v>#N/A</v>
      </c>
    </row>
    <row r="295" ht="22.5" customHeight="1">
      <c r="A295" s="529"/>
      <c r="B295" s="475"/>
      <c r="C295" s="526"/>
      <c r="D295" s="457"/>
      <c r="E295" s="530"/>
      <c r="F295" s="461" t="str">
        <f>VLOOKUP(E295, 'COSTO UNITARIO'!$K$16:$L$27, 2, FALSE)</f>
        <v>#N/A</v>
      </c>
    </row>
    <row r="296" ht="22.5" customHeight="1">
      <c r="A296" s="529"/>
      <c r="B296" s="475"/>
      <c r="C296" s="526"/>
      <c r="D296" s="457"/>
      <c r="E296" s="530"/>
      <c r="F296" s="461" t="str">
        <f>VLOOKUP(E296, 'COSTO UNITARIO'!$K$16:$L$27, 2, FALSE)</f>
        <v>#N/A</v>
      </c>
    </row>
    <row r="297" ht="22.5" customHeight="1">
      <c r="A297" s="529"/>
      <c r="B297" s="475"/>
      <c r="C297" s="526"/>
      <c r="D297" s="457"/>
      <c r="E297" s="530"/>
      <c r="F297" s="461" t="str">
        <f>VLOOKUP(E297, 'COSTO UNITARIO'!$K$16:$L$27, 2, FALSE)</f>
        <v>#N/A</v>
      </c>
    </row>
    <row r="298" ht="22.5" customHeight="1">
      <c r="A298" s="529"/>
      <c r="B298" s="475"/>
      <c r="C298" s="526"/>
      <c r="D298" s="457"/>
      <c r="E298" s="530"/>
      <c r="F298" s="461" t="str">
        <f>VLOOKUP(E298, 'COSTO UNITARIO'!$K$16:$L$27, 2, FALSE)</f>
        <v>#N/A</v>
      </c>
    </row>
    <row r="299" ht="22.5" customHeight="1">
      <c r="A299" s="529"/>
      <c r="B299" s="475"/>
      <c r="C299" s="526"/>
      <c r="D299" s="457"/>
      <c r="E299" s="530"/>
      <c r="F299" s="461" t="str">
        <f>VLOOKUP(E299, 'COSTO UNITARIO'!$K$16:$L$27, 2, FALSE)</f>
        <v>#N/A</v>
      </c>
    </row>
    <row r="300" ht="22.5" customHeight="1">
      <c r="A300" s="529"/>
      <c r="B300" s="475"/>
      <c r="C300" s="526"/>
      <c r="D300" s="457"/>
      <c r="E300" s="530"/>
      <c r="F300" s="461" t="str">
        <f>VLOOKUP(E300, 'COSTO UNITARIO'!$K$16:$L$27, 2, FALSE)</f>
        <v>#N/A</v>
      </c>
    </row>
    <row r="301" ht="22.5" customHeight="1">
      <c r="A301" s="529"/>
      <c r="B301" s="475"/>
      <c r="C301" s="526"/>
      <c r="D301" s="457"/>
      <c r="E301" s="530"/>
      <c r="F301" s="461" t="str">
        <f>VLOOKUP(E301, 'COSTO UNITARIO'!$K$16:$L$27, 2, FALSE)</f>
        <v>#N/A</v>
      </c>
    </row>
    <row r="302" ht="22.5" customHeight="1">
      <c r="A302" s="529"/>
      <c r="B302" s="475"/>
      <c r="C302" s="526"/>
      <c r="D302" s="457"/>
      <c r="E302" s="530"/>
      <c r="F302" s="461" t="str">
        <f>VLOOKUP(E302, 'COSTO UNITARIO'!$K$16:$L$27, 2, FALSE)</f>
        <v>#N/A</v>
      </c>
    </row>
    <row r="303" ht="22.5" customHeight="1">
      <c r="A303" s="529"/>
      <c r="B303" s="475"/>
      <c r="C303" s="526"/>
      <c r="D303" s="457"/>
      <c r="E303" s="530"/>
      <c r="F303" s="461" t="str">
        <f>VLOOKUP(E303, 'COSTO UNITARIO'!$K$16:$L$27, 2, FALSE)</f>
        <v>#N/A</v>
      </c>
    </row>
    <row r="304" ht="22.5" customHeight="1">
      <c r="A304" s="529"/>
      <c r="B304" s="475"/>
      <c r="C304" s="526"/>
      <c r="D304" s="457"/>
      <c r="E304" s="530"/>
      <c r="F304" s="461" t="str">
        <f>VLOOKUP(E304, 'COSTO UNITARIO'!$K$16:$L$27, 2, FALSE)</f>
        <v>#N/A</v>
      </c>
    </row>
    <row r="305" ht="22.5" customHeight="1">
      <c r="A305" s="529"/>
      <c r="B305" s="475"/>
      <c r="C305" s="526"/>
      <c r="D305" s="457"/>
      <c r="E305" s="530"/>
      <c r="F305" s="461" t="str">
        <f>VLOOKUP(E305, 'COSTO UNITARIO'!$K$16:$L$27, 2, FALSE)</f>
        <v>#N/A</v>
      </c>
    </row>
    <row r="306" ht="22.5" customHeight="1">
      <c r="A306" s="529"/>
      <c r="B306" s="475"/>
      <c r="C306" s="526"/>
      <c r="D306" s="457"/>
      <c r="E306" s="530"/>
      <c r="F306" s="461" t="str">
        <f>VLOOKUP(E306, 'COSTO UNITARIO'!$K$16:$L$27, 2, FALSE)</f>
        <v>#N/A</v>
      </c>
    </row>
    <row r="307" ht="22.5" customHeight="1">
      <c r="A307" s="529"/>
      <c r="B307" s="475"/>
      <c r="C307" s="526"/>
      <c r="D307" s="457"/>
      <c r="E307" s="530"/>
      <c r="F307" s="461" t="str">
        <f>VLOOKUP(E307, 'COSTO UNITARIO'!$K$16:$L$27, 2, FALSE)</f>
        <v>#N/A</v>
      </c>
    </row>
    <row r="308" ht="22.5" customHeight="1">
      <c r="A308" s="529"/>
      <c r="B308" s="475"/>
      <c r="C308" s="526"/>
      <c r="D308" s="457"/>
      <c r="E308" s="530"/>
      <c r="F308" s="461" t="str">
        <f>VLOOKUP(E308, 'COSTO UNITARIO'!$K$16:$L$27, 2, FALSE)</f>
        <v>#N/A</v>
      </c>
    </row>
    <row r="309" ht="22.5" customHeight="1">
      <c r="A309" s="529"/>
      <c r="B309" s="475"/>
      <c r="C309" s="526"/>
      <c r="D309" s="457"/>
      <c r="E309" s="530"/>
      <c r="F309" s="461" t="str">
        <f>VLOOKUP(E309, 'COSTO UNITARIO'!$K$16:$L$27, 2, FALSE)</f>
        <v>#N/A</v>
      </c>
    </row>
    <row r="310" ht="22.5" customHeight="1">
      <c r="A310" s="529"/>
      <c r="B310" s="475"/>
      <c r="C310" s="526"/>
      <c r="D310" s="457"/>
      <c r="E310" s="530"/>
      <c r="F310" s="461" t="str">
        <f>VLOOKUP(E310, 'COSTO UNITARIO'!$K$16:$L$27, 2, FALSE)</f>
        <v>#N/A</v>
      </c>
    </row>
    <row r="311" ht="22.5" customHeight="1">
      <c r="A311" s="529"/>
      <c r="B311" s="475"/>
      <c r="C311" s="526"/>
      <c r="D311" s="457"/>
      <c r="E311" s="530"/>
      <c r="F311" s="461" t="str">
        <f>VLOOKUP(E311, 'COSTO UNITARIO'!$K$16:$L$27, 2, FALSE)</f>
        <v>#N/A</v>
      </c>
    </row>
    <row r="312" ht="22.5" customHeight="1">
      <c r="A312" s="529"/>
      <c r="B312" s="475"/>
      <c r="C312" s="526"/>
      <c r="D312" s="457"/>
      <c r="E312" s="530"/>
      <c r="F312" s="461" t="str">
        <f>VLOOKUP(E312, 'COSTO UNITARIO'!$K$16:$L$27, 2, FALSE)</f>
        <v>#N/A</v>
      </c>
    </row>
    <row r="313" ht="22.5" customHeight="1">
      <c r="A313" s="529"/>
      <c r="B313" s="475"/>
      <c r="C313" s="526"/>
      <c r="D313" s="457"/>
      <c r="E313" s="530"/>
      <c r="F313" s="461" t="str">
        <f>VLOOKUP(E313, 'COSTO UNITARIO'!$K$16:$L$27, 2, FALSE)</f>
        <v>#N/A</v>
      </c>
    </row>
    <row r="314" ht="22.5" customHeight="1">
      <c r="A314" s="529"/>
      <c r="B314" s="475"/>
      <c r="C314" s="526"/>
      <c r="D314" s="457"/>
      <c r="E314" s="530"/>
      <c r="F314" s="461" t="str">
        <f>VLOOKUP(E314, 'COSTO UNITARIO'!$K$16:$L$27, 2, FALSE)</f>
        <v>#N/A</v>
      </c>
    </row>
    <row r="315" ht="22.5" customHeight="1">
      <c r="A315" s="529"/>
      <c r="B315" s="475"/>
      <c r="C315" s="526"/>
      <c r="D315" s="457"/>
      <c r="E315" s="530"/>
      <c r="F315" s="461" t="str">
        <f>VLOOKUP(E315, 'COSTO UNITARIO'!$K$16:$L$27, 2, FALSE)</f>
        <v>#N/A</v>
      </c>
    </row>
    <row r="316" ht="22.5" customHeight="1">
      <c r="A316" s="529"/>
      <c r="B316" s="475"/>
      <c r="C316" s="526"/>
      <c r="D316" s="457"/>
      <c r="E316" s="530"/>
      <c r="F316" s="461" t="str">
        <f>VLOOKUP(E316, 'COSTO UNITARIO'!$K$16:$L$27, 2, FALSE)</f>
        <v>#N/A</v>
      </c>
    </row>
    <row r="317" ht="22.5" customHeight="1">
      <c r="A317" s="529"/>
      <c r="B317" s="475"/>
      <c r="C317" s="526"/>
      <c r="D317" s="457"/>
      <c r="E317" s="530"/>
      <c r="F317" s="461" t="str">
        <f>VLOOKUP(E317, 'COSTO UNITARIO'!$K$16:$L$27, 2, FALSE)</f>
        <v>#N/A</v>
      </c>
    </row>
    <row r="318" ht="22.5" customHeight="1">
      <c r="A318" s="529"/>
      <c r="B318" s="475"/>
      <c r="C318" s="526"/>
      <c r="D318" s="457"/>
      <c r="E318" s="530"/>
      <c r="F318" s="461" t="str">
        <f>VLOOKUP(E318, 'COSTO UNITARIO'!$K$16:$L$27, 2, FALSE)</f>
        <v>#N/A</v>
      </c>
    </row>
    <row r="319" ht="22.5" customHeight="1">
      <c r="A319" s="529"/>
      <c r="B319" s="475"/>
      <c r="C319" s="526"/>
      <c r="D319" s="457"/>
      <c r="E319" s="530"/>
      <c r="F319" s="461" t="str">
        <f>VLOOKUP(E319, 'COSTO UNITARIO'!$K$16:$L$27, 2, FALSE)</f>
        <v>#N/A</v>
      </c>
    </row>
    <row r="320" ht="22.5" customHeight="1">
      <c r="A320" s="529"/>
      <c r="B320" s="475"/>
      <c r="C320" s="526"/>
      <c r="D320" s="457"/>
      <c r="E320" s="530"/>
      <c r="F320" s="461" t="str">
        <f>VLOOKUP(E320, 'COSTO UNITARIO'!$K$16:$L$27, 2, FALSE)</f>
        <v>#N/A</v>
      </c>
    </row>
    <row r="321" ht="22.5" customHeight="1">
      <c r="A321" s="529"/>
      <c r="B321" s="475"/>
      <c r="C321" s="526"/>
      <c r="D321" s="457"/>
      <c r="E321" s="530"/>
      <c r="F321" s="461" t="str">
        <f>VLOOKUP(E321, 'COSTO UNITARIO'!$K$16:$L$27, 2, FALSE)</f>
        <v>#N/A</v>
      </c>
    </row>
    <row r="322" ht="22.5" customHeight="1">
      <c r="A322" s="529"/>
      <c r="B322" s="475"/>
      <c r="C322" s="526"/>
      <c r="D322" s="457"/>
      <c r="E322" s="530"/>
      <c r="F322" s="461" t="str">
        <f>VLOOKUP(E322, 'COSTO UNITARIO'!$K$16:$L$27, 2, FALSE)</f>
        <v>#N/A</v>
      </c>
    </row>
    <row r="323" ht="22.5" customHeight="1">
      <c r="A323" s="529"/>
      <c r="B323" s="475"/>
      <c r="C323" s="526"/>
      <c r="D323" s="457"/>
      <c r="E323" s="530"/>
      <c r="F323" s="461" t="str">
        <f>VLOOKUP(E323, 'COSTO UNITARIO'!$K$16:$L$27, 2, FALSE)</f>
        <v>#N/A</v>
      </c>
    </row>
    <row r="324" ht="22.5" customHeight="1">
      <c r="A324" s="529"/>
      <c r="B324" s="475"/>
      <c r="C324" s="526"/>
      <c r="D324" s="457"/>
      <c r="E324" s="530"/>
      <c r="F324" s="461" t="str">
        <f>VLOOKUP(E324, 'COSTO UNITARIO'!$K$16:$L$27, 2, FALSE)</f>
        <v>#N/A</v>
      </c>
    </row>
    <row r="325" ht="22.5" customHeight="1">
      <c r="A325" s="529"/>
      <c r="B325" s="475"/>
      <c r="C325" s="526"/>
      <c r="D325" s="457"/>
      <c r="E325" s="530"/>
      <c r="F325" s="461" t="str">
        <f>VLOOKUP(E325, 'COSTO UNITARIO'!$K$16:$L$27, 2, FALSE)</f>
        <v>#N/A</v>
      </c>
    </row>
    <row r="326" ht="22.5" customHeight="1">
      <c r="A326" s="529"/>
      <c r="B326" s="475"/>
      <c r="C326" s="526"/>
      <c r="D326" s="457"/>
      <c r="E326" s="530"/>
      <c r="F326" s="461" t="str">
        <f>VLOOKUP(E326, 'COSTO UNITARIO'!$K$16:$L$27, 2, FALSE)</f>
        <v>#N/A</v>
      </c>
    </row>
    <row r="327" ht="22.5" customHeight="1">
      <c r="A327" s="529"/>
      <c r="B327" s="475"/>
      <c r="C327" s="526"/>
      <c r="D327" s="457"/>
      <c r="E327" s="530"/>
      <c r="F327" s="461" t="str">
        <f>VLOOKUP(E327, 'COSTO UNITARIO'!$K$16:$L$27, 2, FALSE)</f>
        <v>#N/A</v>
      </c>
    </row>
    <row r="328" ht="22.5" customHeight="1">
      <c r="A328" s="529"/>
      <c r="B328" s="475"/>
      <c r="C328" s="526"/>
      <c r="D328" s="457"/>
      <c r="E328" s="530"/>
      <c r="F328" s="461" t="str">
        <f>VLOOKUP(E328, 'COSTO UNITARIO'!$K$16:$L$27, 2, FALSE)</f>
        <v>#N/A</v>
      </c>
    </row>
    <row r="329" ht="22.5" customHeight="1">
      <c r="A329" s="529"/>
      <c r="B329" s="475"/>
      <c r="C329" s="526"/>
      <c r="D329" s="457"/>
      <c r="E329" s="530"/>
      <c r="F329" s="461" t="str">
        <f>VLOOKUP(E329, 'COSTO UNITARIO'!$K$16:$L$27, 2, FALSE)</f>
        <v>#N/A</v>
      </c>
    </row>
    <row r="330" ht="22.5" customHeight="1">
      <c r="A330" s="529"/>
      <c r="B330" s="475"/>
      <c r="C330" s="526"/>
      <c r="D330" s="457"/>
      <c r="E330" s="530"/>
      <c r="F330" s="461" t="str">
        <f>VLOOKUP(E330, 'COSTO UNITARIO'!$K$16:$L$27, 2, FALSE)</f>
        <v>#N/A</v>
      </c>
    </row>
    <row r="331" ht="22.5" customHeight="1">
      <c r="A331" s="529"/>
      <c r="B331" s="475"/>
      <c r="C331" s="526"/>
      <c r="D331" s="457"/>
      <c r="E331" s="530"/>
      <c r="F331" s="461" t="str">
        <f>VLOOKUP(E331, 'COSTO UNITARIO'!$K$16:$L$27, 2, FALSE)</f>
        <v>#N/A</v>
      </c>
    </row>
    <row r="332" ht="22.5" customHeight="1">
      <c r="A332" s="529"/>
      <c r="B332" s="475"/>
      <c r="C332" s="526"/>
      <c r="D332" s="457"/>
      <c r="E332" s="530"/>
      <c r="F332" s="461" t="str">
        <f>VLOOKUP(E332, 'COSTO UNITARIO'!$K$16:$L$27, 2, FALSE)</f>
        <v>#N/A</v>
      </c>
    </row>
    <row r="333" ht="22.5" customHeight="1">
      <c r="A333" s="529"/>
      <c r="B333" s="475"/>
      <c r="C333" s="526"/>
      <c r="D333" s="457"/>
      <c r="E333" s="530"/>
      <c r="F333" s="461" t="str">
        <f>VLOOKUP(E333, 'COSTO UNITARIO'!$K$16:$L$27, 2, FALSE)</f>
        <v>#N/A</v>
      </c>
    </row>
    <row r="334" ht="22.5" customHeight="1">
      <c r="A334" s="529"/>
      <c r="B334" s="475"/>
      <c r="C334" s="526"/>
      <c r="D334" s="457"/>
      <c r="E334" s="530"/>
      <c r="F334" s="461" t="str">
        <f>VLOOKUP(E334, 'COSTO UNITARIO'!$K$16:$L$27, 2, FALSE)</f>
        <v>#N/A</v>
      </c>
    </row>
    <row r="335" ht="22.5" customHeight="1">
      <c r="A335" s="529"/>
      <c r="B335" s="475"/>
      <c r="C335" s="526"/>
      <c r="D335" s="457"/>
      <c r="E335" s="530"/>
      <c r="F335" s="461" t="str">
        <f>VLOOKUP(E335, 'COSTO UNITARIO'!$K$16:$L$27, 2, FALSE)</f>
        <v>#N/A</v>
      </c>
    </row>
    <row r="336" ht="22.5" customHeight="1">
      <c r="A336" s="529"/>
      <c r="B336" s="475"/>
      <c r="C336" s="526"/>
      <c r="D336" s="457"/>
      <c r="E336" s="530"/>
      <c r="F336" s="461" t="str">
        <f>VLOOKUP(E336, 'COSTO UNITARIO'!$K$16:$L$27, 2, FALSE)</f>
        <v>#N/A</v>
      </c>
    </row>
    <row r="337" ht="22.5" customHeight="1">
      <c r="A337" s="529"/>
      <c r="B337" s="475"/>
      <c r="C337" s="526"/>
      <c r="D337" s="457"/>
      <c r="E337" s="530"/>
      <c r="F337" s="461" t="str">
        <f>VLOOKUP(E337, 'COSTO UNITARIO'!$K$16:$L$27, 2, FALSE)</f>
        <v>#N/A</v>
      </c>
    </row>
    <row r="338" ht="22.5" customHeight="1">
      <c r="A338" s="529"/>
      <c r="B338" s="475"/>
      <c r="C338" s="526"/>
      <c r="D338" s="457"/>
      <c r="E338" s="530"/>
      <c r="F338" s="461" t="str">
        <f>VLOOKUP(E338, 'COSTO UNITARIO'!$K$16:$L$27, 2, FALSE)</f>
        <v>#N/A</v>
      </c>
    </row>
    <row r="339" ht="22.5" customHeight="1">
      <c r="A339" s="529"/>
      <c r="B339" s="475"/>
      <c r="C339" s="526"/>
      <c r="D339" s="457"/>
      <c r="E339" s="530"/>
      <c r="F339" s="461" t="str">
        <f>VLOOKUP(E339, 'COSTO UNITARIO'!$K$16:$L$27, 2, FALSE)</f>
        <v>#N/A</v>
      </c>
    </row>
    <row r="340" ht="22.5" customHeight="1">
      <c r="A340" s="529"/>
      <c r="B340" s="475"/>
      <c r="C340" s="526"/>
      <c r="D340" s="457"/>
      <c r="E340" s="530"/>
      <c r="F340" s="461" t="str">
        <f>VLOOKUP(E340, 'COSTO UNITARIO'!$K$16:$L$27, 2, FALSE)</f>
        <v>#N/A</v>
      </c>
    </row>
    <row r="341" ht="22.5" customHeight="1">
      <c r="A341" s="529"/>
      <c r="B341" s="475"/>
      <c r="C341" s="526"/>
      <c r="D341" s="457"/>
      <c r="E341" s="530"/>
      <c r="F341" s="461" t="str">
        <f>VLOOKUP(E341, 'COSTO UNITARIO'!$K$16:$L$27, 2, FALSE)</f>
        <v>#N/A</v>
      </c>
    </row>
    <row r="342" ht="22.5" customHeight="1">
      <c r="A342" s="529"/>
      <c r="B342" s="475"/>
      <c r="C342" s="526"/>
      <c r="D342" s="457"/>
      <c r="E342" s="530"/>
      <c r="F342" s="461" t="str">
        <f>VLOOKUP(E342, 'COSTO UNITARIO'!$K$16:$L$27, 2, FALSE)</f>
        <v>#N/A</v>
      </c>
    </row>
    <row r="343" ht="22.5" customHeight="1">
      <c r="A343" s="529"/>
      <c r="B343" s="475"/>
      <c r="C343" s="526"/>
      <c r="D343" s="457"/>
      <c r="E343" s="530"/>
      <c r="F343" s="461" t="str">
        <f>VLOOKUP(E343, 'COSTO UNITARIO'!$K$16:$L$27, 2, FALSE)</f>
        <v>#N/A</v>
      </c>
    </row>
    <row r="344" ht="22.5" customHeight="1">
      <c r="A344" s="529"/>
      <c r="B344" s="475"/>
      <c r="C344" s="526"/>
      <c r="D344" s="457"/>
      <c r="E344" s="530"/>
      <c r="F344" s="461" t="str">
        <f>VLOOKUP(E344, 'COSTO UNITARIO'!$K$16:$L$27, 2, FALSE)</f>
        <v>#N/A</v>
      </c>
    </row>
    <row r="345" ht="22.5" customHeight="1">
      <c r="A345" s="529"/>
      <c r="B345" s="475"/>
      <c r="C345" s="526"/>
      <c r="D345" s="457"/>
      <c r="E345" s="530"/>
      <c r="F345" s="461" t="str">
        <f>VLOOKUP(E345, 'COSTO UNITARIO'!$K$16:$L$27, 2, FALSE)</f>
        <v>#N/A</v>
      </c>
    </row>
    <row r="346" ht="22.5" customHeight="1">
      <c r="A346" s="529"/>
      <c r="B346" s="475"/>
      <c r="C346" s="526"/>
      <c r="D346" s="457"/>
      <c r="E346" s="530"/>
      <c r="F346" s="461" t="str">
        <f>VLOOKUP(E346, 'COSTO UNITARIO'!$K$16:$L$27, 2, FALSE)</f>
        <v>#N/A</v>
      </c>
    </row>
    <row r="347" ht="22.5" customHeight="1">
      <c r="A347" s="529"/>
      <c r="B347" s="475"/>
      <c r="C347" s="526"/>
      <c r="D347" s="457"/>
      <c r="E347" s="530"/>
      <c r="F347" s="461" t="str">
        <f>VLOOKUP(E347, 'COSTO UNITARIO'!$K$16:$L$27, 2, FALSE)</f>
        <v>#N/A</v>
      </c>
    </row>
    <row r="348" ht="22.5" customHeight="1">
      <c r="A348" s="529"/>
      <c r="B348" s="475"/>
      <c r="C348" s="526"/>
      <c r="D348" s="457"/>
      <c r="E348" s="530"/>
      <c r="F348" s="461" t="str">
        <f>VLOOKUP(E348, 'COSTO UNITARIO'!$K$16:$L$27, 2, FALSE)</f>
        <v>#N/A</v>
      </c>
    </row>
    <row r="349" ht="22.5" customHeight="1">
      <c r="A349" s="529"/>
      <c r="B349" s="475"/>
      <c r="C349" s="526"/>
      <c r="D349" s="457"/>
      <c r="E349" s="530"/>
      <c r="F349" s="461" t="str">
        <f>VLOOKUP(E349, 'COSTO UNITARIO'!$K$16:$L$27, 2, FALSE)</f>
        <v>#N/A</v>
      </c>
    </row>
    <row r="350" ht="22.5" customHeight="1">
      <c r="A350" s="529"/>
      <c r="B350" s="475"/>
      <c r="C350" s="526"/>
      <c r="D350" s="457"/>
      <c r="E350" s="530"/>
      <c r="F350" s="461" t="str">
        <f>VLOOKUP(E350, 'COSTO UNITARIO'!$K$16:$L$27, 2, FALSE)</f>
        <v>#N/A</v>
      </c>
    </row>
    <row r="351" ht="22.5" customHeight="1">
      <c r="A351" s="529"/>
      <c r="B351" s="475"/>
      <c r="C351" s="526"/>
      <c r="D351" s="457"/>
      <c r="E351" s="530"/>
      <c r="F351" s="461" t="str">
        <f>VLOOKUP(E351, 'COSTO UNITARIO'!$K$16:$L$27, 2, FALSE)</f>
        <v>#N/A</v>
      </c>
    </row>
    <row r="352" ht="22.5" customHeight="1">
      <c r="A352" s="529"/>
      <c r="B352" s="475"/>
      <c r="C352" s="526"/>
      <c r="D352" s="457"/>
      <c r="E352" s="530"/>
      <c r="F352" s="461" t="str">
        <f>VLOOKUP(E352, 'COSTO UNITARIO'!$K$16:$L$27, 2, FALSE)</f>
        <v>#N/A</v>
      </c>
    </row>
    <row r="353" ht="22.5" customHeight="1">
      <c r="A353" s="529"/>
      <c r="B353" s="475"/>
      <c r="C353" s="526"/>
      <c r="D353" s="457"/>
      <c r="E353" s="530"/>
      <c r="F353" s="461" t="str">
        <f>VLOOKUP(E353, 'COSTO UNITARIO'!$K$16:$L$27, 2, FALSE)</f>
        <v>#N/A</v>
      </c>
    </row>
    <row r="354" ht="22.5" customHeight="1">
      <c r="A354" s="529"/>
      <c r="B354" s="475"/>
      <c r="C354" s="526"/>
      <c r="D354" s="457"/>
      <c r="E354" s="530"/>
      <c r="F354" s="461" t="str">
        <f>VLOOKUP(E354, 'COSTO UNITARIO'!$K$16:$L$27, 2, FALSE)</f>
        <v>#N/A</v>
      </c>
    </row>
    <row r="355" ht="22.5" customHeight="1">
      <c r="A355" s="529"/>
      <c r="B355" s="475"/>
      <c r="C355" s="526"/>
      <c r="D355" s="457"/>
      <c r="E355" s="530"/>
      <c r="F355" s="461" t="str">
        <f>VLOOKUP(E355, 'COSTO UNITARIO'!$K$16:$L$27, 2, FALSE)</f>
        <v>#N/A</v>
      </c>
    </row>
    <row r="356" ht="22.5" customHeight="1">
      <c r="A356" s="529"/>
      <c r="B356" s="475"/>
      <c r="C356" s="526"/>
      <c r="D356" s="457"/>
      <c r="E356" s="530"/>
      <c r="F356" s="461" t="str">
        <f>VLOOKUP(E356, 'COSTO UNITARIO'!$K$16:$L$27, 2, FALSE)</f>
        <v>#N/A</v>
      </c>
    </row>
    <row r="357" ht="22.5" customHeight="1">
      <c r="A357" s="529"/>
      <c r="B357" s="475"/>
      <c r="C357" s="526"/>
      <c r="D357" s="457"/>
      <c r="E357" s="530"/>
      <c r="F357" s="461" t="str">
        <f>VLOOKUP(E357, 'COSTO UNITARIO'!$K$16:$L$27, 2, FALSE)</f>
        <v>#N/A</v>
      </c>
    </row>
    <row r="358" ht="22.5" customHeight="1">
      <c r="A358" s="529"/>
      <c r="B358" s="475"/>
      <c r="C358" s="526"/>
      <c r="D358" s="457"/>
      <c r="E358" s="530"/>
      <c r="F358" s="461" t="str">
        <f>VLOOKUP(E358, 'COSTO UNITARIO'!$K$16:$L$27, 2, FALSE)</f>
        <v>#N/A</v>
      </c>
    </row>
    <row r="359" ht="22.5" customHeight="1">
      <c r="A359" s="529"/>
      <c r="B359" s="475"/>
      <c r="C359" s="526"/>
      <c r="D359" s="457"/>
      <c r="E359" s="530"/>
      <c r="F359" s="461" t="str">
        <f>VLOOKUP(E359, 'COSTO UNITARIO'!$K$16:$L$27, 2, FALSE)</f>
        <v>#N/A</v>
      </c>
    </row>
    <row r="360" ht="22.5" customHeight="1">
      <c r="A360" s="529"/>
      <c r="B360" s="475"/>
      <c r="C360" s="526"/>
      <c r="D360" s="457"/>
      <c r="E360" s="530"/>
      <c r="F360" s="461" t="str">
        <f>VLOOKUP(E360, 'COSTO UNITARIO'!$K$16:$L$27, 2, FALSE)</f>
        <v>#N/A</v>
      </c>
    </row>
    <row r="361" ht="22.5" customHeight="1">
      <c r="A361" s="529"/>
      <c r="B361" s="475"/>
      <c r="C361" s="526"/>
      <c r="D361" s="457"/>
      <c r="E361" s="530"/>
      <c r="F361" s="461" t="str">
        <f>VLOOKUP(E361, 'COSTO UNITARIO'!$K$16:$L$27, 2, FALSE)</f>
        <v>#N/A</v>
      </c>
    </row>
    <row r="362" ht="22.5" customHeight="1">
      <c r="A362" s="529"/>
      <c r="B362" s="475"/>
      <c r="C362" s="526"/>
      <c r="D362" s="457"/>
      <c r="E362" s="530"/>
      <c r="F362" s="461" t="str">
        <f>VLOOKUP(E362, 'COSTO UNITARIO'!$K$16:$L$27, 2, FALSE)</f>
        <v>#N/A</v>
      </c>
    </row>
    <row r="363" ht="22.5" customHeight="1">
      <c r="A363" s="529"/>
      <c r="B363" s="475"/>
      <c r="C363" s="526"/>
      <c r="D363" s="457"/>
      <c r="E363" s="530"/>
      <c r="F363" s="461" t="str">
        <f>VLOOKUP(E363, 'COSTO UNITARIO'!$K$16:$L$27, 2, FALSE)</f>
        <v>#N/A</v>
      </c>
    </row>
    <row r="364" ht="22.5" customHeight="1">
      <c r="A364" s="529"/>
      <c r="B364" s="475"/>
      <c r="C364" s="526"/>
      <c r="D364" s="457"/>
      <c r="E364" s="530"/>
      <c r="F364" s="461" t="str">
        <f>VLOOKUP(E364, 'COSTO UNITARIO'!$K$16:$L$27, 2, FALSE)</f>
        <v>#N/A</v>
      </c>
    </row>
    <row r="365" ht="22.5" customHeight="1">
      <c r="A365" s="529"/>
      <c r="B365" s="475"/>
      <c r="C365" s="526"/>
      <c r="D365" s="457"/>
      <c r="E365" s="530"/>
      <c r="F365" s="461" t="str">
        <f>VLOOKUP(E365, 'COSTO UNITARIO'!$K$16:$L$27, 2, FALSE)</f>
        <v>#N/A</v>
      </c>
    </row>
    <row r="366" ht="22.5" customHeight="1">
      <c r="A366" s="529"/>
      <c r="B366" s="475"/>
      <c r="C366" s="526"/>
      <c r="D366" s="457"/>
      <c r="E366" s="530"/>
      <c r="F366" s="461" t="str">
        <f>VLOOKUP(E366, 'COSTO UNITARIO'!$K$16:$L$27, 2, FALSE)</f>
        <v>#N/A</v>
      </c>
    </row>
    <row r="367" ht="22.5" customHeight="1">
      <c r="A367" s="529"/>
      <c r="B367" s="475"/>
      <c r="C367" s="526"/>
      <c r="D367" s="457"/>
      <c r="E367" s="530"/>
      <c r="F367" s="461" t="str">
        <f>VLOOKUP(E367, 'COSTO UNITARIO'!$K$16:$L$27, 2, FALSE)</f>
        <v>#N/A</v>
      </c>
    </row>
    <row r="368" ht="22.5" customHeight="1">
      <c r="A368" s="529"/>
      <c r="B368" s="475"/>
      <c r="C368" s="526"/>
      <c r="D368" s="457"/>
      <c r="E368" s="530"/>
      <c r="F368" s="461" t="str">
        <f>VLOOKUP(E368, 'COSTO UNITARIO'!$K$16:$L$27, 2, FALSE)</f>
        <v>#N/A</v>
      </c>
    </row>
    <row r="369" ht="22.5" customHeight="1">
      <c r="A369" s="529"/>
      <c r="B369" s="475"/>
      <c r="C369" s="526"/>
      <c r="D369" s="457"/>
      <c r="E369" s="530"/>
      <c r="F369" s="461" t="str">
        <f>VLOOKUP(E369, 'COSTO UNITARIO'!$K$16:$L$27, 2, FALSE)</f>
        <v>#N/A</v>
      </c>
    </row>
    <row r="370" ht="22.5" customHeight="1">
      <c r="A370" s="529"/>
      <c r="B370" s="475"/>
      <c r="C370" s="526"/>
      <c r="D370" s="457"/>
      <c r="E370" s="530"/>
      <c r="F370" s="461" t="str">
        <f>VLOOKUP(E370, 'COSTO UNITARIO'!$K$16:$L$27, 2, FALSE)</f>
        <v>#N/A</v>
      </c>
    </row>
    <row r="371" ht="22.5" customHeight="1">
      <c r="A371" s="529"/>
      <c r="B371" s="475"/>
      <c r="C371" s="526"/>
      <c r="D371" s="457"/>
      <c r="E371" s="530"/>
      <c r="F371" s="461" t="str">
        <f>VLOOKUP(E371, 'COSTO UNITARIO'!$K$16:$L$27, 2, FALSE)</f>
        <v>#N/A</v>
      </c>
    </row>
    <row r="372" ht="22.5" customHeight="1">
      <c r="A372" s="529"/>
      <c r="B372" s="475"/>
      <c r="C372" s="526"/>
      <c r="D372" s="457"/>
      <c r="E372" s="530"/>
      <c r="F372" s="461" t="str">
        <f>VLOOKUP(E372, 'COSTO UNITARIO'!$K$16:$L$27, 2, FALSE)</f>
        <v>#N/A</v>
      </c>
    </row>
    <row r="373" ht="22.5" customHeight="1">
      <c r="A373" s="529"/>
      <c r="B373" s="475"/>
      <c r="C373" s="526"/>
      <c r="D373" s="457"/>
      <c r="E373" s="530"/>
      <c r="F373" s="461" t="str">
        <f>VLOOKUP(E373, 'COSTO UNITARIO'!$K$16:$L$27, 2, FALSE)</f>
        <v>#N/A</v>
      </c>
    </row>
    <row r="374" ht="22.5" customHeight="1">
      <c r="A374" s="529"/>
      <c r="B374" s="475"/>
      <c r="C374" s="526"/>
      <c r="D374" s="457"/>
      <c r="E374" s="530"/>
      <c r="F374" s="461" t="str">
        <f>VLOOKUP(E374, 'COSTO UNITARIO'!$K$16:$L$27, 2, FALSE)</f>
        <v>#N/A</v>
      </c>
    </row>
    <row r="375" ht="22.5" customHeight="1">
      <c r="A375" s="529"/>
      <c r="B375" s="475"/>
      <c r="C375" s="526"/>
      <c r="D375" s="457"/>
      <c r="E375" s="530"/>
      <c r="F375" s="461" t="str">
        <f>VLOOKUP(E375, 'COSTO UNITARIO'!$K$16:$L$27, 2, FALSE)</f>
        <v>#N/A</v>
      </c>
    </row>
    <row r="376" ht="22.5" customHeight="1">
      <c r="A376" s="529"/>
      <c r="B376" s="475"/>
      <c r="C376" s="526"/>
      <c r="D376" s="457"/>
      <c r="E376" s="530"/>
      <c r="F376" s="461" t="str">
        <f>VLOOKUP(E376, 'COSTO UNITARIO'!$K$16:$L$27, 2, FALSE)</f>
        <v>#N/A</v>
      </c>
    </row>
    <row r="377" ht="22.5" customHeight="1">
      <c r="A377" s="529"/>
      <c r="B377" s="475"/>
      <c r="C377" s="526"/>
      <c r="D377" s="457"/>
      <c r="E377" s="530"/>
      <c r="F377" s="461" t="str">
        <f>VLOOKUP(E377, 'COSTO UNITARIO'!$K$16:$L$27, 2, FALSE)</f>
        <v>#N/A</v>
      </c>
    </row>
    <row r="378" ht="22.5" customHeight="1">
      <c r="A378" s="529"/>
      <c r="B378" s="475"/>
      <c r="C378" s="526"/>
      <c r="D378" s="457"/>
      <c r="E378" s="530"/>
      <c r="F378" s="461" t="str">
        <f>VLOOKUP(E378, 'COSTO UNITARIO'!$K$16:$L$27, 2, FALSE)</f>
        <v>#N/A</v>
      </c>
    </row>
    <row r="379" ht="22.5" customHeight="1">
      <c r="A379" s="529"/>
      <c r="B379" s="475"/>
      <c r="C379" s="526"/>
      <c r="D379" s="457"/>
      <c r="E379" s="530"/>
      <c r="F379" s="461" t="str">
        <f>VLOOKUP(E379, 'COSTO UNITARIO'!$K$16:$L$27, 2, FALSE)</f>
        <v>#N/A</v>
      </c>
    </row>
    <row r="380" ht="22.5" customHeight="1">
      <c r="A380" s="529"/>
      <c r="B380" s="475"/>
      <c r="C380" s="526"/>
      <c r="D380" s="457"/>
      <c r="E380" s="530"/>
      <c r="F380" s="461" t="str">
        <f>VLOOKUP(E380, 'COSTO UNITARIO'!$K$16:$L$27, 2, FALSE)</f>
        <v>#N/A</v>
      </c>
    </row>
    <row r="381" ht="22.5" customHeight="1">
      <c r="A381" s="529"/>
      <c r="B381" s="475"/>
      <c r="C381" s="526"/>
      <c r="D381" s="457"/>
      <c r="E381" s="530"/>
      <c r="F381" s="461" t="str">
        <f>VLOOKUP(E381, 'COSTO UNITARIO'!$K$16:$L$27, 2, FALSE)</f>
        <v>#N/A</v>
      </c>
    </row>
    <row r="382" ht="22.5" customHeight="1">
      <c r="A382" s="529"/>
      <c r="B382" s="475"/>
      <c r="C382" s="526"/>
      <c r="D382" s="457"/>
      <c r="E382" s="530"/>
      <c r="F382" s="461" t="str">
        <f>VLOOKUP(E382, 'COSTO UNITARIO'!$K$16:$L$27, 2, FALSE)</f>
        <v>#N/A</v>
      </c>
    </row>
    <row r="383" ht="22.5" customHeight="1">
      <c r="A383" s="529"/>
      <c r="B383" s="475"/>
      <c r="C383" s="526"/>
      <c r="D383" s="457"/>
      <c r="E383" s="530"/>
      <c r="F383" s="461" t="str">
        <f>VLOOKUP(E383, 'COSTO UNITARIO'!$K$16:$L$27, 2, FALSE)</f>
        <v>#N/A</v>
      </c>
    </row>
    <row r="384" ht="22.5" customHeight="1">
      <c r="A384" s="529"/>
      <c r="B384" s="475"/>
      <c r="C384" s="526"/>
      <c r="D384" s="457"/>
      <c r="E384" s="530"/>
      <c r="F384" s="461" t="str">
        <f>VLOOKUP(E384, 'COSTO UNITARIO'!$K$16:$L$27, 2, FALSE)</f>
        <v>#N/A</v>
      </c>
    </row>
    <row r="385" ht="22.5" customHeight="1">
      <c r="A385" s="529"/>
      <c r="B385" s="475"/>
      <c r="C385" s="526"/>
      <c r="D385" s="457"/>
      <c r="E385" s="530"/>
      <c r="F385" s="461" t="str">
        <f>VLOOKUP(E385, 'COSTO UNITARIO'!$K$16:$L$27, 2, FALSE)</f>
        <v>#N/A</v>
      </c>
    </row>
    <row r="386" ht="22.5" customHeight="1">
      <c r="A386" s="529"/>
      <c r="B386" s="475"/>
      <c r="C386" s="526"/>
      <c r="D386" s="457"/>
      <c r="E386" s="530"/>
      <c r="F386" s="461" t="str">
        <f>VLOOKUP(E386, 'COSTO UNITARIO'!$K$16:$L$27, 2, FALSE)</f>
        <v>#N/A</v>
      </c>
    </row>
    <row r="387" ht="22.5" customHeight="1">
      <c r="A387" s="529"/>
      <c r="B387" s="475"/>
      <c r="C387" s="526"/>
      <c r="D387" s="457"/>
      <c r="E387" s="530"/>
      <c r="F387" s="461" t="str">
        <f>VLOOKUP(E387, 'COSTO UNITARIO'!$K$16:$L$27, 2, FALSE)</f>
        <v>#N/A</v>
      </c>
    </row>
    <row r="388" ht="22.5" customHeight="1">
      <c r="A388" s="529"/>
      <c r="B388" s="475"/>
      <c r="C388" s="526"/>
      <c r="D388" s="457"/>
      <c r="E388" s="530"/>
      <c r="F388" s="461" t="str">
        <f>VLOOKUP(E388, 'COSTO UNITARIO'!$K$16:$L$27, 2, FALSE)</f>
        <v>#N/A</v>
      </c>
    </row>
    <row r="389" ht="22.5" customHeight="1">
      <c r="A389" s="529"/>
      <c r="B389" s="475"/>
      <c r="C389" s="526"/>
      <c r="D389" s="457"/>
      <c r="E389" s="530"/>
      <c r="F389" s="461" t="str">
        <f>VLOOKUP(E389, 'COSTO UNITARIO'!$K$16:$L$27, 2, FALSE)</f>
        <v>#N/A</v>
      </c>
    </row>
    <row r="390" ht="22.5" customHeight="1">
      <c r="A390" s="529"/>
      <c r="B390" s="475"/>
      <c r="C390" s="526"/>
      <c r="D390" s="457"/>
      <c r="E390" s="530"/>
      <c r="F390" s="461" t="str">
        <f>VLOOKUP(E390, 'COSTO UNITARIO'!$K$16:$L$27, 2, FALSE)</f>
        <v>#N/A</v>
      </c>
    </row>
    <row r="391" ht="22.5" customHeight="1">
      <c r="A391" s="529"/>
      <c r="B391" s="475"/>
      <c r="C391" s="526"/>
      <c r="D391" s="457"/>
      <c r="E391" s="530"/>
      <c r="F391" s="461" t="str">
        <f>VLOOKUP(E391, 'COSTO UNITARIO'!$K$16:$L$27, 2, FALSE)</f>
        <v>#N/A</v>
      </c>
    </row>
    <row r="392" ht="22.5" customHeight="1">
      <c r="A392" s="529"/>
      <c r="B392" s="475"/>
      <c r="C392" s="526"/>
      <c r="D392" s="457"/>
      <c r="E392" s="530"/>
      <c r="F392" s="461" t="str">
        <f>VLOOKUP(E392, 'COSTO UNITARIO'!$K$16:$L$27, 2, FALSE)</f>
        <v>#N/A</v>
      </c>
    </row>
    <row r="393" ht="22.5" customHeight="1">
      <c r="A393" s="529"/>
      <c r="B393" s="475"/>
      <c r="C393" s="526"/>
      <c r="D393" s="457"/>
      <c r="E393" s="530"/>
      <c r="F393" s="461" t="str">
        <f>VLOOKUP(E393, 'COSTO UNITARIO'!$K$16:$L$27, 2, FALSE)</f>
        <v>#N/A</v>
      </c>
    </row>
    <row r="394" ht="22.5" customHeight="1">
      <c r="A394" s="529"/>
      <c r="B394" s="475"/>
      <c r="C394" s="526"/>
      <c r="D394" s="457"/>
      <c r="E394" s="530"/>
      <c r="F394" s="461" t="str">
        <f>VLOOKUP(E394, 'COSTO UNITARIO'!$K$16:$L$27, 2, FALSE)</f>
        <v>#N/A</v>
      </c>
    </row>
    <row r="395" ht="22.5" customHeight="1">
      <c r="A395" s="529"/>
      <c r="B395" s="475"/>
      <c r="C395" s="526"/>
      <c r="D395" s="457"/>
      <c r="E395" s="530"/>
      <c r="F395" s="461" t="str">
        <f>VLOOKUP(E395, 'COSTO UNITARIO'!$K$16:$L$27, 2, FALSE)</f>
        <v>#N/A</v>
      </c>
    </row>
    <row r="396" ht="22.5" customHeight="1">
      <c r="A396" s="529"/>
      <c r="B396" s="475"/>
      <c r="C396" s="526"/>
      <c r="D396" s="457"/>
      <c r="E396" s="530"/>
      <c r="F396" s="461" t="str">
        <f>VLOOKUP(E396, 'COSTO UNITARIO'!$K$16:$L$27, 2, FALSE)</f>
        <v>#N/A</v>
      </c>
    </row>
    <row r="397" ht="22.5" customHeight="1">
      <c r="A397" s="529"/>
      <c r="B397" s="475"/>
      <c r="C397" s="526"/>
      <c r="D397" s="457"/>
      <c r="E397" s="530"/>
      <c r="F397" s="461" t="str">
        <f>VLOOKUP(E397, 'COSTO UNITARIO'!$K$16:$L$27, 2, FALSE)</f>
        <v>#N/A</v>
      </c>
    </row>
    <row r="398" ht="22.5" customHeight="1">
      <c r="A398" s="529"/>
      <c r="B398" s="475"/>
      <c r="C398" s="526"/>
      <c r="D398" s="457"/>
      <c r="E398" s="530"/>
      <c r="F398" s="461" t="str">
        <f>VLOOKUP(E398, 'COSTO UNITARIO'!$K$16:$L$27, 2, FALSE)</f>
        <v>#N/A</v>
      </c>
    </row>
    <row r="399" ht="22.5" customHeight="1">
      <c r="A399" s="529"/>
      <c r="B399" s="475"/>
      <c r="C399" s="526"/>
      <c r="D399" s="457"/>
      <c r="E399" s="530"/>
      <c r="F399" s="461" t="str">
        <f>VLOOKUP(E399, 'COSTO UNITARIO'!$K$16:$L$27, 2, FALSE)</f>
        <v>#N/A</v>
      </c>
    </row>
    <row r="400" ht="22.5" customHeight="1">
      <c r="A400" s="529"/>
      <c r="B400" s="475"/>
      <c r="C400" s="526"/>
      <c r="D400" s="457"/>
      <c r="E400" s="530"/>
      <c r="F400" s="461" t="str">
        <f>VLOOKUP(E400, 'COSTO UNITARIO'!$K$16:$L$27, 2, FALSE)</f>
        <v>#N/A</v>
      </c>
    </row>
    <row r="401" ht="22.5" customHeight="1">
      <c r="A401" s="529"/>
      <c r="B401" s="475"/>
      <c r="C401" s="526"/>
      <c r="D401" s="457"/>
      <c r="E401" s="530"/>
      <c r="F401" s="461" t="str">
        <f>VLOOKUP(E401, 'COSTO UNITARIO'!$K$16:$L$27, 2, FALSE)</f>
        <v>#N/A</v>
      </c>
    </row>
    <row r="402" ht="22.5" customHeight="1">
      <c r="A402" s="529"/>
      <c r="B402" s="475"/>
      <c r="C402" s="526"/>
      <c r="D402" s="457"/>
      <c r="E402" s="530"/>
      <c r="F402" s="461" t="str">
        <f>VLOOKUP(E402, 'COSTO UNITARIO'!$K$16:$L$27, 2, FALSE)</f>
        <v>#N/A</v>
      </c>
    </row>
    <row r="403" ht="22.5" customHeight="1">
      <c r="A403" s="529"/>
      <c r="B403" s="475"/>
      <c r="C403" s="526"/>
      <c r="D403" s="457"/>
      <c r="E403" s="530"/>
      <c r="F403" s="461" t="str">
        <f>VLOOKUP(E403, 'COSTO UNITARIO'!$K$16:$L$27, 2, FALSE)</f>
        <v>#N/A</v>
      </c>
    </row>
    <row r="404" ht="22.5" customHeight="1">
      <c r="A404" s="529"/>
      <c r="B404" s="475"/>
      <c r="C404" s="526"/>
      <c r="D404" s="457"/>
      <c r="E404" s="530"/>
      <c r="F404" s="461" t="str">
        <f>VLOOKUP(E404, 'COSTO UNITARIO'!$K$16:$L$27, 2, FALSE)</f>
        <v>#N/A</v>
      </c>
    </row>
    <row r="405" ht="22.5" customHeight="1">
      <c r="A405" s="529"/>
      <c r="B405" s="475"/>
      <c r="C405" s="526"/>
      <c r="D405" s="457"/>
      <c r="E405" s="530"/>
      <c r="F405" s="461" t="str">
        <f>VLOOKUP(E405, 'COSTO UNITARIO'!$K$16:$L$27, 2, FALSE)</f>
        <v>#N/A</v>
      </c>
    </row>
    <row r="406" ht="22.5" customHeight="1">
      <c r="A406" s="529"/>
      <c r="B406" s="475"/>
      <c r="C406" s="526"/>
      <c r="D406" s="457"/>
      <c r="E406" s="530"/>
      <c r="F406" s="461" t="str">
        <f>VLOOKUP(E406, 'COSTO UNITARIO'!$K$16:$L$27, 2, FALSE)</f>
        <v>#N/A</v>
      </c>
    </row>
    <row r="407" ht="22.5" customHeight="1">
      <c r="A407" s="529"/>
      <c r="B407" s="475"/>
      <c r="C407" s="526"/>
      <c r="D407" s="457"/>
      <c r="E407" s="530"/>
      <c r="F407" s="461" t="str">
        <f>VLOOKUP(E407, 'COSTO UNITARIO'!$K$16:$L$27, 2, FALSE)</f>
        <v>#N/A</v>
      </c>
    </row>
    <row r="408" ht="22.5" customHeight="1">
      <c r="A408" s="529"/>
      <c r="B408" s="475"/>
      <c r="C408" s="526"/>
      <c r="D408" s="457"/>
      <c r="E408" s="530"/>
      <c r="F408" s="461" t="str">
        <f>VLOOKUP(E408, 'COSTO UNITARIO'!$K$16:$L$27, 2, FALSE)</f>
        <v>#N/A</v>
      </c>
    </row>
    <row r="409" ht="22.5" customHeight="1">
      <c r="A409" s="529"/>
      <c r="B409" s="475"/>
      <c r="C409" s="526"/>
      <c r="D409" s="457"/>
      <c r="E409" s="530"/>
      <c r="F409" s="461" t="str">
        <f>VLOOKUP(E409, 'COSTO UNITARIO'!$K$16:$L$27, 2, FALSE)</f>
        <v>#N/A</v>
      </c>
    </row>
    <row r="410" ht="22.5" customHeight="1">
      <c r="A410" s="529"/>
      <c r="B410" s="475"/>
      <c r="C410" s="526"/>
      <c r="D410" s="457"/>
      <c r="E410" s="530"/>
      <c r="F410" s="461" t="str">
        <f>VLOOKUP(E410, 'COSTO UNITARIO'!$K$16:$L$27, 2, FALSE)</f>
        <v>#N/A</v>
      </c>
    </row>
    <row r="411" ht="22.5" customHeight="1">
      <c r="A411" s="529"/>
      <c r="B411" s="475"/>
      <c r="C411" s="526"/>
      <c r="D411" s="457"/>
      <c r="E411" s="530"/>
      <c r="F411" s="461" t="str">
        <f>VLOOKUP(E411, 'COSTO UNITARIO'!$K$16:$L$27, 2, FALSE)</f>
        <v>#N/A</v>
      </c>
    </row>
    <row r="412" ht="22.5" customHeight="1">
      <c r="A412" s="529"/>
      <c r="B412" s="475"/>
      <c r="C412" s="526"/>
      <c r="D412" s="457"/>
      <c r="E412" s="530"/>
      <c r="F412" s="461" t="str">
        <f>VLOOKUP(E412, 'COSTO UNITARIO'!$K$16:$L$27, 2, FALSE)</f>
        <v>#N/A</v>
      </c>
    </row>
    <row r="413" ht="22.5" customHeight="1">
      <c r="A413" s="529"/>
      <c r="B413" s="475"/>
      <c r="C413" s="526"/>
      <c r="D413" s="457"/>
      <c r="E413" s="530"/>
      <c r="F413" s="461" t="str">
        <f>VLOOKUP(E413, 'COSTO UNITARIO'!$K$16:$L$27, 2, FALSE)</f>
        <v>#N/A</v>
      </c>
    </row>
    <row r="414" ht="22.5" customHeight="1">
      <c r="A414" s="529"/>
      <c r="B414" s="475"/>
      <c r="C414" s="526"/>
      <c r="D414" s="457"/>
      <c r="E414" s="530"/>
      <c r="F414" s="461" t="str">
        <f>VLOOKUP(E414, 'COSTO UNITARIO'!$K$16:$L$27, 2, FALSE)</f>
        <v>#N/A</v>
      </c>
    </row>
    <row r="415" ht="22.5" customHeight="1">
      <c r="A415" s="529"/>
      <c r="B415" s="475"/>
      <c r="C415" s="526"/>
      <c r="D415" s="457"/>
      <c r="E415" s="530"/>
      <c r="F415" s="461" t="str">
        <f>VLOOKUP(E415, 'COSTO UNITARIO'!$K$16:$L$27, 2, FALSE)</f>
        <v>#N/A</v>
      </c>
    </row>
    <row r="416" ht="22.5" customHeight="1">
      <c r="A416" s="529"/>
      <c r="B416" s="475"/>
      <c r="C416" s="526"/>
      <c r="D416" s="457"/>
      <c r="E416" s="530"/>
      <c r="F416" s="461" t="str">
        <f>VLOOKUP(E416, 'COSTO UNITARIO'!$K$16:$L$27, 2, FALSE)</f>
        <v>#N/A</v>
      </c>
    </row>
    <row r="417" ht="22.5" customHeight="1">
      <c r="A417" s="529"/>
      <c r="B417" s="475"/>
      <c r="C417" s="526"/>
      <c r="D417" s="457"/>
      <c r="E417" s="530"/>
      <c r="F417" s="461" t="str">
        <f>VLOOKUP(E417, 'COSTO UNITARIO'!$K$16:$L$27, 2, FALSE)</f>
        <v>#N/A</v>
      </c>
    </row>
    <row r="418" ht="22.5" customHeight="1">
      <c r="A418" s="529"/>
      <c r="B418" s="475"/>
      <c r="C418" s="526"/>
      <c r="D418" s="457"/>
      <c r="E418" s="530"/>
      <c r="F418" s="461" t="str">
        <f>VLOOKUP(E418, 'COSTO UNITARIO'!$K$16:$L$27, 2, FALSE)</f>
        <v>#N/A</v>
      </c>
    </row>
    <row r="419" ht="22.5" customHeight="1">
      <c r="A419" s="529"/>
      <c r="B419" s="475"/>
      <c r="C419" s="526"/>
      <c r="D419" s="457"/>
      <c r="E419" s="530"/>
      <c r="F419" s="461" t="str">
        <f>VLOOKUP(E419, 'COSTO UNITARIO'!$K$16:$L$27, 2, FALSE)</f>
        <v>#N/A</v>
      </c>
    </row>
    <row r="420" ht="22.5" customHeight="1">
      <c r="A420" s="529"/>
      <c r="B420" s="475"/>
      <c r="C420" s="526"/>
      <c r="D420" s="457"/>
      <c r="E420" s="530"/>
      <c r="F420" s="461" t="str">
        <f>VLOOKUP(E420, 'COSTO UNITARIO'!$K$16:$L$27, 2, FALSE)</f>
        <v>#N/A</v>
      </c>
    </row>
    <row r="421" ht="22.5" customHeight="1">
      <c r="A421" s="529"/>
      <c r="B421" s="475"/>
      <c r="C421" s="526"/>
      <c r="D421" s="457"/>
      <c r="E421" s="530"/>
      <c r="F421" s="461" t="str">
        <f>VLOOKUP(E421, 'COSTO UNITARIO'!$K$16:$L$27, 2, FALSE)</f>
        <v>#N/A</v>
      </c>
    </row>
    <row r="422" ht="22.5" customHeight="1">
      <c r="A422" s="529"/>
      <c r="B422" s="475"/>
      <c r="C422" s="526"/>
      <c r="D422" s="457"/>
      <c r="E422" s="530"/>
      <c r="F422" s="461" t="str">
        <f>VLOOKUP(E422, 'COSTO UNITARIO'!$K$16:$L$27, 2, FALSE)</f>
        <v>#N/A</v>
      </c>
    </row>
    <row r="423" ht="22.5" customHeight="1">
      <c r="A423" s="529"/>
      <c r="B423" s="475"/>
      <c r="C423" s="526"/>
      <c r="D423" s="457"/>
      <c r="E423" s="530"/>
      <c r="F423" s="461" t="str">
        <f>VLOOKUP(E423, 'COSTO UNITARIO'!$K$16:$L$27, 2, FALSE)</f>
        <v>#N/A</v>
      </c>
    </row>
    <row r="424" ht="22.5" customHeight="1">
      <c r="A424" s="529"/>
      <c r="B424" s="475"/>
      <c r="C424" s="526"/>
      <c r="D424" s="457"/>
      <c r="E424" s="530"/>
      <c r="F424" s="461" t="str">
        <f>VLOOKUP(E424, 'COSTO UNITARIO'!$K$16:$L$27, 2, FALSE)</f>
        <v>#N/A</v>
      </c>
    </row>
    <row r="425" ht="22.5" customHeight="1">
      <c r="A425" s="529"/>
      <c r="B425" s="475"/>
      <c r="C425" s="526"/>
      <c r="D425" s="457"/>
      <c r="E425" s="530"/>
      <c r="F425" s="461" t="str">
        <f>VLOOKUP(E425, 'COSTO UNITARIO'!$K$16:$L$27, 2, FALSE)</f>
        <v>#N/A</v>
      </c>
    </row>
    <row r="426" ht="22.5" customHeight="1">
      <c r="A426" s="529"/>
      <c r="B426" s="475"/>
      <c r="C426" s="526"/>
      <c r="D426" s="457"/>
      <c r="E426" s="530"/>
      <c r="F426" s="461" t="str">
        <f>VLOOKUP(E426, 'COSTO UNITARIO'!$K$16:$L$27, 2, FALSE)</f>
        <v>#N/A</v>
      </c>
    </row>
    <row r="427" ht="22.5" customHeight="1">
      <c r="A427" s="529"/>
      <c r="B427" s="475"/>
      <c r="C427" s="526"/>
      <c r="D427" s="457"/>
      <c r="E427" s="530"/>
      <c r="F427" s="461" t="str">
        <f>VLOOKUP(E427, 'COSTO UNITARIO'!$K$16:$L$27, 2, FALSE)</f>
        <v>#N/A</v>
      </c>
    </row>
    <row r="428" ht="22.5" customHeight="1">
      <c r="A428" s="529"/>
      <c r="B428" s="475"/>
      <c r="C428" s="526"/>
      <c r="D428" s="457"/>
      <c r="E428" s="530"/>
      <c r="F428" s="461" t="str">
        <f>VLOOKUP(E428, 'COSTO UNITARIO'!$K$16:$L$27, 2, FALSE)</f>
        <v>#N/A</v>
      </c>
    </row>
    <row r="429" ht="22.5" customHeight="1">
      <c r="A429" s="529"/>
      <c r="B429" s="475"/>
      <c r="C429" s="526"/>
      <c r="D429" s="457"/>
      <c r="E429" s="530"/>
      <c r="F429" s="461" t="str">
        <f>VLOOKUP(E429, 'COSTO UNITARIO'!$K$16:$L$27, 2, FALSE)</f>
        <v>#N/A</v>
      </c>
    </row>
    <row r="430" ht="22.5" customHeight="1">
      <c r="A430" s="529"/>
      <c r="B430" s="475"/>
      <c r="C430" s="526"/>
      <c r="D430" s="457"/>
      <c r="E430" s="530"/>
      <c r="F430" s="461" t="str">
        <f>VLOOKUP(E430, 'COSTO UNITARIO'!$K$16:$L$27, 2, FALSE)</f>
        <v>#N/A</v>
      </c>
    </row>
    <row r="431" ht="22.5" customHeight="1">
      <c r="A431" s="529"/>
      <c r="B431" s="475"/>
      <c r="C431" s="526"/>
      <c r="D431" s="457"/>
      <c r="E431" s="530"/>
      <c r="F431" s="461" t="str">
        <f>VLOOKUP(E431, 'COSTO UNITARIO'!$K$16:$L$27, 2, FALSE)</f>
        <v>#N/A</v>
      </c>
    </row>
    <row r="432" ht="22.5" customHeight="1">
      <c r="A432" s="529"/>
      <c r="B432" s="475"/>
      <c r="C432" s="526"/>
      <c r="D432" s="457"/>
      <c r="E432" s="530"/>
      <c r="F432" s="461" t="str">
        <f>VLOOKUP(E432, 'COSTO UNITARIO'!$K$16:$L$27, 2, FALSE)</f>
        <v>#N/A</v>
      </c>
    </row>
    <row r="433" ht="22.5" customHeight="1">
      <c r="A433" s="529"/>
      <c r="B433" s="475"/>
      <c r="C433" s="526"/>
      <c r="D433" s="457"/>
      <c r="E433" s="530"/>
      <c r="F433" s="461" t="str">
        <f>VLOOKUP(E433, 'COSTO UNITARIO'!$K$16:$L$27, 2, FALSE)</f>
        <v>#N/A</v>
      </c>
    </row>
    <row r="434" ht="22.5" customHeight="1">
      <c r="A434" s="529"/>
      <c r="B434" s="475"/>
      <c r="C434" s="526"/>
      <c r="D434" s="457"/>
      <c r="E434" s="530"/>
      <c r="F434" s="461" t="str">
        <f>VLOOKUP(E434, 'COSTO UNITARIO'!$K$16:$L$27, 2, FALSE)</f>
        <v>#N/A</v>
      </c>
    </row>
    <row r="435" ht="22.5" customHeight="1">
      <c r="A435" s="529"/>
      <c r="B435" s="475"/>
      <c r="C435" s="526"/>
      <c r="D435" s="457"/>
      <c r="E435" s="530"/>
      <c r="F435" s="461" t="str">
        <f>VLOOKUP(E435, 'COSTO UNITARIO'!$K$16:$L$27, 2, FALSE)</f>
        <v>#N/A</v>
      </c>
    </row>
    <row r="436" ht="22.5" customHeight="1">
      <c r="A436" s="529"/>
      <c r="B436" s="475"/>
      <c r="C436" s="526"/>
      <c r="D436" s="457"/>
      <c r="E436" s="530"/>
      <c r="F436" s="461" t="str">
        <f>VLOOKUP(E436, 'COSTO UNITARIO'!$K$16:$L$27, 2, FALSE)</f>
        <v>#N/A</v>
      </c>
    </row>
    <row r="437" ht="22.5" customHeight="1">
      <c r="A437" s="529"/>
      <c r="B437" s="475"/>
      <c r="C437" s="526"/>
      <c r="D437" s="457"/>
      <c r="E437" s="530"/>
      <c r="F437" s="461" t="str">
        <f>VLOOKUP(E437, 'COSTO UNITARIO'!$K$16:$L$27, 2, FALSE)</f>
        <v>#N/A</v>
      </c>
    </row>
    <row r="438" ht="22.5" customHeight="1">
      <c r="A438" s="529"/>
      <c r="B438" s="475"/>
      <c r="C438" s="526"/>
      <c r="D438" s="457"/>
      <c r="E438" s="530"/>
      <c r="F438" s="461" t="str">
        <f>VLOOKUP(E438, 'COSTO UNITARIO'!$K$16:$L$27, 2, FALSE)</f>
        <v>#N/A</v>
      </c>
    </row>
    <row r="439" ht="22.5" customHeight="1">
      <c r="A439" s="529"/>
      <c r="B439" s="475"/>
      <c r="C439" s="526"/>
      <c r="D439" s="457"/>
      <c r="E439" s="530"/>
      <c r="F439" s="461" t="str">
        <f>VLOOKUP(E439, 'COSTO UNITARIO'!$K$16:$L$27, 2, FALSE)</f>
        <v>#N/A</v>
      </c>
    </row>
    <row r="440" ht="22.5" customHeight="1">
      <c r="A440" s="529"/>
      <c r="B440" s="475"/>
      <c r="C440" s="526"/>
      <c r="D440" s="457"/>
      <c r="E440" s="530"/>
      <c r="F440" s="461" t="str">
        <f>VLOOKUP(E440, 'COSTO UNITARIO'!$K$16:$L$27, 2, FALSE)</f>
        <v>#N/A</v>
      </c>
    </row>
    <row r="441" ht="22.5" customHeight="1">
      <c r="A441" s="529"/>
      <c r="B441" s="475"/>
      <c r="C441" s="526"/>
      <c r="D441" s="457"/>
      <c r="E441" s="530"/>
      <c r="F441" s="461" t="str">
        <f>VLOOKUP(E441, 'COSTO UNITARIO'!$K$16:$L$27, 2, FALSE)</f>
        <v>#N/A</v>
      </c>
    </row>
    <row r="442" ht="22.5" customHeight="1">
      <c r="A442" s="529"/>
      <c r="B442" s="475"/>
      <c r="C442" s="526"/>
      <c r="D442" s="457"/>
      <c r="E442" s="530"/>
      <c r="F442" s="461" t="str">
        <f>VLOOKUP(E442, 'COSTO UNITARIO'!$K$16:$L$27, 2, FALSE)</f>
        <v>#N/A</v>
      </c>
    </row>
    <row r="443" ht="22.5" customHeight="1">
      <c r="A443" s="529"/>
      <c r="B443" s="475"/>
      <c r="C443" s="526"/>
      <c r="D443" s="457"/>
      <c r="E443" s="530"/>
      <c r="F443" s="461" t="str">
        <f>VLOOKUP(E443, 'COSTO UNITARIO'!$K$16:$L$27, 2, FALSE)</f>
        <v>#N/A</v>
      </c>
    </row>
    <row r="444" ht="22.5" customHeight="1">
      <c r="A444" s="529"/>
      <c r="B444" s="475"/>
      <c r="C444" s="526"/>
      <c r="D444" s="457"/>
      <c r="E444" s="530"/>
      <c r="F444" s="461" t="str">
        <f>VLOOKUP(E444, 'COSTO UNITARIO'!$K$16:$L$27, 2, FALSE)</f>
        <v>#N/A</v>
      </c>
    </row>
    <row r="445" ht="22.5" customHeight="1">
      <c r="A445" s="529"/>
      <c r="B445" s="475"/>
      <c r="C445" s="526"/>
      <c r="D445" s="457"/>
      <c r="E445" s="530"/>
      <c r="F445" s="461" t="str">
        <f>VLOOKUP(E445, 'COSTO UNITARIO'!$K$16:$L$27, 2, FALSE)</f>
        <v>#N/A</v>
      </c>
    </row>
    <row r="446" ht="22.5" customHeight="1">
      <c r="A446" s="529"/>
      <c r="B446" s="475"/>
      <c r="C446" s="526"/>
      <c r="D446" s="457"/>
      <c r="E446" s="530"/>
      <c r="F446" s="461" t="str">
        <f>VLOOKUP(E446, 'COSTO UNITARIO'!$K$16:$L$27, 2, FALSE)</f>
        <v>#N/A</v>
      </c>
    </row>
    <row r="447" ht="22.5" customHeight="1">
      <c r="A447" s="529"/>
      <c r="B447" s="475"/>
      <c r="C447" s="526"/>
      <c r="D447" s="457"/>
      <c r="E447" s="530"/>
      <c r="F447" s="461" t="str">
        <f>VLOOKUP(E447, 'COSTO UNITARIO'!$K$16:$L$27, 2, FALSE)</f>
        <v>#N/A</v>
      </c>
    </row>
    <row r="448" ht="22.5" customHeight="1">
      <c r="A448" s="529"/>
      <c r="B448" s="475"/>
      <c r="C448" s="526"/>
      <c r="D448" s="457"/>
      <c r="E448" s="530"/>
      <c r="F448" s="461" t="str">
        <f>VLOOKUP(E448, 'COSTO UNITARIO'!$K$16:$L$27, 2, FALSE)</f>
        <v>#N/A</v>
      </c>
    </row>
    <row r="449" ht="22.5" customHeight="1">
      <c r="A449" s="529"/>
      <c r="B449" s="475"/>
      <c r="C449" s="526"/>
      <c r="D449" s="457"/>
      <c r="E449" s="530"/>
      <c r="F449" s="461" t="str">
        <f>VLOOKUP(E449, 'COSTO UNITARIO'!$K$16:$L$27, 2, FALSE)</f>
        <v>#N/A</v>
      </c>
    </row>
    <row r="450" ht="22.5" customHeight="1">
      <c r="A450" s="529"/>
      <c r="B450" s="475"/>
      <c r="C450" s="526"/>
      <c r="D450" s="457"/>
      <c r="E450" s="530"/>
      <c r="F450" s="461" t="str">
        <f>VLOOKUP(E450, 'COSTO UNITARIO'!$K$16:$L$27, 2, FALSE)</f>
        <v>#N/A</v>
      </c>
    </row>
    <row r="451" ht="22.5" customHeight="1">
      <c r="A451" s="529"/>
      <c r="B451" s="475"/>
      <c r="C451" s="526"/>
      <c r="D451" s="457"/>
      <c r="E451" s="530"/>
      <c r="F451" s="461" t="str">
        <f>VLOOKUP(E451, 'COSTO UNITARIO'!$K$16:$L$27, 2, FALSE)</f>
        <v>#N/A</v>
      </c>
    </row>
    <row r="452" ht="22.5" customHeight="1">
      <c r="A452" s="529"/>
      <c r="B452" s="475"/>
      <c r="C452" s="526"/>
      <c r="D452" s="457"/>
      <c r="E452" s="530"/>
      <c r="F452" s="461" t="str">
        <f>VLOOKUP(E452, 'COSTO UNITARIO'!$K$16:$L$27, 2, FALSE)</f>
        <v>#N/A</v>
      </c>
    </row>
    <row r="453" ht="22.5" customHeight="1">
      <c r="A453" s="529"/>
      <c r="B453" s="475"/>
      <c r="C453" s="526"/>
      <c r="D453" s="457"/>
      <c r="E453" s="530"/>
      <c r="F453" s="461" t="str">
        <f>VLOOKUP(E453, 'COSTO UNITARIO'!$K$16:$L$27, 2, FALSE)</f>
        <v>#N/A</v>
      </c>
    </row>
    <row r="454" ht="22.5" customHeight="1">
      <c r="A454" s="529"/>
      <c r="B454" s="475"/>
      <c r="C454" s="526"/>
      <c r="D454" s="457"/>
      <c r="E454" s="530"/>
      <c r="F454" s="461" t="str">
        <f>VLOOKUP(E454, 'COSTO UNITARIO'!$K$16:$L$27, 2, FALSE)</f>
        <v>#N/A</v>
      </c>
    </row>
    <row r="455" ht="22.5" customHeight="1">
      <c r="A455" s="529"/>
      <c r="B455" s="475"/>
      <c r="C455" s="526"/>
      <c r="D455" s="457"/>
      <c r="E455" s="530"/>
      <c r="F455" s="461" t="str">
        <f>VLOOKUP(E455, 'COSTO UNITARIO'!$K$16:$L$27, 2, FALSE)</f>
        <v>#N/A</v>
      </c>
    </row>
    <row r="456" ht="22.5" customHeight="1">
      <c r="A456" s="529"/>
      <c r="B456" s="475"/>
      <c r="C456" s="526"/>
      <c r="D456" s="457"/>
      <c r="E456" s="530"/>
      <c r="F456" s="461" t="str">
        <f>VLOOKUP(E456, 'COSTO UNITARIO'!$K$16:$L$27, 2, FALSE)</f>
        <v>#N/A</v>
      </c>
    </row>
    <row r="457" ht="22.5" customHeight="1">
      <c r="A457" s="529"/>
      <c r="B457" s="475"/>
      <c r="C457" s="526"/>
      <c r="D457" s="457"/>
      <c r="E457" s="530"/>
      <c r="F457" s="461" t="str">
        <f>VLOOKUP(E457, 'COSTO UNITARIO'!$K$16:$L$27, 2, FALSE)</f>
        <v>#N/A</v>
      </c>
    </row>
    <row r="458" ht="22.5" customHeight="1">
      <c r="A458" s="529"/>
      <c r="B458" s="475"/>
      <c r="C458" s="526"/>
      <c r="D458" s="457"/>
      <c r="E458" s="530"/>
      <c r="F458" s="461" t="str">
        <f>VLOOKUP(E458, 'COSTO UNITARIO'!$K$16:$L$27, 2, FALSE)</f>
        <v>#N/A</v>
      </c>
    </row>
    <row r="459" ht="22.5" customHeight="1">
      <c r="A459" s="529"/>
      <c r="B459" s="475"/>
      <c r="C459" s="526"/>
      <c r="D459" s="457"/>
      <c r="E459" s="530"/>
      <c r="F459" s="461" t="str">
        <f>VLOOKUP(E459, 'COSTO UNITARIO'!$K$16:$L$27, 2, FALSE)</f>
        <v>#N/A</v>
      </c>
    </row>
    <row r="460" ht="22.5" customHeight="1">
      <c r="A460" s="529"/>
      <c r="B460" s="475"/>
      <c r="C460" s="526"/>
      <c r="D460" s="457"/>
      <c r="E460" s="530"/>
      <c r="F460" s="461" t="str">
        <f>VLOOKUP(E460, 'COSTO UNITARIO'!$K$16:$L$27, 2, FALSE)</f>
        <v>#N/A</v>
      </c>
    </row>
    <row r="461" ht="22.5" customHeight="1">
      <c r="A461" s="529"/>
      <c r="B461" s="475"/>
      <c r="C461" s="526"/>
      <c r="D461" s="457"/>
      <c r="E461" s="530"/>
      <c r="F461" s="461" t="str">
        <f>VLOOKUP(E461, 'COSTO UNITARIO'!$K$16:$L$27, 2, FALSE)</f>
        <v>#N/A</v>
      </c>
    </row>
    <row r="462" ht="22.5" customHeight="1">
      <c r="A462" s="529"/>
      <c r="B462" s="475"/>
      <c r="C462" s="526"/>
      <c r="D462" s="457"/>
      <c r="E462" s="530"/>
      <c r="F462" s="461" t="str">
        <f>VLOOKUP(E462, 'COSTO UNITARIO'!$K$16:$L$27, 2, FALSE)</f>
        <v>#N/A</v>
      </c>
    </row>
    <row r="463" ht="22.5" customHeight="1">
      <c r="A463" s="529"/>
      <c r="B463" s="475"/>
      <c r="C463" s="526"/>
      <c r="D463" s="457"/>
      <c r="E463" s="530"/>
      <c r="F463" s="461" t="str">
        <f>VLOOKUP(E463, 'COSTO UNITARIO'!$K$16:$L$27, 2, FALSE)</f>
        <v>#N/A</v>
      </c>
    </row>
    <row r="464" ht="22.5" customHeight="1">
      <c r="A464" s="529"/>
      <c r="B464" s="475"/>
      <c r="C464" s="526"/>
      <c r="D464" s="457"/>
      <c r="E464" s="530"/>
      <c r="F464" s="461" t="str">
        <f>VLOOKUP(E464, 'COSTO UNITARIO'!$K$16:$L$27, 2, FALSE)</f>
        <v>#N/A</v>
      </c>
    </row>
    <row r="465" ht="22.5" customHeight="1">
      <c r="A465" s="529"/>
      <c r="B465" s="475"/>
      <c r="C465" s="526"/>
      <c r="D465" s="457"/>
      <c r="E465" s="530"/>
      <c r="F465" s="461" t="str">
        <f>VLOOKUP(E465, 'COSTO UNITARIO'!$K$16:$L$27, 2, FALSE)</f>
        <v>#N/A</v>
      </c>
    </row>
    <row r="466" ht="22.5" customHeight="1">
      <c r="A466" s="529"/>
      <c r="B466" s="475"/>
      <c r="C466" s="526"/>
      <c r="D466" s="457"/>
      <c r="E466" s="530"/>
      <c r="F466" s="461" t="str">
        <f>VLOOKUP(E466, 'COSTO UNITARIO'!$K$16:$L$27, 2, FALSE)</f>
        <v>#N/A</v>
      </c>
    </row>
    <row r="467" ht="22.5" customHeight="1">
      <c r="A467" s="529"/>
      <c r="B467" s="475"/>
      <c r="C467" s="526"/>
      <c r="D467" s="457"/>
      <c r="E467" s="530"/>
      <c r="F467" s="461" t="str">
        <f>VLOOKUP(E467, 'COSTO UNITARIO'!$K$16:$L$27, 2, FALSE)</f>
        <v>#N/A</v>
      </c>
    </row>
    <row r="468" ht="22.5" customHeight="1">
      <c r="A468" s="529"/>
      <c r="B468" s="475"/>
      <c r="C468" s="526"/>
      <c r="D468" s="457"/>
      <c r="E468" s="530"/>
    </row>
    <row r="469" ht="22.5" customHeight="1">
      <c r="A469" s="529"/>
      <c r="B469" s="475"/>
      <c r="C469" s="526"/>
      <c r="D469" s="457"/>
      <c r="E469" s="530"/>
    </row>
    <row r="470" ht="22.5" customHeight="1">
      <c r="A470" s="529"/>
      <c r="B470" s="475"/>
      <c r="C470" s="526"/>
      <c r="D470" s="457"/>
      <c r="E470" s="530"/>
    </row>
    <row r="471" ht="22.5" customHeight="1">
      <c r="A471" s="529"/>
      <c r="B471" s="475"/>
      <c r="C471" s="526"/>
      <c r="D471" s="457"/>
      <c r="E471" s="530"/>
    </row>
    <row r="472" ht="22.5" customHeight="1">
      <c r="A472" s="529"/>
      <c r="B472" s="475"/>
      <c r="C472" s="526"/>
      <c r="D472" s="457"/>
      <c r="E472" s="530"/>
    </row>
    <row r="473" ht="22.5" customHeight="1">
      <c r="A473" s="529"/>
      <c r="B473" s="475"/>
      <c r="C473" s="526"/>
      <c r="D473" s="457"/>
      <c r="E473" s="530"/>
    </row>
    <row r="474" ht="22.5" customHeight="1">
      <c r="A474" s="529"/>
      <c r="B474" s="475"/>
      <c r="C474" s="526"/>
      <c r="D474" s="457"/>
      <c r="E474" s="530"/>
    </row>
    <row r="475" ht="22.5" customHeight="1">
      <c r="A475" s="529"/>
      <c r="B475" s="475"/>
      <c r="C475" s="526"/>
      <c r="D475" s="457"/>
      <c r="E475" s="530"/>
    </row>
    <row r="476" ht="22.5" customHeight="1">
      <c r="A476" s="529"/>
      <c r="B476" s="475"/>
      <c r="C476" s="526"/>
      <c r="D476" s="457"/>
      <c r="E476" s="530"/>
    </row>
    <row r="477" ht="22.5" customHeight="1">
      <c r="A477" s="529"/>
      <c r="B477" s="475"/>
      <c r="C477" s="526"/>
      <c r="D477" s="457"/>
      <c r="E477" s="530"/>
    </row>
    <row r="478" ht="22.5" customHeight="1">
      <c r="A478" s="529"/>
      <c r="B478" s="475"/>
      <c r="C478" s="526"/>
      <c r="D478" s="457"/>
      <c r="E478" s="530"/>
    </row>
    <row r="479" ht="22.5" customHeight="1">
      <c r="A479" s="529"/>
      <c r="B479" s="475"/>
      <c r="C479" s="526"/>
      <c r="D479" s="457"/>
      <c r="E479" s="530"/>
    </row>
    <row r="480" ht="22.5" customHeight="1">
      <c r="A480" s="529"/>
      <c r="B480" s="475"/>
      <c r="C480" s="526"/>
      <c r="D480" s="457"/>
      <c r="E480" s="530"/>
    </row>
    <row r="481" ht="22.5" customHeight="1">
      <c r="A481" s="529"/>
      <c r="B481" s="475"/>
      <c r="C481" s="526"/>
      <c r="D481" s="457"/>
      <c r="E481" s="530"/>
    </row>
    <row r="482" ht="22.5" customHeight="1">
      <c r="A482" s="529"/>
      <c r="B482" s="475"/>
      <c r="C482" s="526"/>
      <c r="D482" s="457"/>
      <c r="E482" s="530"/>
    </row>
    <row r="483" ht="22.5" customHeight="1">
      <c r="A483" s="529"/>
      <c r="B483" s="475"/>
      <c r="C483" s="526"/>
      <c r="D483" s="457"/>
      <c r="E483" s="530"/>
    </row>
    <row r="484" ht="22.5" customHeight="1">
      <c r="A484" s="529"/>
      <c r="B484" s="475"/>
      <c r="C484" s="526"/>
      <c r="D484" s="457"/>
      <c r="E484" s="530"/>
    </row>
    <row r="485" ht="22.5" customHeight="1">
      <c r="A485" s="529"/>
      <c r="B485" s="475"/>
      <c r="C485" s="526"/>
      <c r="D485" s="457"/>
      <c r="E485" s="530"/>
    </row>
    <row r="486" ht="22.5" customHeight="1">
      <c r="A486" s="529"/>
      <c r="B486" s="475"/>
      <c r="C486" s="526"/>
      <c r="D486" s="457"/>
      <c r="E486" s="530"/>
    </row>
    <row r="487" ht="22.5" customHeight="1">
      <c r="A487" s="529"/>
      <c r="B487" s="475"/>
      <c r="C487" s="526"/>
      <c r="D487" s="457"/>
      <c r="E487" s="530"/>
    </row>
    <row r="488" ht="22.5" customHeight="1">
      <c r="A488" s="529"/>
      <c r="B488" s="475"/>
      <c r="C488" s="526"/>
      <c r="D488" s="457"/>
      <c r="E488" s="530"/>
    </row>
    <row r="489" ht="22.5" customHeight="1">
      <c r="A489" s="529"/>
      <c r="B489" s="475"/>
      <c r="C489" s="526"/>
      <c r="D489" s="457"/>
      <c r="E489" s="530"/>
    </row>
    <row r="490" ht="22.5" customHeight="1">
      <c r="A490" s="529"/>
      <c r="B490" s="475"/>
      <c r="C490" s="526"/>
      <c r="D490" s="457"/>
      <c r="E490" s="530"/>
    </row>
    <row r="491" ht="22.5" customHeight="1">
      <c r="A491" s="529"/>
      <c r="B491" s="475"/>
      <c r="C491" s="526"/>
      <c r="D491" s="457"/>
      <c r="E491" s="530"/>
    </row>
    <row r="492" ht="22.5" customHeight="1">
      <c r="A492" s="529"/>
      <c r="B492" s="475"/>
      <c r="C492" s="526"/>
      <c r="D492" s="457"/>
      <c r="E492" s="530"/>
    </row>
    <row r="493" ht="22.5" customHeight="1">
      <c r="A493" s="529"/>
      <c r="B493" s="475"/>
      <c r="C493" s="526"/>
      <c r="D493" s="457"/>
      <c r="E493" s="530"/>
    </row>
    <row r="494" ht="22.5" customHeight="1">
      <c r="A494" s="529"/>
      <c r="B494" s="475"/>
      <c r="C494" s="526"/>
      <c r="D494" s="457"/>
      <c r="E494" s="530"/>
    </row>
    <row r="495" ht="22.5" customHeight="1">
      <c r="A495" s="529"/>
      <c r="B495" s="475"/>
      <c r="C495" s="526"/>
      <c r="D495" s="457"/>
      <c r="E495" s="530"/>
    </row>
    <row r="496" ht="22.5" customHeight="1">
      <c r="A496" s="529"/>
      <c r="B496" s="475"/>
      <c r="C496" s="526"/>
      <c r="D496" s="457"/>
      <c r="E496" s="530"/>
    </row>
    <row r="497" ht="22.5" customHeight="1">
      <c r="A497" s="529"/>
      <c r="B497" s="475"/>
      <c r="C497" s="526"/>
      <c r="D497" s="457"/>
      <c r="E497" s="530"/>
    </row>
    <row r="498" ht="22.5" customHeight="1">
      <c r="A498" s="529"/>
      <c r="B498" s="475"/>
      <c r="C498" s="526"/>
      <c r="D498" s="457"/>
      <c r="E498" s="530"/>
    </row>
    <row r="499" ht="22.5" customHeight="1">
      <c r="A499" s="529"/>
      <c r="B499" s="475"/>
      <c r="C499" s="526"/>
      <c r="D499" s="457"/>
      <c r="E499" s="530"/>
    </row>
    <row r="500" ht="22.5" customHeight="1">
      <c r="A500" s="529"/>
      <c r="B500" s="475"/>
      <c r="C500" s="526"/>
      <c r="D500" s="457"/>
      <c r="E500" s="530"/>
    </row>
    <row r="501" ht="22.5" customHeight="1">
      <c r="A501" s="529"/>
      <c r="B501" s="475"/>
      <c r="C501" s="526"/>
      <c r="D501" s="457"/>
      <c r="E501" s="530"/>
    </row>
    <row r="502" ht="22.5" customHeight="1">
      <c r="A502" s="529"/>
      <c r="B502" s="475"/>
      <c r="C502" s="526"/>
      <c r="D502" s="457"/>
      <c r="E502" s="530"/>
    </row>
    <row r="503" ht="22.5" customHeight="1">
      <c r="A503" s="529"/>
      <c r="B503" s="475"/>
      <c r="C503" s="526"/>
      <c r="D503" s="457"/>
      <c r="E503" s="530"/>
    </row>
    <row r="504" ht="22.5" customHeight="1">
      <c r="A504" s="529"/>
      <c r="B504" s="475"/>
      <c r="C504" s="526"/>
      <c r="D504" s="457"/>
      <c r="E504" s="530"/>
    </row>
    <row r="505" ht="22.5" customHeight="1">
      <c r="A505" s="529"/>
      <c r="B505" s="475"/>
      <c r="C505" s="526"/>
      <c r="D505" s="457"/>
      <c r="E505" s="530"/>
    </row>
    <row r="506" ht="22.5" customHeight="1">
      <c r="A506" s="529"/>
      <c r="B506" s="475"/>
      <c r="C506" s="526"/>
      <c r="D506" s="457"/>
      <c r="E506" s="530"/>
    </row>
    <row r="507" ht="22.5" customHeight="1">
      <c r="A507" s="529"/>
      <c r="B507" s="475"/>
      <c r="C507" s="526"/>
      <c r="D507" s="457"/>
      <c r="E507" s="530"/>
    </row>
    <row r="508" ht="22.5" customHeight="1">
      <c r="A508" s="529"/>
      <c r="B508" s="475"/>
      <c r="C508" s="526"/>
      <c r="D508" s="457"/>
      <c r="E508" s="530"/>
    </row>
    <row r="509" ht="22.5" customHeight="1">
      <c r="A509" s="529"/>
      <c r="B509" s="475"/>
      <c r="C509" s="526"/>
      <c r="D509" s="457"/>
      <c r="E509" s="530"/>
    </row>
    <row r="510" ht="22.5" customHeight="1">
      <c r="A510" s="529"/>
      <c r="B510" s="475"/>
      <c r="C510" s="526"/>
      <c r="D510" s="457"/>
      <c r="E510" s="530"/>
    </row>
    <row r="511" ht="22.5" customHeight="1">
      <c r="A511" s="529"/>
      <c r="B511" s="475"/>
      <c r="C511" s="526"/>
      <c r="D511" s="457"/>
      <c r="E511" s="530"/>
    </row>
    <row r="512" ht="22.5" customHeight="1">
      <c r="A512" s="529"/>
      <c r="B512" s="475"/>
      <c r="C512" s="526"/>
      <c r="D512" s="457"/>
      <c r="E512" s="530"/>
    </row>
    <row r="513" ht="22.5" customHeight="1">
      <c r="A513" s="529"/>
      <c r="B513" s="475"/>
      <c r="C513" s="526"/>
      <c r="D513" s="457"/>
      <c r="E513" s="530"/>
    </row>
    <row r="514" ht="22.5" customHeight="1">
      <c r="A514" s="529"/>
      <c r="B514" s="475"/>
      <c r="C514" s="526"/>
      <c r="D514" s="457"/>
      <c r="E514" s="530"/>
    </row>
    <row r="515" ht="22.5" customHeight="1">
      <c r="A515" s="529"/>
      <c r="B515" s="475"/>
      <c r="C515" s="526"/>
      <c r="D515" s="457"/>
      <c r="E515" s="530"/>
    </row>
    <row r="516" ht="22.5" customHeight="1">
      <c r="A516" s="529"/>
      <c r="B516" s="475"/>
      <c r="C516" s="526"/>
      <c r="D516" s="457"/>
      <c r="E516" s="530"/>
    </row>
    <row r="517" ht="22.5" customHeight="1">
      <c r="A517" s="529"/>
      <c r="B517" s="475"/>
      <c r="C517" s="526"/>
      <c r="D517" s="457"/>
      <c r="E517" s="530"/>
    </row>
    <row r="518" ht="22.5" customHeight="1">
      <c r="A518" s="529"/>
      <c r="B518" s="475"/>
      <c r="C518" s="526"/>
      <c r="D518" s="457"/>
      <c r="E518" s="530"/>
    </row>
    <row r="519" ht="22.5" customHeight="1">
      <c r="A519" s="529"/>
      <c r="B519" s="475"/>
      <c r="C519" s="526"/>
      <c r="D519" s="457"/>
      <c r="E519" s="530"/>
    </row>
    <row r="520" ht="22.5" customHeight="1">
      <c r="A520" s="529"/>
      <c r="B520" s="475"/>
      <c r="C520" s="526"/>
      <c r="D520" s="457"/>
      <c r="E520" s="530"/>
    </row>
    <row r="521" ht="22.5" customHeight="1">
      <c r="A521" s="529"/>
      <c r="B521" s="475"/>
      <c r="C521" s="526"/>
      <c r="D521" s="457"/>
      <c r="E521" s="530"/>
    </row>
    <row r="522" ht="22.5" customHeight="1">
      <c r="A522" s="529"/>
      <c r="B522" s="475"/>
      <c r="C522" s="526"/>
      <c r="D522" s="457"/>
      <c r="E522" s="530"/>
    </row>
    <row r="523" ht="22.5" customHeight="1">
      <c r="A523" s="529"/>
      <c r="B523" s="475"/>
      <c r="C523" s="526"/>
      <c r="D523" s="457"/>
      <c r="E523" s="530"/>
    </row>
    <row r="524" ht="22.5" customHeight="1">
      <c r="A524" s="529"/>
      <c r="B524" s="475"/>
      <c r="C524" s="526"/>
      <c r="D524" s="457"/>
      <c r="E524" s="530"/>
    </row>
    <row r="525" ht="22.5" customHeight="1">
      <c r="A525" s="529"/>
      <c r="B525" s="475"/>
      <c r="C525" s="526"/>
      <c r="D525" s="457"/>
      <c r="E525" s="530"/>
    </row>
    <row r="526" ht="22.5" customHeight="1">
      <c r="A526" s="529"/>
      <c r="B526" s="475"/>
      <c r="C526" s="526"/>
      <c r="D526" s="457"/>
      <c r="E526" s="530"/>
    </row>
    <row r="527" ht="22.5" customHeight="1">
      <c r="A527" s="529"/>
      <c r="B527" s="475"/>
      <c r="C527" s="526"/>
      <c r="D527" s="457"/>
      <c r="E527" s="530"/>
    </row>
    <row r="528" ht="22.5" customHeight="1">
      <c r="A528" s="529"/>
      <c r="B528" s="475"/>
      <c r="C528" s="526"/>
      <c r="D528" s="457"/>
      <c r="E528" s="530"/>
    </row>
    <row r="529" ht="22.5" customHeight="1">
      <c r="A529" s="529"/>
      <c r="B529" s="475"/>
      <c r="C529" s="526"/>
      <c r="D529" s="457"/>
      <c r="E529" s="530"/>
    </row>
    <row r="530" ht="22.5" customHeight="1">
      <c r="A530" s="529"/>
      <c r="B530" s="475"/>
      <c r="C530" s="526"/>
      <c r="D530" s="457"/>
      <c r="E530" s="530"/>
    </row>
    <row r="531" ht="22.5" customHeight="1">
      <c r="A531" s="529"/>
      <c r="B531" s="475"/>
      <c r="C531" s="526"/>
      <c r="D531" s="457"/>
      <c r="E531" s="530"/>
    </row>
    <row r="532" ht="22.5" customHeight="1">
      <c r="A532" s="529"/>
      <c r="B532" s="475"/>
      <c r="C532" s="526"/>
      <c r="D532" s="457"/>
      <c r="E532" s="530"/>
    </row>
    <row r="533" ht="22.5" customHeight="1">
      <c r="A533" s="529"/>
      <c r="B533" s="475"/>
      <c r="C533" s="526"/>
      <c r="D533" s="457"/>
      <c r="E533" s="530"/>
    </row>
    <row r="534" ht="22.5" customHeight="1">
      <c r="A534" s="529"/>
      <c r="B534" s="475"/>
      <c r="C534" s="526"/>
      <c r="D534" s="457"/>
      <c r="E534" s="530"/>
    </row>
    <row r="535" ht="22.5" customHeight="1">
      <c r="A535" s="529"/>
      <c r="B535" s="475"/>
      <c r="C535" s="526"/>
      <c r="D535" s="457"/>
      <c r="E535" s="530"/>
    </row>
    <row r="536" ht="22.5" customHeight="1">
      <c r="A536" s="529"/>
      <c r="B536" s="475"/>
      <c r="C536" s="526"/>
      <c r="D536" s="457"/>
      <c r="E536" s="530"/>
    </row>
    <row r="537" ht="22.5" customHeight="1">
      <c r="A537" s="529"/>
      <c r="B537" s="475"/>
      <c r="C537" s="526"/>
      <c r="D537" s="457"/>
      <c r="E537" s="530"/>
    </row>
    <row r="538" ht="22.5" customHeight="1">
      <c r="A538" s="529"/>
      <c r="B538" s="475"/>
      <c r="C538" s="526"/>
      <c r="D538" s="457"/>
      <c r="E538" s="530"/>
    </row>
    <row r="539" ht="22.5" customHeight="1">
      <c r="A539" s="529"/>
      <c r="B539" s="475"/>
      <c r="C539" s="526"/>
      <c r="D539" s="457"/>
      <c r="E539" s="530"/>
    </row>
    <row r="540" ht="22.5" customHeight="1">
      <c r="A540" s="529"/>
      <c r="B540" s="475"/>
      <c r="C540" s="526"/>
      <c r="D540" s="457"/>
      <c r="E540" s="530"/>
    </row>
    <row r="541" ht="22.5" customHeight="1">
      <c r="A541" s="529"/>
      <c r="B541" s="475"/>
      <c r="C541" s="526"/>
      <c r="D541" s="457"/>
      <c r="E541" s="530"/>
    </row>
    <row r="542" ht="22.5" customHeight="1">
      <c r="A542" s="529"/>
      <c r="B542" s="475"/>
      <c r="C542" s="526"/>
      <c r="D542" s="457"/>
      <c r="E542" s="530"/>
    </row>
    <row r="543" ht="22.5" customHeight="1">
      <c r="A543" s="529"/>
      <c r="B543" s="475"/>
      <c r="C543" s="526"/>
      <c r="D543" s="457"/>
      <c r="E543" s="530"/>
    </row>
    <row r="544" ht="22.5" customHeight="1">
      <c r="A544" s="529"/>
      <c r="B544" s="475"/>
      <c r="C544" s="526"/>
      <c r="D544" s="457"/>
      <c r="E544" s="530"/>
    </row>
    <row r="545" ht="22.5" customHeight="1">
      <c r="A545" s="529"/>
      <c r="B545" s="475"/>
      <c r="C545" s="526"/>
      <c r="D545" s="457"/>
      <c r="E545" s="530"/>
    </row>
    <row r="546" ht="22.5" customHeight="1">
      <c r="A546" s="529"/>
      <c r="B546" s="475"/>
      <c r="C546" s="526"/>
      <c r="D546" s="457"/>
      <c r="E546" s="530"/>
    </row>
    <row r="547" ht="22.5" customHeight="1">
      <c r="A547" s="529"/>
      <c r="B547" s="475"/>
      <c r="C547" s="526"/>
      <c r="D547" s="457"/>
      <c r="E547" s="530"/>
    </row>
    <row r="548" ht="22.5" customHeight="1">
      <c r="A548" s="529"/>
      <c r="B548" s="475"/>
      <c r="C548" s="526"/>
      <c r="D548" s="457"/>
      <c r="E548" s="530"/>
    </row>
    <row r="549" ht="22.5" customHeight="1">
      <c r="A549" s="529"/>
      <c r="B549" s="475"/>
      <c r="C549" s="526"/>
      <c r="D549" s="457"/>
      <c r="E549" s="530"/>
    </row>
    <row r="550" ht="22.5" customHeight="1">
      <c r="A550" s="529"/>
      <c r="B550" s="475"/>
      <c r="C550" s="526"/>
      <c r="D550" s="457"/>
      <c r="E550" s="530"/>
    </row>
    <row r="551" ht="22.5" customHeight="1">
      <c r="A551" s="529"/>
      <c r="B551" s="475"/>
      <c r="C551" s="526"/>
      <c r="D551" s="457"/>
      <c r="E551" s="530"/>
    </row>
    <row r="552" ht="22.5" customHeight="1">
      <c r="A552" s="529"/>
      <c r="B552" s="475"/>
      <c r="C552" s="526"/>
      <c r="D552" s="457"/>
      <c r="E552" s="530"/>
    </row>
    <row r="553" ht="22.5" customHeight="1">
      <c r="A553" s="529"/>
      <c r="B553" s="475"/>
      <c r="C553" s="526"/>
      <c r="D553" s="457"/>
      <c r="E553" s="530"/>
    </row>
    <row r="554" ht="22.5" customHeight="1">
      <c r="A554" s="529"/>
      <c r="B554" s="475"/>
      <c r="C554" s="526"/>
      <c r="D554" s="457"/>
      <c r="E554" s="530"/>
    </row>
    <row r="555" ht="22.5" customHeight="1">
      <c r="A555" s="529"/>
      <c r="B555" s="475"/>
      <c r="C555" s="526"/>
      <c r="D555" s="457"/>
      <c r="E555" s="530"/>
    </row>
    <row r="556" ht="22.5" customHeight="1">
      <c r="A556" s="529"/>
      <c r="B556" s="475"/>
      <c r="C556" s="526"/>
      <c r="D556" s="457"/>
      <c r="E556" s="530"/>
    </row>
    <row r="557" ht="22.5" customHeight="1">
      <c r="A557" s="529"/>
      <c r="B557" s="475"/>
      <c r="C557" s="526"/>
      <c r="D557" s="457"/>
      <c r="E557" s="530"/>
    </row>
    <row r="558" ht="22.5" customHeight="1">
      <c r="A558" s="529"/>
      <c r="B558" s="475"/>
      <c r="C558" s="526"/>
      <c r="D558" s="457"/>
      <c r="E558" s="530"/>
    </row>
    <row r="559" ht="22.5" customHeight="1">
      <c r="A559" s="529"/>
      <c r="B559" s="475"/>
      <c r="C559" s="526"/>
      <c r="D559" s="457"/>
      <c r="E559" s="530"/>
    </row>
    <row r="560" ht="22.5" customHeight="1">
      <c r="A560" s="529"/>
      <c r="B560" s="475"/>
      <c r="C560" s="526"/>
      <c r="D560" s="457"/>
      <c r="E560" s="530"/>
    </row>
    <row r="561" ht="22.5" customHeight="1">
      <c r="A561" s="529"/>
      <c r="B561" s="475"/>
      <c r="C561" s="526"/>
      <c r="D561" s="457"/>
      <c r="E561" s="530"/>
    </row>
    <row r="562" ht="22.5" customHeight="1">
      <c r="A562" s="529"/>
      <c r="B562" s="475"/>
      <c r="C562" s="526"/>
      <c r="D562" s="457"/>
      <c r="E562" s="530"/>
    </row>
    <row r="563" ht="22.5" customHeight="1">
      <c r="A563" s="529"/>
      <c r="B563" s="475"/>
      <c r="C563" s="526"/>
      <c r="D563" s="457"/>
      <c r="E563" s="530"/>
    </row>
    <row r="564" ht="22.5" customHeight="1">
      <c r="A564" s="529"/>
      <c r="B564" s="475"/>
      <c r="C564" s="526"/>
      <c r="D564" s="457"/>
      <c r="E564" s="530"/>
    </row>
    <row r="565" ht="22.5" customHeight="1">
      <c r="A565" s="529"/>
      <c r="B565" s="475"/>
      <c r="C565" s="526"/>
      <c r="D565" s="457"/>
      <c r="E565" s="530"/>
    </row>
    <row r="566" ht="22.5" customHeight="1">
      <c r="A566" s="529"/>
      <c r="B566" s="475"/>
      <c r="C566" s="526"/>
      <c r="D566" s="457"/>
      <c r="E566" s="530"/>
    </row>
    <row r="567" ht="22.5" customHeight="1">
      <c r="A567" s="529"/>
      <c r="B567" s="475"/>
      <c r="C567" s="526"/>
      <c r="D567" s="457"/>
      <c r="E567" s="530"/>
    </row>
    <row r="568" ht="22.5" customHeight="1">
      <c r="A568" s="529"/>
      <c r="B568" s="475"/>
      <c r="C568" s="526"/>
      <c r="D568" s="457"/>
      <c r="E568" s="530"/>
    </row>
    <row r="569" ht="22.5" customHeight="1">
      <c r="A569" s="529"/>
      <c r="B569" s="475"/>
      <c r="C569" s="526"/>
      <c r="D569" s="457"/>
      <c r="E569" s="530"/>
    </row>
    <row r="570" ht="22.5" customHeight="1">
      <c r="A570" s="529"/>
      <c r="B570" s="475"/>
      <c r="C570" s="526"/>
      <c r="D570" s="457"/>
      <c r="E570" s="530"/>
    </row>
    <row r="571" ht="22.5" customHeight="1">
      <c r="A571" s="529"/>
      <c r="B571" s="475"/>
      <c r="C571" s="526"/>
      <c r="D571" s="457"/>
      <c r="E571" s="530"/>
    </row>
    <row r="572" ht="22.5" customHeight="1">
      <c r="A572" s="529"/>
      <c r="B572" s="475"/>
      <c r="C572" s="526"/>
      <c r="D572" s="457"/>
      <c r="E572" s="530"/>
    </row>
    <row r="573" ht="22.5" customHeight="1">
      <c r="A573" s="529"/>
      <c r="B573" s="475"/>
      <c r="C573" s="526"/>
      <c r="D573" s="457"/>
      <c r="E573" s="530"/>
    </row>
    <row r="574" ht="22.5" customHeight="1">
      <c r="A574" s="529"/>
      <c r="B574" s="475"/>
      <c r="C574" s="526"/>
      <c r="D574" s="457"/>
      <c r="E574" s="530"/>
    </row>
    <row r="575" ht="22.5" customHeight="1">
      <c r="A575" s="529"/>
      <c r="B575" s="475"/>
      <c r="C575" s="526"/>
      <c r="D575" s="457"/>
      <c r="E575" s="530"/>
    </row>
    <row r="576" ht="22.5" customHeight="1">
      <c r="A576" s="529"/>
      <c r="B576" s="475"/>
      <c r="C576" s="526"/>
      <c r="D576" s="457"/>
      <c r="E576" s="530"/>
    </row>
    <row r="577" ht="22.5" customHeight="1">
      <c r="A577" s="529"/>
      <c r="B577" s="475"/>
      <c r="C577" s="526"/>
      <c r="D577" s="457"/>
      <c r="E577" s="530"/>
    </row>
    <row r="578" ht="22.5" customHeight="1">
      <c r="A578" s="529"/>
      <c r="B578" s="475"/>
      <c r="C578" s="526"/>
      <c r="D578" s="457"/>
      <c r="E578" s="530"/>
    </row>
    <row r="579" ht="22.5" customHeight="1">
      <c r="A579" s="529"/>
      <c r="B579" s="475"/>
      <c r="C579" s="526"/>
      <c r="D579" s="457"/>
      <c r="E579" s="530"/>
    </row>
    <row r="580" ht="22.5" customHeight="1">
      <c r="A580" s="529"/>
      <c r="B580" s="475"/>
      <c r="C580" s="526"/>
      <c r="D580" s="457"/>
      <c r="E580" s="530"/>
    </row>
    <row r="581" ht="22.5" customHeight="1">
      <c r="A581" s="529"/>
      <c r="B581" s="475"/>
      <c r="C581" s="526"/>
      <c r="D581" s="457"/>
      <c r="E581" s="530"/>
    </row>
    <row r="582" ht="22.5" customHeight="1">
      <c r="A582" s="529"/>
      <c r="B582" s="475"/>
      <c r="C582" s="526"/>
      <c r="D582" s="457"/>
      <c r="E582" s="530"/>
    </row>
    <row r="583" ht="22.5" customHeight="1">
      <c r="A583" s="529"/>
      <c r="B583" s="475"/>
      <c r="C583" s="526"/>
      <c r="D583" s="457"/>
      <c r="E583" s="530"/>
    </row>
    <row r="584" ht="22.5" customHeight="1">
      <c r="A584" s="529"/>
      <c r="B584" s="475"/>
      <c r="C584" s="526"/>
      <c r="D584" s="457"/>
      <c r="E584" s="530"/>
    </row>
    <row r="585" ht="22.5" customHeight="1">
      <c r="A585" s="529"/>
      <c r="B585" s="475"/>
      <c r="C585" s="526"/>
      <c r="D585" s="457"/>
      <c r="E585" s="530"/>
    </row>
    <row r="586" ht="22.5" customHeight="1">
      <c r="A586" s="529"/>
      <c r="B586" s="475"/>
      <c r="C586" s="526"/>
      <c r="D586" s="457"/>
      <c r="E586" s="530"/>
    </row>
    <row r="587" ht="22.5" customHeight="1">
      <c r="A587" s="529"/>
      <c r="B587" s="475"/>
      <c r="C587" s="526"/>
      <c r="D587" s="457"/>
      <c r="E587" s="530"/>
    </row>
    <row r="588" ht="22.5" customHeight="1">
      <c r="A588" s="529"/>
      <c r="B588" s="475"/>
      <c r="C588" s="526"/>
      <c r="D588" s="457"/>
      <c r="E588" s="530"/>
    </row>
    <row r="589" ht="22.5" customHeight="1">
      <c r="A589" s="529"/>
      <c r="B589" s="475"/>
      <c r="C589" s="526"/>
      <c r="D589" s="457"/>
      <c r="E589" s="530"/>
    </row>
    <row r="590" ht="22.5" customHeight="1">
      <c r="A590" s="529"/>
      <c r="B590" s="475"/>
      <c r="C590" s="526"/>
      <c r="D590" s="457"/>
      <c r="E590" s="530"/>
    </row>
    <row r="591" ht="22.5" customHeight="1">
      <c r="A591" s="529"/>
      <c r="B591" s="475"/>
      <c r="C591" s="526"/>
      <c r="D591" s="457"/>
      <c r="E591" s="530"/>
    </row>
    <row r="592" ht="22.5" customHeight="1">
      <c r="A592" s="529"/>
      <c r="B592" s="475"/>
      <c r="C592" s="526"/>
      <c r="D592" s="457"/>
      <c r="E592" s="530"/>
    </row>
    <row r="593" ht="22.5" customHeight="1">
      <c r="A593" s="529"/>
      <c r="B593" s="475"/>
      <c r="C593" s="526"/>
      <c r="D593" s="457"/>
      <c r="E593" s="530"/>
    </row>
    <row r="594" ht="22.5" customHeight="1">
      <c r="A594" s="529"/>
      <c r="B594" s="475"/>
      <c r="C594" s="526"/>
      <c r="D594" s="457"/>
      <c r="E594" s="530"/>
    </row>
    <row r="595" ht="22.5" customHeight="1">
      <c r="A595" s="529"/>
      <c r="B595" s="475"/>
      <c r="C595" s="526"/>
      <c r="D595" s="457"/>
      <c r="E595" s="530"/>
    </row>
    <row r="596" ht="22.5" customHeight="1">
      <c r="A596" s="529"/>
      <c r="B596" s="475"/>
      <c r="C596" s="526"/>
      <c r="D596" s="457"/>
      <c r="E596" s="530"/>
    </row>
    <row r="597" ht="22.5" customHeight="1">
      <c r="A597" s="529"/>
      <c r="B597" s="475"/>
      <c r="C597" s="526"/>
      <c r="D597" s="457"/>
      <c r="E597" s="530"/>
    </row>
    <row r="598" ht="22.5" customHeight="1">
      <c r="A598" s="529"/>
      <c r="B598" s="475"/>
      <c r="C598" s="526"/>
      <c r="D598" s="457"/>
      <c r="E598" s="530"/>
    </row>
    <row r="599" ht="22.5" customHeight="1">
      <c r="A599" s="529"/>
      <c r="B599" s="475"/>
      <c r="C599" s="526"/>
      <c r="D599" s="457"/>
      <c r="E599" s="530"/>
    </row>
    <row r="600" ht="22.5" customHeight="1">
      <c r="A600" s="529"/>
      <c r="B600" s="475"/>
      <c r="C600" s="526"/>
      <c r="D600" s="457"/>
      <c r="E600" s="530"/>
    </row>
    <row r="601" ht="22.5" customHeight="1">
      <c r="A601" s="529"/>
      <c r="B601" s="475"/>
      <c r="C601" s="526"/>
      <c r="D601" s="457"/>
      <c r="E601" s="530"/>
    </row>
    <row r="602" ht="22.5" customHeight="1">
      <c r="A602" s="529"/>
      <c r="B602" s="475"/>
      <c r="C602" s="526"/>
      <c r="D602" s="457"/>
      <c r="E602" s="530"/>
    </row>
    <row r="603" ht="22.5" customHeight="1">
      <c r="A603" s="529"/>
      <c r="B603" s="475"/>
      <c r="C603" s="526"/>
      <c r="D603" s="457"/>
      <c r="E603" s="530"/>
    </row>
    <row r="604" ht="22.5" customHeight="1">
      <c r="A604" s="529"/>
      <c r="B604" s="475"/>
      <c r="C604" s="526"/>
      <c r="D604" s="457"/>
      <c r="E604" s="530"/>
    </row>
    <row r="605" ht="22.5" customHeight="1">
      <c r="A605" s="529"/>
      <c r="B605" s="475"/>
      <c r="C605" s="526"/>
      <c r="D605" s="457"/>
      <c r="E605" s="530"/>
    </row>
    <row r="606" ht="22.5" customHeight="1">
      <c r="A606" s="529"/>
      <c r="B606" s="475"/>
      <c r="C606" s="526"/>
      <c r="D606" s="457"/>
      <c r="E606" s="530"/>
    </row>
    <row r="607" ht="22.5" customHeight="1">
      <c r="A607" s="529"/>
      <c r="B607" s="475"/>
      <c r="C607" s="526"/>
      <c r="D607" s="457"/>
      <c r="E607" s="530"/>
    </row>
    <row r="608" ht="22.5" customHeight="1">
      <c r="A608" s="529"/>
      <c r="B608" s="475"/>
      <c r="C608" s="526"/>
      <c r="D608" s="457"/>
      <c r="E608" s="530"/>
    </row>
    <row r="609" ht="22.5" customHeight="1">
      <c r="A609" s="529"/>
      <c r="B609" s="475"/>
      <c r="C609" s="526"/>
      <c r="D609" s="457"/>
      <c r="E609" s="530"/>
    </row>
    <row r="610" ht="22.5" customHeight="1">
      <c r="A610" s="529"/>
      <c r="B610" s="475"/>
      <c r="C610" s="526"/>
      <c r="D610" s="457"/>
      <c r="E610" s="530"/>
    </row>
    <row r="611" ht="22.5" customHeight="1">
      <c r="A611" s="529"/>
      <c r="B611" s="475"/>
      <c r="C611" s="526"/>
      <c r="D611" s="457"/>
      <c r="E611" s="530"/>
    </row>
    <row r="612" ht="22.5" customHeight="1">
      <c r="A612" s="529"/>
      <c r="B612" s="475"/>
      <c r="C612" s="526"/>
      <c r="D612" s="457"/>
      <c r="E612" s="530"/>
    </row>
    <row r="613" ht="22.5" customHeight="1">
      <c r="A613" s="529"/>
      <c r="B613" s="475"/>
      <c r="C613" s="526"/>
      <c r="D613" s="457"/>
      <c r="E613" s="530"/>
    </row>
    <row r="614" ht="22.5" customHeight="1">
      <c r="A614" s="529"/>
      <c r="B614" s="475"/>
      <c r="C614" s="526"/>
      <c r="D614" s="457"/>
      <c r="E614" s="530"/>
    </row>
    <row r="615" ht="22.5" customHeight="1">
      <c r="A615" s="529"/>
      <c r="B615" s="475"/>
      <c r="C615" s="526"/>
      <c r="D615" s="457"/>
      <c r="E615" s="530"/>
    </row>
    <row r="616" ht="22.5" customHeight="1">
      <c r="A616" s="529"/>
      <c r="B616" s="475"/>
      <c r="C616" s="526"/>
      <c r="D616" s="457"/>
      <c r="E616" s="530"/>
    </row>
    <row r="617" ht="22.5" customHeight="1">
      <c r="A617" s="529"/>
      <c r="B617" s="475"/>
      <c r="C617" s="526"/>
      <c r="D617" s="457"/>
      <c r="E617" s="530"/>
    </row>
    <row r="618" ht="22.5" customHeight="1">
      <c r="A618" s="529"/>
      <c r="B618" s="475"/>
      <c r="C618" s="526"/>
      <c r="D618" s="457"/>
      <c r="E618" s="530"/>
    </row>
    <row r="619" ht="22.5" customHeight="1">
      <c r="A619" s="529"/>
      <c r="B619" s="475"/>
      <c r="C619" s="526"/>
      <c r="D619" s="457"/>
      <c r="E619" s="530"/>
    </row>
    <row r="620" ht="22.5" customHeight="1">
      <c r="A620" s="529"/>
      <c r="B620" s="475"/>
      <c r="C620" s="526"/>
      <c r="D620" s="457"/>
      <c r="E620" s="530"/>
    </row>
    <row r="621" ht="22.5" customHeight="1">
      <c r="A621" s="529"/>
      <c r="B621" s="475"/>
      <c r="C621" s="526"/>
      <c r="D621" s="457"/>
      <c r="E621" s="530"/>
    </row>
    <row r="622" ht="22.5" customHeight="1">
      <c r="A622" s="529"/>
      <c r="B622" s="475"/>
      <c r="C622" s="526"/>
      <c r="D622" s="457"/>
      <c r="E622" s="530"/>
    </row>
    <row r="623" ht="22.5" customHeight="1">
      <c r="A623" s="529"/>
      <c r="B623" s="475"/>
      <c r="C623" s="526"/>
      <c r="D623" s="457"/>
      <c r="E623" s="530"/>
    </row>
    <row r="624" ht="22.5" customHeight="1">
      <c r="A624" s="529"/>
      <c r="B624" s="475"/>
      <c r="C624" s="526"/>
      <c r="D624" s="457"/>
      <c r="E624" s="530"/>
    </row>
    <row r="625" ht="22.5" customHeight="1">
      <c r="A625" s="529"/>
      <c r="B625" s="475"/>
      <c r="C625" s="526"/>
      <c r="D625" s="457"/>
      <c r="E625" s="530"/>
    </row>
    <row r="626" ht="22.5" customHeight="1">
      <c r="A626" s="529"/>
      <c r="B626" s="475"/>
      <c r="C626" s="526"/>
      <c r="D626" s="457"/>
      <c r="E626" s="530"/>
    </row>
    <row r="627" ht="22.5" customHeight="1">
      <c r="A627" s="529"/>
      <c r="B627" s="475"/>
      <c r="C627" s="526"/>
      <c r="D627" s="457"/>
      <c r="E627" s="530"/>
    </row>
    <row r="628" ht="22.5" customHeight="1">
      <c r="A628" s="529"/>
      <c r="B628" s="475"/>
      <c r="C628" s="526"/>
      <c r="D628" s="457"/>
      <c r="E628" s="530"/>
    </row>
    <row r="629" ht="22.5" customHeight="1">
      <c r="A629" s="529"/>
      <c r="B629" s="475"/>
      <c r="C629" s="526"/>
      <c r="D629" s="457"/>
      <c r="E629" s="530"/>
    </row>
    <row r="630" ht="22.5" customHeight="1">
      <c r="A630" s="529"/>
      <c r="B630" s="475"/>
      <c r="C630" s="526"/>
      <c r="D630" s="457"/>
      <c r="E630" s="530"/>
    </row>
    <row r="631" ht="22.5" customHeight="1">
      <c r="A631" s="529"/>
      <c r="B631" s="475"/>
      <c r="C631" s="526"/>
      <c r="D631" s="457"/>
      <c r="E631" s="530"/>
    </row>
    <row r="632" ht="22.5" customHeight="1">
      <c r="A632" s="529"/>
      <c r="B632" s="475"/>
      <c r="C632" s="526"/>
      <c r="D632" s="457"/>
      <c r="E632" s="530"/>
    </row>
    <row r="633" ht="22.5" customHeight="1">
      <c r="A633" s="529"/>
      <c r="B633" s="475"/>
      <c r="C633" s="526"/>
      <c r="D633" s="457"/>
      <c r="E633" s="530"/>
    </row>
    <row r="634" ht="22.5" customHeight="1">
      <c r="A634" s="529"/>
      <c r="B634" s="475"/>
      <c r="C634" s="526"/>
      <c r="D634" s="457"/>
      <c r="E634" s="530"/>
    </row>
    <row r="635" ht="22.5" customHeight="1">
      <c r="A635" s="529"/>
      <c r="B635" s="475"/>
      <c r="C635" s="526"/>
      <c r="D635" s="457"/>
      <c r="E635" s="530"/>
    </row>
    <row r="636" ht="22.5" customHeight="1">
      <c r="A636" s="529"/>
      <c r="B636" s="475"/>
      <c r="C636" s="526"/>
      <c r="D636" s="457"/>
      <c r="E636" s="530"/>
    </row>
    <row r="637" ht="22.5" customHeight="1">
      <c r="A637" s="529"/>
      <c r="B637" s="475"/>
      <c r="C637" s="526"/>
      <c r="D637" s="457"/>
      <c r="E637" s="530"/>
    </row>
    <row r="638" ht="22.5" customHeight="1">
      <c r="A638" s="529"/>
      <c r="B638" s="475"/>
      <c r="C638" s="526"/>
      <c r="D638" s="457"/>
      <c r="E638" s="530"/>
    </row>
    <row r="639" ht="22.5" customHeight="1">
      <c r="A639" s="529"/>
      <c r="B639" s="475"/>
      <c r="C639" s="526"/>
      <c r="D639" s="457"/>
      <c r="E639" s="530"/>
    </row>
    <row r="640" ht="22.5" customHeight="1">
      <c r="A640" s="529"/>
      <c r="B640" s="475"/>
      <c r="C640" s="526"/>
      <c r="D640" s="457"/>
      <c r="E640" s="530"/>
    </row>
    <row r="641" ht="22.5" customHeight="1">
      <c r="A641" s="529"/>
      <c r="B641" s="475"/>
      <c r="C641" s="526"/>
      <c r="D641" s="457"/>
      <c r="E641" s="530"/>
    </row>
    <row r="642" ht="22.5" customHeight="1">
      <c r="A642" s="529"/>
      <c r="B642" s="475"/>
      <c r="C642" s="526"/>
      <c r="D642" s="457"/>
      <c r="E642" s="530"/>
    </row>
    <row r="643" ht="22.5" customHeight="1">
      <c r="A643" s="529"/>
      <c r="B643" s="475"/>
      <c r="C643" s="526"/>
      <c r="D643" s="457"/>
      <c r="E643" s="530"/>
    </row>
    <row r="644" ht="22.5" customHeight="1">
      <c r="A644" s="529"/>
      <c r="B644" s="475"/>
      <c r="C644" s="526"/>
      <c r="D644" s="457"/>
      <c r="E644" s="530"/>
    </row>
    <row r="645" ht="22.5" customHeight="1">
      <c r="A645" s="529"/>
      <c r="B645" s="475"/>
      <c r="C645" s="526"/>
      <c r="D645" s="457"/>
      <c r="E645" s="530"/>
    </row>
    <row r="646" ht="22.5" customHeight="1">
      <c r="A646" s="529"/>
      <c r="B646" s="475"/>
      <c r="C646" s="526"/>
      <c r="D646" s="457"/>
      <c r="E646" s="530"/>
    </row>
    <row r="647" ht="22.5" customHeight="1">
      <c r="A647" s="529"/>
      <c r="B647" s="475"/>
      <c r="C647" s="526"/>
      <c r="D647" s="457"/>
      <c r="E647" s="530"/>
    </row>
    <row r="648" ht="22.5" customHeight="1">
      <c r="A648" s="529"/>
      <c r="B648" s="475"/>
      <c r="C648" s="526"/>
      <c r="D648" s="457"/>
      <c r="E648" s="530"/>
    </row>
    <row r="649" ht="22.5" customHeight="1">
      <c r="A649" s="529"/>
      <c r="B649" s="475"/>
      <c r="C649" s="526"/>
      <c r="D649" s="457"/>
      <c r="E649" s="530"/>
    </row>
    <row r="650" ht="22.5" customHeight="1">
      <c r="A650" s="529"/>
      <c r="B650" s="475"/>
      <c r="C650" s="526"/>
      <c r="D650" s="457"/>
      <c r="E650" s="530"/>
    </row>
    <row r="651" ht="22.5" customHeight="1">
      <c r="A651" s="529"/>
      <c r="B651" s="475"/>
      <c r="C651" s="526"/>
      <c r="D651" s="457"/>
      <c r="E651" s="530"/>
    </row>
    <row r="652" ht="22.5" customHeight="1">
      <c r="A652" s="529"/>
      <c r="B652" s="475"/>
      <c r="C652" s="526"/>
      <c r="D652" s="457"/>
      <c r="E652" s="530"/>
    </row>
    <row r="653" ht="22.5" customHeight="1">
      <c r="A653" s="529"/>
      <c r="B653" s="475"/>
      <c r="C653" s="526"/>
      <c r="D653" s="457"/>
      <c r="E653" s="530"/>
    </row>
    <row r="654" ht="22.5" customHeight="1">
      <c r="A654" s="529"/>
      <c r="B654" s="475"/>
      <c r="C654" s="526"/>
      <c r="D654" s="457"/>
      <c r="E654" s="530"/>
    </row>
    <row r="655" ht="22.5" customHeight="1">
      <c r="A655" s="529"/>
      <c r="B655" s="475"/>
      <c r="C655" s="526"/>
      <c r="D655" s="457"/>
      <c r="E655" s="530"/>
    </row>
    <row r="656" ht="22.5" customHeight="1">
      <c r="A656" s="529"/>
      <c r="B656" s="475"/>
      <c r="C656" s="526"/>
      <c r="D656" s="457"/>
      <c r="E656" s="530"/>
    </row>
    <row r="657" ht="22.5" customHeight="1">
      <c r="A657" s="529"/>
      <c r="B657" s="475"/>
      <c r="C657" s="526"/>
      <c r="D657" s="457"/>
      <c r="E657" s="530"/>
    </row>
    <row r="658" ht="22.5" customHeight="1">
      <c r="A658" s="529"/>
      <c r="B658" s="475"/>
      <c r="C658" s="526"/>
      <c r="D658" s="457"/>
      <c r="E658" s="530"/>
    </row>
    <row r="659" ht="22.5" customHeight="1">
      <c r="A659" s="529"/>
      <c r="B659" s="475"/>
      <c r="C659" s="526"/>
      <c r="D659" s="457"/>
      <c r="E659" s="530"/>
    </row>
    <row r="660" ht="22.5" customHeight="1">
      <c r="A660" s="529"/>
      <c r="B660" s="475"/>
      <c r="C660" s="526"/>
      <c r="D660" s="457"/>
      <c r="E660" s="530"/>
    </row>
    <row r="661" ht="22.5" customHeight="1">
      <c r="A661" s="529"/>
      <c r="B661" s="475"/>
      <c r="C661" s="526"/>
      <c r="D661" s="457"/>
      <c r="E661" s="530"/>
    </row>
    <row r="662" ht="22.5" customHeight="1">
      <c r="A662" s="529"/>
      <c r="B662" s="475"/>
      <c r="C662" s="526"/>
      <c r="D662" s="457"/>
      <c r="E662" s="530"/>
    </row>
    <row r="663" ht="22.5" customHeight="1">
      <c r="A663" s="529"/>
      <c r="B663" s="475"/>
      <c r="C663" s="526"/>
      <c r="D663" s="457"/>
      <c r="E663" s="530"/>
    </row>
    <row r="664" ht="22.5" customHeight="1">
      <c r="A664" s="529"/>
      <c r="B664" s="475"/>
      <c r="C664" s="526"/>
      <c r="D664" s="457"/>
      <c r="E664" s="530"/>
    </row>
    <row r="665" ht="22.5" customHeight="1">
      <c r="A665" s="529"/>
      <c r="B665" s="475"/>
      <c r="C665" s="526"/>
      <c r="D665" s="457"/>
      <c r="E665" s="530"/>
    </row>
    <row r="666" ht="22.5" customHeight="1">
      <c r="A666" s="529"/>
      <c r="B666" s="475"/>
      <c r="C666" s="526"/>
      <c r="D666" s="457"/>
      <c r="E666" s="530"/>
    </row>
    <row r="667" ht="22.5" customHeight="1">
      <c r="A667" s="529"/>
      <c r="B667" s="475"/>
      <c r="C667" s="526"/>
      <c r="D667" s="457"/>
      <c r="E667" s="530"/>
    </row>
    <row r="668" ht="22.5" customHeight="1">
      <c r="A668" s="529"/>
      <c r="B668" s="475"/>
      <c r="C668" s="526"/>
      <c r="D668" s="457"/>
      <c r="E668" s="530"/>
    </row>
    <row r="669" ht="22.5" customHeight="1">
      <c r="A669" s="529"/>
      <c r="B669" s="475"/>
      <c r="C669" s="526"/>
      <c r="D669" s="457"/>
      <c r="E669" s="530"/>
    </row>
    <row r="670" ht="22.5" customHeight="1">
      <c r="A670" s="529"/>
      <c r="B670" s="475"/>
      <c r="C670" s="526"/>
      <c r="D670" s="457"/>
      <c r="E670" s="530"/>
    </row>
    <row r="671" ht="22.5" customHeight="1">
      <c r="A671" s="529"/>
      <c r="B671" s="475"/>
      <c r="C671" s="526"/>
      <c r="D671" s="457"/>
      <c r="E671" s="530"/>
    </row>
    <row r="672" ht="22.5" customHeight="1">
      <c r="A672" s="529"/>
      <c r="B672" s="475"/>
      <c r="C672" s="526"/>
      <c r="D672" s="457"/>
      <c r="E672" s="530"/>
    </row>
    <row r="673" ht="22.5" customHeight="1">
      <c r="A673" s="529"/>
      <c r="B673" s="475"/>
      <c r="C673" s="526"/>
      <c r="D673" s="457"/>
      <c r="E673" s="530"/>
    </row>
    <row r="674" ht="22.5" customHeight="1">
      <c r="A674" s="529"/>
      <c r="B674" s="475"/>
      <c r="C674" s="526"/>
      <c r="D674" s="457"/>
      <c r="E674" s="530"/>
    </row>
    <row r="675" ht="22.5" customHeight="1">
      <c r="A675" s="529"/>
      <c r="B675" s="475"/>
      <c r="C675" s="526"/>
      <c r="D675" s="457"/>
      <c r="E675" s="530"/>
    </row>
    <row r="676" ht="22.5" customHeight="1">
      <c r="A676" s="529"/>
      <c r="B676" s="475"/>
      <c r="C676" s="526"/>
      <c r="D676" s="457"/>
      <c r="E676" s="530"/>
    </row>
    <row r="677" ht="22.5" customHeight="1">
      <c r="A677" s="529"/>
      <c r="B677" s="475"/>
      <c r="C677" s="526"/>
      <c r="D677" s="457"/>
      <c r="E677" s="530"/>
    </row>
    <row r="678" ht="22.5" customHeight="1">
      <c r="A678" s="529"/>
      <c r="B678" s="475"/>
      <c r="C678" s="526"/>
      <c r="D678" s="457"/>
      <c r="E678" s="530"/>
    </row>
    <row r="679" ht="22.5" customHeight="1">
      <c r="A679" s="529"/>
      <c r="B679" s="475"/>
      <c r="C679" s="526"/>
      <c r="D679" s="457"/>
      <c r="E679" s="530"/>
    </row>
    <row r="680" ht="22.5" customHeight="1">
      <c r="A680" s="529"/>
      <c r="B680" s="475"/>
      <c r="C680" s="526"/>
      <c r="D680" s="457"/>
      <c r="E680" s="530"/>
    </row>
    <row r="681" ht="22.5" customHeight="1">
      <c r="A681" s="529"/>
      <c r="B681" s="475"/>
      <c r="C681" s="526"/>
      <c r="D681" s="457"/>
      <c r="E681" s="530"/>
    </row>
    <row r="682" ht="22.5" customHeight="1">
      <c r="A682" s="529"/>
      <c r="B682" s="475"/>
      <c r="C682" s="526"/>
      <c r="D682" s="457"/>
      <c r="E682" s="530"/>
    </row>
    <row r="683" ht="22.5" customHeight="1">
      <c r="A683" s="529"/>
      <c r="B683" s="475"/>
      <c r="C683" s="526"/>
      <c r="D683" s="457"/>
      <c r="E683" s="530"/>
    </row>
    <row r="684" ht="22.5" customHeight="1">
      <c r="A684" s="529"/>
      <c r="B684" s="475"/>
      <c r="C684" s="526"/>
      <c r="D684" s="457"/>
      <c r="E684" s="530"/>
    </row>
    <row r="685" ht="22.5" customHeight="1">
      <c r="A685" s="529"/>
      <c r="B685" s="475"/>
      <c r="C685" s="526"/>
      <c r="D685" s="457"/>
      <c r="E685" s="530"/>
    </row>
    <row r="686" ht="22.5" customHeight="1">
      <c r="A686" s="529"/>
      <c r="B686" s="475"/>
      <c r="C686" s="526"/>
      <c r="D686" s="457"/>
      <c r="E686" s="530"/>
    </row>
    <row r="687" ht="22.5" customHeight="1">
      <c r="A687" s="529"/>
      <c r="B687" s="475"/>
      <c r="C687" s="526"/>
      <c r="D687" s="457"/>
      <c r="E687" s="530"/>
    </row>
    <row r="688" ht="22.5" customHeight="1">
      <c r="A688" s="529"/>
      <c r="B688" s="475"/>
      <c r="C688" s="526"/>
      <c r="D688" s="457"/>
      <c r="E688" s="530"/>
    </row>
    <row r="689" ht="22.5" customHeight="1">
      <c r="A689" s="529"/>
      <c r="B689" s="475"/>
      <c r="C689" s="526"/>
      <c r="D689" s="457"/>
      <c r="E689" s="530"/>
    </row>
    <row r="690" ht="22.5" customHeight="1">
      <c r="A690" s="529"/>
      <c r="B690" s="475"/>
      <c r="C690" s="526"/>
      <c r="D690" s="457"/>
      <c r="E690" s="530"/>
    </row>
    <row r="691" ht="22.5" customHeight="1">
      <c r="A691" s="529"/>
      <c r="B691" s="475"/>
      <c r="C691" s="526"/>
      <c r="D691" s="457"/>
      <c r="E691" s="530"/>
    </row>
    <row r="692" ht="22.5" customHeight="1">
      <c r="A692" s="529"/>
      <c r="B692" s="475"/>
      <c r="C692" s="526"/>
      <c r="D692" s="457"/>
      <c r="E692" s="530"/>
    </row>
    <row r="693" ht="22.5" customHeight="1">
      <c r="A693" s="529"/>
      <c r="B693" s="475"/>
      <c r="C693" s="526"/>
      <c r="D693" s="457"/>
      <c r="E693" s="530"/>
    </row>
    <row r="694" ht="22.5" customHeight="1">
      <c r="A694" s="529"/>
      <c r="B694" s="475"/>
      <c r="C694" s="526"/>
      <c r="D694" s="457"/>
      <c r="E694" s="530"/>
    </row>
    <row r="695" ht="22.5" customHeight="1">
      <c r="A695" s="529"/>
      <c r="B695" s="475"/>
      <c r="C695" s="526"/>
      <c r="D695" s="457"/>
      <c r="E695" s="530"/>
    </row>
    <row r="696" ht="22.5" customHeight="1">
      <c r="A696" s="529"/>
      <c r="B696" s="475"/>
      <c r="C696" s="526"/>
      <c r="D696" s="457"/>
      <c r="E696" s="530"/>
    </row>
    <row r="697" ht="22.5" customHeight="1">
      <c r="A697" s="529"/>
      <c r="B697" s="475"/>
      <c r="C697" s="526"/>
      <c r="D697" s="457"/>
      <c r="E697" s="530"/>
    </row>
    <row r="698" ht="22.5" customHeight="1">
      <c r="A698" s="529"/>
      <c r="B698" s="475"/>
      <c r="C698" s="526"/>
      <c r="D698" s="457"/>
      <c r="E698" s="530"/>
    </row>
    <row r="699" ht="22.5" customHeight="1">
      <c r="A699" s="529"/>
      <c r="B699" s="475"/>
      <c r="C699" s="526"/>
      <c r="D699" s="457"/>
      <c r="E699" s="530"/>
    </row>
    <row r="700" ht="22.5" customHeight="1">
      <c r="A700" s="529"/>
      <c r="B700" s="475"/>
      <c r="C700" s="526"/>
      <c r="D700" s="457"/>
      <c r="E700" s="530"/>
    </row>
    <row r="701" ht="22.5" customHeight="1">
      <c r="A701" s="529"/>
      <c r="B701" s="475"/>
      <c r="C701" s="526"/>
      <c r="D701" s="457"/>
      <c r="E701" s="530"/>
    </row>
    <row r="702" ht="22.5" customHeight="1">
      <c r="A702" s="529"/>
      <c r="B702" s="475"/>
      <c r="C702" s="526"/>
      <c r="D702" s="457"/>
      <c r="E702" s="530"/>
    </row>
    <row r="703" ht="22.5" customHeight="1">
      <c r="A703" s="529"/>
      <c r="B703" s="475"/>
      <c r="C703" s="526"/>
      <c r="D703" s="457"/>
      <c r="E703" s="530"/>
    </row>
    <row r="704" ht="22.5" customHeight="1">
      <c r="A704" s="529"/>
      <c r="B704" s="475"/>
      <c r="C704" s="526"/>
      <c r="D704" s="457"/>
      <c r="E704" s="530"/>
    </row>
    <row r="705" ht="22.5" customHeight="1">
      <c r="A705" s="529"/>
      <c r="B705" s="475"/>
      <c r="C705" s="526"/>
      <c r="D705" s="457"/>
      <c r="E705" s="530"/>
    </row>
    <row r="706" ht="22.5" customHeight="1">
      <c r="A706" s="529"/>
      <c r="B706" s="475"/>
      <c r="C706" s="526"/>
      <c r="D706" s="457"/>
      <c r="E706" s="530"/>
    </row>
    <row r="707" ht="22.5" customHeight="1">
      <c r="A707" s="529"/>
      <c r="B707" s="475"/>
      <c r="C707" s="526"/>
      <c r="D707" s="457"/>
      <c r="E707" s="530"/>
    </row>
    <row r="708" ht="22.5" customHeight="1">
      <c r="A708" s="529"/>
      <c r="B708" s="475"/>
      <c r="C708" s="526"/>
      <c r="D708" s="457"/>
      <c r="E708" s="530"/>
    </row>
    <row r="709" ht="22.5" customHeight="1">
      <c r="A709" s="529"/>
      <c r="B709" s="475"/>
      <c r="C709" s="526"/>
      <c r="D709" s="457"/>
      <c r="E709" s="530"/>
    </row>
    <row r="710" ht="22.5" customHeight="1">
      <c r="A710" s="529"/>
      <c r="B710" s="475"/>
      <c r="C710" s="526"/>
      <c r="D710" s="457"/>
      <c r="E710" s="530"/>
    </row>
    <row r="711" ht="22.5" customHeight="1">
      <c r="A711" s="529"/>
      <c r="B711" s="475"/>
      <c r="C711" s="526"/>
      <c r="D711" s="457"/>
      <c r="E711" s="530"/>
    </row>
    <row r="712" ht="22.5" customHeight="1">
      <c r="A712" s="529"/>
      <c r="B712" s="475"/>
      <c r="C712" s="526"/>
      <c r="D712" s="457"/>
      <c r="E712" s="530"/>
    </row>
    <row r="713" ht="22.5" customHeight="1">
      <c r="A713" s="529"/>
      <c r="B713" s="475"/>
      <c r="C713" s="526"/>
      <c r="D713" s="457"/>
      <c r="E713" s="530"/>
    </row>
    <row r="714" ht="22.5" customHeight="1">
      <c r="A714" s="529"/>
      <c r="B714" s="475"/>
      <c r="C714" s="526"/>
      <c r="D714" s="457"/>
      <c r="E714" s="530"/>
    </row>
    <row r="715" ht="22.5" customHeight="1">
      <c r="A715" s="529"/>
      <c r="B715" s="475"/>
      <c r="C715" s="526"/>
      <c r="D715" s="457"/>
      <c r="E715" s="530"/>
    </row>
    <row r="716" ht="22.5" customHeight="1">
      <c r="A716" s="529"/>
      <c r="B716" s="475"/>
      <c r="C716" s="526"/>
      <c r="D716" s="457"/>
      <c r="E716" s="530"/>
    </row>
    <row r="717" ht="22.5" customHeight="1">
      <c r="A717" s="529"/>
      <c r="B717" s="475"/>
      <c r="C717" s="526"/>
      <c r="D717" s="457"/>
      <c r="E717" s="530"/>
    </row>
    <row r="718" ht="22.5" customHeight="1">
      <c r="A718" s="529"/>
      <c r="B718" s="475"/>
      <c r="C718" s="526"/>
      <c r="D718" s="457"/>
      <c r="E718" s="530"/>
    </row>
    <row r="719" ht="22.5" customHeight="1">
      <c r="A719" s="529"/>
      <c r="B719" s="475"/>
      <c r="C719" s="526"/>
      <c r="D719" s="457"/>
      <c r="E719" s="530"/>
    </row>
    <row r="720" ht="22.5" customHeight="1">
      <c r="A720" s="529"/>
      <c r="B720" s="475"/>
      <c r="C720" s="526"/>
      <c r="D720" s="457"/>
      <c r="E720" s="530"/>
    </row>
    <row r="721" ht="22.5" customHeight="1">
      <c r="A721" s="529"/>
      <c r="B721" s="475"/>
      <c r="C721" s="526"/>
      <c r="D721" s="457"/>
      <c r="E721" s="530"/>
    </row>
    <row r="722" ht="22.5" customHeight="1">
      <c r="A722" s="529"/>
      <c r="B722" s="475"/>
      <c r="C722" s="526"/>
      <c r="D722" s="457"/>
      <c r="E722" s="530"/>
    </row>
    <row r="723" ht="22.5" customHeight="1">
      <c r="A723" s="529"/>
      <c r="B723" s="475"/>
      <c r="C723" s="526"/>
      <c r="D723" s="457"/>
      <c r="E723" s="530"/>
    </row>
    <row r="724" ht="22.5" customHeight="1">
      <c r="A724" s="529"/>
      <c r="B724" s="475"/>
      <c r="C724" s="526"/>
      <c r="D724" s="457"/>
      <c r="E724" s="530"/>
    </row>
    <row r="725" ht="22.5" customHeight="1">
      <c r="A725" s="529"/>
      <c r="B725" s="475"/>
      <c r="C725" s="526"/>
      <c r="D725" s="457"/>
      <c r="E725" s="530"/>
    </row>
    <row r="726" ht="22.5" customHeight="1">
      <c r="A726" s="529"/>
      <c r="B726" s="475"/>
      <c r="C726" s="526"/>
      <c r="D726" s="457"/>
      <c r="E726" s="530"/>
    </row>
    <row r="727" ht="22.5" customHeight="1">
      <c r="A727" s="529"/>
      <c r="B727" s="475"/>
      <c r="C727" s="526"/>
      <c r="D727" s="457"/>
      <c r="E727" s="530"/>
    </row>
    <row r="728" ht="22.5" customHeight="1">
      <c r="A728" s="529"/>
      <c r="B728" s="475"/>
      <c r="C728" s="526"/>
      <c r="D728" s="457"/>
      <c r="E728" s="530"/>
    </row>
    <row r="729" ht="22.5" customHeight="1">
      <c r="A729" s="529"/>
      <c r="B729" s="475"/>
      <c r="C729" s="526"/>
      <c r="D729" s="457"/>
      <c r="E729" s="530"/>
    </row>
    <row r="730" ht="22.5" customHeight="1">
      <c r="A730" s="529"/>
      <c r="B730" s="475"/>
      <c r="C730" s="526"/>
      <c r="D730" s="457"/>
      <c r="E730" s="530"/>
    </row>
    <row r="731" ht="22.5" customHeight="1">
      <c r="A731" s="529"/>
      <c r="B731" s="475"/>
      <c r="C731" s="526"/>
      <c r="D731" s="457"/>
      <c r="E731" s="530"/>
    </row>
    <row r="732" ht="22.5" customHeight="1">
      <c r="A732" s="529"/>
      <c r="B732" s="475"/>
      <c r="C732" s="526"/>
      <c r="D732" s="457"/>
      <c r="E732" s="530"/>
    </row>
    <row r="733" ht="22.5" customHeight="1">
      <c r="A733" s="529"/>
      <c r="B733" s="475"/>
      <c r="C733" s="526"/>
      <c r="D733" s="457"/>
      <c r="E733" s="530"/>
    </row>
    <row r="734" ht="22.5" customHeight="1">
      <c r="A734" s="529"/>
      <c r="B734" s="475"/>
      <c r="C734" s="526"/>
      <c r="D734" s="457"/>
      <c r="E734" s="530"/>
    </row>
    <row r="735" ht="22.5" customHeight="1">
      <c r="A735" s="529"/>
      <c r="B735" s="475"/>
      <c r="C735" s="526"/>
      <c r="D735" s="457"/>
      <c r="E735" s="530"/>
    </row>
    <row r="736" ht="22.5" customHeight="1">
      <c r="A736" s="529"/>
      <c r="B736" s="475"/>
      <c r="C736" s="526"/>
      <c r="D736" s="457"/>
      <c r="E736" s="530"/>
    </row>
    <row r="737" ht="22.5" customHeight="1">
      <c r="A737" s="529"/>
      <c r="B737" s="475"/>
      <c r="C737" s="526"/>
      <c r="D737" s="457"/>
      <c r="E737" s="530"/>
    </row>
    <row r="738" ht="22.5" customHeight="1">
      <c r="A738" s="529"/>
      <c r="B738" s="475"/>
      <c r="C738" s="526"/>
      <c r="D738" s="457"/>
      <c r="E738" s="530"/>
    </row>
    <row r="739" ht="22.5" customHeight="1">
      <c r="A739" s="529"/>
      <c r="B739" s="475"/>
      <c r="C739" s="526"/>
      <c r="D739" s="457"/>
      <c r="E739" s="530"/>
    </row>
    <row r="740" ht="22.5" customHeight="1">
      <c r="A740" s="529"/>
      <c r="B740" s="475"/>
      <c r="C740" s="526"/>
      <c r="D740" s="457"/>
      <c r="E740" s="530"/>
    </row>
    <row r="741" ht="22.5" customHeight="1">
      <c r="A741" s="529"/>
      <c r="B741" s="475"/>
      <c r="C741" s="526"/>
      <c r="D741" s="457"/>
      <c r="E741" s="530"/>
    </row>
    <row r="742" ht="22.5" customHeight="1">
      <c r="A742" s="529"/>
      <c r="B742" s="475"/>
      <c r="C742" s="526"/>
      <c r="D742" s="457"/>
      <c r="E742" s="530"/>
    </row>
    <row r="743" ht="22.5" customHeight="1">
      <c r="A743" s="529"/>
      <c r="B743" s="475"/>
      <c r="C743" s="526"/>
      <c r="D743" s="457"/>
      <c r="E743" s="530"/>
    </row>
    <row r="744" ht="22.5" customHeight="1">
      <c r="A744" s="529"/>
      <c r="B744" s="475"/>
      <c r="C744" s="526"/>
      <c r="D744" s="457"/>
      <c r="E744" s="530"/>
    </row>
    <row r="745" ht="22.5" customHeight="1">
      <c r="A745" s="529"/>
      <c r="B745" s="475"/>
      <c r="C745" s="526"/>
      <c r="D745" s="457"/>
      <c r="E745" s="530"/>
    </row>
    <row r="746" ht="22.5" customHeight="1">
      <c r="A746" s="529"/>
      <c r="B746" s="475"/>
      <c r="C746" s="526"/>
      <c r="D746" s="457"/>
      <c r="E746" s="530"/>
    </row>
    <row r="747" ht="22.5" customHeight="1">
      <c r="A747" s="529"/>
      <c r="B747" s="475"/>
      <c r="C747" s="526"/>
      <c r="D747" s="457"/>
      <c r="E747" s="530"/>
    </row>
    <row r="748" ht="22.5" customHeight="1">
      <c r="A748" s="529"/>
      <c r="B748" s="475"/>
      <c r="C748" s="526"/>
      <c r="D748" s="457"/>
      <c r="E748" s="530"/>
    </row>
    <row r="749" ht="22.5" customHeight="1">
      <c r="A749" s="529"/>
      <c r="B749" s="475"/>
      <c r="C749" s="526"/>
      <c r="D749" s="457"/>
      <c r="E749" s="530"/>
    </row>
    <row r="750" ht="22.5" customHeight="1">
      <c r="A750" s="529"/>
      <c r="B750" s="475"/>
      <c r="C750" s="526"/>
      <c r="D750" s="457"/>
      <c r="E750" s="530"/>
    </row>
    <row r="751" ht="22.5" customHeight="1">
      <c r="A751" s="529"/>
      <c r="B751" s="475"/>
      <c r="C751" s="526"/>
      <c r="D751" s="457"/>
      <c r="E751" s="530"/>
    </row>
    <row r="752" ht="22.5" customHeight="1">
      <c r="A752" s="529"/>
      <c r="B752" s="475"/>
      <c r="C752" s="526"/>
      <c r="D752" s="457"/>
      <c r="E752" s="530"/>
    </row>
    <row r="753" ht="22.5" customHeight="1">
      <c r="A753" s="529"/>
      <c r="B753" s="475"/>
      <c r="C753" s="526"/>
      <c r="D753" s="457"/>
      <c r="E753" s="530"/>
    </row>
    <row r="754" ht="22.5" customHeight="1">
      <c r="A754" s="529"/>
      <c r="B754" s="475"/>
      <c r="C754" s="526"/>
      <c r="D754" s="457"/>
      <c r="E754" s="530"/>
    </row>
    <row r="755" ht="22.5" customHeight="1">
      <c r="A755" s="529"/>
      <c r="B755" s="475"/>
      <c r="C755" s="526"/>
      <c r="D755" s="457"/>
      <c r="E755" s="530"/>
    </row>
    <row r="756" ht="22.5" customHeight="1">
      <c r="A756" s="529"/>
      <c r="B756" s="475"/>
      <c r="C756" s="526"/>
      <c r="D756" s="457"/>
      <c r="E756" s="530"/>
    </row>
    <row r="757" ht="22.5" customHeight="1">
      <c r="A757" s="529"/>
      <c r="B757" s="475"/>
      <c r="C757" s="526"/>
      <c r="D757" s="457"/>
      <c r="E757" s="530"/>
    </row>
    <row r="758" ht="22.5" customHeight="1">
      <c r="A758" s="529"/>
      <c r="B758" s="475"/>
      <c r="C758" s="526"/>
      <c r="D758" s="457"/>
      <c r="E758" s="530"/>
    </row>
    <row r="759" ht="22.5" customHeight="1">
      <c r="A759" s="529"/>
      <c r="B759" s="475"/>
      <c r="C759" s="526"/>
      <c r="D759" s="457"/>
      <c r="E759" s="530"/>
    </row>
    <row r="760" ht="22.5" customHeight="1">
      <c r="A760" s="529"/>
      <c r="B760" s="475"/>
      <c r="C760" s="526"/>
      <c r="D760" s="457"/>
      <c r="E760" s="530"/>
    </row>
    <row r="761" ht="22.5" customHeight="1">
      <c r="A761" s="529"/>
      <c r="B761" s="475"/>
      <c r="C761" s="526"/>
      <c r="D761" s="457"/>
      <c r="E761" s="530"/>
    </row>
    <row r="762" ht="22.5" customHeight="1">
      <c r="A762" s="529"/>
      <c r="B762" s="475"/>
      <c r="C762" s="526"/>
      <c r="D762" s="457"/>
      <c r="E762" s="530"/>
    </row>
    <row r="763" ht="22.5" customHeight="1">
      <c r="A763" s="529"/>
      <c r="B763" s="475"/>
      <c r="C763" s="526"/>
      <c r="D763" s="457"/>
      <c r="E763" s="530"/>
    </row>
    <row r="764" ht="22.5" customHeight="1">
      <c r="A764" s="529"/>
      <c r="B764" s="475"/>
      <c r="C764" s="526"/>
      <c r="D764" s="457"/>
      <c r="E764" s="530"/>
    </row>
    <row r="765" ht="22.5" customHeight="1">
      <c r="A765" s="529"/>
      <c r="B765" s="475"/>
      <c r="C765" s="526"/>
      <c r="D765" s="457"/>
      <c r="E765" s="530"/>
    </row>
    <row r="766" ht="22.5" customHeight="1">
      <c r="A766" s="529"/>
      <c r="B766" s="475"/>
      <c r="C766" s="526"/>
      <c r="D766" s="457"/>
      <c r="E766" s="530"/>
    </row>
    <row r="767" ht="22.5" customHeight="1">
      <c r="A767" s="529"/>
      <c r="B767" s="475"/>
      <c r="C767" s="526"/>
      <c r="D767" s="457"/>
      <c r="E767" s="530"/>
    </row>
    <row r="768" ht="22.5" customHeight="1">
      <c r="A768" s="529"/>
      <c r="B768" s="475"/>
      <c r="C768" s="526"/>
      <c r="D768" s="457"/>
      <c r="E768" s="530"/>
    </row>
    <row r="769" ht="22.5" customHeight="1">
      <c r="A769" s="529"/>
      <c r="B769" s="475"/>
      <c r="C769" s="526"/>
      <c r="D769" s="457"/>
      <c r="E769" s="530"/>
    </row>
    <row r="770" ht="22.5" customHeight="1">
      <c r="A770" s="529"/>
      <c r="B770" s="475"/>
      <c r="C770" s="526"/>
      <c r="D770" s="457"/>
      <c r="E770" s="530"/>
    </row>
    <row r="771" ht="22.5" customHeight="1">
      <c r="A771" s="529"/>
      <c r="B771" s="475"/>
      <c r="C771" s="526"/>
      <c r="D771" s="457"/>
      <c r="E771" s="530"/>
    </row>
    <row r="772" ht="22.5" customHeight="1">
      <c r="A772" s="529"/>
      <c r="B772" s="475"/>
      <c r="C772" s="526"/>
      <c r="D772" s="457"/>
      <c r="E772" s="530"/>
    </row>
    <row r="773" ht="22.5" customHeight="1">
      <c r="A773" s="529"/>
      <c r="B773" s="475"/>
      <c r="C773" s="526"/>
      <c r="D773" s="457"/>
      <c r="E773" s="530"/>
    </row>
    <row r="774" ht="22.5" customHeight="1">
      <c r="A774" s="529"/>
      <c r="B774" s="475"/>
      <c r="C774" s="526"/>
      <c r="D774" s="457"/>
      <c r="E774" s="530"/>
    </row>
    <row r="775" ht="22.5" customHeight="1">
      <c r="A775" s="529"/>
      <c r="B775" s="475"/>
      <c r="C775" s="526"/>
      <c r="D775" s="457"/>
      <c r="E775" s="530"/>
    </row>
    <row r="776" ht="22.5" customHeight="1">
      <c r="A776" s="529"/>
      <c r="B776" s="475"/>
      <c r="C776" s="526"/>
      <c r="D776" s="457"/>
      <c r="E776" s="530"/>
    </row>
    <row r="777" ht="22.5" customHeight="1">
      <c r="A777" s="529"/>
      <c r="B777" s="475"/>
      <c r="C777" s="526"/>
      <c r="D777" s="457"/>
      <c r="E777" s="530"/>
    </row>
    <row r="778" ht="22.5" customHeight="1">
      <c r="A778" s="529"/>
      <c r="B778" s="475"/>
      <c r="C778" s="526"/>
      <c r="D778" s="457"/>
      <c r="E778" s="530"/>
    </row>
    <row r="779" ht="22.5" customHeight="1">
      <c r="A779" s="529"/>
      <c r="B779" s="475"/>
      <c r="C779" s="526"/>
      <c r="D779" s="457"/>
      <c r="E779" s="530"/>
    </row>
    <row r="780" ht="22.5" customHeight="1">
      <c r="A780" s="529"/>
      <c r="B780" s="475"/>
      <c r="C780" s="526"/>
      <c r="D780" s="457"/>
      <c r="E780" s="530"/>
    </row>
    <row r="781" ht="22.5" customHeight="1">
      <c r="A781" s="529"/>
      <c r="B781" s="475"/>
      <c r="C781" s="526"/>
      <c r="D781" s="457"/>
      <c r="E781" s="530"/>
    </row>
    <row r="782" ht="22.5" customHeight="1">
      <c r="A782" s="529"/>
      <c r="B782" s="475"/>
      <c r="C782" s="526"/>
      <c r="D782" s="457"/>
      <c r="E782" s="530"/>
    </row>
    <row r="783" ht="22.5" customHeight="1">
      <c r="A783" s="529"/>
      <c r="B783" s="475"/>
      <c r="C783" s="526"/>
      <c r="D783" s="457"/>
      <c r="E783" s="530"/>
    </row>
    <row r="784" ht="22.5" customHeight="1">
      <c r="A784" s="529"/>
      <c r="B784" s="475"/>
      <c r="C784" s="526"/>
      <c r="D784" s="457"/>
      <c r="E784" s="530"/>
    </row>
    <row r="785" ht="22.5" customHeight="1">
      <c r="A785" s="529"/>
      <c r="B785" s="475"/>
      <c r="C785" s="526"/>
      <c r="D785" s="457"/>
      <c r="E785" s="530"/>
    </row>
    <row r="786" ht="22.5" customHeight="1">
      <c r="A786" s="529"/>
      <c r="B786" s="475"/>
      <c r="C786" s="526"/>
      <c r="D786" s="457"/>
      <c r="E786" s="530"/>
    </row>
    <row r="787" ht="22.5" customHeight="1">
      <c r="A787" s="529"/>
      <c r="B787" s="475"/>
      <c r="C787" s="526"/>
      <c r="D787" s="457"/>
      <c r="E787" s="530"/>
    </row>
    <row r="788" ht="22.5" customHeight="1">
      <c r="A788" s="529"/>
      <c r="B788" s="475"/>
      <c r="C788" s="526"/>
      <c r="D788" s="457"/>
      <c r="E788" s="530"/>
    </row>
    <row r="789" ht="22.5" customHeight="1">
      <c r="A789" s="529"/>
      <c r="B789" s="475"/>
      <c r="C789" s="526"/>
      <c r="D789" s="457"/>
      <c r="E789" s="530"/>
    </row>
    <row r="790" ht="22.5" customHeight="1">
      <c r="A790" s="529"/>
      <c r="B790" s="475"/>
      <c r="C790" s="526"/>
      <c r="D790" s="457"/>
      <c r="E790" s="530"/>
    </row>
    <row r="791" ht="22.5" customHeight="1">
      <c r="A791" s="529"/>
      <c r="B791" s="475"/>
      <c r="C791" s="526"/>
      <c r="D791" s="457"/>
      <c r="E791" s="530"/>
    </row>
    <row r="792" ht="22.5" customHeight="1">
      <c r="A792" s="529"/>
      <c r="B792" s="475"/>
      <c r="C792" s="526"/>
      <c r="D792" s="457"/>
      <c r="E792" s="530"/>
    </row>
    <row r="793" ht="22.5" customHeight="1">
      <c r="A793" s="529"/>
      <c r="B793" s="475"/>
      <c r="C793" s="526"/>
      <c r="D793" s="457"/>
      <c r="E793" s="530"/>
    </row>
    <row r="794" ht="22.5" customHeight="1">
      <c r="A794" s="529"/>
      <c r="B794" s="475"/>
      <c r="C794" s="526"/>
      <c r="D794" s="457"/>
      <c r="E794" s="530"/>
    </row>
    <row r="795" ht="22.5" customHeight="1">
      <c r="A795" s="529"/>
      <c r="B795" s="475"/>
      <c r="C795" s="526"/>
      <c r="D795" s="457"/>
      <c r="E795" s="530"/>
    </row>
    <row r="796" ht="22.5" customHeight="1">
      <c r="A796" s="529"/>
      <c r="B796" s="475"/>
      <c r="C796" s="526"/>
      <c r="D796" s="457"/>
      <c r="E796" s="530"/>
    </row>
    <row r="797" ht="22.5" customHeight="1">
      <c r="A797" s="529"/>
      <c r="B797" s="475"/>
      <c r="C797" s="526"/>
      <c r="D797" s="457"/>
      <c r="E797" s="530"/>
    </row>
    <row r="798" ht="22.5" customHeight="1">
      <c r="A798" s="529"/>
      <c r="B798" s="475"/>
      <c r="C798" s="526"/>
      <c r="D798" s="457"/>
      <c r="E798" s="530"/>
    </row>
    <row r="799" ht="22.5" customHeight="1">
      <c r="A799" s="529"/>
      <c r="B799" s="475"/>
      <c r="C799" s="526"/>
      <c r="D799" s="457"/>
      <c r="E799" s="530"/>
    </row>
    <row r="800" ht="22.5" customHeight="1">
      <c r="A800" s="529"/>
      <c r="B800" s="475"/>
      <c r="C800" s="526"/>
      <c r="D800" s="457"/>
      <c r="E800" s="530"/>
    </row>
    <row r="801" ht="22.5" customHeight="1">
      <c r="A801" s="529"/>
      <c r="B801" s="475"/>
      <c r="C801" s="526"/>
      <c r="D801" s="457"/>
      <c r="E801" s="530"/>
    </row>
    <row r="802" ht="22.5" customHeight="1">
      <c r="A802" s="529"/>
      <c r="B802" s="475"/>
      <c r="C802" s="526"/>
      <c r="D802" s="457"/>
      <c r="E802" s="530"/>
    </row>
    <row r="803" ht="22.5" customHeight="1">
      <c r="A803" s="529"/>
      <c r="B803" s="475"/>
      <c r="C803" s="526"/>
      <c r="D803" s="457"/>
      <c r="E803" s="530"/>
    </row>
    <row r="804" ht="22.5" customHeight="1">
      <c r="A804" s="529"/>
      <c r="B804" s="475"/>
      <c r="C804" s="526"/>
      <c r="D804" s="457"/>
      <c r="E804" s="530"/>
    </row>
    <row r="805" ht="22.5" customHeight="1">
      <c r="A805" s="529"/>
      <c r="B805" s="475"/>
      <c r="C805" s="526"/>
      <c r="D805" s="457"/>
      <c r="E805" s="530"/>
    </row>
    <row r="806" ht="22.5" customHeight="1">
      <c r="A806" s="529"/>
      <c r="B806" s="475"/>
      <c r="C806" s="526"/>
      <c r="D806" s="457"/>
      <c r="E806" s="530"/>
    </row>
    <row r="807" ht="22.5" customHeight="1">
      <c r="A807" s="529"/>
      <c r="B807" s="475"/>
      <c r="C807" s="526"/>
      <c r="D807" s="457"/>
      <c r="E807" s="530"/>
    </row>
    <row r="808" ht="22.5" customHeight="1">
      <c r="A808" s="529"/>
      <c r="B808" s="475"/>
      <c r="C808" s="526"/>
      <c r="D808" s="457"/>
      <c r="E808" s="530"/>
    </row>
    <row r="809" ht="22.5" customHeight="1">
      <c r="A809" s="529"/>
      <c r="B809" s="475"/>
      <c r="C809" s="526"/>
      <c r="D809" s="457"/>
      <c r="E809" s="530"/>
    </row>
    <row r="810" ht="22.5" customHeight="1">
      <c r="A810" s="529"/>
      <c r="B810" s="475"/>
      <c r="C810" s="526"/>
      <c r="D810" s="457"/>
      <c r="E810" s="530"/>
    </row>
    <row r="811" ht="22.5" customHeight="1">
      <c r="A811" s="529"/>
      <c r="B811" s="475"/>
      <c r="C811" s="526"/>
      <c r="D811" s="457"/>
      <c r="E811" s="530"/>
    </row>
    <row r="812" ht="22.5" customHeight="1">
      <c r="A812" s="529"/>
      <c r="B812" s="475"/>
      <c r="C812" s="526"/>
      <c r="D812" s="457"/>
      <c r="E812" s="530"/>
    </row>
    <row r="813" ht="22.5" customHeight="1">
      <c r="A813" s="529"/>
      <c r="B813" s="475"/>
      <c r="C813" s="526"/>
      <c r="D813" s="457"/>
      <c r="E813" s="530"/>
    </row>
    <row r="814" ht="22.5" customHeight="1">
      <c r="A814" s="529"/>
      <c r="B814" s="475"/>
      <c r="C814" s="526"/>
      <c r="D814" s="457"/>
      <c r="E814" s="530"/>
    </row>
    <row r="815" ht="22.5" customHeight="1">
      <c r="A815" s="529"/>
      <c r="B815" s="475"/>
      <c r="C815" s="526"/>
      <c r="D815" s="457"/>
      <c r="E815" s="530"/>
    </row>
    <row r="816" ht="22.5" customHeight="1">
      <c r="A816" s="529"/>
      <c r="B816" s="475"/>
      <c r="C816" s="526"/>
      <c r="D816" s="457"/>
      <c r="E816" s="530"/>
    </row>
    <row r="817" ht="22.5" customHeight="1">
      <c r="A817" s="529"/>
      <c r="B817" s="475"/>
      <c r="C817" s="526"/>
      <c r="D817" s="457"/>
      <c r="E817" s="530"/>
    </row>
    <row r="818" ht="22.5" customHeight="1">
      <c r="A818" s="529"/>
      <c r="B818" s="475"/>
      <c r="C818" s="526"/>
      <c r="D818" s="457"/>
      <c r="E818" s="530"/>
    </row>
    <row r="819" ht="22.5" customHeight="1">
      <c r="A819" s="529"/>
      <c r="B819" s="475"/>
      <c r="C819" s="526"/>
      <c r="D819" s="457"/>
      <c r="E819" s="530"/>
    </row>
    <row r="820" ht="22.5" customHeight="1">
      <c r="A820" s="529"/>
      <c r="B820" s="475"/>
      <c r="C820" s="526"/>
      <c r="D820" s="457"/>
      <c r="E820" s="530"/>
    </row>
    <row r="821" ht="22.5" customHeight="1">
      <c r="A821" s="529"/>
      <c r="B821" s="475"/>
      <c r="C821" s="526"/>
      <c r="D821" s="457"/>
      <c r="E821" s="530"/>
    </row>
    <row r="822" ht="22.5" customHeight="1">
      <c r="A822" s="529"/>
      <c r="B822" s="475"/>
      <c r="C822" s="526"/>
      <c r="D822" s="457"/>
      <c r="E822" s="530"/>
    </row>
    <row r="823" ht="22.5" customHeight="1">
      <c r="A823" s="529"/>
      <c r="B823" s="475"/>
      <c r="C823" s="526"/>
      <c r="D823" s="457"/>
      <c r="E823" s="530"/>
    </row>
    <row r="824" ht="22.5" customHeight="1">
      <c r="A824" s="529"/>
      <c r="B824" s="475"/>
      <c r="C824" s="526"/>
      <c r="D824" s="457"/>
      <c r="E824" s="530"/>
    </row>
    <row r="825" ht="22.5" customHeight="1">
      <c r="A825" s="529"/>
      <c r="B825" s="475"/>
      <c r="C825" s="526"/>
      <c r="D825" s="457"/>
      <c r="E825" s="530"/>
    </row>
    <row r="826" ht="22.5" customHeight="1">
      <c r="A826" s="529"/>
      <c r="B826" s="475"/>
      <c r="C826" s="526"/>
      <c r="D826" s="457"/>
      <c r="E826" s="530"/>
    </row>
    <row r="827" ht="22.5" customHeight="1">
      <c r="A827" s="529"/>
      <c r="B827" s="475"/>
      <c r="C827" s="526"/>
      <c r="D827" s="457"/>
      <c r="E827" s="530"/>
    </row>
    <row r="828" ht="22.5" customHeight="1">
      <c r="A828" s="529"/>
      <c r="B828" s="475"/>
      <c r="C828" s="526"/>
      <c r="D828" s="457"/>
      <c r="E828" s="530"/>
    </row>
    <row r="829" ht="22.5" customHeight="1">
      <c r="A829" s="529"/>
      <c r="B829" s="475"/>
      <c r="C829" s="526"/>
      <c r="D829" s="457"/>
      <c r="E829" s="530"/>
    </row>
    <row r="830" ht="22.5" customHeight="1">
      <c r="A830" s="529"/>
      <c r="B830" s="475"/>
      <c r="C830" s="526"/>
      <c r="D830" s="457"/>
      <c r="E830" s="530"/>
    </row>
    <row r="831" ht="22.5" customHeight="1">
      <c r="A831" s="529"/>
      <c r="B831" s="475"/>
      <c r="C831" s="526"/>
      <c r="D831" s="457"/>
      <c r="E831" s="530"/>
    </row>
    <row r="832" ht="22.5" customHeight="1">
      <c r="A832" s="529"/>
      <c r="B832" s="475"/>
      <c r="C832" s="526"/>
      <c r="D832" s="457"/>
      <c r="E832" s="530"/>
    </row>
    <row r="833" ht="22.5" customHeight="1">
      <c r="A833" s="529"/>
      <c r="B833" s="475"/>
      <c r="C833" s="526"/>
      <c r="D833" s="457"/>
      <c r="E833" s="530"/>
    </row>
    <row r="834" ht="22.5" customHeight="1">
      <c r="A834" s="529"/>
      <c r="B834" s="475"/>
      <c r="C834" s="526"/>
      <c r="D834" s="457"/>
      <c r="E834" s="530"/>
    </row>
    <row r="835" ht="22.5" customHeight="1">
      <c r="A835" s="529"/>
      <c r="B835" s="475"/>
      <c r="C835" s="526"/>
      <c r="D835" s="457"/>
      <c r="E835" s="530"/>
    </row>
    <row r="836" ht="22.5" customHeight="1">
      <c r="A836" s="529"/>
      <c r="B836" s="475"/>
      <c r="C836" s="526"/>
      <c r="D836" s="457"/>
      <c r="E836" s="530"/>
    </row>
    <row r="837" ht="22.5" customHeight="1">
      <c r="A837" s="529"/>
      <c r="B837" s="475"/>
      <c r="C837" s="526"/>
      <c r="D837" s="457"/>
      <c r="E837" s="530"/>
    </row>
    <row r="838" ht="22.5" customHeight="1">
      <c r="A838" s="529"/>
      <c r="B838" s="475"/>
      <c r="C838" s="526"/>
      <c r="D838" s="457"/>
      <c r="E838" s="530"/>
    </row>
    <row r="839" ht="22.5" customHeight="1">
      <c r="A839" s="529"/>
      <c r="B839" s="475"/>
      <c r="C839" s="526"/>
      <c r="D839" s="457"/>
      <c r="E839" s="530"/>
    </row>
    <row r="840" ht="22.5" customHeight="1">
      <c r="A840" s="529"/>
      <c r="B840" s="475"/>
      <c r="C840" s="526"/>
      <c r="D840" s="457"/>
      <c r="E840" s="530"/>
    </row>
    <row r="841" ht="22.5" customHeight="1">
      <c r="A841" s="529"/>
      <c r="B841" s="475"/>
      <c r="C841" s="526"/>
      <c r="D841" s="457"/>
      <c r="E841" s="530"/>
    </row>
    <row r="842" ht="22.5" customHeight="1">
      <c r="A842" s="529"/>
      <c r="B842" s="475"/>
      <c r="C842" s="526"/>
      <c r="D842" s="457"/>
      <c r="E842" s="530"/>
    </row>
    <row r="843" ht="22.5" customHeight="1">
      <c r="A843" s="529"/>
      <c r="B843" s="475"/>
      <c r="C843" s="526"/>
      <c r="D843" s="457"/>
      <c r="E843" s="530"/>
    </row>
    <row r="844" ht="22.5" customHeight="1">
      <c r="A844" s="529"/>
      <c r="B844" s="475"/>
      <c r="C844" s="526"/>
      <c r="D844" s="457"/>
      <c r="E844" s="530"/>
    </row>
    <row r="845" ht="22.5" customHeight="1">
      <c r="A845" s="529"/>
      <c r="B845" s="475"/>
      <c r="C845" s="526"/>
      <c r="D845" s="457"/>
      <c r="E845" s="530"/>
    </row>
    <row r="846" ht="22.5" customHeight="1">
      <c r="A846" s="529"/>
      <c r="B846" s="475"/>
      <c r="C846" s="526"/>
      <c r="D846" s="457"/>
      <c r="E846" s="530"/>
    </row>
    <row r="847" ht="22.5" customHeight="1">
      <c r="A847" s="529"/>
      <c r="B847" s="475"/>
      <c r="C847" s="526"/>
      <c r="D847" s="457"/>
      <c r="E847" s="530"/>
    </row>
    <row r="848" ht="22.5" customHeight="1">
      <c r="A848" s="529"/>
      <c r="B848" s="475"/>
      <c r="C848" s="526"/>
      <c r="D848" s="457"/>
      <c r="E848" s="530"/>
    </row>
    <row r="849" ht="22.5" customHeight="1">
      <c r="A849" s="529"/>
      <c r="B849" s="475"/>
      <c r="C849" s="526"/>
      <c r="D849" s="457"/>
      <c r="E849" s="530"/>
    </row>
    <row r="850" ht="22.5" customHeight="1">
      <c r="A850" s="529"/>
      <c r="B850" s="475"/>
      <c r="C850" s="526"/>
      <c r="D850" s="457"/>
      <c r="E850" s="530"/>
    </row>
    <row r="851" ht="22.5" customHeight="1">
      <c r="A851" s="529"/>
      <c r="B851" s="475"/>
      <c r="C851" s="526"/>
      <c r="D851" s="457"/>
      <c r="E851" s="530"/>
    </row>
    <row r="852" ht="22.5" customHeight="1">
      <c r="A852" s="529"/>
      <c r="B852" s="475"/>
      <c r="C852" s="526"/>
      <c r="D852" s="457"/>
      <c r="E852" s="530"/>
    </row>
    <row r="853" ht="22.5" customHeight="1">
      <c r="A853" s="529"/>
      <c r="B853" s="475"/>
      <c r="C853" s="526"/>
      <c r="D853" s="457"/>
      <c r="E853" s="530"/>
    </row>
    <row r="854" ht="22.5" customHeight="1">
      <c r="A854" s="529"/>
      <c r="B854" s="475"/>
      <c r="C854" s="526"/>
      <c r="D854" s="457"/>
      <c r="E854" s="530"/>
    </row>
    <row r="855" ht="22.5" customHeight="1">
      <c r="A855" s="529"/>
      <c r="B855" s="475"/>
      <c r="C855" s="526"/>
      <c r="D855" s="457"/>
      <c r="E855" s="530"/>
    </row>
    <row r="856" ht="22.5" customHeight="1">
      <c r="A856" s="529"/>
      <c r="B856" s="475"/>
      <c r="C856" s="526"/>
      <c r="D856" s="457"/>
      <c r="E856" s="530"/>
    </row>
    <row r="857" ht="22.5" customHeight="1">
      <c r="A857" s="529"/>
      <c r="B857" s="475"/>
      <c r="C857" s="526"/>
      <c r="D857" s="457"/>
      <c r="E857" s="530"/>
    </row>
    <row r="858" ht="22.5" customHeight="1">
      <c r="A858" s="529"/>
      <c r="B858" s="475"/>
      <c r="C858" s="526"/>
      <c r="D858" s="457"/>
      <c r="E858" s="530"/>
    </row>
    <row r="859" ht="22.5" customHeight="1">
      <c r="A859" s="529"/>
      <c r="B859" s="475"/>
      <c r="C859" s="526"/>
      <c r="D859" s="457"/>
      <c r="E859" s="530"/>
    </row>
    <row r="860" ht="22.5" customHeight="1">
      <c r="A860" s="529"/>
      <c r="B860" s="475"/>
      <c r="C860" s="526"/>
      <c r="D860" s="457"/>
      <c r="E860" s="530"/>
    </row>
    <row r="861" ht="22.5" customHeight="1">
      <c r="A861" s="529"/>
      <c r="B861" s="475"/>
      <c r="C861" s="526"/>
      <c r="D861" s="457"/>
      <c r="E861" s="530"/>
    </row>
    <row r="862" ht="22.5" customHeight="1">
      <c r="A862" s="529"/>
      <c r="B862" s="475"/>
      <c r="C862" s="526"/>
      <c r="D862" s="457"/>
      <c r="E862" s="530"/>
    </row>
    <row r="863" ht="22.5" customHeight="1">
      <c r="A863" s="529"/>
      <c r="B863" s="475"/>
      <c r="C863" s="526"/>
      <c r="D863" s="457"/>
      <c r="E863" s="530"/>
    </row>
    <row r="864" ht="22.5" customHeight="1">
      <c r="A864" s="529"/>
      <c r="B864" s="475"/>
      <c r="C864" s="526"/>
      <c r="D864" s="457"/>
      <c r="E864" s="530"/>
    </row>
    <row r="865" ht="22.5" customHeight="1">
      <c r="A865" s="529"/>
      <c r="B865" s="475"/>
      <c r="C865" s="526"/>
      <c r="D865" s="457"/>
      <c r="E865" s="530"/>
    </row>
    <row r="866" ht="22.5" customHeight="1">
      <c r="A866" s="529"/>
      <c r="B866" s="475"/>
      <c r="C866" s="526"/>
      <c r="D866" s="457"/>
      <c r="E866" s="530"/>
    </row>
    <row r="867" ht="22.5" customHeight="1">
      <c r="A867" s="529"/>
      <c r="B867" s="475"/>
      <c r="C867" s="526"/>
      <c r="D867" s="457"/>
      <c r="E867" s="530"/>
    </row>
    <row r="868" ht="22.5" customHeight="1">
      <c r="A868" s="529"/>
      <c r="B868" s="475"/>
      <c r="C868" s="526"/>
      <c r="D868" s="457"/>
      <c r="E868" s="530"/>
    </row>
    <row r="869" ht="22.5" customHeight="1">
      <c r="A869" s="529"/>
      <c r="B869" s="475"/>
      <c r="C869" s="526"/>
      <c r="D869" s="457"/>
      <c r="E869" s="530"/>
    </row>
    <row r="870" ht="22.5" customHeight="1">
      <c r="A870" s="529"/>
      <c r="B870" s="475"/>
      <c r="C870" s="526"/>
      <c r="D870" s="457"/>
      <c r="E870" s="530"/>
    </row>
    <row r="871" ht="22.5" customHeight="1">
      <c r="A871" s="529"/>
      <c r="B871" s="475"/>
      <c r="C871" s="526"/>
      <c r="D871" s="457"/>
      <c r="E871" s="530"/>
    </row>
    <row r="872" ht="22.5" customHeight="1">
      <c r="A872" s="529"/>
      <c r="B872" s="475"/>
      <c r="C872" s="526"/>
      <c r="D872" s="457"/>
      <c r="E872" s="530"/>
    </row>
    <row r="873" ht="22.5" customHeight="1">
      <c r="A873" s="529"/>
      <c r="B873" s="475"/>
      <c r="C873" s="526"/>
      <c r="D873" s="457"/>
      <c r="E873" s="530"/>
    </row>
    <row r="874" ht="22.5" customHeight="1">
      <c r="A874" s="529"/>
      <c r="B874" s="475"/>
      <c r="C874" s="526"/>
      <c r="D874" s="457"/>
      <c r="E874" s="530"/>
    </row>
    <row r="875" ht="22.5" customHeight="1">
      <c r="A875" s="529"/>
      <c r="B875" s="475"/>
      <c r="C875" s="526"/>
      <c r="D875" s="457"/>
      <c r="E875" s="530"/>
    </row>
    <row r="876" ht="22.5" customHeight="1">
      <c r="A876" s="529"/>
      <c r="B876" s="475"/>
      <c r="C876" s="526"/>
      <c r="D876" s="457"/>
      <c r="E876" s="530"/>
    </row>
    <row r="877" ht="22.5" customHeight="1">
      <c r="A877" s="529"/>
      <c r="B877" s="475"/>
      <c r="C877" s="526"/>
      <c r="D877" s="457"/>
      <c r="E877" s="530"/>
    </row>
    <row r="878" ht="22.5" customHeight="1">
      <c r="A878" s="529"/>
      <c r="B878" s="475"/>
      <c r="C878" s="526"/>
      <c r="D878" s="457"/>
      <c r="E878" s="530"/>
    </row>
    <row r="879" ht="22.5" customHeight="1">
      <c r="A879" s="529"/>
      <c r="B879" s="475"/>
      <c r="C879" s="526"/>
      <c r="D879" s="457"/>
      <c r="E879" s="530"/>
    </row>
    <row r="880" ht="22.5" customHeight="1">
      <c r="A880" s="529"/>
      <c r="B880" s="475"/>
      <c r="C880" s="526"/>
      <c r="D880" s="457"/>
      <c r="E880" s="530"/>
    </row>
    <row r="881" ht="22.5" customHeight="1">
      <c r="A881" s="529"/>
      <c r="B881" s="475"/>
      <c r="C881" s="526"/>
      <c r="D881" s="457"/>
      <c r="E881" s="530"/>
    </row>
    <row r="882" ht="22.5" customHeight="1">
      <c r="A882" s="529"/>
      <c r="B882" s="475"/>
      <c r="C882" s="526"/>
      <c r="D882" s="457"/>
      <c r="E882" s="530"/>
    </row>
    <row r="883" ht="22.5" customHeight="1">
      <c r="A883" s="529"/>
      <c r="B883" s="475"/>
      <c r="C883" s="526"/>
      <c r="D883" s="457"/>
      <c r="E883" s="530"/>
    </row>
    <row r="884" ht="22.5" customHeight="1">
      <c r="A884" s="529"/>
      <c r="B884" s="475"/>
      <c r="C884" s="526"/>
      <c r="D884" s="457"/>
      <c r="E884" s="530"/>
    </row>
    <row r="885" ht="22.5" customHeight="1">
      <c r="A885" s="529"/>
      <c r="B885" s="475"/>
      <c r="C885" s="526"/>
      <c r="D885" s="457"/>
      <c r="E885" s="530"/>
    </row>
    <row r="886" ht="22.5" customHeight="1">
      <c r="A886" s="529"/>
      <c r="B886" s="475"/>
      <c r="C886" s="526"/>
      <c r="D886" s="457"/>
      <c r="E886" s="530"/>
    </row>
    <row r="887" ht="22.5" customHeight="1">
      <c r="A887" s="529"/>
      <c r="B887" s="475"/>
      <c r="C887" s="526"/>
      <c r="D887" s="457"/>
      <c r="E887" s="530"/>
    </row>
    <row r="888" ht="22.5" customHeight="1">
      <c r="A888" s="529"/>
      <c r="B888" s="475"/>
      <c r="C888" s="526"/>
      <c r="D888" s="457"/>
      <c r="E888" s="530"/>
    </row>
    <row r="889" ht="22.5" customHeight="1">
      <c r="A889" s="529"/>
      <c r="B889" s="475"/>
      <c r="C889" s="526"/>
      <c r="D889" s="457"/>
      <c r="E889" s="530"/>
    </row>
    <row r="890" ht="22.5" customHeight="1">
      <c r="A890" s="529"/>
      <c r="B890" s="475"/>
      <c r="C890" s="526"/>
      <c r="D890" s="457"/>
      <c r="E890" s="530"/>
    </row>
    <row r="891" ht="22.5" customHeight="1">
      <c r="A891" s="529"/>
      <c r="B891" s="475"/>
      <c r="C891" s="526"/>
      <c r="D891" s="457"/>
      <c r="E891" s="530"/>
    </row>
    <row r="892" ht="22.5" customHeight="1">
      <c r="A892" s="529"/>
      <c r="B892" s="475"/>
      <c r="C892" s="526"/>
      <c r="D892" s="457"/>
      <c r="E892" s="530"/>
    </row>
    <row r="893" ht="22.5" customHeight="1">
      <c r="A893" s="529"/>
      <c r="B893" s="475"/>
      <c r="C893" s="526"/>
      <c r="D893" s="457"/>
      <c r="E893" s="530"/>
    </row>
    <row r="894" ht="22.5" customHeight="1">
      <c r="A894" s="529"/>
      <c r="B894" s="475"/>
      <c r="C894" s="526"/>
      <c r="D894" s="457"/>
      <c r="E894" s="530"/>
    </row>
    <row r="895" ht="22.5" customHeight="1">
      <c r="A895" s="529"/>
      <c r="B895" s="475"/>
      <c r="C895" s="526"/>
      <c r="D895" s="457"/>
      <c r="E895" s="530"/>
    </row>
    <row r="896" ht="22.5" customHeight="1">
      <c r="A896" s="529"/>
      <c r="B896" s="475"/>
      <c r="C896" s="526"/>
      <c r="D896" s="457"/>
      <c r="E896" s="530"/>
    </row>
    <row r="897" ht="22.5" customHeight="1">
      <c r="A897" s="529"/>
      <c r="B897" s="475"/>
      <c r="C897" s="526"/>
      <c r="D897" s="457"/>
      <c r="E897" s="530"/>
    </row>
    <row r="898" ht="22.5" customHeight="1">
      <c r="A898" s="529"/>
      <c r="B898" s="475"/>
      <c r="C898" s="526"/>
      <c r="D898" s="457"/>
      <c r="E898" s="530"/>
    </row>
    <row r="899" ht="22.5" customHeight="1">
      <c r="A899" s="529"/>
      <c r="B899" s="475"/>
      <c r="C899" s="526"/>
      <c r="D899" s="457"/>
      <c r="E899" s="530"/>
    </row>
    <row r="900" ht="22.5" customHeight="1">
      <c r="A900" s="529"/>
      <c r="B900" s="475"/>
      <c r="C900" s="526"/>
      <c r="D900" s="457"/>
      <c r="E900" s="530"/>
    </row>
    <row r="901" ht="22.5" customHeight="1">
      <c r="A901" s="529"/>
      <c r="B901" s="475"/>
      <c r="C901" s="526"/>
      <c r="D901" s="457"/>
      <c r="E901" s="530"/>
    </row>
    <row r="902" ht="22.5" customHeight="1">
      <c r="A902" s="529"/>
      <c r="B902" s="475"/>
      <c r="C902" s="526"/>
      <c r="D902" s="457"/>
      <c r="E902" s="530"/>
    </row>
    <row r="903" ht="22.5" customHeight="1">
      <c r="A903" s="529"/>
      <c r="B903" s="475"/>
      <c r="C903" s="526"/>
      <c r="D903" s="457"/>
      <c r="E903" s="530"/>
    </row>
    <row r="904" ht="22.5" customHeight="1">
      <c r="A904" s="529"/>
      <c r="B904" s="475"/>
      <c r="C904" s="526"/>
      <c r="D904" s="457"/>
      <c r="E904" s="530"/>
    </row>
    <row r="905" ht="22.5" customHeight="1">
      <c r="A905" s="529"/>
      <c r="B905" s="475"/>
      <c r="C905" s="526"/>
      <c r="D905" s="457"/>
      <c r="E905" s="530"/>
    </row>
    <row r="906" ht="22.5" customHeight="1">
      <c r="A906" s="529"/>
      <c r="B906" s="475"/>
      <c r="C906" s="526"/>
      <c r="D906" s="457"/>
      <c r="E906" s="530"/>
    </row>
    <row r="907" ht="22.5" customHeight="1">
      <c r="A907" s="529"/>
      <c r="B907" s="475"/>
      <c r="C907" s="526"/>
      <c r="D907" s="457"/>
      <c r="E907" s="530"/>
    </row>
    <row r="908" ht="22.5" customHeight="1">
      <c r="A908" s="529"/>
      <c r="B908" s="475"/>
      <c r="C908" s="526"/>
      <c r="D908" s="457"/>
      <c r="E908" s="530"/>
    </row>
    <row r="909" ht="22.5" customHeight="1">
      <c r="A909" s="529"/>
      <c r="B909" s="475"/>
      <c r="C909" s="526"/>
      <c r="D909" s="457"/>
      <c r="E909" s="530"/>
    </row>
    <row r="910" ht="22.5" customHeight="1">
      <c r="A910" s="529"/>
      <c r="B910" s="475"/>
      <c r="C910" s="526"/>
      <c r="D910" s="457"/>
      <c r="E910" s="530"/>
    </row>
    <row r="911" ht="22.5" customHeight="1">
      <c r="A911" s="529"/>
      <c r="B911" s="475"/>
      <c r="C911" s="526"/>
      <c r="D911" s="457"/>
      <c r="E911" s="530"/>
    </row>
    <row r="912" ht="22.5" customHeight="1">
      <c r="A912" s="529"/>
      <c r="B912" s="475"/>
      <c r="C912" s="526"/>
      <c r="D912" s="457"/>
      <c r="E912" s="530"/>
    </row>
    <row r="913" ht="22.5" customHeight="1">
      <c r="A913" s="529"/>
      <c r="B913" s="475"/>
      <c r="C913" s="526"/>
      <c r="D913" s="457"/>
      <c r="E913" s="530"/>
    </row>
    <row r="914" ht="22.5" customHeight="1">
      <c r="A914" s="529"/>
      <c r="B914" s="475"/>
      <c r="C914" s="526"/>
      <c r="D914" s="457"/>
      <c r="E914" s="530"/>
    </row>
    <row r="915" ht="22.5" customHeight="1">
      <c r="A915" s="529"/>
      <c r="B915" s="475"/>
      <c r="C915" s="526"/>
      <c r="D915" s="457"/>
      <c r="E915" s="530"/>
    </row>
    <row r="916" ht="22.5" customHeight="1">
      <c r="A916" s="529"/>
      <c r="B916" s="475"/>
      <c r="C916" s="526"/>
      <c r="D916" s="457"/>
      <c r="E916" s="530"/>
    </row>
    <row r="917" ht="22.5" customHeight="1">
      <c r="A917" s="529"/>
      <c r="B917" s="475"/>
      <c r="C917" s="526"/>
      <c r="D917" s="457"/>
      <c r="E917" s="530"/>
    </row>
    <row r="918" ht="22.5" customHeight="1">
      <c r="A918" s="529"/>
      <c r="B918" s="475"/>
      <c r="C918" s="526"/>
      <c r="D918" s="457"/>
      <c r="E918" s="530"/>
    </row>
    <row r="919" ht="22.5" customHeight="1">
      <c r="A919" s="529"/>
      <c r="B919" s="475"/>
      <c r="C919" s="526"/>
      <c r="D919" s="457"/>
      <c r="E919" s="530"/>
    </row>
    <row r="920" ht="22.5" customHeight="1">
      <c r="A920" s="529"/>
      <c r="B920" s="475"/>
      <c r="C920" s="526"/>
      <c r="D920" s="457"/>
      <c r="E920" s="530"/>
    </row>
    <row r="921" ht="22.5" customHeight="1">
      <c r="A921" s="529"/>
      <c r="B921" s="475"/>
      <c r="C921" s="526"/>
      <c r="D921" s="457"/>
      <c r="E921" s="530"/>
    </row>
    <row r="922" ht="22.5" customHeight="1">
      <c r="A922" s="529"/>
      <c r="B922" s="475"/>
      <c r="C922" s="526"/>
      <c r="D922" s="457"/>
      <c r="E922" s="530"/>
    </row>
    <row r="923" ht="22.5" customHeight="1">
      <c r="A923" s="529"/>
      <c r="B923" s="475"/>
      <c r="C923" s="526"/>
      <c r="D923" s="457"/>
      <c r="E923" s="530"/>
    </row>
    <row r="924" ht="22.5" customHeight="1">
      <c r="A924" s="529"/>
      <c r="B924" s="475"/>
      <c r="C924" s="526"/>
      <c r="D924" s="457"/>
      <c r="E924" s="530"/>
    </row>
    <row r="925" ht="22.5" customHeight="1">
      <c r="A925" s="529"/>
      <c r="B925" s="475"/>
      <c r="C925" s="526"/>
      <c r="D925" s="457"/>
      <c r="E925" s="530"/>
    </row>
    <row r="926" ht="22.5" customHeight="1">
      <c r="A926" s="529"/>
      <c r="B926" s="475"/>
      <c r="C926" s="526"/>
      <c r="D926" s="457"/>
      <c r="E926" s="530"/>
    </row>
    <row r="927" ht="22.5" customHeight="1">
      <c r="A927" s="529"/>
      <c r="B927" s="475"/>
      <c r="C927" s="526"/>
      <c r="D927" s="457"/>
      <c r="E927" s="530"/>
    </row>
    <row r="928" ht="22.5" customHeight="1">
      <c r="A928" s="529"/>
      <c r="B928" s="475"/>
      <c r="C928" s="526"/>
      <c r="D928" s="457"/>
      <c r="E928" s="530"/>
    </row>
    <row r="929" ht="22.5" customHeight="1">
      <c r="A929" s="529"/>
      <c r="B929" s="475"/>
      <c r="C929" s="526"/>
      <c r="D929" s="457"/>
      <c r="E929" s="530"/>
    </row>
    <row r="930" ht="22.5" customHeight="1">
      <c r="A930" s="529"/>
      <c r="B930" s="475"/>
      <c r="C930" s="526"/>
      <c r="D930" s="457"/>
      <c r="E930" s="530"/>
    </row>
    <row r="931" ht="22.5" customHeight="1">
      <c r="A931" s="529"/>
      <c r="B931" s="475"/>
      <c r="C931" s="526"/>
      <c r="D931" s="457"/>
      <c r="E931" s="530"/>
    </row>
    <row r="932" ht="22.5" customHeight="1">
      <c r="A932" s="529"/>
      <c r="B932" s="475"/>
      <c r="C932" s="526"/>
      <c r="D932" s="457"/>
      <c r="E932" s="530"/>
    </row>
    <row r="933" ht="22.5" customHeight="1">
      <c r="A933" s="529"/>
      <c r="B933" s="475"/>
      <c r="C933" s="526"/>
      <c r="D933" s="457"/>
      <c r="E933" s="530"/>
    </row>
    <row r="934" ht="22.5" customHeight="1">
      <c r="A934" s="529"/>
      <c r="B934" s="475"/>
      <c r="C934" s="526"/>
      <c r="D934" s="457"/>
      <c r="E934" s="530"/>
    </row>
    <row r="935" ht="22.5" customHeight="1">
      <c r="A935" s="529"/>
      <c r="B935" s="475"/>
      <c r="C935" s="526"/>
      <c r="D935" s="457"/>
      <c r="E935" s="530"/>
    </row>
    <row r="936" ht="22.5" customHeight="1">
      <c r="A936" s="529"/>
      <c r="B936" s="475"/>
      <c r="C936" s="526"/>
      <c r="D936" s="457"/>
      <c r="E936" s="530"/>
    </row>
    <row r="937" ht="22.5" customHeight="1">
      <c r="A937" s="529"/>
      <c r="B937" s="475"/>
      <c r="C937" s="526"/>
      <c r="D937" s="457"/>
      <c r="E937" s="530"/>
    </row>
    <row r="938" ht="22.5" customHeight="1">
      <c r="A938" s="529"/>
      <c r="B938" s="475"/>
      <c r="C938" s="526"/>
      <c r="D938" s="457"/>
      <c r="E938" s="530"/>
    </row>
    <row r="939" ht="22.5" customHeight="1">
      <c r="A939" s="529"/>
      <c r="B939" s="475"/>
      <c r="C939" s="526"/>
      <c r="D939" s="457"/>
      <c r="E939" s="530"/>
    </row>
    <row r="940" ht="22.5" customHeight="1">
      <c r="A940" s="529"/>
      <c r="B940" s="475"/>
      <c r="C940" s="526"/>
      <c r="D940" s="457"/>
      <c r="E940" s="530"/>
    </row>
    <row r="941" ht="22.5" customHeight="1">
      <c r="A941" s="529"/>
      <c r="B941" s="475"/>
      <c r="C941" s="526"/>
      <c r="D941" s="457"/>
      <c r="E941" s="530"/>
    </row>
    <row r="942" ht="22.5" customHeight="1">
      <c r="A942" s="529"/>
      <c r="B942" s="475"/>
      <c r="C942" s="526"/>
      <c r="D942" s="457"/>
      <c r="E942" s="530"/>
    </row>
    <row r="943" ht="22.5" customHeight="1">
      <c r="A943" s="529"/>
      <c r="B943" s="475"/>
      <c r="C943" s="526"/>
      <c r="D943" s="457"/>
      <c r="E943" s="530"/>
    </row>
    <row r="944" ht="22.5" customHeight="1">
      <c r="A944" s="529"/>
      <c r="B944" s="475"/>
      <c r="C944" s="526"/>
      <c r="D944" s="457"/>
      <c r="E944" s="530"/>
    </row>
    <row r="945" ht="22.5" customHeight="1">
      <c r="A945" s="529"/>
      <c r="B945" s="475"/>
      <c r="C945" s="526"/>
      <c r="D945" s="457"/>
      <c r="E945" s="530"/>
    </row>
    <row r="946" ht="22.5" customHeight="1">
      <c r="A946" s="529"/>
      <c r="B946" s="475"/>
      <c r="C946" s="526"/>
      <c r="D946" s="457"/>
      <c r="E946" s="530"/>
    </row>
    <row r="947" ht="22.5" customHeight="1">
      <c r="A947" s="529"/>
      <c r="B947" s="475"/>
      <c r="C947" s="526"/>
      <c r="D947" s="457"/>
      <c r="E947" s="530"/>
    </row>
    <row r="948" ht="22.5" customHeight="1">
      <c r="A948" s="529"/>
      <c r="B948" s="475"/>
      <c r="C948" s="526"/>
      <c r="D948" s="457"/>
      <c r="E948" s="530"/>
    </row>
    <row r="949" ht="22.5" customHeight="1">
      <c r="A949" s="529"/>
      <c r="B949" s="475"/>
      <c r="C949" s="526"/>
      <c r="D949" s="457"/>
      <c r="E949" s="530"/>
    </row>
    <row r="950" ht="22.5" customHeight="1">
      <c r="A950" s="529"/>
      <c r="B950" s="475"/>
      <c r="C950" s="526"/>
      <c r="D950" s="457"/>
      <c r="E950" s="530"/>
    </row>
    <row r="951" ht="22.5" customHeight="1">
      <c r="A951" s="529"/>
      <c r="B951" s="475"/>
      <c r="C951" s="526"/>
      <c r="D951" s="457"/>
      <c r="E951" s="530"/>
    </row>
    <row r="952" ht="22.5" customHeight="1">
      <c r="A952" s="529"/>
      <c r="B952" s="475"/>
      <c r="C952" s="526"/>
      <c r="D952" s="457"/>
      <c r="E952" s="530"/>
    </row>
    <row r="953" ht="22.5" customHeight="1">
      <c r="A953" s="529"/>
      <c r="B953" s="475"/>
      <c r="C953" s="526"/>
      <c r="D953" s="457"/>
      <c r="E953" s="530"/>
    </row>
    <row r="954" ht="22.5" customHeight="1">
      <c r="A954" s="529"/>
      <c r="B954" s="475"/>
      <c r="C954" s="526"/>
      <c r="D954" s="457"/>
      <c r="E954" s="530"/>
    </row>
    <row r="955" ht="22.5" customHeight="1">
      <c r="A955" s="529"/>
      <c r="B955" s="475"/>
      <c r="C955" s="526"/>
      <c r="D955" s="457"/>
      <c r="E955" s="530"/>
    </row>
    <row r="956" ht="22.5" customHeight="1">
      <c r="A956" s="529"/>
      <c r="B956" s="475"/>
      <c r="C956" s="526"/>
      <c r="D956" s="457"/>
      <c r="E956" s="530"/>
    </row>
    <row r="957" ht="22.5" customHeight="1">
      <c r="A957" s="529"/>
      <c r="B957" s="475"/>
      <c r="C957" s="526"/>
      <c r="D957" s="457"/>
      <c r="E957" s="530"/>
    </row>
    <row r="958" ht="22.5" customHeight="1">
      <c r="A958" s="529"/>
      <c r="B958" s="475"/>
      <c r="C958" s="526"/>
      <c r="D958" s="457"/>
      <c r="E958" s="530"/>
    </row>
    <row r="959" ht="22.5" customHeight="1">
      <c r="A959" s="529"/>
      <c r="B959" s="475"/>
      <c r="C959" s="526"/>
      <c r="D959" s="457"/>
      <c r="E959" s="530"/>
    </row>
    <row r="960" ht="22.5" customHeight="1">
      <c r="A960" s="529"/>
      <c r="B960" s="475"/>
      <c r="C960" s="526"/>
      <c r="D960" s="457"/>
      <c r="E960" s="530"/>
    </row>
    <row r="961" ht="22.5" customHeight="1">
      <c r="A961" s="529"/>
      <c r="B961" s="475"/>
      <c r="C961" s="526"/>
      <c r="D961" s="457"/>
      <c r="E961" s="530"/>
    </row>
    <row r="962" ht="22.5" customHeight="1">
      <c r="A962" s="529"/>
      <c r="B962" s="475"/>
      <c r="C962" s="526"/>
      <c r="D962" s="457"/>
      <c r="E962" s="530"/>
    </row>
    <row r="963" ht="22.5" customHeight="1">
      <c r="A963" s="529"/>
      <c r="B963" s="475"/>
      <c r="C963" s="526"/>
      <c r="D963" s="457"/>
      <c r="E963" s="530"/>
    </row>
    <row r="964" ht="22.5" customHeight="1">
      <c r="A964" s="529"/>
      <c r="B964" s="475"/>
      <c r="C964" s="526"/>
      <c r="D964" s="457"/>
      <c r="E964" s="530"/>
    </row>
    <row r="965" ht="22.5" customHeight="1">
      <c r="A965" s="529"/>
      <c r="B965" s="475"/>
      <c r="C965" s="526"/>
      <c r="D965" s="457"/>
      <c r="E965" s="530"/>
    </row>
    <row r="966" ht="22.5" customHeight="1">
      <c r="A966" s="529"/>
      <c r="B966" s="475"/>
      <c r="C966" s="526"/>
      <c r="D966" s="457"/>
      <c r="E966" s="530"/>
    </row>
    <row r="967" ht="22.5" customHeight="1">
      <c r="A967" s="529"/>
      <c r="B967" s="475"/>
      <c r="C967" s="526"/>
      <c r="D967" s="457"/>
      <c r="E967" s="530"/>
    </row>
    <row r="968" ht="22.5" customHeight="1">
      <c r="A968" s="529"/>
      <c r="B968" s="475"/>
      <c r="C968" s="526"/>
      <c r="D968" s="457"/>
      <c r="E968" s="530"/>
    </row>
    <row r="969" ht="22.5" customHeight="1">
      <c r="A969" s="529"/>
      <c r="B969" s="475"/>
      <c r="C969" s="526"/>
      <c r="D969" s="457"/>
      <c r="E969" s="530"/>
    </row>
    <row r="970" ht="22.5" customHeight="1">
      <c r="A970" s="529"/>
      <c r="B970" s="475"/>
      <c r="C970" s="526"/>
      <c r="D970" s="457"/>
      <c r="E970" s="530"/>
    </row>
    <row r="971" ht="22.5" customHeight="1">
      <c r="A971" s="529"/>
      <c r="B971" s="475"/>
      <c r="C971" s="526"/>
      <c r="D971" s="457"/>
      <c r="E971" s="530"/>
    </row>
    <row r="972" ht="22.5" customHeight="1">
      <c r="A972" s="529"/>
      <c r="B972" s="475"/>
      <c r="C972" s="526"/>
      <c r="D972" s="457"/>
      <c r="E972" s="530"/>
    </row>
    <row r="973" ht="22.5" customHeight="1">
      <c r="A973" s="529"/>
      <c r="B973" s="475"/>
      <c r="C973" s="526"/>
      <c r="D973" s="457"/>
      <c r="E973" s="530"/>
    </row>
    <row r="974" ht="22.5" customHeight="1">
      <c r="A974" s="529"/>
      <c r="B974" s="475"/>
      <c r="C974" s="526"/>
      <c r="D974" s="457"/>
      <c r="E974" s="530"/>
    </row>
    <row r="975" ht="22.5" customHeight="1">
      <c r="A975" s="529"/>
      <c r="B975" s="475"/>
      <c r="C975" s="526"/>
      <c r="D975" s="457"/>
      <c r="E975" s="530"/>
    </row>
    <row r="976" ht="22.5" customHeight="1">
      <c r="A976" s="529"/>
      <c r="B976" s="475"/>
      <c r="C976" s="526"/>
      <c r="D976" s="457"/>
      <c r="E976" s="530"/>
    </row>
    <row r="977" ht="22.5" customHeight="1">
      <c r="A977" s="529"/>
      <c r="B977" s="475"/>
      <c r="C977" s="526"/>
      <c r="D977" s="457"/>
      <c r="E977" s="530"/>
    </row>
    <row r="978" ht="22.5" customHeight="1">
      <c r="A978" s="529"/>
      <c r="B978" s="475"/>
      <c r="C978" s="526"/>
      <c r="D978" s="457"/>
      <c r="E978" s="530"/>
    </row>
    <row r="979" ht="22.5" customHeight="1">
      <c r="A979" s="529"/>
      <c r="B979" s="475"/>
      <c r="C979" s="526"/>
      <c r="D979" s="457"/>
      <c r="E979" s="530"/>
    </row>
    <row r="980" ht="22.5" customHeight="1">
      <c r="A980" s="529"/>
      <c r="B980" s="475"/>
      <c r="C980" s="526"/>
      <c r="D980" s="457"/>
      <c r="E980" s="530"/>
    </row>
    <row r="981" ht="22.5" customHeight="1">
      <c r="A981" s="529"/>
      <c r="B981" s="475"/>
      <c r="C981" s="526"/>
      <c r="D981" s="457"/>
      <c r="E981" s="530"/>
    </row>
    <row r="982" ht="22.5" customHeight="1">
      <c r="A982" s="529"/>
      <c r="B982" s="475"/>
      <c r="C982" s="526"/>
      <c r="D982" s="457"/>
      <c r="E982" s="530"/>
    </row>
    <row r="983" ht="22.5" customHeight="1">
      <c r="A983" s="529"/>
      <c r="B983" s="475"/>
      <c r="C983" s="526"/>
      <c r="D983" s="457"/>
      <c r="E983" s="530"/>
    </row>
    <row r="984" ht="22.5" customHeight="1">
      <c r="A984" s="529"/>
      <c r="B984" s="475"/>
      <c r="C984" s="526"/>
      <c r="D984" s="457"/>
      <c r="E984" s="530"/>
    </row>
    <row r="985" ht="22.5" customHeight="1">
      <c r="A985" s="529"/>
      <c r="B985" s="475"/>
      <c r="C985" s="526"/>
      <c r="D985" s="457"/>
      <c r="E985" s="530"/>
    </row>
    <row r="986" ht="22.5" customHeight="1">
      <c r="A986" s="529"/>
      <c r="B986" s="475"/>
      <c r="C986" s="526"/>
      <c r="D986" s="457"/>
      <c r="E986" s="530"/>
    </row>
    <row r="987" ht="22.5" customHeight="1">
      <c r="A987" s="529"/>
      <c r="B987" s="475"/>
      <c r="C987" s="526"/>
      <c r="D987" s="457"/>
      <c r="E987" s="530"/>
    </row>
    <row r="988" ht="22.5" customHeight="1">
      <c r="A988" s="529"/>
      <c r="B988" s="475"/>
      <c r="C988" s="526"/>
      <c r="D988" s="457"/>
      <c r="E988" s="530"/>
    </row>
    <row r="989" ht="22.5" customHeight="1">
      <c r="A989" s="529"/>
      <c r="B989" s="475"/>
      <c r="C989" s="526"/>
      <c r="D989" s="457"/>
      <c r="E989" s="530"/>
    </row>
    <row r="990" ht="22.5" customHeight="1">
      <c r="A990" s="529"/>
      <c r="B990" s="475"/>
      <c r="C990" s="526"/>
      <c r="D990" s="457"/>
      <c r="E990" s="530"/>
    </row>
    <row r="991" ht="22.5" customHeight="1">
      <c r="A991" s="529"/>
      <c r="B991" s="475"/>
      <c r="C991" s="526"/>
      <c r="D991" s="457"/>
      <c r="E991" s="530"/>
    </row>
    <row r="992" ht="22.5" customHeight="1">
      <c r="A992" s="529"/>
      <c r="B992" s="475"/>
      <c r="C992" s="526"/>
      <c r="D992" s="457"/>
      <c r="E992" s="530"/>
    </row>
    <row r="993" ht="22.5" customHeight="1">
      <c r="A993" s="529"/>
      <c r="B993" s="475"/>
      <c r="C993" s="526"/>
      <c r="D993" s="457"/>
      <c r="E993" s="530"/>
    </row>
    <row r="994" ht="22.5" customHeight="1">
      <c r="A994" s="529"/>
      <c r="B994" s="475"/>
      <c r="C994" s="526"/>
      <c r="D994" s="457"/>
      <c r="E994" s="530"/>
    </row>
    <row r="995" ht="22.5" customHeight="1">
      <c r="A995" s="529"/>
      <c r="B995" s="475"/>
      <c r="C995" s="526"/>
      <c r="D995" s="457"/>
      <c r="E995" s="530"/>
    </row>
  </sheetData>
  <dataValidations>
    <dataValidation type="list" allowBlank="1" showErrorMessage="1" sqref="D2:D995">
      <formula1>"ANTERIOR,POSTERIOR"</formula1>
    </dataValidation>
    <dataValidation type="custom" allowBlank="1" showDropDown="1" sqref="B2:B995">
      <formula1>OR(TIMEVALUE(TEXT(B2, "hh:mm:ss"))=B2, AND(ISNUMBER(B2), LEFT(CELL("format", B2))="D"))</formula1>
    </dataValidation>
    <dataValidation type="list" allowBlank="1" showErrorMessage="1" sqref="C2:C995">
      <formula1>"1,2"</formula1>
    </dataValidation>
    <dataValidation type="custom" allowBlank="1" showDropDown="1" sqref="A2:A995">
      <formula1>OR(NOT(ISERROR(DATEVALUE(A2))), AND(ISNUMBER(A2), LEFT(CELL("format", A2))="D"))</formula1>
    </dataValidation>
    <dataValidation type="list" allowBlank="1" sqref="E2:E995">
      <formula1>#REF!</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14"/>
    <col customWidth="1" min="2" max="2" width="1.14"/>
    <col customWidth="1" min="3" max="3" width="20.14"/>
    <col customWidth="1" min="4" max="4" width="20.71"/>
    <col customWidth="1" min="5" max="5" width="5.86"/>
    <col customWidth="1" min="6" max="6" width="2.43"/>
    <col customWidth="1" min="7" max="7" width="32.0"/>
    <col customWidth="1" min="8" max="8" width="11.43"/>
    <col customWidth="1" min="9" max="9" width="19.57"/>
  </cols>
  <sheetData>
    <row r="1" ht="12.0" customHeight="1"/>
    <row r="2" ht="5.25" customHeight="1"/>
    <row r="3" ht="59.25" customHeight="1">
      <c r="C3" s="478"/>
      <c r="D3" s="10"/>
      <c r="E3" s="3"/>
      <c r="F3" s="479"/>
    </row>
    <row r="4" ht="20.25" customHeight="1">
      <c r="C4" s="480" t="s">
        <v>452</v>
      </c>
      <c r="D4" s="481"/>
      <c r="E4" s="3"/>
      <c r="G4" s="482">
        <f>'CIERRE DE PROCESO'!B3</f>
        <v>46261</v>
      </c>
      <c r="H4" s="8"/>
      <c r="I4" s="9"/>
    </row>
    <row r="5" ht="18.75" customHeight="1">
      <c r="C5" s="483">
        <f>G4</f>
        <v>46261</v>
      </c>
      <c r="D5" s="484"/>
      <c r="E5" s="3"/>
      <c r="G5" s="485" t="s">
        <v>19</v>
      </c>
      <c r="H5" s="485" t="s">
        <v>20</v>
      </c>
      <c r="I5" s="485" t="s">
        <v>22</v>
      </c>
    </row>
    <row r="6">
      <c r="C6" s="486" t="s">
        <v>453</v>
      </c>
      <c r="D6" s="487">
        <v>4.0</v>
      </c>
      <c r="E6" s="488"/>
      <c r="G6" s="489" t="s">
        <v>92</v>
      </c>
      <c r="H6" s="490">
        <v>74.55</v>
      </c>
      <c r="I6" s="491">
        <f>'CIERRE DE PROCESO'!C15</f>
        <v>74.78753541</v>
      </c>
    </row>
    <row r="7">
      <c r="C7" s="492" t="s">
        <v>454</v>
      </c>
      <c r="D7" s="487">
        <v>10.0</v>
      </c>
      <c r="E7" s="488"/>
      <c r="G7" s="489" t="s">
        <v>105</v>
      </c>
      <c r="H7" s="493">
        <v>0.007</v>
      </c>
      <c r="I7" s="494">
        <f>'CIERRE DE PROCESO'!C17</f>
        <v>0.0068</v>
      </c>
    </row>
    <row r="8">
      <c r="C8" s="486" t="s">
        <v>455</v>
      </c>
      <c r="D8" s="487">
        <v>0.0</v>
      </c>
      <c r="E8" s="488"/>
      <c r="G8" s="489" t="s">
        <v>116</v>
      </c>
      <c r="H8" s="495">
        <v>0.03</v>
      </c>
      <c r="I8" s="496">
        <f>D16</f>
        <v>5.681818182</v>
      </c>
    </row>
    <row r="9">
      <c r="C9" s="486" t="s">
        <v>456</v>
      </c>
      <c r="D9" s="487">
        <v>3.0</v>
      </c>
      <c r="E9" s="488"/>
      <c r="G9" s="489" t="s">
        <v>121</v>
      </c>
      <c r="H9" s="497">
        <v>0.01</v>
      </c>
      <c r="I9" s="498">
        <f>'CIERRE DE PROCESO'!C19</f>
        <v>0.008</v>
      </c>
    </row>
    <row r="10">
      <c r="C10" s="486" t="s">
        <v>457</v>
      </c>
      <c r="D10" s="487">
        <v>7.0</v>
      </c>
      <c r="E10" s="488"/>
      <c r="G10" s="489" t="s">
        <v>124</v>
      </c>
      <c r="H10" s="497">
        <v>0.01</v>
      </c>
      <c r="I10" s="498">
        <f>'CIERRE DE PROCESO'!C20</f>
        <v>0.01</v>
      </c>
    </row>
    <row r="11" ht="19.5" customHeight="1">
      <c r="C11" s="486" t="s">
        <v>458</v>
      </c>
      <c r="D11" s="487">
        <v>0.0</v>
      </c>
      <c r="E11" s="499"/>
      <c r="G11" s="489" t="s">
        <v>126</v>
      </c>
      <c r="H11" s="497">
        <v>0.015</v>
      </c>
      <c r="I11" s="498">
        <f>'CIERRE DE PROCESO'!C21</f>
        <v>0.0148</v>
      </c>
    </row>
    <row r="12" ht="19.5" hidden="1" customHeight="1">
      <c r="C12" s="486" t="s">
        <v>459</v>
      </c>
      <c r="D12" s="487">
        <v>0.0</v>
      </c>
      <c r="E12" s="499"/>
      <c r="G12" s="489" t="s">
        <v>460</v>
      </c>
      <c r="H12" s="493">
        <v>0.917</v>
      </c>
      <c r="I12" s="500">
        <f>'CIERRE DE PROCESO'!C9</f>
        <v>0.9123314743</v>
      </c>
    </row>
    <row r="13">
      <c r="C13" s="486" t="s">
        <v>461</v>
      </c>
      <c r="D13" s="487">
        <v>1.0</v>
      </c>
      <c r="E13" s="499"/>
    </row>
    <row r="14" ht="21.75" customHeight="1">
      <c r="C14" s="501" t="s">
        <v>462</v>
      </c>
      <c r="D14" s="502">
        <f>SUM(D6:D13)</f>
        <v>25</v>
      </c>
      <c r="E14" s="503"/>
    </row>
    <row r="15" ht="20.25" customHeight="1">
      <c r="C15" s="504" t="s">
        <v>463</v>
      </c>
      <c r="D15" s="505" t="s">
        <v>464</v>
      </c>
      <c r="E15" s="503"/>
      <c r="J15" s="112">
        <v>3.0</v>
      </c>
    </row>
    <row r="16">
      <c r="C16" s="506">
        <f>'CIERRE DE PROCESO'!C5</f>
        <v>440</v>
      </c>
      <c r="D16" s="507">
        <f>(D14/C16)*100</f>
        <v>5.681818182</v>
      </c>
      <c r="E16" s="508"/>
    </row>
    <row r="17" ht="5.25" customHeight="1"/>
    <row r="20" ht="36.75" customHeight="1"/>
    <row r="21" ht="15.75" hidden="1" customHeight="1"/>
    <row r="22" ht="15.75" customHeight="1"/>
    <row r="23" ht="15.75" customHeight="1"/>
    <row r="24" ht="15.75" customHeight="1"/>
    <row r="25" ht="15.75" hidden="1" customHeight="1"/>
    <row r="26" ht="15.75" hidden="1" customHeight="1"/>
    <row r="27" ht="15.75" hidden="1" customHeight="1"/>
    <row r="28" ht="15.75" hidden="1" customHeight="1"/>
    <row r="29" ht="15.75" hidden="1" customHeight="1"/>
    <row r="30" ht="15.75" hidden="1" customHeight="1"/>
    <row r="31" ht="15.75" hidden="1" customHeight="1"/>
    <row r="32" ht="15.75" hidden="1" customHeight="1"/>
    <row r="33" ht="15.75" hidden="1" customHeight="1"/>
    <row r="34" ht="15.75" hidden="1"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3:D3"/>
    <mergeCell ref="C4:D4"/>
    <mergeCell ref="G4:I4"/>
    <mergeCell ref="C5:D5"/>
  </mergeCells>
  <conditionalFormatting sqref="I6">
    <cfRule type="expression" dxfId="5" priority="1">
      <formula>I6&lt;H6</formula>
    </cfRule>
  </conditionalFormatting>
  <conditionalFormatting sqref="I6">
    <cfRule type="expression" dxfId="6" priority="2">
      <formula>I6&gt;=H6</formula>
    </cfRule>
  </conditionalFormatting>
  <conditionalFormatting sqref="I7">
    <cfRule type="expression" dxfId="3" priority="3">
      <formula>H7&gt;=I7</formula>
    </cfRule>
  </conditionalFormatting>
  <conditionalFormatting sqref="I7">
    <cfRule type="expression" dxfId="4" priority="4">
      <formula>I7&gt;H7</formula>
    </cfRule>
  </conditionalFormatting>
  <conditionalFormatting sqref="I8">
    <cfRule type="expression" dxfId="3" priority="5">
      <formula>H8&gt;=I8</formula>
    </cfRule>
  </conditionalFormatting>
  <conditionalFormatting sqref="I8">
    <cfRule type="expression" dxfId="14" priority="6">
      <formula>I8&gt;D16</formula>
    </cfRule>
  </conditionalFormatting>
  <conditionalFormatting sqref="I10">
    <cfRule type="expression" dxfId="6" priority="7">
      <formula>I10&lt;=H10</formula>
    </cfRule>
  </conditionalFormatting>
  <conditionalFormatting sqref="I11">
    <cfRule type="expression" dxfId="3" priority="8">
      <formula>H11&gt;=I11</formula>
    </cfRule>
  </conditionalFormatting>
  <conditionalFormatting sqref="D16">
    <cfRule type="cellIs" dxfId="4" priority="9" operator="greaterThan">
      <formula>3</formula>
    </cfRule>
  </conditionalFormatting>
  <conditionalFormatting sqref="D16">
    <cfRule type="cellIs" dxfId="3" priority="10" operator="lessThanOrEqual">
      <formula>3</formula>
    </cfRule>
  </conditionalFormatting>
  <conditionalFormatting sqref="I10">
    <cfRule type="expression" dxfId="5" priority="11">
      <formula>I10&gt;H10</formula>
    </cfRule>
  </conditionalFormatting>
  <conditionalFormatting sqref="I11">
    <cfRule type="expression" dxfId="14" priority="12">
      <formula>H11&lt;I11</formula>
    </cfRule>
  </conditionalFormatting>
  <conditionalFormatting sqref="I9:I11">
    <cfRule type="expression" dxfId="14" priority="13">
      <formula>H9&lt;I9</formula>
    </cfRule>
  </conditionalFormatting>
  <conditionalFormatting sqref="I9:I11">
    <cfRule type="expression" dxfId="3" priority="14">
      <formula>H9&gt;=I9</formula>
    </cfRule>
  </conditionalFormatting>
  <conditionalFormatting sqref="I12">
    <cfRule type="cellIs" dxfId="3" priority="15" operator="greaterThan">
      <formula>H12</formula>
    </cfRule>
  </conditionalFormatting>
  <conditionalFormatting sqref="I12">
    <cfRule type="cellIs" dxfId="14" priority="16" operator="lessThan">
      <formula>H12</formula>
    </cfRule>
  </conditionalFormatting>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20.43"/>
    <col customWidth="1" min="4" max="4" width="20.0"/>
  </cols>
  <sheetData>
    <row r="1" ht="27.0" customHeight="1">
      <c r="A1" s="363" t="s">
        <v>233</v>
      </c>
      <c r="B1" s="363" t="s">
        <v>466</v>
      </c>
      <c r="C1" s="363" t="s">
        <v>228</v>
      </c>
      <c r="D1" s="363" t="s">
        <v>467</v>
      </c>
      <c r="E1" s="363" t="s">
        <v>468</v>
      </c>
      <c r="F1" s="363" t="s">
        <v>469</v>
      </c>
      <c r="G1" s="363" t="s">
        <v>470</v>
      </c>
      <c r="H1" s="363" t="s">
        <v>229</v>
      </c>
      <c r="I1" s="363" t="s">
        <v>471</v>
      </c>
      <c r="J1" s="363" t="s">
        <v>472</v>
      </c>
      <c r="K1" s="363" t="s">
        <v>473</v>
      </c>
      <c r="L1" s="363" t="s">
        <v>474</v>
      </c>
      <c r="M1" s="363" t="s">
        <v>230</v>
      </c>
      <c r="N1" s="363" t="s">
        <v>460</v>
      </c>
      <c r="O1" s="363" t="s">
        <v>475</v>
      </c>
      <c r="P1" s="510"/>
      <c r="Q1" s="510"/>
      <c r="R1" s="510"/>
      <c r="S1" s="510"/>
      <c r="T1" s="510"/>
      <c r="U1" s="510"/>
    </row>
    <row r="2" ht="27.0" customHeight="1">
      <c r="A2" s="511">
        <v>2026.0</v>
      </c>
      <c r="B2" s="511" t="s">
        <v>106</v>
      </c>
      <c r="C2" s="512">
        <f>100%-(SUMIFS('BASE DE DATOS CIERRE'!G:G,'BASE DE DATOS CIERRE'!AC:AC,B2,'BASE DE DATOS CIERRE'!AD:AD,A2))/(SUMIFS('BASE DE DATOS CIERRE'!F:F,'BASE DE DATOS CIERRE'!AC:AC,B2,'BASE DE DATOS CIERRE'!AD:AD,A2))</f>
        <v>0.8721027646</v>
      </c>
      <c r="D2" s="511">
        <f>(SUMIFS('BASE DE DATOS CIERRE'!G:G,'BASE DE DATOS CIERRE'!AC:AC,B2,'BASE DE DATOS CIERRE'!AD:AD,A2))</f>
        <v>1374</v>
      </c>
      <c r="E2" s="510">
        <f>SUMIFS('BASE DE DATOS CIERRE'!F:F,'BASE DE DATOS CIERRE'!AC:AC,B2,'BASE DE DATOS CIERRE'!AD:AD,A2)-(SUMIFS('BASE DE DATOS CIERRE'!G:G,'BASE DE DATOS CIERRE'!AC:AC,B2,'BASE DE DATOS CIERRE'!AD:AD,A2)+SUMIFS('BASE DE DATOS CIERRE'!H:H,'BASE DE DATOS CIERRE'!AC:AC,B2,'BASE DE DATOS CIERRE'!AD:AD,A2))</f>
        <v>8634</v>
      </c>
      <c r="F2" s="513">
        <f>D2/SUMIFS('BASE DE DATOS CIERRE'!F:F,'BASE DE DATOS CIERRE'!AC:AC,B2,'BASE DE DATOS CIERRE'!AD:AD,A2)</f>
        <v>0.1278972354</v>
      </c>
      <c r="G2" s="512">
        <f t="shared" ref="G2:G6" si="1">100%-F2</f>
        <v>0.8721027646</v>
      </c>
      <c r="H2" s="512">
        <f>J2/K2</f>
        <v>0.9906936074</v>
      </c>
      <c r="I2" s="510">
        <f>SUMIFS('BASE DE DATOS CIERRE'!C:C,'BASE DE DATOS CIERRE'!AC:AC,B2,'BASE DE DATOS CIERRE'!AD:AD,A2)</f>
        <v>10983</v>
      </c>
      <c r="J2" s="514">
        <f t="shared" ref="J2:J6" si="2">I2/((E2)/60)</f>
        <v>76.323836</v>
      </c>
      <c r="K2" s="515">
        <f>AVERAGEIFS('BASE DE DATOS CIERRE'!X:X,'BASE DE DATOS CIERRE'!AC:AC,B2,'BASE DE DATOS CIERRE'!AD:AD,A2)</f>
        <v>77.040808</v>
      </c>
      <c r="L2" s="512">
        <f>(SUMIFS('LIBERACION DE CANALES'!G:G,'LIBERACION DE CANALES'!N:N,A2,'LIBERACION DE CANALES'!M:M,B2))/(I2*2)</f>
        <v>0</v>
      </c>
      <c r="M2" s="512">
        <f t="shared" ref="M2:M6" si="3">(100%-L2)</f>
        <v>1</v>
      </c>
      <c r="N2" s="516">
        <f t="shared" ref="N2:N6" si="4">M2*H2*C2</f>
        <v>0.8639866339</v>
      </c>
      <c r="O2" s="510"/>
      <c r="P2" s="510"/>
      <c r="Q2" s="510"/>
      <c r="R2" s="510"/>
      <c r="S2" s="510"/>
      <c r="T2" s="510"/>
      <c r="U2" s="510"/>
    </row>
    <row r="3" ht="27.0" customHeight="1">
      <c r="A3" s="511">
        <v>2026.0</v>
      </c>
      <c r="B3" s="511" t="s">
        <v>117</v>
      </c>
      <c r="C3" s="512">
        <f>100%-(SUMIFS('BASE DE DATOS CIERRE'!G:G,'BASE DE DATOS CIERRE'!AC:AC,B3,'BASE DE DATOS CIERRE'!AD:AD,A3))/(SUMIFS('BASE DE DATOS CIERRE'!F:F,'BASE DE DATOS CIERRE'!AC:AC,B3,'BASE DE DATOS CIERRE'!AD:AD,A3))</f>
        <v>0.9236432826</v>
      </c>
      <c r="D3" s="511">
        <f>(SUMIFS('BASE DE DATOS CIERRE'!G:G,'BASE DE DATOS CIERRE'!AC:AC,B3,'BASE DE DATOS CIERRE'!AD:AD,A3))</f>
        <v>923</v>
      </c>
      <c r="E3" s="510">
        <f>SUMIFS('BASE DE DATOS CIERRE'!F:F,'BASE DE DATOS CIERRE'!AC:AC,B3,'BASE DE DATOS CIERRE'!AD:AD,A3)-(SUMIFS('BASE DE DATOS CIERRE'!G:G,'BASE DE DATOS CIERRE'!AC:AC,B3,'BASE DE DATOS CIERRE'!AD:AD,A3)+SUMIFS('BASE DE DATOS CIERRE'!H:H,'BASE DE DATOS CIERRE'!AC:AC,B3,'BASE DE DATOS CIERRE'!AD:AD,A3))</f>
        <v>10215</v>
      </c>
      <c r="F3" s="513">
        <f>D3/SUMIFS('BASE DE DATOS CIERRE'!$F:$F,'BASE DE DATOS CIERRE'!$AC:$AC,$B$3,'BASE DE DATOS CIERRE'!$AD:$AD,$A$3)</f>
        <v>0.07635671741</v>
      </c>
      <c r="G3" s="512">
        <f t="shared" si="1"/>
        <v>0.9236432826</v>
      </c>
      <c r="H3" s="512">
        <f>J3/$K$3</f>
        <v>0.9824198073</v>
      </c>
      <c r="I3" s="510">
        <f>SUMIFS('BASE DE DATOS CIERRE'!C:C,'BASE DE DATOS CIERRE'!AC:AC,B3,'BASE DE DATOS CIERRE'!AD:AD,A3)</f>
        <v>12904</v>
      </c>
      <c r="J3" s="514">
        <f t="shared" si="2"/>
        <v>75.79441997</v>
      </c>
      <c r="K3" s="515">
        <f>AVERAGEIFS('BASE DE DATOS CIERRE'!X:X,'BASE DE DATOS CIERRE'!AC:AC,B3,'BASE DE DATOS CIERRE'!AD:AD,A3)</f>
        <v>77.15074493</v>
      </c>
      <c r="L3" s="512">
        <f>(SUMIFS('LIBERACION DE CANALES'!G:G,'LIBERACION DE CANALES'!N:N,A3,'LIBERACION DE CANALES'!M:M,B3))/(I3*2)</f>
        <v>0</v>
      </c>
      <c r="M3" s="512">
        <f t="shared" si="3"/>
        <v>1</v>
      </c>
      <c r="N3" s="516">
        <f t="shared" si="4"/>
        <v>0.9074054557</v>
      </c>
      <c r="O3" s="510"/>
      <c r="P3" s="510"/>
      <c r="Q3" s="510"/>
      <c r="R3" s="510"/>
      <c r="S3" s="510"/>
      <c r="T3" s="510"/>
      <c r="U3" s="510"/>
    </row>
    <row r="4" ht="27.0" customHeight="1">
      <c r="A4" s="511">
        <v>2026.0</v>
      </c>
      <c r="B4" s="511" t="s">
        <v>122</v>
      </c>
      <c r="C4" s="512">
        <f>100%-(SUMIFS('BASE DE DATOS CIERRE'!G:G,'BASE DE DATOS CIERRE'!AC:AC,B4,'BASE DE DATOS CIERRE'!AD:AD,A4))/(SUMIFS('BASE DE DATOS CIERRE'!F:F,'BASE DE DATOS CIERRE'!AC:AC,B4,'BASE DE DATOS CIERRE'!AD:AD,A4))</f>
        <v>0.9435315706</v>
      </c>
      <c r="D4" s="511">
        <f>(SUMIFS('BASE DE DATOS CIERRE'!G:G,'BASE DE DATOS CIERRE'!AC:AC,B4,'BASE DE DATOS CIERRE'!AD:AD,A4))</f>
        <v>677</v>
      </c>
      <c r="E4" s="510">
        <f>SUMIFS('BASE DE DATOS CIERRE'!F:F,'BASE DE DATOS CIERRE'!AC:AC,B4,'BASE DE DATOS CIERRE'!AD:AD,A4)-(SUMIFS('BASE DE DATOS CIERRE'!G:G,'BASE DE DATOS CIERRE'!AC:AC,B4,'BASE DE DATOS CIERRE'!AD:AD,A4)+SUMIFS('BASE DE DATOS CIERRE'!H:H,'BASE DE DATOS CIERRE'!AC:AC,B4,'BASE DE DATOS CIERRE'!AD:AD,A4))</f>
        <v>10457</v>
      </c>
      <c r="F4" s="513">
        <f>D4/SUMIFS('BASE DE DATOS CIERRE'!$F:$F,'BASE DE DATOS CIERRE'!$AC:$AC,$B$4,'BASE DE DATOS CIERRE'!$AD:$AD,$A$4)</f>
        <v>0.05646842939</v>
      </c>
      <c r="G4" s="512">
        <f t="shared" si="1"/>
        <v>0.9435315706</v>
      </c>
      <c r="H4" s="512">
        <f>J4/$K$4</f>
        <v>0.974150085</v>
      </c>
      <c r="I4" s="510">
        <f>SUMIFS('BASE DE DATOS CIERRE'!C:C,'BASE DE DATOS CIERRE'!AC:AC,B4,'BASE DE DATOS CIERRE'!AD:AD,A4)</f>
        <v>12920</v>
      </c>
      <c r="J4" s="514">
        <f t="shared" si="2"/>
        <v>74.13216028</v>
      </c>
      <c r="K4" s="515">
        <f>AVERAGEIFS('BASE DE DATOS CIERRE'!X:X,'BASE DE DATOS CIERRE'!AC:AC,B4,'BASE DE DATOS CIERRE'!AD:AD,A4)</f>
        <v>76.09932126</v>
      </c>
      <c r="L4" s="512">
        <f>(SUMIFS('LIBERACION DE CANALES'!G:G,'LIBERACION DE CANALES'!N:N,A4,'LIBERACION DE CANALES'!M:M,B4))/(I4*2)</f>
        <v>0</v>
      </c>
      <c r="M4" s="512">
        <f t="shared" si="3"/>
        <v>1</v>
      </c>
      <c r="N4" s="516">
        <f t="shared" si="4"/>
        <v>0.9191413597</v>
      </c>
      <c r="O4" s="510"/>
      <c r="P4" s="510"/>
      <c r="Q4" s="510"/>
      <c r="R4" s="510"/>
      <c r="S4" s="510"/>
      <c r="T4" s="510"/>
      <c r="U4" s="510"/>
    </row>
    <row r="5" ht="27.0" customHeight="1">
      <c r="A5" s="511">
        <v>2026.0</v>
      </c>
      <c r="B5" s="511" t="s">
        <v>127</v>
      </c>
      <c r="C5" s="512">
        <f>100%-(SUMIFS('BASE DE DATOS CIERRE'!G:G,'BASE DE DATOS CIERRE'!AC:AC,B5,'BASE DE DATOS CIERRE'!AD:AD,A5))/(SUMIFS('BASE DE DATOS CIERRE'!F:F,'BASE DE DATOS CIERRE'!AC:AC,B5,'BASE DE DATOS CIERRE'!AD:AD,A5))</f>
        <v>0.9124233007</v>
      </c>
      <c r="D5" s="511">
        <f>(SUMIFS('BASE DE DATOS CIERRE'!G:G,'BASE DE DATOS CIERRE'!AC:AC,B5,'BASE DE DATOS CIERRE'!AD:AD,A5))</f>
        <v>1099</v>
      </c>
      <c r="E5" s="510">
        <f>SUMIFS('BASE DE DATOS CIERRE'!F:F,'BASE DE DATOS CIERRE'!AC:AC,B5,'BASE DE DATOS CIERRE'!AD:AD,A5)-(SUMIFS('BASE DE DATOS CIERRE'!G:G,'BASE DE DATOS CIERRE'!AC:AC,B5,'BASE DE DATOS CIERRE'!AD:AD,A5)+SUMIFS('BASE DE DATOS CIERRE'!H:H,'BASE DE DATOS CIERRE'!AC:AC,B5,'BASE DE DATOS CIERRE'!AD:AD,A5))</f>
        <v>10390</v>
      </c>
      <c r="F5" s="513">
        <f>D5/SUMIFS('BASE DE DATOS CIERRE'!$F:$F,'BASE DE DATOS CIERRE'!$AC:$AC,$B$3,'BASE DE DATOS CIERRE'!$AD:$AD,$A$3)</f>
        <v>0.09091661152</v>
      </c>
      <c r="G5" s="512">
        <f t="shared" si="1"/>
        <v>0.9090833885</v>
      </c>
      <c r="H5" s="512">
        <f t="shared" ref="H5:H6" si="5">J5/$K$3</f>
        <v>0.9747051709</v>
      </c>
      <c r="I5" s="510">
        <f>SUMIFS('BASE DE DATOS CIERRE'!C:C,'BASE DE DATOS CIERRE'!AC:AC,B5,'BASE DE DATOS CIERRE'!AD:AD,A5)</f>
        <v>13022</v>
      </c>
      <c r="J5" s="514">
        <f t="shared" si="2"/>
        <v>75.19923003</v>
      </c>
      <c r="K5" s="515">
        <f>AVERAGEIFS('BASE DE DATOS CIERRE'!X:X,'BASE DE DATOS CIERRE'!AC:AC,B5,'BASE DE DATOS CIERRE'!AD:AD,A5)</f>
        <v>76.55384541</v>
      </c>
      <c r="L5" s="512">
        <f>(SUMIFS('LIBERACION DE CANALES'!G:G,'LIBERACION DE CANALES'!N:N,A5,'LIBERACION DE CANALES'!M:M,B5))/(I5*2)</f>
        <v>0</v>
      </c>
      <c r="M5" s="512">
        <f t="shared" si="3"/>
        <v>1</v>
      </c>
      <c r="N5" s="516">
        <f t="shared" si="4"/>
        <v>0.8893437092</v>
      </c>
      <c r="O5" s="510"/>
      <c r="P5" s="510"/>
      <c r="Q5" s="510"/>
      <c r="R5" s="510"/>
      <c r="S5" s="510"/>
      <c r="T5" s="510"/>
      <c r="U5" s="510"/>
    </row>
    <row r="6" ht="27.0" customHeight="1">
      <c r="A6" s="511">
        <v>2026.0</v>
      </c>
      <c r="B6" s="511" t="s">
        <v>129</v>
      </c>
      <c r="C6" s="512">
        <f>100%-(SUMIFS('BASE DE DATOS CIERRE'!G:G,'BASE DE DATOS CIERRE'!AC:AC,B6,'BASE DE DATOS CIERRE'!AD:AD,A6))/(SUMIFS('BASE DE DATOS CIERRE'!F:F,'BASE DE DATOS CIERRE'!AC:AC,B6,'BASE DE DATOS CIERRE'!AD:AD,A6))</f>
        <v>0.9172774869</v>
      </c>
      <c r="D6" s="511">
        <f>(SUMIFS('BASE DE DATOS CIERRE'!G:G,'BASE DE DATOS CIERRE'!AC:AC,B6,'BASE DE DATOS CIERRE'!AD:AD,A6))</f>
        <v>869</v>
      </c>
      <c r="E6" s="510">
        <f>SUMIFS('BASE DE DATOS CIERRE'!F:F,'BASE DE DATOS CIERRE'!AC:AC,B6,'BASE DE DATOS CIERRE'!AD:AD,A6)-(SUMIFS('BASE DE DATOS CIERRE'!G:G,'BASE DE DATOS CIERRE'!AC:AC,B6,'BASE DE DATOS CIERRE'!AD:AD,A6)+SUMIFS('BASE DE DATOS CIERRE'!H:H,'BASE DE DATOS CIERRE'!AC:AC,B6,'BASE DE DATOS CIERRE'!AD:AD,A6))</f>
        <v>8886</v>
      </c>
      <c r="F6" s="513">
        <f>D6/SUMIFS('BASE DE DATOS CIERRE'!$F:$F,'BASE DE DATOS CIERRE'!$AC:$AC,$B$3,'BASE DE DATOS CIERRE'!$AD:$AD,$A$3)</f>
        <v>0.07188947717</v>
      </c>
      <c r="G6" s="512">
        <f t="shared" si="1"/>
        <v>0.9281105228</v>
      </c>
      <c r="H6" s="512">
        <f t="shared" si="5"/>
        <v>0.9611391265</v>
      </c>
      <c r="I6" s="510">
        <f>SUMIFS('BASE DE DATOS CIERRE'!C:C,'BASE DE DATOS CIERRE'!AC:AC,B6,'BASE DE DATOS CIERRE'!AD:AD,A6)</f>
        <v>10982</v>
      </c>
      <c r="J6" s="514">
        <f t="shared" si="2"/>
        <v>74.15259959</v>
      </c>
      <c r="K6" s="515">
        <f>AVERAGEIFS('BASE DE DATOS CIERRE'!X:X,'BASE DE DATOS CIERRE'!AC:AC,B6,'BASE DE DATOS CIERRE'!AD:AD,A6)</f>
        <v>75.91851289</v>
      </c>
      <c r="L6" s="512">
        <f>(SUMIFS('LIBERACION DE CANALES'!G:G,'LIBERACION DE CANALES'!N:N,A6,'LIBERACION DE CANALES'!M:M,B6))/(I6*2)</f>
        <v>0</v>
      </c>
      <c r="M6" s="512">
        <f t="shared" si="3"/>
        <v>1</v>
      </c>
      <c r="N6" s="516">
        <f t="shared" si="4"/>
        <v>0.8816312825</v>
      </c>
      <c r="O6" s="510"/>
      <c r="P6" s="510"/>
      <c r="Q6" s="510"/>
      <c r="R6" s="510"/>
      <c r="S6" s="510"/>
      <c r="T6" s="510"/>
      <c r="U6" s="510"/>
    </row>
    <row r="7" ht="27.0" customHeight="1">
      <c r="A7" s="510"/>
      <c r="B7" s="510"/>
      <c r="C7" s="510"/>
      <c r="D7" s="510"/>
      <c r="E7" s="510"/>
      <c r="F7" s="510"/>
      <c r="G7" s="510"/>
      <c r="H7" s="510"/>
      <c r="I7" s="510"/>
      <c r="J7" s="510"/>
      <c r="K7" s="510"/>
      <c r="L7" s="510"/>
      <c r="M7" s="510"/>
      <c r="N7" s="510"/>
      <c r="O7" s="510"/>
      <c r="P7" s="510"/>
      <c r="Q7" s="510"/>
      <c r="R7" s="510"/>
      <c r="S7" s="510"/>
      <c r="T7" s="510"/>
      <c r="U7" s="510"/>
    </row>
    <row r="8" ht="27.0" customHeight="1">
      <c r="A8" s="510"/>
      <c r="B8" s="510"/>
      <c r="C8" s="510"/>
      <c r="D8" s="510"/>
      <c r="E8" s="510"/>
      <c r="F8" s="510"/>
      <c r="G8" s="510"/>
      <c r="H8" s="510"/>
      <c r="I8" s="510"/>
      <c r="J8" s="510"/>
      <c r="K8" s="510"/>
      <c r="L8" s="510"/>
      <c r="M8" s="510"/>
      <c r="N8" s="510"/>
      <c r="O8" s="510"/>
      <c r="P8" s="510"/>
      <c r="Q8" s="510"/>
      <c r="R8" s="510"/>
      <c r="S8" s="510"/>
      <c r="T8" s="510"/>
      <c r="U8" s="510"/>
    </row>
    <row r="9" ht="27.0" customHeight="1">
      <c r="A9" s="510"/>
      <c r="B9" s="510"/>
      <c r="C9" s="510"/>
      <c r="D9" s="510"/>
      <c r="E9" s="510"/>
      <c r="F9" s="510"/>
      <c r="G9" s="510"/>
      <c r="H9" s="510"/>
      <c r="I9" s="510"/>
      <c r="J9" s="510"/>
      <c r="K9" s="510"/>
      <c r="L9" s="510"/>
      <c r="M9" s="510"/>
      <c r="N9" s="510"/>
      <c r="O9" s="510"/>
      <c r="P9" s="510"/>
      <c r="Q9" s="510"/>
      <c r="R9" s="510"/>
      <c r="S9" s="510"/>
      <c r="T9" s="510"/>
      <c r="U9" s="510"/>
    </row>
    <row r="10" ht="27.0" customHeight="1">
      <c r="A10" s="510"/>
      <c r="B10" s="510"/>
      <c r="C10" s="510"/>
      <c r="D10" s="510"/>
      <c r="E10" s="510"/>
      <c r="F10" s="510"/>
      <c r="G10" s="510"/>
      <c r="H10" s="510"/>
      <c r="I10" s="510"/>
      <c r="J10" s="510"/>
      <c r="K10" s="510"/>
      <c r="L10" s="510"/>
      <c r="M10" s="510"/>
      <c r="N10" s="510"/>
      <c r="O10" s="510"/>
      <c r="P10" s="510"/>
      <c r="Q10" s="510"/>
      <c r="R10" s="510"/>
      <c r="S10" s="510"/>
      <c r="T10" s="510"/>
      <c r="U10" s="510"/>
    </row>
    <row r="11" ht="27.0" customHeight="1">
      <c r="A11" s="510"/>
      <c r="B11" s="510"/>
      <c r="C11" s="510"/>
      <c r="D11" s="510"/>
      <c r="E11" s="510"/>
      <c r="F11" s="510"/>
      <c r="G11" s="510"/>
      <c r="H11" s="510"/>
      <c r="I11" s="510"/>
      <c r="J11" s="510"/>
      <c r="K11" s="510"/>
      <c r="L11" s="510"/>
      <c r="M11" s="510"/>
      <c r="N11" s="510"/>
      <c r="O11" s="510"/>
      <c r="P11" s="510"/>
      <c r="Q11" s="510"/>
      <c r="R11" s="510"/>
      <c r="S11" s="510"/>
      <c r="T11" s="510"/>
      <c r="U11" s="510"/>
    </row>
    <row r="12" ht="27.0" customHeight="1">
      <c r="A12" s="510"/>
      <c r="B12" s="510"/>
      <c r="C12" s="510"/>
      <c r="D12" s="510"/>
      <c r="E12" s="510"/>
      <c r="F12" s="510"/>
      <c r="G12" s="510"/>
      <c r="H12" s="510"/>
      <c r="I12" s="510"/>
      <c r="J12" s="510"/>
      <c r="K12" s="510"/>
      <c r="L12" s="510"/>
      <c r="M12" s="510"/>
      <c r="N12" s="510"/>
      <c r="O12" s="510"/>
      <c r="P12" s="510"/>
      <c r="Q12" s="510"/>
      <c r="R12" s="510"/>
      <c r="S12" s="510"/>
      <c r="T12" s="510"/>
      <c r="U12" s="510"/>
    </row>
    <row r="13" ht="27.0" customHeight="1">
      <c r="A13" s="510"/>
      <c r="B13" s="510"/>
      <c r="C13" s="510"/>
      <c r="D13" s="510"/>
      <c r="E13" s="510"/>
      <c r="F13" s="510"/>
      <c r="G13" s="510"/>
      <c r="H13" s="510"/>
      <c r="I13" s="510"/>
      <c r="J13" s="510"/>
      <c r="K13" s="510"/>
      <c r="L13" s="510"/>
      <c r="M13" s="510"/>
      <c r="N13" s="510"/>
      <c r="O13" s="510"/>
      <c r="P13" s="510"/>
      <c r="Q13" s="510"/>
      <c r="R13" s="510"/>
      <c r="S13" s="510"/>
      <c r="T13" s="510"/>
      <c r="U13" s="510"/>
    </row>
    <row r="14" ht="27.0" customHeight="1">
      <c r="A14" s="510"/>
      <c r="B14" s="510"/>
      <c r="C14" s="510"/>
      <c r="D14" s="510"/>
      <c r="E14" s="510"/>
      <c r="F14" s="510"/>
      <c r="G14" s="510"/>
      <c r="H14" s="510"/>
      <c r="I14" s="510"/>
      <c r="J14" s="510"/>
      <c r="K14" s="510"/>
      <c r="L14" s="510"/>
      <c r="M14" s="510"/>
      <c r="N14" s="510"/>
      <c r="O14" s="510"/>
      <c r="P14" s="510"/>
      <c r="Q14" s="510"/>
      <c r="R14" s="510"/>
      <c r="S14" s="510"/>
      <c r="T14" s="510"/>
      <c r="U14" s="510"/>
    </row>
    <row r="15" ht="27.0" customHeight="1">
      <c r="A15" s="510"/>
      <c r="B15" s="510"/>
      <c r="C15" s="510"/>
      <c r="D15" s="510"/>
      <c r="E15" s="510"/>
      <c r="F15" s="510"/>
      <c r="G15" s="510"/>
      <c r="H15" s="510"/>
      <c r="I15" s="510"/>
      <c r="J15" s="510"/>
      <c r="K15" s="510"/>
      <c r="L15" s="510"/>
      <c r="M15" s="510"/>
      <c r="N15" s="510"/>
      <c r="O15" s="510"/>
      <c r="P15" s="510"/>
      <c r="Q15" s="510"/>
      <c r="R15" s="510"/>
      <c r="S15" s="510"/>
      <c r="T15" s="510"/>
      <c r="U15" s="510"/>
    </row>
    <row r="16" ht="27.0" customHeight="1">
      <c r="A16" s="510"/>
      <c r="B16" s="510"/>
      <c r="C16" s="510"/>
      <c r="D16" s="510"/>
      <c r="E16" s="510"/>
      <c r="F16" s="510"/>
      <c r="G16" s="510"/>
      <c r="H16" s="510"/>
      <c r="I16" s="510"/>
      <c r="J16" s="510"/>
      <c r="K16" s="510"/>
      <c r="L16" s="510"/>
      <c r="M16" s="510"/>
      <c r="N16" s="510"/>
      <c r="O16" s="510"/>
      <c r="P16" s="510"/>
      <c r="Q16" s="510"/>
      <c r="R16" s="510"/>
      <c r="S16" s="510"/>
      <c r="T16" s="510"/>
      <c r="U16" s="510"/>
    </row>
    <row r="17" ht="27.0" customHeight="1">
      <c r="A17" s="510"/>
      <c r="B17" s="510"/>
      <c r="C17" s="510"/>
      <c r="D17" s="510"/>
      <c r="E17" s="510"/>
      <c r="F17" s="510"/>
      <c r="G17" s="510"/>
      <c r="H17" s="510"/>
      <c r="I17" s="510"/>
      <c r="J17" s="510"/>
      <c r="K17" s="510"/>
      <c r="L17" s="510"/>
      <c r="M17" s="510"/>
      <c r="N17" s="510"/>
      <c r="O17" s="510"/>
      <c r="P17" s="510"/>
      <c r="Q17" s="510"/>
      <c r="R17" s="510"/>
      <c r="S17" s="510"/>
      <c r="T17" s="510"/>
      <c r="U17" s="510"/>
    </row>
    <row r="18" ht="27.0" customHeight="1">
      <c r="A18" s="510"/>
      <c r="B18" s="510"/>
      <c r="C18" s="510"/>
      <c r="D18" s="510"/>
      <c r="E18" s="510"/>
      <c r="F18" s="510"/>
      <c r="G18" s="510"/>
      <c r="H18" s="510"/>
      <c r="I18" s="510"/>
      <c r="J18" s="510"/>
      <c r="K18" s="510"/>
      <c r="L18" s="510"/>
      <c r="M18" s="510"/>
      <c r="N18" s="510"/>
      <c r="O18" s="510"/>
      <c r="P18" s="510"/>
      <c r="Q18" s="510"/>
      <c r="R18" s="510"/>
      <c r="S18" s="510"/>
      <c r="T18" s="510"/>
      <c r="U18" s="510"/>
    </row>
    <row r="19" ht="27.0" customHeight="1">
      <c r="A19" s="510"/>
      <c r="B19" s="510"/>
      <c r="C19" s="510"/>
      <c r="D19" s="510"/>
      <c r="E19" s="510"/>
      <c r="F19" s="510"/>
      <c r="G19" s="510"/>
      <c r="H19" s="510"/>
      <c r="I19" s="510"/>
      <c r="J19" s="510"/>
      <c r="K19" s="510"/>
      <c r="L19" s="510"/>
      <c r="M19" s="510"/>
      <c r="N19" s="510"/>
      <c r="O19" s="510"/>
      <c r="P19" s="510"/>
      <c r="Q19" s="510"/>
      <c r="R19" s="510"/>
      <c r="S19" s="510"/>
      <c r="T19" s="510"/>
      <c r="U19" s="510"/>
    </row>
    <row r="20" ht="27.0" customHeight="1">
      <c r="A20" s="510"/>
      <c r="B20" s="510"/>
      <c r="C20" s="510"/>
      <c r="D20" s="510"/>
      <c r="E20" s="510"/>
      <c r="F20" s="510"/>
      <c r="G20" s="510"/>
      <c r="H20" s="510"/>
      <c r="I20" s="510"/>
      <c r="J20" s="510"/>
      <c r="K20" s="510"/>
      <c r="L20" s="510"/>
      <c r="M20" s="510"/>
      <c r="N20" s="510"/>
      <c r="O20" s="510"/>
      <c r="P20" s="510"/>
      <c r="Q20" s="510"/>
      <c r="R20" s="510"/>
      <c r="S20" s="510"/>
      <c r="T20" s="510"/>
      <c r="U20" s="510"/>
    </row>
    <row r="21" ht="27.0" customHeight="1">
      <c r="A21" s="510"/>
      <c r="B21" s="510"/>
      <c r="C21" s="510"/>
      <c r="D21" s="510"/>
      <c r="E21" s="510"/>
      <c r="F21" s="510"/>
      <c r="G21" s="510"/>
      <c r="H21" s="510"/>
      <c r="I21" s="510"/>
      <c r="J21" s="510"/>
      <c r="K21" s="510"/>
      <c r="L21" s="510"/>
      <c r="M21" s="510"/>
      <c r="N21" s="510"/>
      <c r="O21" s="510"/>
      <c r="P21" s="510"/>
      <c r="Q21" s="510"/>
      <c r="R21" s="510"/>
      <c r="S21" s="510"/>
      <c r="T21" s="510"/>
      <c r="U21" s="510"/>
    </row>
    <row r="22" ht="27.0" customHeight="1">
      <c r="A22" s="510"/>
      <c r="B22" s="510"/>
      <c r="C22" s="510"/>
      <c r="D22" s="510"/>
      <c r="E22" s="510"/>
      <c r="F22" s="510"/>
      <c r="G22" s="510"/>
      <c r="H22" s="510"/>
      <c r="I22" s="510"/>
      <c r="J22" s="510"/>
      <c r="K22" s="510"/>
      <c r="L22" s="510"/>
      <c r="M22" s="510"/>
      <c r="N22" s="510"/>
      <c r="O22" s="510"/>
      <c r="P22" s="510"/>
      <c r="Q22" s="510"/>
      <c r="R22" s="510"/>
      <c r="S22" s="510"/>
      <c r="T22" s="510"/>
      <c r="U22" s="510"/>
    </row>
    <row r="23" ht="27.0" customHeight="1">
      <c r="A23" s="510"/>
      <c r="B23" s="510"/>
      <c r="C23" s="510"/>
      <c r="D23" s="510"/>
      <c r="E23" s="510"/>
      <c r="F23" s="510"/>
      <c r="G23" s="510"/>
      <c r="H23" s="510"/>
      <c r="I23" s="510"/>
      <c r="J23" s="510"/>
      <c r="K23" s="510"/>
      <c r="L23" s="510"/>
      <c r="M23" s="510"/>
      <c r="N23" s="510"/>
      <c r="O23" s="510"/>
      <c r="P23" s="510"/>
      <c r="Q23" s="510"/>
      <c r="R23" s="510"/>
      <c r="S23" s="510"/>
      <c r="T23" s="510"/>
      <c r="U23" s="510"/>
    </row>
    <row r="24" ht="27.0" customHeight="1">
      <c r="A24" s="510"/>
      <c r="B24" s="510"/>
      <c r="C24" s="510"/>
      <c r="D24" s="510"/>
      <c r="E24" s="510"/>
      <c r="F24" s="510"/>
      <c r="G24" s="510"/>
      <c r="H24" s="510"/>
      <c r="I24" s="510"/>
      <c r="J24" s="510"/>
      <c r="K24" s="510"/>
      <c r="L24" s="510"/>
      <c r="M24" s="510"/>
      <c r="N24" s="510"/>
      <c r="O24" s="510"/>
      <c r="P24" s="510"/>
      <c r="Q24" s="510"/>
      <c r="R24" s="510"/>
      <c r="S24" s="510"/>
      <c r="T24" s="510"/>
      <c r="U24" s="510"/>
    </row>
    <row r="25" ht="27.0" customHeight="1">
      <c r="A25" s="510"/>
      <c r="B25" s="510"/>
      <c r="C25" s="510"/>
      <c r="D25" s="510"/>
      <c r="E25" s="510"/>
      <c r="F25" s="510"/>
      <c r="G25" s="510"/>
      <c r="H25" s="510"/>
      <c r="I25" s="510"/>
      <c r="J25" s="510"/>
      <c r="K25" s="510"/>
      <c r="L25" s="510"/>
      <c r="M25" s="510"/>
      <c r="N25" s="510"/>
      <c r="O25" s="510"/>
      <c r="P25" s="510"/>
      <c r="Q25" s="510"/>
      <c r="R25" s="510"/>
      <c r="S25" s="510"/>
      <c r="T25" s="510"/>
      <c r="U25" s="510"/>
    </row>
    <row r="26" ht="27.0" customHeight="1">
      <c r="A26" s="510"/>
      <c r="B26" s="510"/>
      <c r="C26" s="510"/>
      <c r="D26" s="510"/>
      <c r="E26" s="510"/>
      <c r="F26" s="510"/>
      <c r="G26" s="510"/>
      <c r="H26" s="510"/>
      <c r="I26" s="510"/>
      <c r="J26" s="510"/>
      <c r="K26" s="510"/>
      <c r="L26" s="510"/>
      <c r="M26" s="510"/>
      <c r="N26" s="510"/>
      <c r="O26" s="510"/>
      <c r="P26" s="510"/>
      <c r="Q26" s="510"/>
      <c r="R26" s="510"/>
      <c r="S26" s="510"/>
      <c r="T26" s="510"/>
      <c r="U26" s="510"/>
    </row>
    <row r="27" ht="27.0" customHeight="1">
      <c r="A27" s="510"/>
      <c r="B27" s="510"/>
      <c r="C27" s="510"/>
      <c r="D27" s="510"/>
      <c r="E27" s="510"/>
      <c r="F27" s="510"/>
      <c r="G27" s="510"/>
      <c r="H27" s="510"/>
      <c r="I27" s="510"/>
      <c r="J27" s="510"/>
      <c r="K27" s="510"/>
      <c r="L27" s="510"/>
      <c r="M27" s="510"/>
      <c r="N27" s="510"/>
      <c r="O27" s="510"/>
      <c r="P27" s="510"/>
      <c r="Q27" s="510"/>
      <c r="R27" s="510"/>
      <c r="S27" s="510"/>
      <c r="T27" s="510"/>
      <c r="U27" s="510"/>
    </row>
    <row r="28" ht="27.0" customHeight="1">
      <c r="A28" s="510"/>
      <c r="B28" s="510"/>
      <c r="C28" s="510"/>
      <c r="D28" s="510"/>
      <c r="E28" s="510"/>
      <c r="F28" s="510"/>
      <c r="G28" s="510"/>
      <c r="H28" s="510"/>
      <c r="I28" s="510"/>
      <c r="J28" s="510"/>
      <c r="K28" s="510"/>
      <c r="L28" s="510"/>
      <c r="M28" s="510"/>
      <c r="N28" s="510"/>
      <c r="O28" s="510"/>
      <c r="P28" s="510"/>
      <c r="Q28" s="510"/>
      <c r="R28" s="510"/>
      <c r="S28" s="510"/>
      <c r="T28" s="510"/>
      <c r="U28" s="510"/>
    </row>
    <row r="29" ht="27.0" customHeight="1">
      <c r="A29" s="510"/>
      <c r="B29" s="510"/>
      <c r="C29" s="510"/>
      <c r="D29" s="510"/>
      <c r="E29" s="510"/>
      <c r="F29" s="510"/>
      <c r="G29" s="510"/>
      <c r="H29" s="510"/>
      <c r="I29" s="510"/>
      <c r="J29" s="510"/>
      <c r="K29" s="510"/>
      <c r="L29" s="510"/>
      <c r="M29" s="510"/>
      <c r="N29" s="510"/>
      <c r="O29" s="510"/>
      <c r="P29" s="510"/>
      <c r="Q29" s="510"/>
      <c r="R29" s="510"/>
      <c r="S29" s="510"/>
      <c r="T29" s="510"/>
      <c r="U29" s="510"/>
    </row>
    <row r="30" ht="27.0" customHeight="1">
      <c r="A30" s="510"/>
      <c r="B30" s="510"/>
      <c r="C30" s="510"/>
      <c r="D30" s="510"/>
      <c r="E30" s="510"/>
      <c r="F30" s="510"/>
      <c r="G30" s="510"/>
      <c r="H30" s="510"/>
      <c r="I30" s="510"/>
      <c r="J30" s="510"/>
      <c r="K30" s="510"/>
      <c r="L30" s="510"/>
      <c r="M30" s="510"/>
      <c r="N30" s="510"/>
      <c r="O30" s="510"/>
      <c r="P30" s="510"/>
      <c r="Q30" s="510"/>
      <c r="R30" s="510"/>
      <c r="S30" s="510"/>
      <c r="T30" s="510"/>
      <c r="U30" s="510"/>
    </row>
    <row r="31" ht="27.0" customHeight="1">
      <c r="A31" s="510"/>
      <c r="B31" s="510"/>
      <c r="C31" s="510"/>
      <c r="D31" s="510"/>
      <c r="E31" s="510"/>
      <c r="F31" s="510"/>
      <c r="G31" s="510"/>
      <c r="H31" s="510"/>
      <c r="I31" s="510"/>
      <c r="J31" s="510"/>
      <c r="K31" s="510"/>
      <c r="L31" s="510"/>
      <c r="M31" s="510"/>
      <c r="N31" s="510"/>
      <c r="O31" s="510"/>
      <c r="P31" s="510"/>
      <c r="Q31" s="510"/>
      <c r="R31" s="510"/>
      <c r="S31" s="510"/>
      <c r="T31" s="510"/>
      <c r="U31" s="510"/>
    </row>
    <row r="32" ht="27.0" customHeight="1">
      <c r="A32" s="510"/>
      <c r="B32" s="510"/>
      <c r="C32" s="510"/>
      <c r="D32" s="510"/>
      <c r="E32" s="510"/>
      <c r="F32" s="510"/>
      <c r="G32" s="510"/>
      <c r="H32" s="510"/>
      <c r="I32" s="510"/>
      <c r="J32" s="510"/>
      <c r="K32" s="510"/>
      <c r="L32" s="510"/>
      <c r="M32" s="510"/>
      <c r="N32" s="510"/>
      <c r="O32" s="510"/>
      <c r="P32" s="510"/>
      <c r="Q32" s="510"/>
      <c r="R32" s="510"/>
      <c r="S32" s="510"/>
      <c r="T32" s="510"/>
      <c r="U32" s="510"/>
    </row>
    <row r="33" ht="27.0" customHeight="1">
      <c r="A33" s="510"/>
      <c r="B33" s="510"/>
      <c r="C33" s="510"/>
      <c r="D33" s="510"/>
      <c r="E33" s="510"/>
      <c r="F33" s="510"/>
      <c r="G33" s="510"/>
      <c r="H33" s="510"/>
      <c r="I33" s="510"/>
      <c r="J33" s="510"/>
      <c r="K33" s="510"/>
      <c r="L33" s="510"/>
      <c r="M33" s="510"/>
      <c r="N33" s="510"/>
      <c r="O33" s="510"/>
      <c r="P33" s="510"/>
      <c r="Q33" s="510"/>
      <c r="R33" s="510"/>
      <c r="S33" s="510"/>
      <c r="T33" s="510"/>
      <c r="U33" s="510"/>
    </row>
    <row r="34" ht="27.0" customHeight="1">
      <c r="A34" s="510"/>
      <c r="B34" s="510"/>
      <c r="C34" s="510"/>
      <c r="D34" s="510"/>
      <c r="E34" s="510"/>
      <c r="F34" s="510"/>
      <c r="G34" s="510"/>
      <c r="H34" s="510"/>
      <c r="I34" s="510"/>
      <c r="J34" s="510"/>
      <c r="K34" s="510"/>
      <c r="L34" s="510"/>
      <c r="M34" s="510"/>
      <c r="N34" s="510"/>
      <c r="O34" s="510"/>
      <c r="P34" s="510"/>
      <c r="Q34" s="510"/>
      <c r="R34" s="510"/>
      <c r="S34" s="510"/>
      <c r="T34" s="510"/>
      <c r="U34" s="510"/>
    </row>
    <row r="35" ht="27.0" customHeight="1">
      <c r="A35" s="510"/>
      <c r="B35" s="510"/>
      <c r="C35" s="510"/>
      <c r="D35" s="510"/>
      <c r="E35" s="510"/>
      <c r="F35" s="510"/>
      <c r="G35" s="510"/>
      <c r="H35" s="510"/>
      <c r="I35" s="510"/>
      <c r="J35" s="510"/>
      <c r="K35" s="510"/>
      <c r="L35" s="510"/>
      <c r="M35" s="510"/>
      <c r="N35" s="510"/>
      <c r="O35" s="510"/>
      <c r="P35" s="510"/>
      <c r="Q35" s="510"/>
      <c r="R35" s="510"/>
      <c r="S35" s="510"/>
      <c r="T35" s="510"/>
      <c r="U35" s="510"/>
    </row>
    <row r="36" ht="27.0" customHeight="1">
      <c r="A36" s="510"/>
      <c r="B36" s="510"/>
      <c r="C36" s="510"/>
      <c r="D36" s="510"/>
      <c r="E36" s="510"/>
      <c r="F36" s="510"/>
      <c r="G36" s="510"/>
      <c r="H36" s="510"/>
      <c r="I36" s="510"/>
      <c r="J36" s="510"/>
      <c r="K36" s="510"/>
      <c r="L36" s="510"/>
      <c r="M36" s="510"/>
      <c r="N36" s="510"/>
      <c r="O36" s="510"/>
      <c r="P36" s="510"/>
      <c r="Q36" s="510"/>
      <c r="R36" s="510"/>
      <c r="S36" s="510"/>
      <c r="T36" s="510"/>
      <c r="U36" s="510"/>
    </row>
    <row r="37" ht="27.0" customHeight="1">
      <c r="A37" s="510"/>
      <c r="B37" s="510"/>
      <c r="C37" s="510"/>
      <c r="D37" s="510"/>
      <c r="E37" s="510"/>
      <c r="F37" s="510"/>
      <c r="G37" s="510"/>
      <c r="H37" s="510"/>
      <c r="I37" s="510"/>
      <c r="J37" s="510"/>
      <c r="K37" s="510"/>
      <c r="L37" s="510"/>
      <c r="M37" s="510"/>
      <c r="N37" s="510"/>
      <c r="O37" s="510"/>
      <c r="P37" s="510"/>
      <c r="Q37" s="510"/>
      <c r="R37" s="510"/>
      <c r="S37" s="510"/>
      <c r="T37" s="510"/>
      <c r="U37" s="510"/>
    </row>
    <row r="38" ht="27.0" customHeight="1">
      <c r="A38" s="510"/>
      <c r="B38" s="510"/>
      <c r="C38" s="510"/>
      <c r="D38" s="510"/>
      <c r="E38" s="510"/>
      <c r="F38" s="510"/>
      <c r="G38" s="510"/>
      <c r="H38" s="510"/>
      <c r="I38" s="510"/>
      <c r="J38" s="510"/>
      <c r="K38" s="510"/>
      <c r="L38" s="510"/>
      <c r="M38" s="510"/>
      <c r="N38" s="510"/>
      <c r="O38" s="510"/>
      <c r="P38" s="510"/>
      <c r="Q38" s="510"/>
      <c r="R38" s="510"/>
      <c r="S38" s="510"/>
      <c r="T38" s="510"/>
      <c r="U38" s="510"/>
    </row>
    <row r="39" ht="27.0" customHeight="1">
      <c r="A39" s="510"/>
      <c r="B39" s="510"/>
      <c r="C39" s="510"/>
      <c r="D39" s="510"/>
      <c r="E39" s="510"/>
      <c r="F39" s="510"/>
      <c r="G39" s="510"/>
      <c r="H39" s="510"/>
      <c r="I39" s="510"/>
      <c r="J39" s="510"/>
      <c r="K39" s="510"/>
      <c r="L39" s="510"/>
      <c r="M39" s="510"/>
      <c r="N39" s="510"/>
      <c r="O39" s="510"/>
      <c r="P39" s="510"/>
      <c r="Q39" s="510"/>
      <c r="R39" s="510"/>
      <c r="S39" s="510"/>
      <c r="T39" s="510"/>
      <c r="U39" s="510"/>
    </row>
    <row r="40" ht="27.0" customHeight="1">
      <c r="A40" s="510"/>
      <c r="B40" s="510"/>
      <c r="C40" s="510"/>
      <c r="D40" s="510"/>
      <c r="E40" s="510"/>
      <c r="F40" s="510"/>
      <c r="G40" s="510"/>
      <c r="H40" s="510"/>
      <c r="I40" s="510"/>
      <c r="J40" s="510"/>
      <c r="K40" s="510"/>
      <c r="L40" s="510"/>
      <c r="M40" s="510"/>
      <c r="N40" s="510"/>
      <c r="O40" s="510"/>
      <c r="P40" s="510"/>
      <c r="Q40" s="510"/>
      <c r="R40" s="510"/>
      <c r="S40" s="510"/>
      <c r="T40" s="510"/>
      <c r="U40" s="510"/>
    </row>
    <row r="41" ht="27.0" customHeight="1">
      <c r="A41" s="510"/>
      <c r="B41" s="510"/>
      <c r="C41" s="510"/>
      <c r="D41" s="510"/>
      <c r="E41" s="510"/>
      <c r="F41" s="510"/>
      <c r="G41" s="510"/>
      <c r="H41" s="510"/>
      <c r="I41" s="510"/>
      <c r="J41" s="510"/>
      <c r="K41" s="510"/>
      <c r="L41" s="510"/>
      <c r="M41" s="510"/>
      <c r="N41" s="510"/>
      <c r="O41" s="510"/>
      <c r="P41" s="510"/>
      <c r="Q41" s="510"/>
      <c r="R41" s="510"/>
      <c r="S41" s="510"/>
      <c r="T41" s="510"/>
      <c r="U41" s="510"/>
    </row>
    <row r="42" ht="27.0" customHeight="1">
      <c r="A42" s="510"/>
      <c r="B42" s="510"/>
      <c r="C42" s="510"/>
      <c r="D42" s="510"/>
      <c r="E42" s="510"/>
      <c r="F42" s="510"/>
      <c r="G42" s="510"/>
      <c r="H42" s="510"/>
      <c r="I42" s="510"/>
      <c r="J42" s="510"/>
      <c r="K42" s="510"/>
      <c r="L42" s="510"/>
      <c r="M42" s="510"/>
      <c r="N42" s="510"/>
      <c r="O42" s="510"/>
      <c r="P42" s="510"/>
      <c r="Q42" s="510"/>
      <c r="R42" s="510"/>
      <c r="S42" s="510"/>
      <c r="T42" s="510"/>
      <c r="U42" s="510"/>
    </row>
    <row r="43" ht="27.0" customHeight="1">
      <c r="A43" s="510"/>
      <c r="B43" s="510"/>
      <c r="C43" s="510"/>
      <c r="D43" s="510"/>
      <c r="E43" s="510"/>
      <c r="F43" s="510"/>
      <c r="G43" s="510"/>
      <c r="H43" s="510"/>
      <c r="I43" s="510"/>
      <c r="J43" s="510"/>
      <c r="K43" s="510"/>
      <c r="L43" s="510"/>
      <c r="M43" s="510"/>
      <c r="N43" s="510"/>
      <c r="O43" s="510"/>
      <c r="P43" s="510"/>
      <c r="Q43" s="510"/>
      <c r="R43" s="510"/>
      <c r="S43" s="510"/>
      <c r="T43" s="510"/>
      <c r="U43" s="510"/>
    </row>
    <row r="44" ht="27.0" customHeight="1">
      <c r="A44" s="510"/>
      <c r="B44" s="510"/>
      <c r="C44" s="510"/>
      <c r="D44" s="510"/>
      <c r="E44" s="510"/>
      <c r="F44" s="510"/>
      <c r="G44" s="510"/>
      <c r="H44" s="510"/>
      <c r="I44" s="510"/>
      <c r="J44" s="510"/>
      <c r="K44" s="510"/>
      <c r="L44" s="510"/>
      <c r="M44" s="510"/>
      <c r="N44" s="510"/>
      <c r="O44" s="510"/>
      <c r="P44" s="510"/>
      <c r="Q44" s="510"/>
      <c r="R44" s="510"/>
      <c r="S44" s="510"/>
      <c r="T44" s="510"/>
      <c r="U44" s="510"/>
    </row>
    <row r="45" ht="27.0" customHeight="1">
      <c r="A45" s="510"/>
      <c r="B45" s="510"/>
      <c r="C45" s="510"/>
      <c r="D45" s="510"/>
      <c r="E45" s="510"/>
      <c r="F45" s="510"/>
      <c r="G45" s="510"/>
      <c r="H45" s="510"/>
      <c r="I45" s="510"/>
      <c r="J45" s="510"/>
      <c r="K45" s="510"/>
      <c r="L45" s="510"/>
      <c r="M45" s="510"/>
      <c r="N45" s="510"/>
      <c r="O45" s="510"/>
      <c r="P45" s="510"/>
      <c r="Q45" s="510"/>
      <c r="R45" s="510"/>
      <c r="S45" s="510"/>
      <c r="T45" s="510"/>
      <c r="U45" s="510"/>
    </row>
    <row r="46" ht="27.0" customHeight="1">
      <c r="A46" s="510"/>
      <c r="B46" s="510"/>
      <c r="C46" s="510"/>
      <c r="D46" s="510"/>
      <c r="E46" s="510"/>
      <c r="F46" s="510"/>
      <c r="G46" s="510"/>
      <c r="H46" s="510"/>
      <c r="I46" s="510"/>
      <c r="J46" s="510"/>
      <c r="K46" s="510"/>
      <c r="L46" s="510"/>
      <c r="M46" s="510"/>
      <c r="N46" s="510"/>
      <c r="O46" s="510"/>
      <c r="P46" s="510"/>
      <c r="Q46" s="510"/>
      <c r="R46" s="510"/>
      <c r="S46" s="510"/>
      <c r="T46" s="510"/>
      <c r="U46" s="510"/>
    </row>
    <row r="47" ht="27.0" customHeight="1">
      <c r="A47" s="510"/>
      <c r="B47" s="510"/>
      <c r="C47" s="510"/>
      <c r="D47" s="510"/>
      <c r="E47" s="510"/>
      <c r="F47" s="510"/>
      <c r="G47" s="510"/>
      <c r="H47" s="510"/>
      <c r="I47" s="510"/>
      <c r="J47" s="510"/>
      <c r="K47" s="510"/>
      <c r="L47" s="510"/>
      <c r="M47" s="510"/>
      <c r="N47" s="510"/>
      <c r="O47" s="510"/>
      <c r="P47" s="510"/>
      <c r="Q47" s="510"/>
      <c r="R47" s="510"/>
      <c r="S47" s="510"/>
      <c r="T47" s="510"/>
      <c r="U47" s="510"/>
    </row>
    <row r="48" ht="27.0" customHeight="1">
      <c r="A48" s="510"/>
      <c r="B48" s="510"/>
      <c r="C48" s="510"/>
      <c r="D48" s="510"/>
      <c r="E48" s="510"/>
      <c r="F48" s="510"/>
      <c r="G48" s="510"/>
      <c r="H48" s="510"/>
      <c r="I48" s="510"/>
      <c r="J48" s="510"/>
      <c r="K48" s="510"/>
      <c r="L48" s="510"/>
      <c r="M48" s="510"/>
      <c r="N48" s="510"/>
      <c r="O48" s="510"/>
      <c r="P48" s="510"/>
      <c r="Q48" s="510"/>
      <c r="R48" s="510"/>
      <c r="S48" s="510"/>
      <c r="T48" s="510"/>
      <c r="U48" s="510"/>
    </row>
    <row r="49" ht="27.0" customHeight="1">
      <c r="A49" s="510"/>
      <c r="B49" s="510"/>
      <c r="C49" s="510"/>
      <c r="D49" s="510"/>
      <c r="E49" s="510"/>
      <c r="F49" s="510"/>
      <c r="G49" s="510"/>
      <c r="H49" s="510"/>
      <c r="I49" s="510"/>
      <c r="J49" s="510"/>
      <c r="K49" s="510"/>
      <c r="L49" s="510"/>
      <c r="M49" s="510"/>
      <c r="N49" s="510"/>
      <c r="O49" s="510"/>
      <c r="P49" s="510"/>
      <c r="Q49" s="510"/>
      <c r="R49" s="510"/>
      <c r="S49" s="510"/>
      <c r="T49" s="510"/>
      <c r="U49" s="510"/>
    </row>
    <row r="50" ht="27.0" customHeight="1">
      <c r="A50" s="510"/>
      <c r="B50" s="510"/>
      <c r="C50" s="510"/>
      <c r="D50" s="510"/>
      <c r="E50" s="510"/>
      <c r="F50" s="510"/>
      <c r="G50" s="510"/>
      <c r="H50" s="510"/>
      <c r="I50" s="510"/>
      <c r="J50" s="510"/>
      <c r="K50" s="510"/>
      <c r="L50" s="510"/>
      <c r="M50" s="510"/>
      <c r="N50" s="510"/>
      <c r="O50" s="510"/>
      <c r="P50" s="510"/>
      <c r="Q50" s="510"/>
      <c r="R50" s="510"/>
      <c r="S50" s="510"/>
      <c r="T50" s="510"/>
      <c r="U50" s="510"/>
    </row>
    <row r="51" ht="27.0" customHeight="1">
      <c r="A51" s="510"/>
      <c r="B51" s="510"/>
      <c r="C51" s="510"/>
      <c r="D51" s="510"/>
      <c r="E51" s="510"/>
      <c r="F51" s="510"/>
      <c r="G51" s="510"/>
      <c r="H51" s="510"/>
      <c r="I51" s="510"/>
      <c r="J51" s="510"/>
      <c r="K51" s="510"/>
      <c r="L51" s="510"/>
      <c r="M51" s="510"/>
      <c r="N51" s="510"/>
      <c r="O51" s="510"/>
      <c r="P51" s="510"/>
      <c r="Q51" s="510"/>
      <c r="R51" s="510"/>
      <c r="S51" s="510"/>
      <c r="T51" s="510"/>
      <c r="U51" s="510"/>
    </row>
    <row r="52" ht="27.0" customHeight="1">
      <c r="A52" s="510"/>
      <c r="B52" s="510"/>
      <c r="C52" s="510"/>
      <c r="D52" s="510"/>
      <c r="E52" s="510"/>
      <c r="F52" s="510"/>
      <c r="G52" s="510"/>
      <c r="H52" s="510"/>
      <c r="I52" s="510"/>
      <c r="J52" s="510"/>
      <c r="K52" s="510"/>
      <c r="L52" s="510"/>
      <c r="M52" s="510"/>
      <c r="N52" s="510"/>
      <c r="O52" s="510"/>
      <c r="P52" s="510"/>
      <c r="Q52" s="510"/>
      <c r="R52" s="510"/>
      <c r="S52" s="510"/>
      <c r="T52" s="510"/>
      <c r="U52" s="510"/>
    </row>
    <row r="53" ht="27.0" customHeight="1">
      <c r="A53" s="510"/>
      <c r="B53" s="510"/>
      <c r="C53" s="510"/>
      <c r="D53" s="510"/>
      <c r="E53" s="510"/>
      <c r="F53" s="510"/>
      <c r="G53" s="510"/>
      <c r="H53" s="510"/>
      <c r="I53" s="510"/>
      <c r="J53" s="510"/>
      <c r="K53" s="510"/>
      <c r="L53" s="510"/>
      <c r="M53" s="510"/>
      <c r="N53" s="510"/>
      <c r="O53" s="510"/>
      <c r="P53" s="510"/>
      <c r="Q53" s="510"/>
      <c r="R53" s="510"/>
      <c r="S53" s="510"/>
      <c r="T53" s="510"/>
      <c r="U53" s="510"/>
    </row>
    <row r="54" ht="27.0" customHeight="1">
      <c r="A54" s="510"/>
      <c r="B54" s="510"/>
      <c r="C54" s="510"/>
      <c r="D54" s="510"/>
      <c r="E54" s="510"/>
      <c r="F54" s="510"/>
      <c r="G54" s="510"/>
      <c r="H54" s="510"/>
      <c r="I54" s="510"/>
      <c r="J54" s="510"/>
      <c r="K54" s="510"/>
      <c r="L54" s="510"/>
      <c r="M54" s="510"/>
      <c r="N54" s="510"/>
      <c r="O54" s="510"/>
      <c r="P54" s="510"/>
      <c r="Q54" s="510"/>
      <c r="R54" s="510"/>
      <c r="S54" s="510"/>
      <c r="T54" s="510"/>
      <c r="U54" s="510"/>
    </row>
    <row r="55" ht="27.0" customHeight="1">
      <c r="A55" s="510"/>
      <c r="B55" s="510"/>
      <c r="C55" s="510"/>
      <c r="D55" s="510"/>
      <c r="E55" s="510"/>
      <c r="F55" s="510"/>
      <c r="G55" s="510"/>
      <c r="H55" s="510"/>
      <c r="I55" s="510"/>
      <c r="J55" s="510"/>
      <c r="K55" s="510"/>
      <c r="L55" s="510"/>
      <c r="M55" s="510"/>
      <c r="N55" s="510"/>
      <c r="O55" s="510"/>
      <c r="P55" s="510"/>
      <c r="Q55" s="510"/>
      <c r="R55" s="510"/>
      <c r="S55" s="510"/>
      <c r="T55" s="510"/>
      <c r="U55" s="510"/>
    </row>
    <row r="56" ht="27.0" customHeight="1">
      <c r="A56" s="510"/>
      <c r="B56" s="510"/>
      <c r="C56" s="510"/>
      <c r="D56" s="510"/>
      <c r="E56" s="510"/>
      <c r="F56" s="510"/>
      <c r="G56" s="510"/>
      <c r="H56" s="510"/>
      <c r="I56" s="510"/>
      <c r="J56" s="510"/>
      <c r="K56" s="510"/>
      <c r="L56" s="510"/>
      <c r="M56" s="510"/>
      <c r="N56" s="510"/>
      <c r="O56" s="510"/>
      <c r="P56" s="510"/>
      <c r="Q56" s="510"/>
      <c r="R56" s="510"/>
      <c r="S56" s="510"/>
      <c r="T56" s="510"/>
      <c r="U56" s="510"/>
    </row>
    <row r="57" ht="27.0" customHeight="1">
      <c r="A57" s="510"/>
      <c r="B57" s="510"/>
      <c r="C57" s="510"/>
      <c r="D57" s="510"/>
      <c r="E57" s="510"/>
      <c r="F57" s="510"/>
      <c r="G57" s="510"/>
      <c r="H57" s="510"/>
      <c r="I57" s="510"/>
      <c r="J57" s="510"/>
      <c r="K57" s="510"/>
      <c r="L57" s="510"/>
      <c r="M57" s="510"/>
      <c r="N57" s="510"/>
      <c r="O57" s="510"/>
      <c r="P57" s="510"/>
      <c r="Q57" s="510"/>
      <c r="R57" s="510"/>
      <c r="S57" s="510"/>
      <c r="T57" s="510"/>
      <c r="U57" s="510"/>
    </row>
    <row r="58" ht="27.0" customHeight="1">
      <c r="A58" s="510"/>
      <c r="B58" s="510"/>
      <c r="C58" s="510"/>
      <c r="D58" s="510"/>
      <c r="E58" s="510"/>
      <c r="F58" s="510"/>
      <c r="G58" s="510"/>
      <c r="H58" s="510"/>
      <c r="I58" s="510"/>
      <c r="J58" s="510"/>
      <c r="K58" s="510"/>
      <c r="L58" s="510"/>
      <c r="M58" s="510"/>
      <c r="N58" s="510"/>
      <c r="O58" s="510"/>
      <c r="P58" s="510"/>
      <c r="Q58" s="510"/>
      <c r="R58" s="510"/>
      <c r="S58" s="510"/>
      <c r="T58" s="510"/>
      <c r="U58" s="510"/>
    </row>
    <row r="59" ht="27.0" customHeight="1">
      <c r="A59" s="510"/>
      <c r="B59" s="510"/>
      <c r="C59" s="510"/>
      <c r="D59" s="510"/>
      <c r="E59" s="510"/>
      <c r="F59" s="510"/>
      <c r="G59" s="510"/>
      <c r="H59" s="510"/>
      <c r="I59" s="510"/>
      <c r="J59" s="510"/>
      <c r="K59" s="510"/>
      <c r="L59" s="510"/>
      <c r="M59" s="510"/>
      <c r="N59" s="510"/>
      <c r="O59" s="510"/>
      <c r="P59" s="510"/>
      <c r="Q59" s="510"/>
      <c r="R59" s="510"/>
      <c r="S59" s="510"/>
      <c r="T59" s="510"/>
      <c r="U59" s="510"/>
    </row>
    <row r="60" ht="27.0" customHeight="1">
      <c r="A60" s="510"/>
      <c r="B60" s="510"/>
      <c r="C60" s="510"/>
      <c r="D60" s="510"/>
      <c r="E60" s="510"/>
      <c r="F60" s="510"/>
      <c r="G60" s="510"/>
      <c r="H60" s="510"/>
      <c r="I60" s="510"/>
      <c r="J60" s="510"/>
      <c r="K60" s="510"/>
      <c r="L60" s="510"/>
      <c r="M60" s="510"/>
      <c r="N60" s="510"/>
      <c r="O60" s="510"/>
      <c r="P60" s="510"/>
      <c r="Q60" s="510"/>
      <c r="R60" s="510"/>
      <c r="S60" s="510"/>
      <c r="T60" s="510"/>
      <c r="U60" s="510"/>
    </row>
    <row r="61" ht="27.0" customHeight="1">
      <c r="A61" s="510"/>
      <c r="B61" s="510"/>
      <c r="C61" s="510"/>
      <c r="D61" s="510"/>
      <c r="E61" s="510"/>
      <c r="F61" s="510"/>
      <c r="G61" s="510"/>
      <c r="H61" s="510"/>
      <c r="I61" s="510"/>
      <c r="J61" s="510"/>
      <c r="K61" s="510"/>
      <c r="L61" s="510"/>
      <c r="M61" s="510"/>
      <c r="N61" s="510"/>
      <c r="O61" s="510"/>
      <c r="P61" s="510"/>
      <c r="Q61" s="510"/>
      <c r="R61" s="510"/>
      <c r="S61" s="510"/>
      <c r="T61" s="510"/>
      <c r="U61" s="510"/>
    </row>
    <row r="62" ht="27.0" customHeight="1">
      <c r="A62" s="510"/>
      <c r="B62" s="510"/>
      <c r="C62" s="510"/>
      <c r="D62" s="510"/>
      <c r="E62" s="510"/>
      <c r="F62" s="510"/>
      <c r="G62" s="510"/>
      <c r="H62" s="510"/>
      <c r="I62" s="510"/>
      <c r="J62" s="510"/>
      <c r="K62" s="510"/>
      <c r="L62" s="510"/>
      <c r="M62" s="510"/>
      <c r="N62" s="510"/>
      <c r="O62" s="510"/>
      <c r="P62" s="510"/>
      <c r="Q62" s="510"/>
      <c r="R62" s="510"/>
      <c r="S62" s="510"/>
      <c r="T62" s="510"/>
      <c r="U62" s="510"/>
    </row>
    <row r="63" ht="27.0" customHeight="1">
      <c r="A63" s="510"/>
      <c r="B63" s="510"/>
      <c r="C63" s="510"/>
      <c r="D63" s="510"/>
      <c r="E63" s="510"/>
      <c r="F63" s="510"/>
      <c r="G63" s="510"/>
      <c r="H63" s="510"/>
      <c r="I63" s="510"/>
      <c r="J63" s="510"/>
      <c r="K63" s="510"/>
      <c r="L63" s="510"/>
      <c r="M63" s="510"/>
      <c r="N63" s="510"/>
      <c r="O63" s="510"/>
      <c r="P63" s="510"/>
      <c r="Q63" s="510"/>
      <c r="R63" s="510"/>
      <c r="S63" s="510"/>
      <c r="T63" s="510"/>
      <c r="U63" s="510"/>
    </row>
    <row r="64" ht="27.0" customHeight="1">
      <c r="A64" s="510"/>
      <c r="B64" s="510"/>
      <c r="C64" s="510"/>
      <c r="D64" s="510"/>
      <c r="E64" s="510"/>
      <c r="F64" s="510"/>
      <c r="G64" s="510"/>
      <c r="H64" s="510"/>
      <c r="I64" s="510"/>
      <c r="J64" s="510"/>
      <c r="K64" s="510"/>
      <c r="L64" s="510"/>
      <c r="M64" s="510"/>
      <c r="N64" s="510"/>
      <c r="O64" s="510"/>
      <c r="P64" s="510"/>
      <c r="Q64" s="510"/>
      <c r="R64" s="510"/>
      <c r="S64" s="510"/>
      <c r="T64" s="510"/>
      <c r="U64" s="510"/>
    </row>
    <row r="65" ht="27.0" customHeight="1">
      <c r="A65" s="510"/>
      <c r="B65" s="510"/>
      <c r="C65" s="510"/>
      <c r="D65" s="510"/>
      <c r="E65" s="510"/>
      <c r="F65" s="510"/>
      <c r="G65" s="510"/>
      <c r="H65" s="510"/>
      <c r="I65" s="510"/>
      <c r="J65" s="510"/>
      <c r="K65" s="510"/>
      <c r="L65" s="510"/>
      <c r="M65" s="510"/>
      <c r="N65" s="510"/>
      <c r="O65" s="510"/>
      <c r="P65" s="510"/>
      <c r="Q65" s="510"/>
      <c r="R65" s="510"/>
      <c r="S65" s="510"/>
      <c r="T65" s="510"/>
      <c r="U65" s="510"/>
    </row>
    <row r="66" ht="27.0" customHeight="1">
      <c r="A66" s="510"/>
      <c r="B66" s="510"/>
      <c r="C66" s="510"/>
      <c r="D66" s="510"/>
      <c r="E66" s="510"/>
      <c r="F66" s="510"/>
      <c r="G66" s="510"/>
      <c r="H66" s="510"/>
      <c r="I66" s="510"/>
      <c r="J66" s="510"/>
      <c r="K66" s="510"/>
      <c r="L66" s="510"/>
      <c r="M66" s="510"/>
      <c r="N66" s="510"/>
      <c r="O66" s="510"/>
      <c r="P66" s="510"/>
      <c r="Q66" s="510"/>
      <c r="R66" s="510"/>
      <c r="S66" s="510"/>
      <c r="T66" s="510"/>
      <c r="U66" s="510"/>
    </row>
    <row r="67" ht="27.0" customHeight="1">
      <c r="A67" s="510"/>
      <c r="B67" s="510"/>
      <c r="C67" s="510"/>
      <c r="D67" s="510"/>
      <c r="E67" s="510"/>
      <c r="F67" s="510"/>
      <c r="G67" s="510"/>
      <c r="H67" s="510"/>
      <c r="I67" s="510"/>
      <c r="J67" s="510"/>
      <c r="K67" s="510"/>
      <c r="L67" s="510"/>
      <c r="M67" s="510"/>
      <c r="N67" s="510"/>
      <c r="O67" s="510"/>
      <c r="P67" s="510"/>
      <c r="Q67" s="510"/>
      <c r="R67" s="510"/>
      <c r="S67" s="510"/>
      <c r="T67" s="510"/>
      <c r="U67" s="510"/>
    </row>
    <row r="68" ht="27.0" customHeight="1">
      <c r="A68" s="510"/>
      <c r="B68" s="510"/>
      <c r="C68" s="510"/>
      <c r="D68" s="510"/>
      <c r="E68" s="510"/>
      <c r="F68" s="510"/>
      <c r="G68" s="510"/>
      <c r="H68" s="510"/>
      <c r="I68" s="510"/>
      <c r="J68" s="510"/>
      <c r="K68" s="510"/>
      <c r="L68" s="510"/>
      <c r="M68" s="510"/>
      <c r="N68" s="510"/>
      <c r="O68" s="510"/>
      <c r="P68" s="510"/>
      <c r="Q68" s="510"/>
      <c r="R68" s="510"/>
      <c r="S68" s="510"/>
      <c r="T68" s="510"/>
      <c r="U68" s="510"/>
    </row>
    <row r="69" ht="27.0" customHeight="1">
      <c r="A69" s="510"/>
      <c r="B69" s="510"/>
      <c r="C69" s="510"/>
      <c r="D69" s="510"/>
      <c r="E69" s="510"/>
      <c r="F69" s="510"/>
      <c r="G69" s="510"/>
      <c r="H69" s="510"/>
      <c r="I69" s="510"/>
      <c r="J69" s="510"/>
      <c r="K69" s="510"/>
      <c r="L69" s="510"/>
      <c r="M69" s="510"/>
      <c r="N69" s="510"/>
      <c r="O69" s="510"/>
      <c r="P69" s="510"/>
      <c r="Q69" s="510"/>
      <c r="R69" s="510"/>
      <c r="S69" s="510"/>
      <c r="T69" s="510"/>
      <c r="U69" s="510"/>
    </row>
    <row r="70" ht="27.0" customHeight="1">
      <c r="A70" s="510"/>
      <c r="B70" s="510"/>
      <c r="C70" s="510"/>
      <c r="D70" s="510"/>
      <c r="E70" s="510"/>
      <c r="F70" s="510"/>
      <c r="G70" s="510"/>
      <c r="H70" s="510"/>
      <c r="I70" s="510"/>
      <c r="J70" s="510"/>
      <c r="K70" s="510"/>
      <c r="L70" s="510"/>
      <c r="M70" s="510"/>
      <c r="N70" s="510"/>
      <c r="O70" s="510"/>
      <c r="P70" s="510"/>
      <c r="Q70" s="510"/>
      <c r="R70" s="510"/>
      <c r="S70" s="510"/>
      <c r="T70" s="510"/>
      <c r="U70" s="510"/>
    </row>
    <row r="71" ht="27.0" customHeight="1">
      <c r="A71" s="510"/>
      <c r="B71" s="510"/>
      <c r="C71" s="510"/>
      <c r="D71" s="510"/>
      <c r="E71" s="510"/>
      <c r="F71" s="510"/>
      <c r="G71" s="510"/>
      <c r="H71" s="510"/>
      <c r="I71" s="510"/>
      <c r="J71" s="510"/>
      <c r="K71" s="510"/>
      <c r="L71" s="510"/>
      <c r="M71" s="510"/>
      <c r="N71" s="510"/>
      <c r="O71" s="510"/>
      <c r="P71" s="510"/>
      <c r="Q71" s="510"/>
      <c r="R71" s="510"/>
      <c r="S71" s="510"/>
      <c r="T71" s="510"/>
      <c r="U71" s="510"/>
    </row>
    <row r="72" ht="27.0" customHeight="1">
      <c r="A72" s="510"/>
      <c r="B72" s="510"/>
      <c r="C72" s="510"/>
      <c r="D72" s="510"/>
      <c r="E72" s="510"/>
      <c r="F72" s="510"/>
      <c r="G72" s="510"/>
      <c r="H72" s="510"/>
      <c r="I72" s="510"/>
      <c r="J72" s="510"/>
      <c r="K72" s="510"/>
      <c r="L72" s="510"/>
      <c r="M72" s="510"/>
      <c r="N72" s="510"/>
      <c r="O72" s="510"/>
      <c r="P72" s="510"/>
      <c r="Q72" s="510"/>
      <c r="R72" s="510"/>
      <c r="S72" s="510"/>
      <c r="T72" s="510"/>
      <c r="U72" s="510"/>
    </row>
    <row r="73" ht="27.0" customHeight="1">
      <c r="A73" s="510"/>
      <c r="B73" s="510"/>
      <c r="C73" s="510"/>
      <c r="D73" s="510"/>
      <c r="E73" s="510"/>
      <c r="F73" s="510"/>
      <c r="G73" s="510"/>
      <c r="H73" s="510"/>
      <c r="I73" s="510"/>
      <c r="J73" s="510"/>
      <c r="K73" s="510"/>
      <c r="L73" s="510"/>
      <c r="M73" s="510"/>
      <c r="N73" s="510"/>
      <c r="O73" s="510"/>
      <c r="P73" s="510"/>
      <c r="Q73" s="510"/>
      <c r="R73" s="510"/>
      <c r="S73" s="510"/>
      <c r="T73" s="510"/>
      <c r="U73" s="510"/>
    </row>
    <row r="74" ht="27.0" customHeight="1">
      <c r="A74" s="510"/>
      <c r="B74" s="510"/>
      <c r="C74" s="510"/>
      <c r="D74" s="510"/>
      <c r="E74" s="510"/>
      <c r="F74" s="510"/>
      <c r="G74" s="510"/>
      <c r="H74" s="510"/>
      <c r="I74" s="510"/>
      <c r="J74" s="510"/>
      <c r="K74" s="510"/>
      <c r="L74" s="510"/>
      <c r="M74" s="510"/>
      <c r="N74" s="510"/>
      <c r="O74" s="510"/>
      <c r="P74" s="510"/>
      <c r="Q74" s="510"/>
      <c r="R74" s="510"/>
      <c r="S74" s="510"/>
      <c r="T74" s="510"/>
      <c r="U74" s="510"/>
    </row>
    <row r="75" ht="27.0" customHeight="1">
      <c r="A75" s="510"/>
      <c r="B75" s="510"/>
      <c r="C75" s="510"/>
      <c r="D75" s="510"/>
      <c r="E75" s="510"/>
      <c r="F75" s="510"/>
      <c r="G75" s="510"/>
      <c r="H75" s="510"/>
      <c r="I75" s="510"/>
      <c r="J75" s="510"/>
      <c r="K75" s="510"/>
      <c r="L75" s="510"/>
      <c r="M75" s="510"/>
      <c r="N75" s="510"/>
      <c r="O75" s="510"/>
      <c r="P75" s="510"/>
      <c r="Q75" s="510"/>
      <c r="R75" s="510"/>
      <c r="S75" s="510"/>
      <c r="T75" s="510"/>
      <c r="U75" s="510"/>
    </row>
    <row r="76" ht="27.0" customHeight="1">
      <c r="A76" s="510"/>
      <c r="B76" s="510"/>
      <c r="C76" s="510"/>
      <c r="D76" s="510"/>
      <c r="E76" s="510"/>
      <c r="F76" s="510"/>
      <c r="G76" s="510"/>
      <c r="H76" s="510"/>
      <c r="I76" s="510"/>
      <c r="J76" s="510"/>
      <c r="K76" s="510"/>
      <c r="L76" s="510"/>
      <c r="M76" s="510"/>
      <c r="N76" s="510"/>
      <c r="O76" s="510"/>
      <c r="P76" s="510"/>
      <c r="Q76" s="510"/>
      <c r="R76" s="510"/>
      <c r="S76" s="510"/>
      <c r="T76" s="510"/>
      <c r="U76" s="510"/>
    </row>
    <row r="77" ht="27.0" customHeight="1">
      <c r="A77" s="510"/>
      <c r="B77" s="510"/>
      <c r="C77" s="510"/>
      <c r="D77" s="510"/>
      <c r="E77" s="510"/>
      <c r="F77" s="510"/>
      <c r="G77" s="510"/>
      <c r="H77" s="510"/>
      <c r="I77" s="510"/>
      <c r="J77" s="510"/>
      <c r="K77" s="510"/>
      <c r="L77" s="510"/>
      <c r="M77" s="510"/>
      <c r="N77" s="510"/>
      <c r="O77" s="510"/>
      <c r="P77" s="510"/>
      <c r="Q77" s="510"/>
      <c r="R77" s="510"/>
      <c r="S77" s="510"/>
      <c r="T77" s="510"/>
      <c r="U77" s="510"/>
    </row>
    <row r="78" ht="27.0" customHeight="1">
      <c r="A78" s="510"/>
      <c r="B78" s="510"/>
      <c r="C78" s="510"/>
      <c r="D78" s="510"/>
      <c r="E78" s="510"/>
      <c r="F78" s="510"/>
      <c r="G78" s="510"/>
      <c r="H78" s="510"/>
      <c r="I78" s="510"/>
      <c r="J78" s="510"/>
      <c r="K78" s="510"/>
      <c r="L78" s="510"/>
      <c r="M78" s="510"/>
      <c r="N78" s="510"/>
      <c r="O78" s="510"/>
      <c r="P78" s="510"/>
      <c r="Q78" s="510"/>
      <c r="R78" s="510"/>
      <c r="S78" s="510"/>
      <c r="T78" s="510"/>
      <c r="U78" s="510"/>
    </row>
    <row r="79" ht="27.0" customHeight="1">
      <c r="A79" s="510"/>
      <c r="B79" s="510"/>
      <c r="C79" s="510"/>
      <c r="D79" s="510"/>
      <c r="E79" s="510"/>
      <c r="F79" s="510"/>
      <c r="G79" s="510"/>
      <c r="H79" s="510"/>
      <c r="I79" s="510"/>
      <c r="J79" s="510"/>
      <c r="K79" s="510"/>
      <c r="L79" s="510"/>
      <c r="M79" s="510"/>
      <c r="N79" s="510"/>
      <c r="O79" s="510"/>
      <c r="P79" s="510"/>
      <c r="Q79" s="510"/>
      <c r="R79" s="510"/>
      <c r="S79" s="510"/>
      <c r="T79" s="510"/>
      <c r="U79" s="510"/>
    </row>
    <row r="80" ht="27.0" customHeight="1">
      <c r="A80" s="510"/>
      <c r="B80" s="510"/>
      <c r="C80" s="510"/>
      <c r="D80" s="510"/>
      <c r="E80" s="510"/>
      <c r="F80" s="510"/>
      <c r="G80" s="510"/>
      <c r="H80" s="510"/>
      <c r="I80" s="510"/>
      <c r="J80" s="510"/>
      <c r="K80" s="510"/>
      <c r="L80" s="510"/>
      <c r="M80" s="510"/>
      <c r="N80" s="510"/>
      <c r="O80" s="510"/>
      <c r="P80" s="510"/>
      <c r="Q80" s="510"/>
      <c r="R80" s="510"/>
      <c r="S80" s="510"/>
      <c r="T80" s="510"/>
      <c r="U80" s="510"/>
    </row>
    <row r="81" ht="27.0" customHeight="1">
      <c r="A81" s="510"/>
      <c r="B81" s="510"/>
      <c r="C81" s="510"/>
      <c r="D81" s="510"/>
      <c r="E81" s="510"/>
      <c r="F81" s="510"/>
      <c r="G81" s="510"/>
      <c r="H81" s="510"/>
      <c r="I81" s="510"/>
      <c r="J81" s="510"/>
      <c r="K81" s="510"/>
      <c r="L81" s="510"/>
      <c r="M81" s="510"/>
      <c r="N81" s="510"/>
      <c r="O81" s="510"/>
      <c r="P81" s="510"/>
      <c r="Q81" s="510"/>
      <c r="R81" s="510"/>
      <c r="S81" s="510"/>
      <c r="T81" s="510"/>
      <c r="U81" s="510"/>
    </row>
    <row r="82" ht="27.0" customHeight="1">
      <c r="A82" s="510"/>
      <c r="B82" s="510"/>
      <c r="C82" s="510"/>
      <c r="D82" s="510"/>
      <c r="E82" s="510"/>
      <c r="F82" s="510"/>
      <c r="G82" s="510"/>
      <c r="H82" s="510"/>
      <c r="I82" s="510"/>
      <c r="J82" s="510"/>
      <c r="K82" s="510"/>
      <c r="L82" s="510"/>
      <c r="M82" s="510"/>
      <c r="N82" s="510"/>
      <c r="O82" s="510"/>
      <c r="P82" s="510"/>
      <c r="Q82" s="510"/>
      <c r="R82" s="510"/>
      <c r="S82" s="510"/>
      <c r="T82" s="510"/>
      <c r="U82" s="510"/>
    </row>
    <row r="83" ht="27.0" customHeight="1">
      <c r="A83" s="510"/>
      <c r="B83" s="510"/>
      <c r="C83" s="510"/>
      <c r="D83" s="510"/>
      <c r="E83" s="510"/>
      <c r="F83" s="510"/>
      <c r="G83" s="510"/>
      <c r="H83" s="510"/>
      <c r="I83" s="510"/>
      <c r="J83" s="510"/>
      <c r="K83" s="510"/>
      <c r="L83" s="510"/>
      <c r="M83" s="510"/>
      <c r="N83" s="510"/>
      <c r="O83" s="510"/>
      <c r="P83" s="510"/>
      <c r="Q83" s="510"/>
      <c r="R83" s="510"/>
      <c r="S83" s="510"/>
      <c r="T83" s="510"/>
      <c r="U83" s="510"/>
    </row>
    <row r="84" ht="27.0" customHeight="1">
      <c r="A84" s="510"/>
      <c r="B84" s="510"/>
      <c r="C84" s="510"/>
      <c r="D84" s="510"/>
      <c r="E84" s="510"/>
      <c r="F84" s="510"/>
      <c r="G84" s="510"/>
      <c r="H84" s="510"/>
      <c r="I84" s="510"/>
      <c r="J84" s="510"/>
      <c r="K84" s="510"/>
      <c r="L84" s="510"/>
      <c r="M84" s="510"/>
      <c r="N84" s="510"/>
      <c r="O84" s="510"/>
      <c r="P84" s="510"/>
      <c r="Q84" s="510"/>
      <c r="R84" s="510"/>
      <c r="S84" s="510"/>
      <c r="T84" s="510"/>
      <c r="U84" s="510"/>
    </row>
    <row r="85" ht="27.0" customHeight="1">
      <c r="A85" s="510"/>
      <c r="B85" s="510"/>
      <c r="C85" s="510"/>
      <c r="D85" s="510"/>
      <c r="E85" s="510"/>
      <c r="F85" s="510"/>
      <c r="G85" s="510"/>
      <c r="H85" s="510"/>
      <c r="I85" s="510"/>
      <c r="J85" s="510"/>
      <c r="K85" s="510"/>
      <c r="L85" s="510"/>
      <c r="M85" s="510"/>
      <c r="N85" s="510"/>
      <c r="O85" s="510"/>
      <c r="P85" s="510"/>
      <c r="Q85" s="510"/>
      <c r="R85" s="510"/>
      <c r="S85" s="510"/>
      <c r="T85" s="510"/>
      <c r="U85" s="510"/>
    </row>
    <row r="86" ht="27.0" customHeight="1">
      <c r="A86" s="510"/>
      <c r="B86" s="510"/>
      <c r="C86" s="510"/>
      <c r="D86" s="510"/>
      <c r="E86" s="510"/>
      <c r="F86" s="510"/>
      <c r="G86" s="510"/>
      <c r="H86" s="510"/>
      <c r="I86" s="510"/>
      <c r="J86" s="510"/>
      <c r="K86" s="510"/>
      <c r="L86" s="510"/>
      <c r="M86" s="510"/>
      <c r="N86" s="510"/>
      <c r="O86" s="510"/>
      <c r="P86" s="510"/>
      <c r="Q86" s="510"/>
      <c r="R86" s="510"/>
      <c r="S86" s="510"/>
      <c r="T86" s="510"/>
      <c r="U86" s="510"/>
    </row>
    <row r="87" ht="27.0" customHeight="1">
      <c r="A87" s="510"/>
      <c r="B87" s="510"/>
      <c r="C87" s="510"/>
      <c r="D87" s="510"/>
      <c r="E87" s="510"/>
      <c r="F87" s="510"/>
      <c r="G87" s="510"/>
      <c r="H87" s="510"/>
      <c r="I87" s="510"/>
      <c r="J87" s="510"/>
      <c r="K87" s="510"/>
      <c r="L87" s="510"/>
      <c r="M87" s="510"/>
      <c r="N87" s="510"/>
      <c r="O87" s="510"/>
      <c r="P87" s="510"/>
      <c r="Q87" s="510"/>
      <c r="R87" s="510"/>
      <c r="S87" s="510"/>
      <c r="T87" s="510"/>
      <c r="U87" s="510"/>
    </row>
    <row r="88" ht="27.0" customHeight="1">
      <c r="A88" s="510"/>
      <c r="B88" s="510"/>
      <c r="C88" s="510"/>
      <c r="D88" s="510"/>
      <c r="E88" s="510"/>
      <c r="F88" s="510"/>
      <c r="G88" s="510"/>
      <c r="H88" s="510"/>
      <c r="I88" s="510"/>
      <c r="J88" s="510"/>
      <c r="K88" s="510"/>
      <c r="L88" s="510"/>
      <c r="M88" s="510"/>
      <c r="N88" s="510"/>
      <c r="O88" s="510"/>
      <c r="P88" s="510"/>
      <c r="Q88" s="510"/>
      <c r="R88" s="510"/>
      <c r="S88" s="510"/>
      <c r="T88" s="510"/>
      <c r="U88" s="510"/>
    </row>
    <row r="89" ht="27.0" customHeight="1">
      <c r="A89" s="510"/>
      <c r="B89" s="510"/>
      <c r="C89" s="510"/>
      <c r="D89" s="510"/>
      <c r="E89" s="510"/>
      <c r="F89" s="510"/>
      <c r="G89" s="510"/>
      <c r="H89" s="510"/>
      <c r="I89" s="510"/>
      <c r="J89" s="510"/>
      <c r="K89" s="510"/>
      <c r="L89" s="510"/>
      <c r="M89" s="510"/>
      <c r="N89" s="510"/>
      <c r="O89" s="510"/>
      <c r="P89" s="510"/>
      <c r="Q89" s="510"/>
      <c r="R89" s="510"/>
      <c r="S89" s="510"/>
      <c r="T89" s="510"/>
      <c r="U89" s="510"/>
    </row>
    <row r="90" ht="27.0" customHeight="1">
      <c r="A90" s="510"/>
      <c r="B90" s="510"/>
      <c r="C90" s="510"/>
      <c r="D90" s="510"/>
      <c r="E90" s="510"/>
      <c r="F90" s="510"/>
      <c r="G90" s="510"/>
      <c r="H90" s="510"/>
      <c r="I90" s="510"/>
      <c r="J90" s="510"/>
      <c r="K90" s="510"/>
      <c r="L90" s="510"/>
      <c r="M90" s="510"/>
      <c r="N90" s="510"/>
      <c r="O90" s="510"/>
      <c r="P90" s="510"/>
      <c r="Q90" s="510"/>
      <c r="R90" s="510"/>
      <c r="S90" s="510"/>
      <c r="T90" s="510"/>
      <c r="U90" s="510"/>
    </row>
    <row r="91" ht="27.0" customHeight="1">
      <c r="A91" s="510"/>
      <c r="B91" s="510"/>
      <c r="C91" s="510"/>
      <c r="D91" s="510"/>
      <c r="E91" s="510"/>
      <c r="F91" s="510"/>
      <c r="G91" s="510"/>
      <c r="H91" s="510"/>
      <c r="I91" s="510"/>
      <c r="J91" s="510"/>
      <c r="K91" s="510"/>
      <c r="L91" s="510"/>
      <c r="M91" s="510"/>
      <c r="N91" s="510"/>
      <c r="O91" s="510"/>
      <c r="P91" s="510"/>
      <c r="Q91" s="510"/>
      <c r="R91" s="510"/>
      <c r="S91" s="510"/>
      <c r="T91" s="510"/>
      <c r="U91" s="510"/>
    </row>
    <row r="92" ht="27.0" customHeight="1">
      <c r="A92" s="510"/>
      <c r="B92" s="510"/>
      <c r="C92" s="510"/>
      <c r="D92" s="510"/>
      <c r="E92" s="510"/>
      <c r="F92" s="510"/>
      <c r="G92" s="510"/>
      <c r="H92" s="510"/>
      <c r="I92" s="510"/>
      <c r="J92" s="510"/>
      <c r="K92" s="510"/>
      <c r="L92" s="510"/>
      <c r="M92" s="510"/>
      <c r="N92" s="510"/>
      <c r="O92" s="510"/>
      <c r="P92" s="510"/>
      <c r="Q92" s="510"/>
      <c r="R92" s="510"/>
      <c r="S92" s="510"/>
      <c r="T92" s="510"/>
      <c r="U92" s="510"/>
    </row>
    <row r="93" ht="27.0" customHeight="1">
      <c r="A93" s="510"/>
      <c r="B93" s="510"/>
      <c r="C93" s="510"/>
      <c r="D93" s="510"/>
      <c r="E93" s="510"/>
      <c r="F93" s="510"/>
      <c r="G93" s="510"/>
      <c r="H93" s="510"/>
      <c r="I93" s="510"/>
      <c r="J93" s="510"/>
      <c r="K93" s="510"/>
      <c r="L93" s="510"/>
      <c r="M93" s="510"/>
      <c r="N93" s="510"/>
      <c r="O93" s="510"/>
      <c r="P93" s="510"/>
      <c r="Q93" s="510"/>
      <c r="R93" s="510"/>
      <c r="S93" s="510"/>
      <c r="T93" s="510"/>
      <c r="U93" s="510"/>
    </row>
    <row r="94" ht="27.0" customHeight="1">
      <c r="A94" s="510"/>
      <c r="B94" s="510"/>
      <c r="C94" s="510"/>
      <c r="D94" s="510"/>
      <c r="E94" s="510"/>
      <c r="F94" s="510"/>
      <c r="G94" s="510"/>
      <c r="H94" s="510"/>
      <c r="I94" s="510"/>
      <c r="J94" s="510"/>
      <c r="K94" s="510"/>
      <c r="L94" s="510"/>
      <c r="M94" s="510"/>
      <c r="N94" s="510"/>
      <c r="O94" s="510"/>
      <c r="P94" s="510"/>
      <c r="Q94" s="510"/>
      <c r="R94" s="510"/>
      <c r="S94" s="510"/>
      <c r="T94" s="510"/>
      <c r="U94" s="510"/>
    </row>
    <row r="95" ht="27.0" customHeight="1">
      <c r="A95" s="510"/>
      <c r="B95" s="510"/>
      <c r="C95" s="510"/>
      <c r="D95" s="510"/>
      <c r="E95" s="510"/>
      <c r="F95" s="510"/>
      <c r="G95" s="510"/>
      <c r="H95" s="510"/>
      <c r="I95" s="510"/>
      <c r="J95" s="510"/>
      <c r="K95" s="510"/>
      <c r="L95" s="510"/>
      <c r="M95" s="510"/>
      <c r="N95" s="510"/>
      <c r="O95" s="510"/>
      <c r="P95" s="510"/>
      <c r="Q95" s="510"/>
      <c r="R95" s="510"/>
      <c r="S95" s="510"/>
      <c r="T95" s="510"/>
      <c r="U95" s="510"/>
    </row>
    <row r="96" ht="27.0" customHeight="1">
      <c r="A96" s="510"/>
      <c r="B96" s="510"/>
      <c r="C96" s="510"/>
      <c r="D96" s="510"/>
      <c r="E96" s="510"/>
      <c r="F96" s="510"/>
      <c r="G96" s="510"/>
      <c r="H96" s="510"/>
      <c r="I96" s="510"/>
      <c r="J96" s="510"/>
      <c r="K96" s="510"/>
      <c r="L96" s="510"/>
      <c r="M96" s="510"/>
      <c r="N96" s="510"/>
      <c r="O96" s="510"/>
      <c r="P96" s="510"/>
      <c r="Q96" s="510"/>
      <c r="R96" s="510"/>
      <c r="S96" s="510"/>
      <c r="T96" s="510"/>
      <c r="U96" s="510"/>
    </row>
    <row r="97" ht="27.0" customHeight="1">
      <c r="A97" s="510"/>
      <c r="B97" s="510"/>
      <c r="C97" s="510"/>
      <c r="D97" s="510"/>
      <c r="E97" s="510"/>
      <c r="F97" s="510"/>
      <c r="G97" s="510"/>
      <c r="H97" s="510"/>
      <c r="I97" s="510"/>
      <c r="J97" s="510"/>
      <c r="K97" s="510"/>
      <c r="L97" s="510"/>
      <c r="M97" s="510"/>
      <c r="N97" s="510"/>
      <c r="O97" s="510"/>
      <c r="P97" s="510"/>
      <c r="Q97" s="510"/>
      <c r="R97" s="510"/>
      <c r="S97" s="510"/>
      <c r="T97" s="510"/>
      <c r="U97" s="510"/>
    </row>
    <row r="98" ht="27.0" customHeight="1">
      <c r="A98" s="510"/>
      <c r="B98" s="510"/>
      <c r="C98" s="510"/>
      <c r="D98" s="510"/>
      <c r="E98" s="510"/>
      <c r="F98" s="510"/>
      <c r="G98" s="510"/>
      <c r="H98" s="510"/>
      <c r="I98" s="510"/>
      <c r="J98" s="510"/>
      <c r="K98" s="510"/>
      <c r="L98" s="510"/>
      <c r="M98" s="510"/>
      <c r="N98" s="510"/>
      <c r="O98" s="510"/>
      <c r="P98" s="510"/>
      <c r="Q98" s="510"/>
      <c r="R98" s="510"/>
      <c r="S98" s="510"/>
      <c r="T98" s="510"/>
      <c r="U98" s="510"/>
    </row>
    <row r="99" ht="27.0" customHeight="1">
      <c r="A99" s="510"/>
      <c r="B99" s="510"/>
      <c r="C99" s="510"/>
      <c r="D99" s="510"/>
      <c r="E99" s="510"/>
      <c r="F99" s="510"/>
      <c r="G99" s="510"/>
      <c r="H99" s="510"/>
      <c r="I99" s="510"/>
      <c r="J99" s="510"/>
      <c r="K99" s="510"/>
      <c r="L99" s="510"/>
      <c r="M99" s="510"/>
      <c r="N99" s="510"/>
      <c r="O99" s="510"/>
      <c r="P99" s="510"/>
      <c r="Q99" s="510"/>
      <c r="R99" s="510"/>
      <c r="S99" s="510"/>
      <c r="T99" s="510"/>
      <c r="U99" s="510"/>
    </row>
    <row r="100" ht="27.0" customHeight="1">
      <c r="A100" s="510"/>
      <c r="B100" s="510"/>
      <c r="C100" s="510"/>
      <c r="D100" s="510"/>
      <c r="E100" s="510"/>
      <c r="F100" s="510"/>
      <c r="G100" s="510"/>
      <c r="H100" s="510"/>
      <c r="I100" s="510"/>
      <c r="J100" s="510"/>
      <c r="K100" s="510"/>
      <c r="L100" s="510"/>
      <c r="M100" s="510"/>
      <c r="N100" s="510"/>
      <c r="O100" s="510"/>
      <c r="P100" s="510"/>
      <c r="Q100" s="510"/>
      <c r="R100" s="510"/>
      <c r="S100" s="510"/>
      <c r="T100" s="510"/>
      <c r="U100" s="510"/>
    </row>
    <row r="101" ht="27.0" customHeight="1">
      <c r="A101" s="510"/>
      <c r="B101" s="510"/>
      <c r="C101" s="510"/>
      <c r="D101" s="510"/>
      <c r="E101" s="510"/>
      <c r="F101" s="510"/>
      <c r="G101" s="510"/>
      <c r="H101" s="510"/>
      <c r="I101" s="510"/>
      <c r="J101" s="510"/>
      <c r="K101" s="510"/>
      <c r="L101" s="510"/>
      <c r="M101" s="510"/>
      <c r="N101" s="510"/>
      <c r="O101" s="510"/>
      <c r="P101" s="510"/>
      <c r="Q101" s="510"/>
      <c r="R101" s="510"/>
      <c r="S101" s="510"/>
      <c r="T101" s="510"/>
      <c r="U101" s="510"/>
    </row>
    <row r="102" ht="27.0" customHeight="1">
      <c r="A102" s="510"/>
      <c r="B102" s="510"/>
      <c r="C102" s="510"/>
      <c r="D102" s="510"/>
      <c r="E102" s="510"/>
      <c r="F102" s="510"/>
      <c r="G102" s="510"/>
      <c r="H102" s="510"/>
      <c r="I102" s="510"/>
      <c r="J102" s="510"/>
      <c r="K102" s="510"/>
      <c r="L102" s="510"/>
      <c r="M102" s="510"/>
      <c r="N102" s="510"/>
      <c r="O102" s="510"/>
      <c r="P102" s="510"/>
      <c r="Q102" s="510"/>
      <c r="R102" s="510"/>
      <c r="S102" s="510"/>
      <c r="T102" s="510"/>
      <c r="U102" s="510"/>
    </row>
    <row r="103" ht="27.0" customHeight="1">
      <c r="A103" s="510"/>
      <c r="B103" s="510"/>
      <c r="C103" s="510"/>
      <c r="D103" s="510"/>
      <c r="E103" s="510"/>
      <c r="F103" s="510"/>
      <c r="G103" s="510"/>
      <c r="H103" s="510"/>
      <c r="I103" s="510"/>
      <c r="J103" s="510"/>
      <c r="K103" s="510"/>
      <c r="L103" s="510"/>
      <c r="M103" s="510"/>
      <c r="N103" s="510"/>
      <c r="O103" s="510"/>
      <c r="P103" s="510"/>
      <c r="Q103" s="510"/>
      <c r="R103" s="510"/>
      <c r="S103" s="510"/>
      <c r="T103" s="510"/>
      <c r="U103" s="510"/>
    </row>
    <row r="104" ht="27.0" customHeight="1">
      <c r="A104" s="510"/>
      <c r="B104" s="510"/>
      <c r="C104" s="510"/>
      <c r="D104" s="510"/>
      <c r="E104" s="510"/>
      <c r="F104" s="510"/>
      <c r="G104" s="510"/>
      <c r="H104" s="510"/>
      <c r="I104" s="510"/>
      <c r="J104" s="510"/>
      <c r="K104" s="510"/>
      <c r="L104" s="510"/>
      <c r="M104" s="510"/>
      <c r="N104" s="510"/>
      <c r="O104" s="510"/>
      <c r="P104" s="510"/>
      <c r="Q104" s="510"/>
      <c r="R104" s="510"/>
      <c r="S104" s="510"/>
      <c r="T104" s="510"/>
      <c r="U104" s="510"/>
    </row>
    <row r="105" ht="27.0" customHeight="1">
      <c r="A105" s="510"/>
      <c r="B105" s="510"/>
      <c r="C105" s="510"/>
      <c r="D105" s="510"/>
      <c r="E105" s="510"/>
      <c r="F105" s="510"/>
      <c r="G105" s="510"/>
      <c r="H105" s="510"/>
      <c r="I105" s="510"/>
      <c r="J105" s="510"/>
      <c r="K105" s="510"/>
      <c r="L105" s="510"/>
      <c r="M105" s="510"/>
      <c r="N105" s="510"/>
      <c r="O105" s="510"/>
      <c r="P105" s="510"/>
      <c r="Q105" s="510"/>
      <c r="R105" s="510"/>
      <c r="S105" s="510"/>
      <c r="T105" s="510"/>
      <c r="U105" s="510"/>
    </row>
    <row r="106" ht="27.0" customHeight="1">
      <c r="A106" s="510"/>
      <c r="B106" s="510"/>
      <c r="C106" s="510"/>
      <c r="D106" s="510"/>
      <c r="E106" s="510"/>
      <c r="F106" s="510"/>
      <c r="G106" s="510"/>
      <c r="H106" s="510"/>
      <c r="I106" s="510"/>
      <c r="J106" s="510"/>
      <c r="K106" s="510"/>
      <c r="L106" s="510"/>
      <c r="M106" s="510"/>
      <c r="N106" s="510"/>
      <c r="O106" s="510"/>
      <c r="P106" s="510"/>
      <c r="Q106" s="510"/>
      <c r="R106" s="510"/>
      <c r="S106" s="510"/>
      <c r="T106" s="510"/>
      <c r="U106" s="510"/>
    </row>
    <row r="107" ht="27.0" customHeight="1">
      <c r="A107" s="510"/>
      <c r="B107" s="510"/>
      <c r="C107" s="510"/>
      <c r="D107" s="510"/>
      <c r="E107" s="510"/>
      <c r="F107" s="510"/>
      <c r="G107" s="510"/>
      <c r="H107" s="510"/>
      <c r="I107" s="510"/>
      <c r="J107" s="510"/>
      <c r="K107" s="510"/>
      <c r="L107" s="510"/>
      <c r="M107" s="510"/>
      <c r="N107" s="510"/>
      <c r="O107" s="510"/>
      <c r="P107" s="510"/>
      <c r="Q107" s="510"/>
      <c r="R107" s="510"/>
      <c r="S107" s="510"/>
      <c r="T107" s="510"/>
      <c r="U107" s="510"/>
    </row>
    <row r="108" ht="27.0" customHeight="1">
      <c r="A108" s="510"/>
      <c r="B108" s="510"/>
      <c r="C108" s="510"/>
      <c r="D108" s="510"/>
      <c r="E108" s="510"/>
      <c r="F108" s="510"/>
      <c r="G108" s="510"/>
      <c r="H108" s="510"/>
      <c r="I108" s="510"/>
      <c r="J108" s="510"/>
      <c r="K108" s="510"/>
      <c r="L108" s="510"/>
      <c r="M108" s="510"/>
      <c r="N108" s="510"/>
      <c r="O108" s="510"/>
      <c r="P108" s="510"/>
      <c r="Q108" s="510"/>
      <c r="R108" s="510"/>
      <c r="S108" s="510"/>
      <c r="T108" s="510"/>
      <c r="U108" s="510"/>
    </row>
    <row r="109" ht="27.0" customHeight="1">
      <c r="A109" s="510"/>
      <c r="B109" s="510"/>
      <c r="C109" s="510"/>
      <c r="D109" s="510"/>
      <c r="E109" s="510"/>
      <c r="F109" s="510"/>
      <c r="G109" s="510"/>
      <c r="H109" s="510"/>
      <c r="I109" s="510"/>
      <c r="J109" s="510"/>
      <c r="K109" s="510"/>
      <c r="L109" s="510"/>
      <c r="M109" s="510"/>
      <c r="N109" s="510"/>
      <c r="O109" s="510"/>
      <c r="P109" s="510"/>
      <c r="Q109" s="510"/>
      <c r="R109" s="510"/>
      <c r="S109" s="510"/>
      <c r="T109" s="510"/>
      <c r="U109" s="510"/>
    </row>
    <row r="110" ht="27.0" customHeight="1">
      <c r="A110" s="510"/>
      <c r="B110" s="510"/>
      <c r="C110" s="510"/>
      <c r="D110" s="510"/>
      <c r="E110" s="510"/>
      <c r="F110" s="510"/>
      <c r="G110" s="510"/>
      <c r="H110" s="510"/>
      <c r="I110" s="510"/>
      <c r="J110" s="510"/>
      <c r="K110" s="510"/>
      <c r="L110" s="510"/>
      <c r="M110" s="510"/>
      <c r="N110" s="510"/>
      <c r="O110" s="510"/>
      <c r="P110" s="510"/>
      <c r="Q110" s="510"/>
      <c r="R110" s="510"/>
      <c r="S110" s="510"/>
      <c r="T110" s="510"/>
      <c r="U110" s="510"/>
    </row>
    <row r="111" ht="27.0" customHeight="1">
      <c r="A111" s="510"/>
      <c r="B111" s="510"/>
      <c r="C111" s="510"/>
      <c r="D111" s="510"/>
      <c r="E111" s="510"/>
      <c r="F111" s="510"/>
      <c r="G111" s="510"/>
      <c r="H111" s="510"/>
      <c r="I111" s="510"/>
      <c r="J111" s="510"/>
      <c r="K111" s="510"/>
      <c r="L111" s="510"/>
      <c r="M111" s="510"/>
      <c r="N111" s="510"/>
      <c r="O111" s="510"/>
      <c r="P111" s="510"/>
      <c r="Q111" s="510"/>
      <c r="R111" s="510"/>
      <c r="S111" s="510"/>
      <c r="T111" s="510"/>
      <c r="U111" s="510"/>
    </row>
    <row r="112" ht="27.0" customHeight="1">
      <c r="A112" s="510"/>
      <c r="B112" s="510"/>
      <c r="C112" s="510"/>
      <c r="D112" s="510"/>
      <c r="E112" s="510"/>
      <c r="F112" s="510"/>
      <c r="G112" s="510"/>
      <c r="H112" s="510"/>
      <c r="I112" s="510"/>
      <c r="J112" s="510"/>
      <c r="K112" s="510"/>
      <c r="L112" s="510"/>
      <c r="M112" s="510"/>
      <c r="N112" s="510"/>
      <c r="O112" s="510"/>
      <c r="P112" s="510"/>
      <c r="Q112" s="510"/>
      <c r="R112" s="510"/>
      <c r="S112" s="510"/>
      <c r="T112" s="510"/>
      <c r="U112" s="510"/>
    </row>
    <row r="113" ht="27.0" customHeight="1">
      <c r="A113" s="510"/>
      <c r="B113" s="510"/>
      <c r="C113" s="510"/>
      <c r="D113" s="510"/>
      <c r="E113" s="510"/>
      <c r="F113" s="510"/>
      <c r="G113" s="510"/>
      <c r="H113" s="510"/>
      <c r="I113" s="510"/>
      <c r="J113" s="510"/>
      <c r="K113" s="510"/>
      <c r="L113" s="510"/>
      <c r="M113" s="510"/>
      <c r="N113" s="510"/>
      <c r="O113" s="510"/>
      <c r="P113" s="510"/>
      <c r="Q113" s="510"/>
      <c r="R113" s="510"/>
      <c r="S113" s="510"/>
      <c r="T113" s="510"/>
      <c r="U113" s="510"/>
    </row>
    <row r="114" ht="27.0" customHeight="1">
      <c r="A114" s="510"/>
      <c r="B114" s="510"/>
      <c r="C114" s="510"/>
      <c r="D114" s="510"/>
      <c r="E114" s="510"/>
      <c r="F114" s="510"/>
      <c r="G114" s="510"/>
      <c r="H114" s="510"/>
      <c r="I114" s="510"/>
      <c r="J114" s="510"/>
      <c r="K114" s="510"/>
      <c r="L114" s="510"/>
      <c r="M114" s="510"/>
      <c r="N114" s="510"/>
      <c r="O114" s="510"/>
      <c r="P114" s="510"/>
      <c r="Q114" s="510"/>
      <c r="R114" s="510"/>
      <c r="S114" s="510"/>
      <c r="T114" s="510"/>
      <c r="U114" s="510"/>
    </row>
    <row r="115" ht="27.0" customHeight="1">
      <c r="A115" s="510"/>
      <c r="B115" s="510"/>
      <c r="C115" s="510"/>
      <c r="D115" s="510"/>
      <c r="E115" s="510"/>
      <c r="F115" s="510"/>
      <c r="G115" s="510"/>
      <c r="H115" s="510"/>
      <c r="I115" s="510"/>
      <c r="J115" s="510"/>
      <c r="K115" s="510"/>
      <c r="L115" s="510"/>
      <c r="M115" s="510"/>
      <c r="N115" s="510"/>
      <c r="O115" s="510"/>
      <c r="P115" s="510"/>
      <c r="Q115" s="510"/>
      <c r="R115" s="510"/>
      <c r="S115" s="510"/>
      <c r="T115" s="510"/>
      <c r="U115" s="510"/>
    </row>
    <row r="116" ht="27.0" customHeight="1">
      <c r="A116" s="510"/>
      <c r="B116" s="510"/>
      <c r="C116" s="510"/>
      <c r="D116" s="510"/>
      <c r="E116" s="510"/>
      <c r="F116" s="510"/>
      <c r="G116" s="510"/>
      <c r="H116" s="510"/>
      <c r="I116" s="510"/>
      <c r="J116" s="510"/>
      <c r="K116" s="510"/>
      <c r="L116" s="510"/>
      <c r="M116" s="510"/>
      <c r="N116" s="510"/>
      <c r="O116" s="510"/>
      <c r="P116" s="510"/>
      <c r="Q116" s="510"/>
      <c r="R116" s="510"/>
      <c r="S116" s="510"/>
      <c r="T116" s="510"/>
      <c r="U116" s="510"/>
    </row>
    <row r="117" ht="27.0" customHeight="1">
      <c r="A117" s="510"/>
      <c r="B117" s="510"/>
      <c r="C117" s="510"/>
      <c r="D117" s="510"/>
      <c r="E117" s="510"/>
      <c r="F117" s="510"/>
      <c r="G117" s="510"/>
      <c r="H117" s="510"/>
      <c r="I117" s="510"/>
      <c r="J117" s="510"/>
      <c r="K117" s="510"/>
      <c r="L117" s="510"/>
      <c r="M117" s="510"/>
      <c r="N117" s="510"/>
      <c r="O117" s="510"/>
      <c r="P117" s="510"/>
      <c r="Q117" s="510"/>
      <c r="R117" s="510"/>
      <c r="S117" s="510"/>
      <c r="T117" s="510"/>
      <c r="U117" s="510"/>
    </row>
    <row r="118" ht="27.0" customHeight="1">
      <c r="A118" s="510"/>
      <c r="B118" s="510"/>
      <c r="C118" s="510"/>
      <c r="D118" s="510"/>
      <c r="E118" s="510"/>
      <c r="F118" s="510"/>
      <c r="G118" s="510"/>
      <c r="H118" s="510"/>
      <c r="I118" s="510"/>
      <c r="J118" s="510"/>
      <c r="K118" s="510"/>
      <c r="L118" s="510"/>
      <c r="M118" s="510"/>
      <c r="N118" s="510"/>
      <c r="O118" s="510"/>
      <c r="P118" s="510"/>
      <c r="Q118" s="510"/>
      <c r="R118" s="510"/>
      <c r="S118" s="510"/>
      <c r="T118" s="510"/>
      <c r="U118" s="510"/>
    </row>
    <row r="119" ht="27.0" customHeight="1">
      <c r="A119" s="510"/>
      <c r="B119" s="510"/>
      <c r="C119" s="510"/>
      <c r="D119" s="510"/>
      <c r="E119" s="510"/>
      <c r="F119" s="510"/>
      <c r="G119" s="510"/>
      <c r="H119" s="510"/>
      <c r="I119" s="510"/>
      <c r="J119" s="510"/>
      <c r="K119" s="510"/>
      <c r="L119" s="510"/>
      <c r="M119" s="510"/>
      <c r="N119" s="510"/>
      <c r="O119" s="510"/>
      <c r="P119" s="510"/>
      <c r="Q119" s="510"/>
      <c r="R119" s="510"/>
      <c r="S119" s="510"/>
      <c r="T119" s="510"/>
      <c r="U119" s="510"/>
    </row>
    <row r="120" ht="27.0" customHeight="1">
      <c r="A120" s="510"/>
      <c r="B120" s="510"/>
      <c r="C120" s="510"/>
      <c r="D120" s="510"/>
      <c r="E120" s="510"/>
      <c r="F120" s="510"/>
      <c r="G120" s="510"/>
      <c r="H120" s="510"/>
      <c r="I120" s="510"/>
      <c r="J120" s="510"/>
      <c r="K120" s="510"/>
      <c r="L120" s="510"/>
      <c r="M120" s="510"/>
      <c r="N120" s="510"/>
      <c r="O120" s="510"/>
      <c r="P120" s="510"/>
      <c r="Q120" s="510"/>
      <c r="R120" s="510"/>
      <c r="S120" s="510"/>
      <c r="T120" s="510"/>
      <c r="U120" s="510"/>
    </row>
    <row r="121" ht="27.0" customHeight="1">
      <c r="A121" s="510"/>
      <c r="B121" s="510"/>
      <c r="C121" s="510"/>
      <c r="D121" s="510"/>
      <c r="E121" s="510"/>
      <c r="F121" s="510"/>
      <c r="G121" s="510"/>
      <c r="H121" s="510"/>
      <c r="I121" s="510"/>
      <c r="J121" s="510"/>
      <c r="K121" s="510"/>
      <c r="L121" s="510"/>
      <c r="M121" s="510"/>
      <c r="N121" s="510"/>
      <c r="O121" s="510"/>
      <c r="P121" s="510"/>
      <c r="Q121" s="510"/>
      <c r="R121" s="510"/>
      <c r="S121" s="510"/>
      <c r="T121" s="510"/>
      <c r="U121" s="510"/>
    </row>
    <row r="122" ht="27.0" customHeight="1">
      <c r="A122" s="510"/>
      <c r="B122" s="510"/>
      <c r="C122" s="510"/>
      <c r="D122" s="510"/>
      <c r="E122" s="510"/>
      <c r="F122" s="510"/>
      <c r="G122" s="510"/>
      <c r="H122" s="510"/>
      <c r="I122" s="510"/>
      <c r="J122" s="510"/>
      <c r="K122" s="510"/>
      <c r="L122" s="510"/>
      <c r="M122" s="510"/>
      <c r="N122" s="510"/>
      <c r="O122" s="510"/>
      <c r="P122" s="510"/>
      <c r="Q122" s="510"/>
      <c r="R122" s="510"/>
      <c r="S122" s="510"/>
      <c r="T122" s="510"/>
      <c r="U122" s="510"/>
    </row>
    <row r="123" ht="27.0" customHeight="1">
      <c r="A123" s="510"/>
      <c r="B123" s="510"/>
      <c r="C123" s="510"/>
      <c r="D123" s="510"/>
      <c r="E123" s="510"/>
      <c r="F123" s="510"/>
      <c r="G123" s="510"/>
      <c r="H123" s="510"/>
      <c r="I123" s="510"/>
      <c r="J123" s="510"/>
      <c r="K123" s="510"/>
      <c r="L123" s="510"/>
      <c r="M123" s="510"/>
      <c r="N123" s="510"/>
      <c r="O123" s="510"/>
      <c r="P123" s="510"/>
      <c r="Q123" s="510"/>
      <c r="R123" s="510"/>
      <c r="S123" s="510"/>
      <c r="T123" s="510"/>
      <c r="U123" s="510"/>
    </row>
    <row r="124" ht="27.0" customHeight="1">
      <c r="A124" s="510"/>
      <c r="B124" s="510"/>
      <c r="C124" s="510"/>
      <c r="D124" s="510"/>
      <c r="E124" s="510"/>
      <c r="F124" s="510"/>
      <c r="G124" s="510"/>
      <c r="H124" s="510"/>
      <c r="I124" s="510"/>
      <c r="J124" s="510"/>
      <c r="K124" s="510"/>
      <c r="L124" s="510"/>
      <c r="M124" s="510"/>
      <c r="N124" s="510"/>
      <c r="O124" s="510"/>
      <c r="P124" s="510"/>
      <c r="Q124" s="510"/>
      <c r="R124" s="510"/>
      <c r="S124" s="510"/>
      <c r="T124" s="510"/>
      <c r="U124" s="510"/>
    </row>
    <row r="125" ht="27.0" customHeight="1">
      <c r="A125" s="510"/>
      <c r="B125" s="510"/>
      <c r="C125" s="510"/>
      <c r="D125" s="510"/>
      <c r="E125" s="510"/>
      <c r="F125" s="510"/>
      <c r="G125" s="510"/>
      <c r="H125" s="510"/>
      <c r="I125" s="510"/>
      <c r="J125" s="510"/>
      <c r="K125" s="510"/>
      <c r="L125" s="510"/>
      <c r="M125" s="510"/>
      <c r="N125" s="510"/>
      <c r="O125" s="510"/>
      <c r="P125" s="510"/>
      <c r="Q125" s="510"/>
      <c r="R125" s="510"/>
      <c r="S125" s="510"/>
      <c r="T125" s="510"/>
      <c r="U125" s="510"/>
    </row>
    <row r="126" ht="27.0" customHeight="1">
      <c r="A126" s="510"/>
      <c r="B126" s="510"/>
      <c r="C126" s="510"/>
      <c r="D126" s="510"/>
      <c r="E126" s="510"/>
      <c r="F126" s="510"/>
      <c r="G126" s="510"/>
      <c r="H126" s="510"/>
      <c r="I126" s="510"/>
      <c r="J126" s="510"/>
      <c r="K126" s="510"/>
      <c r="L126" s="510"/>
      <c r="M126" s="510"/>
      <c r="N126" s="510"/>
      <c r="O126" s="510"/>
      <c r="P126" s="510"/>
      <c r="Q126" s="510"/>
      <c r="R126" s="510"/>
      <c r="S126" s="510"/>
      <c r="T126" s="510"/>
      <c r="U126" s="510"/>
    </row>
    <row r="127" ht="27.0" customHeight="1">
      <c r="A127" s="510"/>
      <c r="B127" s="510"/>
      <c r="C127" s="510"/>
      <c r="D127" s="510"/>
      <c r="E127" s="510"/>
      <c r="F127" s="510"/>
      <c r="G127" s="510"/>
      <c r="H127" s="510"/>
      <c r="I127" s="510"/>
      <c r="J127" s="510"/>
      <c r="K127" s="510"/>
      <c r="L127" s="510"/>
      <c r="M127" s="510"/>
      <c r="N127" s="510"/>
      <c r="O127" s="510"/>
      <c r="P127" s="510"/>
      <c r="Q127" s="510"/>
      <c r="R127" s="510"/>
      <c r="S127" s="510"/>
      <c r="T127" s="510"/>
      <c r="U127" s="510"/>
    </row>
    <row r="128" ht="27.0" customHeight="1">
      <c r="A128" s="510"/>
      <c r="B128" s="510"/>
      <c r="C128" s="510"/>
      <c r="D128" s="510"/>
      <c r="E128" s="510"/>
      <c r="F128" s="510"/>
      <c r="G128" s="510"/>
      <c r="H128" s="510"/>
      <c r="I128" s="510"/>
      <c r="J128" s="510"/>
      <c r="K128" s="510"/>
      <c r="L128" s="510"/>
      <c r="M128" s="510"/>
      <c r="N128" s="510"/>
      <c r="O128" s="510"/>
      <c r="P128" s="510"/>
      <c r="Q128" s="510"/>
      <c r="R128" s="510"/>
      <c r="S128" s="510"/>
      <c r="T128" s="510"/>
      <c r="U128" s="510"/>
    </row>
    <row r="129" ht="27.0" customHeight="1">
      <c r="A129" s="510"/>
      <c r="B129" s="510"/>
      <c r="C129" s="510"/>
      <c r="D129" s="510"/>
      <c r="E129" s="510"/>
      <c r="F129" s="510"/>
      <c r="G129" s="510"/>
      <c r="H129" s="510"/>
      <c r="I129" s="510"/>
      <c r="J129" s="510"/>
      <c r="K129" s="510"/>
      <c r="L129" s="510"/>
      <c r="M129" s="510"/>
      <c r="N129" s="510"/>
      <c r="O129" s="510"/>
      <c r="P129" s="510"/>
      <c r="Q129" s="510"/>
      <c r="R129" s="510"/>
      <c r="S129" s="510"/>
      <c r="T129" s="510"/>
      <c r="U129" s="510"/>
    </row>
    <row r="130" ht="27.0" customHeight="1">
      <c r="A130" s="510"/>
      <c r="B130" s="510"/>
      <c r="C130" s="510"/>
      <c r="D130" s="510"/>
      <c r="E130" s="510"/>
      <c r="F130" s="510"/>
      <c r="G130" s="510"/>
      <c r="H130" s="510"/>
      <c r="I130" s="510"/>
      <c r="J130" s="510"/>
      <c r="K130" s="510"/>
      <c r="L130" s="510"/>
      <c r="M130" s="510"/>
      <c r="N130" s="510"/>
      <c r="O130" s="510"/>
      <c r="P130" s="510"/>
      <c r="Q130" s="510"/>
      <c r="R130" s="510"/>
      <c r="S130" s="510"/>
      <c r="T130" s="510"/>
      <c r="U130" s="510"/>
    </row>
    <row r="131" ht="27.0" customHeight="1">
      <c r="A131" s="510"/>
      <c r="B131" s="510"/>
      <c r="C131" s="510"/>
      <c r="D131" s="510"/>
      <c r="E131" s="510"/>
      <c r="F131" s="510"/>
      <c r="G131" s="510"/>
      <c r="H131" s="510"/>
      <c r="I131" s="510"/>
      <c r="J131" s="510"/>
      <c r="K131" s="510"/>
      <c r="L131" s="510"/>
      <c r="M131" s="510"/>
      <c r="N131" s="510"/>
      <c r="O131" s="510"/>
      <c r="P131" s="510"/>
      <c r="Q131" s="510"/>
      <c r="R131" s="510"/>
      <c r="S131" s="510"/>
      <c r="T131" s="510"/>
      <c r="U131" s="510"/>
    </row>
    <row r="132" ht="27.0" customHeight="1">
      <c r="A132" s="510"/>
      <c r="B132" s="510"/>
      <c r="C132" s="510"/>
      <c r="D132" s="510"/>
      <c r="E132" s="510"/>
      <c r="F132" s="510"/>
      <c r="G132" s="510"/>
      <c r="H132" s="510"/>
      <c r="I132" s="510"/>
      <c r="J132" s="510"/>
      <c r="K132" s="510"/>
      <c r="L132" s="510"/>
      <c r="M132" s="510"/>
      <c r="N132" s="510"/>
      <c r="O132" s="510"/>
      <c r="P132" s="510"/>
      <c r="Q132" s="510"/>
      <c r="R132" s="510"/>
      <c r="S132" s="510"/>
      <c r="T132" s="510"/>
      <c r="U132" s="510"/>
    </row>
    <row r="133" ht="27.0" customHeight="1">
      <c r="A133" s="510"/>
      <c r="B133" s="510"/>
      <c r="C133" s="510"/>
      <c r="D133" s="510"/>
      <c r="E133" s="510"/>
      <c r="F133" s="510"/>
      <c r="G133" s="510"/>
      <c r="H133" s="510"/>
      <c r="I133" s="510"/>
      <c r="J133" s="510"/>
      <c r="K133" s="510"/>
      <c r="L133" s="510"/>
      <c r="M133" s="510"/>
      <c r="N133" s="510"/>
      <c r="O133" s="510"/>
      <c r="P133" s="510"/>
      <c r="Q133" s="510"/>
      <c r="R133" s="510"/>
      <c r="S133" s="510"/>
      <c r="T133" s="510"/>
      <c r="U133" s="510"/>
    </row>
    <row r="134" ht="27.0" customHeight="1">
      <c r="A134" s="510"/>
      <c r="B134" s="510"/>
      <c r="C134" s="510"/>
      <c r="D134" s="510"/>
      <c r="E134" s="510"/>
      <c r="F134" s="510"/>
      <c r="G134" s="510"/>
      <c r="H134" s="510"/>
      <c r="I134" s="510"/>
      <c r="J134" s="510"/>
      <c r="K134" s="510"/>
      <c r="L134" s="510"/>
      <c r="M134" s="510"/>
      <c r="N134" s="510"/>
      <c r="O134" s="510"/>
      <c r="P134" s="510"/>
      <c r="Q134" s="510"/>
      <c r="R134" s="510"/>
      <c r="S134" s="510"/>
      <c r="T134" s="510"/>
      <c r="U134" s="510"/>
    </row>
    <row r="135" ht="27.0" customHeight="1">
      <c r="A135" s="510"/>
      <c r="B135" s="510"/>
      <c r="C135" s="510"/>
      <c r="D135" s="510"/>
      <c r="E135" s="510"/>
      <c r="F135" s="510"/>
      <c r="G135" s="510"/>
      <c r="H135" s="510"/>
      <c r="I135" s="510"/>
      <c r="J135" s="510"/>
      <c r="K135" s="510"/>
      <c r="L135" s="510"/>
      <c r="M135" s="510"/>
      <c r="N135" s="510"/>
      <c r="O135" s="510"/>
      <c r="P135" s="510"/>
      <c r="Q135" s="510"/>
      <c r="R135" s="510"/>
      <c r="S135" s="510"/>
      <c r="T135" s="510"/>
      <c r="U135" s="510"/>
    </row>
    <row r="136" ht="27.0" customHeight="1">
      <c r="A136" s="510"/>
      <c r="B136" s="510"/>
      <c r="C136" s="510"/>
      <c r="D136" s="510"/>
      <c r="E136" s="510"/>
      <c r="F136" s="510"/>
      <c r="G136" s="510"/>
      <c r="H136" s="510"/>
      <c r="I136" s="510"/>
      <c r="J136" s="510"/>
      <c r="K136" s="510"/>
      <c r="L136" s="510"/>
      <c r="M136" s="510"/>
      <c r="N136" s="510"/>
      <c r="O136" s="510"/>
      <c r="P136" s="510"/>
      <c r="Q136" s="510"/>
      <c r="R136" s="510"/>
      <c r="S136" s="510"/>
      <c r="T136" s="510"/>
      <c r="U136" s="510"/>
    </row>
    <row r="137" ht="27.0" customHeight="1">
      <c r="A137" s="510"/>
      <c r="B137" s="510"/>
      <c r="C137" s="510"/>
      <c r="D137" s="510"/>
      <c r="E137" s="510"/>
      <c r="F137" s="510"/>
      <c r="G137" s="510"/>
      <c r="H137" s="510"/>
      <c r="I137" s="510"/>
      <c r="J137" s="510"/>
      <c r="K137" s="510"/>
      <c r="L137" s="510"/>
      <c r="M137" s="510"/>
      <c r="N137" s="510"/>
      <c r="O137" s="510"/>
      <c r="P137" s="510"/>
      <c r="Q137" s="510"/>
      <c r="R137" s="510"/>
      <c r="S137" s="510"/>
      <c r="T137" s="510"/>
      <c r="U137" s="510"/>
    </row>
    <row r="138" ht="27.0" customHeight="1">
      <c r="A138" s="510"/>
      <c r="B138" s="510"/>
      <c r="C138" s="510"/>
      <c r="D138" s="510"/>
      <c r="E138" s="510"/>
      <c r="F138" s="510"/>
      <c r="G138" s="510"/>
      <c r="H138" s="510"/>
      <c r="I138" s="510"/>
      <c r="J138" s="510"/>
      <c r="K138" s="510"/>
      <c r="L138" s="510"/>
      <c r="M138" s="510"/>
      <c r="N138" s="510"/>
      <c r="O138" s="510"/>
      <c r="P138" s="510"/>
      <c r="Q138" s="510"/>
      <c r="R138" s="510"/>
      <c r="S138" s="510"/>
      <c r="T138" s="510"/>
      <c r="U138" s="510"/>
    </row>
    <row r="139" ht="27.0" customHeight="1">
      <c r="A139" s="510"/>
      <c r="B139" s="510"/>
      <c r="C139" s="510"/>
      <c r="D139" s="510"/>
      <c r="E139" s="510"/>
      <c r="F139" s="510"/>
      <c r="G139" s="510"/>
      <c r="H139" s="510"/>
      <c r="I139" s="510"/>
      <c r="J139" s="510"/>
      <c r="K139" s="510"/>
      <c r="L139" s="510"/>
      <c r="M139" s="510"/>
      <c r="N139" s="510"/>
      <c r="O139" s="510"/>
      <c r="P139" s="510"/>
      <c r="Q139" s="510"/>
      <c r="R139" s="510"/>
      <c r="S139" s="510"/>
      <c r="T139" s="510"/>
      <c r="U139" s="510"/>
    </row>
    <row r="140" ht="27.0" customHeight="1">
      <c r="A140" s="510"/>
      <c r="B140" s="510"/>
      <c r="C140" s="510"/>
      <c r="D140" s="510"/>
      <c r="E140" s="510"/>
      <c r="F140" s="510"/>
      <c r="G140" s="510"/>
      <c r="H140" s="510"/>
      <c r="I140" s="510"/>
      <c r="J140" s="510"/>
      <c r="K140" s="510"/>
      <c r="L140" s="510"/>
      <c r="M140" s="510"/>
      <c r="N140" s="510"/>
      <c r="O140" s="510"/>
      <c r="P140" s="510"/>
      <c r="Q140" s="510"/>
      <c r="R140" s="510"/>
      <c r="S140" s="510"/>
      <c r="T140" s="510"/>
      <c r="U140" s="510"/>
    </row>
    <row r="141" ht="27.0" customHeight="1">
      <c r="A141" s="510"/>
      <c r="B141" s="510"/>
      <c r="C141" s="510"/>
      <c r="D141" s="510"/>
      <c r="E141" s="510"/>
      <c r="F141" s="510"/>
      <c r="G141" s="510"/>
      <c r="H141" s="510"/>
      <c r="I141" s="510"/>
      <c r="J141" s="510"/>
      <c r="K141" s="510"/>
      <c r="L141" s="510"/>
      <c r="M141" s="510"/>
      <c r="N141" s="510"/>
      <c r="O141" s="510"/>
      <c r="P141" s="510"/>
      <c r="Q141" s="510"/>
      <c r="R141" s="510"/>
      <c r="S141" s="510"/>
      <c r="T141" s="510"/>
      <c r="U141" s="510"/>
    </row>
    <row r="142" ht="27.0" customHeight="1">
      <c r="A142" s="510"/>
      <c r="B142" s="510"/>
      <c r="C142" s="510"/>
      <c r="D142" s="510"/>
      <c r="E142" s="510"/>
      <c r="F142" s="510"/>
      <c r="G142" s="510"/>
      <c r="H142" s="510"/>
      <c r="I142" s="510"/>
      <c r="J142" s="510"/>
      <c r="K142" s="510"/>
      <c r="L142" s="510"/>
      <c r="M142" s="510"/>
      <c r="N142" s="510"/>
      <c r="O142" s="510"/>
      <c r="P142" s="510"/>
      <c r="Q142" s="510"/>
      <c r="R142" s="510"/>
      <c r="S142" s="510"/>
      <c r="T142" s="510"/>
      <c r="U142" s="510"/>
    </row>
    <row r="143" ht="27.0" customHeight="1">
      <c r="A143" s="510"/>
      <c r="B143" s="510"/>
      <c r="C143" s="510"/>
      <c r="D143" s="510"/>
      <c r="E143" s="510"/>
      <c r="F143" s="510"/>
      <c r="G143" s="510"/>
      <c r="H143" s="510"/>
      <c r="I143" s="510"/>
      <c r="J143" s="510"/>
      <c r="K143" s="510"/>
      <c r="L143" s="510"/>
      <c r="M143" s="510"/>
      <c r="N143" s="510"/>
      <c r="O143" s="510"/>
      <c r="P143" s="510"/>
      <c r="Q143" s="510"/>
      <c r="R143" s="510"/>
      <c r="S143" s="510"/>
      <c r="T143" s="510"/>
      <c r="U143" s="510"/>
    </row>
    <row r="144" ht="27.0" customHeight="1">
      <c r="A144" s="510"/>
      <c r="B144" s="510"/>
      <c r="C144" s="510"/>
      <c r="D144" s="510"/>
      <c r="E144" s="510"/>
      <c r="F144" s="510"/>
      <c r="G144" s="510"/>
      <c r="H144" s="510"/>
      <c r="I144" s="510"/>
      <c r="J144" s="510"/>
      <c r="K144" s="510"/>
      <c r="L144" s="510"/>
      <c r="M144" s="510"/>
      <c r="N144" s="510"/>
      <c r="O144" s="510"/>
      <c r="P144" s="510"/>
      <c r="Q144" s="510"/>
      <c r="R144" s="510"/>
      <c r="S144" s="510"/>
      <c r="T144" s="510"/>
      <c r="U144" s="510"/>
    </row>
    <row r="145" ht="27.0" customHeight="1">
      <c r="A145" s="510"/>
      <c r="B145" s="510"/>
      <c r="C145" s="510"/>
      <c r="D145" s="510"/>
      <c r="E145" s="510"/>
      <c r="F145" s="510"/>
      <c r="G145" s="510"/>
      <c r="H145" s="510"/>
      <c r="I145" s="510"/>
      <c r="J145" s="510"/>
      <c r="K145" s="510"/>
      <c r="L145" s="510"/>
      <c r="M145" s="510"/>
      <c r="N145" s="510"/>
      <c r="O145" s="510"/>
      <c r="P145" s="510"/>
      <c r="Q145" s="510"/>
      <c r="R145" s="510"/>
      <c r="S145" s="510"/>
      <c r="T145" s="510"/>
      <c r="U145" s="510"/>
    </row>
    <row r="146" ht="27.0" customHeight="1">
      <c r="A146" s="510"/>
      <c r="B146" s="510"/>
      <c r="C146" s="510"/>
      <c r="D146" s="510"/>
      <c r="E146" s="510"/>
      <c r="F146" s="510"/>
      <c r="G146" s="510"/>
      <c r="H146" s="510"/>
      <c r="I146" s="510"/>
      <c r="J146" s="510"/>
      <c r="K146" s="510"/>
      <c r="L146" s="510"/>
      <c r="M146" s="510"/>
      <c r="N146" s="510"/>
      <c r="O146" s="510"/>
      <c r="P146" s="510"/>
      <c r="Q146" s="510"/>
      <c r="R146" s="510"/>
      <c r="S146" s="510"/>
      <c r="T146" s="510"/>
      <c r="U146" s="510"/>
    </row>
    <row r="147" ht="27.0" customHeight="1">
      <c r="A147" s="510"/>
      <c r="B147" s="510"/>
      <c r="C147" s="510"/>
      <c r="D147" s="510"/>
      <c r="E147" s="510"/>
      <c r="F147" s="510"/>
      <c r="G147" s="510"/>
      <c r="H147" s="510"/>
      <c r="I147" s="510"/>
      <c r="J147" s="510"/>
      <c r="K147" s="510"/>
      <c r="L147" s="510"/>
      <c r="M147" s="510"/>
      <c r="N147" s="510"/>
      <c r="O147" s="510"/>
      <c r="P147" s="510"/>
      <c r="Q147" s="510"/>
      <c r="R147" s="510"/>
      <c r="S147" s="510"/>
      <c r="T147" s="510"/>
      <c r="U147" s="510"/>
    </row>
    <row r="148" ht="27.0" customHeight="1">
      <c r="A148" s="510"/>
      <c r="B148" s="510"/>
      <c r="C148" s="510"/>
      <c r="D148" s="510"/>
      <c r="E148" s="510"/>
      <c r="F148" s="510"/>
      <c r="G148" s="510"/>
      <c r="H148" s="510"/>
      <c r="I148" s="510"/>
      <c r="J148" s="510"/>
      <c r="K148" s="510"/>
      <c r="L148" s="510"/>
      <c r="M148" s="510"/>
      <c r="N148" s="510"/>
      <c r="O148" s="510"/>
      <c r="P148" s="510"/>
      <c r="Q148" s="510"/>
      <c r="R148" s="510"/>
      <c r="S148" s="510"/>
      <c r="T148" s="510"/>
      <c r="U148" s="510"/>
    </row>
    <row r="149" ht="27.0" customHeight="1">
      <c r="A149" s="510"/>
      <c r="B149" s="510"/>
      <c r="C149" s="510"/>
      <c r="D149" s="510"/>
      <c r="E149" s="510"/>
      <c r="F149" s="510"/>
      <c r="G149" s="510"/>
      <c r="H149" s="510"/>
      <c r="I149" s="510"/>
      <c r="J149" s="510"/>
      <c r="K149" s="510"/>
      <c r="L149" s="510"/>
      <c r="M149" s="510"/>
      <c r="N149" s="510"/>
      <c r="O149" s="510"/>
      <c r="P149" s="510"/>
      <c r="Q149" s="510"/>
      <c r="R149" s="510"/>
      <c r="S149" s="510"/>
      <c r="T149" s="510"/>
      <c r="U149" s="510"/>
    </row>
    <row r="150" ht="27.0" customHeight="1">
      <c r="A150" s="510"/>
      <c r="B150" s="510"/>
      <c r="C150" s="510"/>
      <c r="D150" s="510"/>
      <c r="E150" s="510"/>
      <c r="F150" s="510"/>
      <c r="G150" s="510"/>
      <c r="H150" s="510"/>
      <c r="I150" s="510"/>
      <c r="J150" s="510"/>
      <c r="K150" s="510"/>
      <c r="L150" s="510"/>
      <c r="M150" s="510"/>
      <c r="N150" s="510"/>
      <c r="O150" s="510"/>
      <c r="P150" s="510"/>
      <c r="Q150" s="510"/>
      <c r="R150" s="510"/>
      <c r="S150" s="510"/>
      <c r="T150" s="510"/>
      <c r="U150" s="510"/>
    </row>
    <row r="151" ht="27.0" customHeight="1">
      <c r="A151" s="510"/>
      <c r="B151" s="510"/>
      <c r="C151" s="510"/>
      <c r="D151" s="510"/>
      <c r="E151" s="510"/>
      <c r="F151" s="510"/>
      <c r="G151" s="510"/>
      <c r="H151" s="510"/>
      <c r="I151" s="510"/>
      <c r="J151" s="510"/>
      <c r="K151" s="510"/>
      <c r="L151" s="510"/>
      <c r="M151" s="510"/>
      <c r="N151" s="510"/>
      <c r="O151" s="510"/>
      <c r="P151" s="510"/>
      <c r="Q151" s="510"/>
      <c r="R151" s="510"/>
      <c r="S151" s="510"/>
      <c r="T151" s="510"/>
      <c r="U151" s="510"/>
    </row>
    <row r="152" ht="27.0" customHeight="1">
      <c r="A152" s="510"/>
      <c r="B152" s="510"/>
      <c r="C152" s="510"/>
      <c r="D152" s="510"/>
      <c r="E152" s="510"/>
      <c r="F152" s="510"/>
      <c r="G152" s="510"/>
      <c r="H152" s="510"/>
      <c r="I152" s="510"/>
      <c r="J152" s="510"/>
      <c r="K152" s="510"/>
      <c r="L152" s="510"/>
      <c r="M152" s="510"/>
      <c r="N152" s="510"/>
      <c r="O152" s="510"/>
      <c r="P152" s="510"/>
      <c r="Q152" s="510"/>
      <c r="R152" s="510"/>
      <c r="S152" s="510"/>
      <c r="T152" s="510"/>
      <c r="U152" s="510"/>
    </row>
    <row r="153" ht="27.0" customHeight="1">
      <c r="A153" s="510"/>
      <c r="B153" s="510"/>
      <c r="C153" s="510"/>
      <c r="D153" s="510"/>
      <c r="E153" s="510"/>
      <c r="F153" s="510"/>
      <c r="G153" s="510"/>
      <c r="H153" s="510"/>
      <c r="I153" s="510"/>
      <c r="J153" s="510"/>
      <c r="K153" s="510"/>
      <c r="L153" s="510"/>
      <c r="M153" s="510"/>
      <c r="N153" s="510"/>
      <c r="O153" s="510"/>
      <c r="P153" s="510"/>
      <c r="Q153" s="510"/>
      <c r="R153" s="510"/>
      <c r="S153" s="510"/>
      <c r="T153" s="510"/>
      <c r="U153" s="510"/>
    </row>
    <row r="154" ht="27.0" customHeight="1">
      <c r="A154" s="510"/>
      <c r="B154" s="510"/>
      <c r="C154" s="510"/>
      <c r="D154" s="510"/>
      <c r="E154" s="510"/>
      <c r="F154" s="510"/>
      <c r="G154" s="510"/>
      <c r="H154" s="510"/>
      <c r="I154" s="510"/>
      <c r="J154" s="510"/>
      <c r="K154" s="510"/>
      <c r="L154" s="510"/>
      <c r="M154" s="510"/>
      <c r="N154" s="510"/>
      <c r="O154" s="510"/>
      <c r="P154" s="510"/>
      <c r="Q154" s="510"/>
      <c r="R154" s="510"/>
      <c r="S154" s="510"/>
      <c r="T154" s="510"/>
      <c r="U154" s="510"/>
    </row>
    <row r="155" ht="27.0" customHeight="1">
      <c r="A155" s="510"/>
      <c r="B155" s="510"/>
      <c r="C155" s="510"/>
      <c r="D155" s="510"/>
      <c r="E155" s="510"/>
      <c r="F155" s="510"/>
      <c r="G155" s="510"/>
      <c r="H155" s="510"/>
      <c r="I155" s="510"/>
      <c r="J155" s="510"/>
      <c r="K155" s="510"/>
      <c r="L155" s="510"/>
      <c r="M155" s="510"/>
      <c r="N155" s="510"/>
      <c r="O155" s="510"/>
      <c r="P155" s="510"/>
      <c r="Q155" s="510"/>
      <c r="R155" s="510"/>
      <c r="S155" s="510"/>
      <c r="T155" s="510"/>
      <c r="U155" s="510"/>
    </row>
    <row r="156" ht="27.0" customHeight="1">
      <c r="A156" s="510"/>
      <c r="B156" s="510"/>
      <c r="C156" s="510"/>
      <c r="D156" s="510"/>
      <c r="E156" s="510"/>
      <c r="F156" s="510"/>
      <c r="G156" s="510"/>
      <c r="H156" s="510"/>
      <c r="I156" s="510"/>
      <c r="J156" s="510"/>
      <c r="K156" s="510"/>
      <c r="L156" s="510"/>
      <c r="M156" s="510"/>
      <c r="N156" s="510"/>
      <c r="O156" s="510"/>
      <c r="P156" s="510"/>
      <c r="Q156" s="510"/>
      <c r="R156" s="510"/>
      <c r="S156" s="510"/>
      <c r="T156" s="510"/>
      <c r="U156" s="510"/>
    </row>
    <row r="157" ht="27.0" customHeight="1">
      <c r="A157" s="510"/>
      <c r="B157" s="510"/>
      <c r="C157" s="510"/>
      <c r="D157" s="510"/>
      <c r="E157" s="510"/>
      <c r="F157" s="510"/>
      <c r="G157" s="510"/>
      <c r="H157" s="510"/>
      <c r="I157" s="510"/>
      <c r="J157" s="510"/>
      <c r="K157" s="510"/>
      <c r="L157" s="510"/>
      <c r="M157" s="510"/>
      <c r="N157" s="510"/>
      <c r="O157" s="510"/>
      <c r="P157" s="510"/>
      <c r="Q157" s="510"/>
      <c r="R157" s="510"/>
      <c r="S157" s="510"/>
      <c r="T157" s="510"/>
      <c r="U157" s="510"/>
    </row>
    <row r="158" ht="27.0" customHeight="1">
      <c r="A158" s="510"/>
      <c r="B158" s="510"/>
      <c r="C158" s="510"/>
      <c r="D158" s="510"/>
      <c r="E158" s="510"/>
      <c r="F158" s="510"/>
      <c r="G158" s="510"/>
      <c r="H158" s="510"/>
      <c r="I158" s="510"/>
      <c r="J158" s="510"/>
      <c r="K158" s="510"/>
      <c r="L158" s="510"/>
      <c r="M158" s="510"/>
      <c r="N158" s="510"/>
      <c r="O158" s="510"/>
      <c r="P158" s="510"/>
      <c r="Q158" s="510"/>
      <c r="R158" s="510"/>
      <c r="S158" s="510"/>
      <c r="T158" s="510"/>
      <c r="U158" s="510"/>
    </row>
    <row r="159" ht="27.0" customHeight="1">
      <c r="A159" s="510"/>
      <c r="B159" s="510"/>
      <c r="C159" s="510"/>
      <c r="D159" s="510"/>
      <c r="E159" s="510"/>
      <c r="F159" s="510"/>
      <c r="G159" s="510"/>
      <c r="H159" s="510"/>
      <c r="I159" s="510"/>
      <c r="J159" s="510"/>
      <c r="K159" s="510"/>
      <c r="L159" s="510"/>
      <c r="M159" s="510"/>
      <c r="N159" s="510"/>
      <c r="O159" s="510"/>
      <c r="P159" s="510"/>
      <c r="Q159" s="510"/>
      <c r="R159" s="510"/>
      <c r="S159" s="510"/>
      <c r="T159" s="510"/>
      <c r="U159" s="510"/>
    </row>
    <row r="160" ht="27.0" customHeight="1">
      <c r="A160" s="510"/>
      <c r="B160" s="510"/>
      <c r="C160" s="510"/>
      <c r="D160" s="510"/>
      <c r="E160" s="510"/>
      <c r="F160" s="510"/>
      <c r="G160" s="510"/>
      <c r="H160" s="510"/>
      <c r="I160" s="510"/>
      <c r="J160" s="510"/>
      <c r="K160" s="510"/>
      <c r="L160" s="510"/>
      <c r="M160" s="510"/>
      <c r="N160" s="510"/>
      <c r="O160" s="510"/>
      <c r="P160" s="510"/>
      <c r="Q160" s="510"/>
      <c r="R160" s="510"/>
      <c r="S160" s="510"/>
      <c r="T160" s="510"/>
      <c r="U160" s="510"/>
    </row>
    <row r="161" ht="27.0" customHeight="1">
      <c r="A161" s="510"/>
      <c r="B161" s="510"/>
      <c r="C161" s="510"/>
      <c r="D161" s="510"/>
      <c r="E161" s="510"/>
      <c r="F161" s="510"/>
      <c r="G161" s="510"/>
      <c r="H161" s="510"/>
      <c r="I161" s="510"/>
      <c r="J161" s="510"/>
      <c r="K161" s="510"/>
      <c r="L161" s="510"/>
      <c r="M161" s="510"/>
      <c r="N161" s="510"/>
      <c r="O161" s="510"/>
      <c r="P161" s="510"/>
      <c r="Q161" s="510"/>
      <c r="R161" s="510"/>
      <c r="S161" s="510"/>
      <c r="T161" s="510"/>
      <c r="U161" s="510"/>
    </row>
    <row r="162" ht="27.0" customHeight="1">
      <c r="A162" s="510"/>
      <c r="B162" s="510"/>
      <c r="C162" s="510"/>
      <c r="D162" s="510"/>
      <c r="E162" s="510"/>
      <c r="F162" s="510"/>
      <c r="G162" s="510"/>
      <c r="H162" s="510"/>
      <c r="I162" s="510"/>
      <c r="J162" s="510"/>
      <c r="K162" s="510"/>
      <c r="L162" s="510"/>
      <c r="M162" s="510"/>
      <c r="N162" s="510"/>
      <c r="O162" s="510"/>
      <c r="P162" s="510"/>
      <c r="Q162" s="510"/>
      <c r="R162" s="510"/>
      <c r="S162" s="510"/>
      <c r="T162" s="510"/>
      <c r="U162" s="510"/>
    </row>
    <row r="163" ht="27.0" customHeight="1">
      <c r="A163" s="510"/>
      <c r="B163" s="510"/>
      <c r="C163" s="510"/>
      <c r="D163" s="510"/>
      <c r="E163" s="510"/>
      <c r="F163" s="510"/>
      <c r="G163" s="510"/>
      <c r="H163" s="510"/>
      <c r="I163" s="510"/>
      <c r="J163" s="510"/>
      <c r="K163" s="510"/>
      <c r="L163" s="510"/>
      <c r="M163" s="510"/>
      <c r="N163" s="510"/>
      <c r="O163" s="510"/>
      <c r="P163" s="510"/>
      <c r="Q163" s="510"/>
      <c r="R163" s="510"/>
      <c r="S163" s="510"/>
      <c r="T163" s="510"/>
      <c r="U163" s="510"/>
    </row>
    <row r="164" ht="27.0" customHeight="1">
      <c r="A164" s="510"/>
      <c r="B164" s="510"/>
      <c r="C164" s="510"/>
      <c r="D164" s="510"/>
      <c r="E164" s="510"/>
      <c r="F164" s="510"/>
      <c r="G164" s="510"/>
      <c r="H164" s="510"/>
      <c r="I164" s="510"/>
      <c r="J164" s="510"/>
      <c r="K164" s="510"/>
      <c r="L164" s="510"/>
      <c r="M164" s="510"/>
      <c r="N164" s="510"/>
      <c r="O164" s="510"/>
      <c r="P164" s="510"/>
      <c r="Q164" s="510"/>
      <c r="R164" s="510"/>
      <c r="S164" s="510"/>
      <c r="T164" s="510"/>
      <c r="U164" s="510"/>
    </row>
    <row r="165" ht="27.0" customHeight="1">
      <c r="A165" s="510"/>
      <c r="B165" s="510"/>
      <c r="C165" s="510"/>
      <c r="D165" s="510"/>
      <c r="E165" s="510"/>
      <c r="F165" s="510"/>
      <c r="G165" s="510"/>
      <c r="H165" s="510"/>
      <c r="I165" s="510"/>
      <c r="J165" s="510"/>
      <c r="K165" s="510"/>
      <c r="L165" s="510"/>
      <c r="M165" s="510"/>
      <c r="N165" s="510"/>
      <c r="O165" s="510"/>
      <c r="P165" s="510"/>
      <c r="Q165" s="510"/>
      <c r="R165" s="510"/>
      <c r="S165" s="510"/>
      <c r="T165" s="510"/>
      <c r="U165" s="510"/>
    </row>
    <row r="166" ht="27.0" customHeight="1">
      <c r="A166" s="510"/>
      <c r="B166" s="510"/>
      <c r="C166" s="510"/>
      <c r="D166" s="510"/>
      <c r="E166" s="510"/>
      <c r="F166" s="510"/>
      <c r="G166" s="510"/>
      <c r="H166" s="510"/>
      <c r="I166" s="510"/>
      <c r="J166" s="510"/>
      <c r="K166" s="510"/>
      <c r="L166" s="510"/>
      <c r="M166" s="510"/>
      <c r="N166" s="510"/>
      <c r="O166" s="510"/>
      <c r="P166" s="510"/>
      <c r="Q166" s="510"/>
      <c r="R166" s="510"/>
      <c r="S166" s="510"/>
      <c r="T166" s="510"/>
      <c r="U166" s="510"/>
    </row>
    <row r="167" ht="27.0" customHeight="1">
      <c r="A167" s="510"/>
      <c r="B167" s="510"/>
      <c r="C167" s="510"/>
      <c r="D167" s="510"/>
      <c r="E167" s="510"/>
      <c r="F167" s="510"/>
      <c r="G167" s="510"/>
      <c r="H167" s="510"/>
      <c r="I167" s="510"/>
      <c r="J167" s="510"/>
      <c r="K167" s="510"/>
      <c r="L167" s="510"/>
      <c r="M167" s="510"/>
      <c r="N167" s="510"/>
      <c r="O167" s="510"/>
      <c r="P167" s="510"/>
      <c r="Q167" s="510"/>
      <c r="R167" s="510"/>
      <c r="S167" s="510"/>
      <c r="T167" s="510"/>
      <c r="U167" s="510"/>
    </row>
    <row r="168" ht="27.0" customHeight="1">
      <c r="A168" s="510"/>
      <c r="B168" s="510"/>
      <c r="C168" s="510"/>
      <c r="D168" s="510"/>
      <c r="E168" s="510"/>
      <c r="F168" s="510"/>
      <c r="G168" s="510"/>
      <c r="H168" s="510"/>
      <c r="I168" s="510"/>
      <c r="J168" s="510"/>
      <c r="K168" s="510"/>
      <c r="L168" s="510"/>
      <c r="M168" s="510"/>
      <c r="N168" s="510"/>
      <c r="O168" s="510"/>
      <c r="P168" s="510"/>
      <c r="Q168" s="510"/>
      <c r="R168" s="510"/>
      <c r="S168" s="510"/>
      <c r="T168" s="510"/>
      <c r="U168" s="510"/>
    </row>
    <row r="169" ht="27.0" customHeight="1">
      <c r="A169" s="510"/>
      <c r="B169" s="510"/>
      <c r="C169" s="510"/>
      <c r="D169" s="510"/>
      <c r="E169" s="510"/>
      <c r="F169" s="510"/>
      <c r="G169" s="510"/>
      <c r="H169" s="510"/>
      <c r="I169" s="510"/>
      <c r="J169" s="510"/>
      <c r="K169" s="510"/>
      <c r="L169" s="510"/>
      <c r="M169" s="510"/>
      <c r="N169" s="510"/>
      <c r="O169" s="510"/>
      <c r="P169" s="510"/>
      <c r="Q169" s="510"/>
      <c r="R169" s="510"/>
      <c r="S169" s="510"/>
      <c r="T169" s="510"/>
      <c r="U169" s="510"/>
    </row>
    <row r="170" ht="27.0" customHeight="1">
      <c r="A170" s="510"/>
      <c r="B170" s="510"/>
      <c r="C170" s="510"/>
      <c r="D170" s="510"/>
      <c r="E170" s="510"/>
      <c r="F170" s="510"/>
      <c r="G170" s="510"/>
      <c r="H170" s="510"/>
      <c r="I170" s="510"/>
      <c r="J170" s="510"/>
      <c r="K170" s="510"/>
      <c r="L170" s="510"/>
      <c r="M170" s="510"/>
      <c r="N170" s="510"/>
      <c r="O170" s="510"/>
      <c r="P170" s="510"/>
      <c r="Q170" s="510"/>
      <c r="R170" s="510"/>
      <c r="S170" s="510"/>
      <c r="T170" s="510"/>
      <c r="U170" s="510"/>
    </row>
    <row r="171" ht="27.0" customHeight="1">
      <c r="A171" s="510"/>
      <c r="B171" s="510"/>
      <c r="C171" s="510"/>
      <c r="D171" s="510"/>
      <c r="E171" s="510"/>
      <c r="F171" s="510"/>
      <c r="G171" s="510"/>
      <c r="H171" s="510"/>
      <c r="I171" s="510"/>
      <c r="J171" s="510"/>
      <c r="K171" s="510"/>
      <c r="L171" s="510"/>
      <c r="M171" s="510"/>
      <c r="N171" s="510"/>
      <c r="O171" s="510"/>
      <c r="P171" s="510"/>
      <c r="Q171" s="510"/>
      <c r="R171" s="510"/>
      <c r="S171" s="510"/>
      <c r="T171" s="510"/>
      <c r="U171" s="510"/>
    </row>
    <row r="172" ht="27.0" customHeight="1">
      <c r="A172" s="510"/>
      <c r="B172" s="510"/>
      <c r="C172" s="510"/>
      <c r="D172" s="510"/>
      <c r="E172" s="510"/>
      <c r="F172" s="510"/>
      <c r="G172" s="510"/>
      <c r="H172" s="510"/>
      <c r="I172" s="510"/>
      <c r="J172" s="510"/>
      <c r="K172" s="510"/>
      <c r="L172" s="510"/>
      <c r="M172" s="510"/>
      <c r="N172" s="510"/>
      <c r="O172" s="510"/>
      <c r="P172" s="510"/>
      <c r="Q172" s="510"/>
      <c r="R172" s="510"/>
      <c r="S172" s="510"/>
      <c r="T172" s="510"/>
      <c r="U172" s="510"/>
    </row>
    <row r="173" ht="27.0" customHeight="1">
      <c r="A173" s="510"/>
      <c r="B173" s="510"/>
      <c r="C173" s="510"/>
      <c r="D173" s="510"/>
      <c r="E173" s="510"/>
      <c r="F173" s="510"/>
      <c r="G173" s="510"/>
      <c r="H173" s="510"/>
      <c r="I173" s="510"/>
      <c r="J173" s="510"/>
      <c r="K173" s="510"/>
      <c r="L173" s="510"/>
      <c r="M173" s="510"/>
      <c r="N173" s="510"/>
      <c r="O173" s="510"/>
      <c r="P173" s="510"/>
      <c r="Q173" s="510"/>
      <c r="R173" s="510"/>
      <c r="S173" s="510"/>
      <c r="T173" s="510"/>
      <c r="U173" s="510"/>
    </row>
    <row r="174" ht="27.0" customHeight="1">
      <c r="A174" s="510"/>
      <c r="B174" s="510"/>
      <c r="C174" s="510"/>
      <c r="D174" s="510"/>
      <c r="E174" s="510"/>
      <c r="F174" s="510"/>
      <c r="G174" s="510"/>
      <c r="H174" s="510"/>
      <c r="I174" s="510"/>
      <c r="J174" s="510"/>
      <c r="K174" s="510"/>
      <c r="L174" s="510"/>
      <c r="M174" s="510"/>
      <c r="N174" s="510"/>
      <c r="O174" s="510"/>
      <c r="P174" s="510"/>
      <c r="Q174" s="510"/>
      <c r="R174" s="510"/>
      <c r="S174" s="510"/>
      <c r="T174" s="510"/>
      <c r="U174" s="510"/>
    </row>
    <row r="175" ht="27.0" customHeight="1">
      <c r="A175" s="510"/>
      <c r="B175" s="510"/>
      <c r="C175" s="510"/>
      <c r="D175" s="510"/>
      <c r="E175" s="510"/>
      <c r="F175" s="510"/>
      <c r="G175" s="510"/>
      <c r="H175" s="510"/>
      <c r="I175" s="510"/>
      <c r="J175" s="510"/>
      <c r="K175" s="510"/>
      <c r="L175" s="510"/>
      <c r="M175" s="510"/>
      <c r="N175" s="510"/>
      <c r="O175" s="510"/>
      <c r="P175" s="510"/>
      <c r="Q175" s="510"/>
      <c r="R175" s="510"/>
      <c r="S175" s="510"/>
      <c r="T175" s="510"/>
      <c r="U175" s="510"/>
    </row>
    <row r="176" ht="27.0" customHeight="1">
      <c r="A176" s="510"/>
      <c r="B176" s="510"/>
      <c r="C176" s="510"/>
      <c r="D176" s="510"/>
      <c r="E176" s="510"/>
      <c r="F176" s="510"/>
      <c r="G176" s="510"/>
      <c r="H176" s="510"/>
      <c r="I176" s="510"/>
      <c r="J176" s="510"/>
      <c r="K176" s="510"/>
      <c r="L176" s="510"/>
      <c r="M176" s="510"/>
      <c r="N176" s="510"/>
      <c r="O176" s="510"/>
      <c r="P176" s="510"/>
      <c r="Q176" s="510"/>
      <c r="R176" s="510"/>
      <c r="S176" s="510"/>
      <c r="T176" s="510"/>
      <c r="U176" s="510"/>
    </row>
    <row r="177" ht="27.0" customHeight="1">
      <c r="A177" s="510"/>
      <c r="B177" s="510"/>
      <c r="C177" s="510"/>
      <c r="D177" s="510"/>
      <c r="E177" s="510"/>
      <c r="F177" s="510"/>
      <c r="G177" s="510"/>
      <c r="H177" s="510"/>
      <c r="I177" s="510"/>
      <c r="J177" s="510"/>
      <c r="K177" s="510"/>
      <c r="L177" s="510"/>
      <c r="M177" s="510"/>
      <c r="N177" s="510"/>
      <c r="O177" s="510"/>
      <c r="P177" s="510"/>
      <c r="Q177" s="510"/>
      <c r="R177" s="510"/>
      <c r="S177" s="510"/>
      <c r="T177" s="510"/>
      <c r="U177" s="510"/>
    </row>
    <row r="178" ht="27.0" customHeight="1">
      <c r="A178" s="510"/>
      <c r="B178" s="510"/>
      <c r="C178" s="510"/>
      <c r="D178" s="510"/>
      <c r="E178" s="510"/>
      <c r="F178" s="510"/>
      <c r="G178" s="510"/>
      <c r="H178" s="510"/>
      <c r="I178" s="510"/>
      <c r="J178" s="510"/>
      <c r="K178" s="510"/>
      <c r="L178" s="510"/>
      <c r="M178" s="510"/>
      <c r="N178" s="510"/>
      <c r="O178" s="510"/>
      <c r="P178" s="510"/>
      <c r="Q178" s="510"/>
      <c r="R178" s="510"/>
      <c r="S178" s="510"/>
      <c r="T178" s="510"/>
      <c r="U178" s="510"/>
    </row>
    <row r="179" ht="27.0" customHeight="1">
      <c r="A179" s="510"/>
      <c r="B179" s="510"/>
      <c r="C179" s="510"/>
      <c r="D179" s="510"/>
      <c r="E179" s="510"/>
      <c r="F179" s="510"/>
      <c r="G179" s="510"/>
      <c r="H179" s="510"/>
      <c r="I179" s="510"/>
      <c r="J179" s="510"/>
      <c r="K179" s="510"/>
      <c r="L179" s="510"/>
      <c r="M179" s="510"/>
      <c r="N179" s="510"/>
      <c r="O179" s="510"/>
      <c r="P179" s="510"/>
      <c r="Q179" s="510"/>
      <c r="R179" s="510"/>
      <c r="S179" s="510"/>
      <c r="T179" s="510"/>
      <c r="U179" s="510"/>
    </row>
    <row r="180" ht="27.0" customHeight="1">
      <c r="A180" s="510"/>
      <c r="B180" s="510"/>
      <c r="C180" s="510"/>
      <c r="D180" s="510"/>
      <c r="E180" s="510"/>
      <c r="F180" s="510"/>
      <c r="G180" s="510"/>
      <c r="H180" s="510"/>
      <c r="I180" s="510"/>
      <c r="J180" s="510"/>
      <c r="K180" s="510"/>
      <c r="L180" s="510"/>
      <c r="M180" s="510"/>
      <c r="N180" s="510"/>
      <c r="O180" s="510"/>
      <c r="P180" s="510"/>
      <c r="Q180" s="510"/>
      <c r="R180" s="510"/>
      <c r="S180" s="510"/>
      <c r="T180" s="510"/>
      <c r="U180" s="510"/>
    </row>
    <row r="181" ht="27.0" customHeight="1">
      <c r="A181" s="510"/>
      <c r="B181" s="510"/>
      <c r="C181" s="510"/>
      <c r="D181" s="510"/>
      <c r="E181" s="510"/>
      <c r="F181" s="510"/>
      <c r="G181" s="510"/>
      <c r="H181" s="510"/>
      <c r="I181" s="510"/>
      <c r="J181" s="510"/>
      <c r="K181" s="510"/>
      <c r="L181" s="510"/>
      <c r="M181" s="510"/>
      <c r="N181" s="510"/>
      <c r="O181" s="510"/>
      <c r="P181" s="510"/>
      <c r="Q181" s="510"/>
      <c r="R181" s="510"/>
      <c r="S181" s="510"/>
      <c r="T181" s="510"/>
      <c r="U181" s="510"/>
    </row>
    <row r="182" ht="27.0" customHeight="1">
      <c r="A182" s="510"/>
      <c r="B182" s="510"/>
      <c r="C182" s="510"/>
      <c r="D182" s="510"/>
      <c r="E182" s="510"/>
      <c r="F182" s="510"/>
      <c r="G182" s="510"/>
      <c r="H182" s="510"/>
      <c r="I182" s="510"/>
      <c r="J182" s="510"/>
      <c r="K182" s="510"/>
      <c r="L182" s="510"/>
      <c r="M182" s="510"/>
      <c r="N182" s="510"/>
      <c r="O182" s="510"/>
      <c r="P182" s="510"/>
      <c r="Q182" s="510"/>
      <c r="R182" s="510"/>
      <c r="S182" s="510"/>
      <c r="T182" s="510"/>
      <c r="U182" s="510"/>
    </row>
    <row r="183" ht="27.0" customHeight="1">
      <c r="A183" s="510"/>
      <c r="B183" s="510"/>
      <c r="C183" s="510"/>
      <c r="D183" s="510"/>
      <c r="E183" s="510"/>
      <c r="F183" s="510"/>
      <c r="G183" s="510"/>
      <c r="H183" s="510"/>
      <c r="I183" s="510"/>
      <c r="J183" s="510"/>
      <c r="K183" s="510"/>
      <c r="L183" s="510"/>
      <c r="M183" s="510"/>
      <c r="N183" s="510"/>
      <c r="O183" s="510"/>
      <c r="P183" s="510"/>
      <c r="Q183" s="510"/>
      <c r="R183" s="510"/>
      <c r="S183" s="510"/>
      <c r="T183" s="510"/>
      <c r="U183" s="510"/>
    </row>
    <row r="184" ht="27.0" customHeight="1">
      <c r="A184" s="510"/>
      <c r="B184" s="510"/>
      <c r="C184" s="510"/>
      <c r="D184" s="510"/>
      <c r="E184" s="510"/>
      <c r="F184" s="510"/>
      <c r="G184" s="510"/>
      <c r="H184" s="510"/>
      <c r="I184" s="510"/>
      <c r="J184" s="510"/>
      <c r="K184" s="510"/>
      <c r="L184" s="510"/>
      <c r="M184" s="510"/>
      <c r="N184" s="510"/>
      <c r="O184" s="510"/>
      <c r="P184" s="510"/>
      <c r="Q184" s="510"/>
      <c r="R184" s="510"/>
      <c r="S184" s="510"/>
      <c r="T184" s="510"/>
      <c r="U184" s="510"/>
    </row>
    <row r="185" ht="27.0" customHeight="1">
      <c r="A185" s="510"/>
      <c r="B185" s="510"/>
      <c r="C185" s="510"/>
      <c r="D185" s="510"/>
      <c r="E185" s="510"/>
      <c r="F185" s="510"/>
      <c r="G185" s="510"/>
      <c r="H185" s="510"/>
      <c r="I185" s="510"/>
      <c r="J185" s="510"/>
      <c r="K185" s="510"/>
      <c r="L185" s="510"/>
      <c r="M185" s="510"/>
      <c r="N185" s="510"/>
      <c r="O185" s="510"/>
      <c r="P185" s="510"/>
      <c r="Q185" s="510"/>
      <c r="R185" s="510"/>
      <c r="S185" s="510"/>
      <c r="T185" s="510"/>
      <c r="U185" s="510"/>
    </row>
    <row r="186" ht="27.0" customHeight="1">
      <c r="A186" s="510"/>
      <c r="B186" s="510"/>
      <c r="C186" s="510"/>
      <c r="D186" s="510"/>
      <c r="E186" s="510"/>
      <c r="F186" s="510"/>
      <c r="G186" s="510"/>
      <c r="H186" s="510"/>
      <c r="I186" s="510"/>
      <c r="J186" s="510"/>
      <c r="K186" s="510"/>
      <c r="L186" s="510"/>
      <c r="M186" s="510"/>
      <c r="N186" s="510"/>
      <c r="O186" s="510"/>
      <c r="P186" s="510"/>
      <c r="Q186" s="510"/>
      <c r="R186" s="510"/>
      <c r="S186" s="510"/>
      <c r="T186" s="510"/>
      <c r="U186" s="510"/>
    </row>
    <row r="187" ht="27.0" customHeight="1">
      <c r="A187" s="510"/>
      <c r="B187" s="510"/>
      <c r="C187" s="510"/>
      <c r="D187" s="510"/>
      <c r="E187" s="510"/>
      <c r="F187" s="510"/>
      <c r="G187" s="510"/>
      <c r="H187" s="510"/>
      <c r="I187" s="510"/>
      <c r="J187" s="510"/>
      <c r="K187" s="510"/>
      <c r="L187" s="510"/>
      <c r="M187" s="510"/>
      <c r="N187" s="510"/>
      <c r="O187" s="510"/>
      <c r="P187" s="510"/>
      <c r="Q187" s="510"/>
      <c r="R187" s="510"/>
      <c r="S187" s="510"/>
      <c r="T187" s="510"/>
      <c r="U187" s="510"/>
    </row>
    <row r="188" ht="27.0" customHeight="1">
      <c r="A188" s="510"/>
      <c r="B188" s="510"/>
      <c r="C188" s="510"/>
      <c r="D188" s="510"/>
      <c r="E188" s="510"/>
      <c r="F188" s="510"/>
      <c r="G188" s="510"/>
      <c r="H188" s="510"/>
      <c r="I188" s="510"/>
      <c r="J188" s="510"/>
      <c r="K188" s="510"/>
      <c r="L188" s="510"/>
      <c r="M188" s="510"/>
      <c r="N188" s="510"/>
      <c r="O188" s="510"/>
      <c r="P188" s="510"/>
      <c r="Q188" s="510"/>
      <c r="R188" s="510"/>
      <c r="S188" s="510"/>
      <c r="T188" s="510"/>
      <c r="U188" s="510"/>
    </row>
    <row r="189" ht="27.0" customHeight="1">
      <c r="A189" s="510"/>
      <c r="B189" s="510"/>
      <c r="C189" s="510"/>
      <c r="D189" s="510"/>
      <c r="E189" s="510"/>
      <c r="F189" s="510"/>
      <c r="G189" s="510"/>
      <c r="H189" s="510"/>
      <c r="I189" s="510"/>
      <c r="J189" s="510"/>
      <c r="K189" s="510"/>
      <c r="L189" s="510"/>
      <c r="M189" s="510"/>
      <c r="N189" s="510"/>
      <c r="O189" s="510"/>
      <c r="P189" s="510"/>
      <c r="Q189" s="510"/>
      <c r="R189" s="510"/>
      <c r="S189" s="510"/>
      <c r="T189" s="510"/>
      <c r="U189" s="510"/>
    </row>
    <row r="190" ht="27.0" customHeight="1">
      <c r="A190" s="510"/>
      <c r="B190" s="510"/>
      <c r="C190" s="510"/>
      <c r="D190" s="510"/>
      <c r="E190" s="510"/>
      <c r="F190" s="510"/>
      <c r="G190" s="510"/>
      <c r="H190" s="510"/>
      <c r="I190" s="510"/>
      <c r="J190" s="510"/>
      <c r="K190" s="510"/>
      <c r="L190" s="510"/>
      <c r="M190" s="510"/>
      <c r="N190" s="510"/>
      <c r="O190" s="510"/>
      <c r="P190" s="510"/>
      <c r="Q190" s="510"/>
      <c r="R190" s="510"/>
      <c r="S190" s="510"/>
      <c r="T190" s="510"/>
      <c r="U190" s="510"/>
    </row>
    <row r="191" ht="27.0" customHeight="1">
      <c r="A191" s="510"/>
      <c r="B191" s="510"/>
      <c r="C191" s="510"/>
      <c r="D191" s="510"/>
      <c r="E191" s="510"/>
      <c r="F191" s="510"/>
      <c r="G191" s="510"/>
      <c r="H191" s="510"/>
      <c r="I191" s="510"/>
      <c r="J191" s="510"/>
      <c r="K191" s="510"/>
      <c r="L191" s="510"/>
      <c r="M191" s="510"/>
      <c r="N191" s="510"/>
      <c r="O191" s="510"/>
      <c r="P191" s="510"/>
      <c r="Q191" s="510"/>
      <c r="R191" s="510"/>
      <c r="S191" s="510"/>
      <c r="T191" s="510"/>
      <c r="U191" s="510"/>
    </row>
    <row r="192" ht="27.0" customHeight="1">
      <c r="A192" s="510"/>
      <c r="B192" s="510"/>
      <c r="C192" s="510"/>
      <c r="D192" s="510"/>
      <c r="E192" s="510"/>
      <c r="F192" s="510"/>
      <c r="G192" s="510"/>
      <c r="H192" s="510"/>
      <c r="I192" s="510"/>
      <c r="J192" s="510"/>
      <c r="K192" s="510"/>
      <c r="L192" s="510"/>
      <c r="M192" s="510"/>
      <c r="N192" s="510"/>
      <c r="O192" s="510"/>
      <c r="P192" s="510"/>
      <c r="Q192" s="510"/>
      <c r="R192" s="510"/>
      <c r="S192" s="510"/>
      <c r="T192" s="510"/>
      <c r="U192" s="510"/>
    </row>
    <row r="193" ht="27.0" customHeight="1">
      <c r="A193" s="510"/>
      <c r="B193" s="510"/>
      <c r="C193" s="510"/>
      <c r="D193" s="510"/>
      <c r="E193" s="510"/>
      <c r="F193" s="510"/>
      <c r="G193" s="510"/>
      <c r="H193" s="510"/>
      <c r="I193" s="510"/>
      <c r="J193" s="510"/>
      <c r="K193" s="510"/>
      <c r="L193" s="510"/>
      <c r="M193" s="510"/>
      <c r="N193" s="510"/>
      <c r="O193" s="510"/>
      <c r="P193" s="510"/>
      <c r="Q193" s="510"/>
      <c r="R193" s="510"/>
      <c r="S193" s="510"/>
      <c r="T193" s="510"/>
      <c r="U193" s="510"/>
    </row>
    <row r="194" ht="27.0" customHeight="1">
      <c r="A194" s="510"/>
      <c r="B194" s="510"/>
      <c r="C194" s="510"/>
      <c r="D194" s="510"/>
      <c r="E194" s="510"/>
      <c r="F194" s="510"/>
      <c r="G194" s="510"/>
      <c r="H194" s="510"/>
      <c r="I194" s="510"/>
      <c r="J194" s="510"/>
      <c r="K194" s="510"/>
      <c r="L194" s="510"/>
      <c r="M194" s="510"/>
      <c r="N194" s="510"/>
      <c r="O194" s="510"/>
      <c r="P194" s="510"/>
      <c r="Q194" s="510"/>
      <c r="R194" s="510"/>
      <c r="S194" s="510"/>
      <c r="T194" s="510"/>
      <c r="U194" s="510"/>
    </row>
    <row r="195" ht="27.0" customHeight="1">
      <c r="A195" s="510"/>
      <c r="B195" s="510"/>
      <c r="C195" s="510"/>
      <c r="D195" s="510"/>
      <c r="E195" s="510"/>
      <c r="F195" s="510"/>
      <c r="G195" s="510"/>
      <c r="H195" s="510"/>
      <c r="I195" s="510"/>
      <c r="J195" s="510"/>
      <c r="K195" s="510"/>
      <c r="L195" s="510"/>
      <c r="M195" s="510"/>
      <c r="N195" s="510"/>
      <c r="O195" s="510"/>
      <c r="P195" s="510"/>
      <c r="Q195" s="510"/>
      <c r="R195" s="510"/>
      <c r="S195" s="510"/>
      <c r="T195" s="510"/>
      <c r="U195" s="510"/>
    </row>
    <row r="196" ht="27.0" customHeight="1">
      <c r="A196" s="510"/>
      <c r="B196" s="510"/>
      <c r="C196" s="510"/>
      <c r="D196" s="510"/>
      <c r="E196" s="510"/>
      <c r="F196" s="510"/>
      <c r="G196" s="510"/>
      <c r="H196" s="510"/>
      <c r="I196" s="510"/>
      <c r="J196" s="510"/>
      <c r="K196" s="510"/>
      <c r="L196" s="510"/>
      <c r="M196" s="510"/>
      <c r="N196" s="510"/>
      <c r="O196" s="510"/>
      <c r="P196" s="510"/>
      <c r="Q196" s="510"/>
      <c r="R196" s="510"/>
      <c r="S196" s="510"/>
      <c r="T196" s="510"/>
      <c r="U196" s="510"/>
    </row>
    <row r="197" ht="27.0" customHeight="1">
      <c r="A197" s="510"/>
      <c r="B197" s="510"/>
      <c r="C197" s="510"/>
      <c r="D197" s="510"/>
      <c r="E197" s="510"/>
      <c r="F197" s="510"/>
      <c r="G197" s="510"/>
      <c r="H197" s="510"/>
      <c r="I197" s="510"/>
      <c r="J197" s="510"/>
      <c r="K197" s="510"/>
      <c r="L197" s="510"/>
      <c r="M197" s="510"/>
      <c r="N197" s="510"/>
      <c r="O197" s="510"/>
      <c r="P197" s="510"/>
      <c r="Q197" s="510"/>
      <c r="R197" s="510"/>
      <c r="S197" s="510"/>
      <c r="T197" s="510"/>
      <c r="U197" s="510"/>
    </row>
    <row r="198" ht="27.0" customHeight="1">
      <c r="A198" s="510"/>
      <c r="B198" s="510"/>
      <c r="C198" s="510"/>
      <c r="D198" s="510"/>
      <c r="E198" s="510"/>
      <c r="F198" s="510"/>
      <c r="G198" s="510"/>
      <c r="H198" s="510"/>
      <c r="I198" s="510"/>
      <c r="J198" s="510"/>
      <c r="K198" s="510"/>
      <c r="L198" s="510"/>
      <c r="M198" s="510"/>
      <c r="N198" s="510"/>
      <c r="O198" s="510"/>
      <c r="P198" s="510"/>
      <c r="Q198" s="510"/>
      <c r="R198" s="510"/>
      <c r="S198" s="510"/>
      <c r="T198" s="510"/>
      <c r="U198" s="510"/>
    </row>
    <row r="199" ht="27.0" customHeight="1">
      <c r="A199" s="510"/>
      <c r="B199" s="510"/>
      <c r="C199" s="510"/>
      <c r="D199" s="510"/>
      <c r="E199" s="510"/>
      <c r="F199" s="510"/>
      <c r="G199" s="510"/>
      <c r="H199" s="510"/>
      <c r="I199" s="510"/>
      <c r="J199" s="510"/>
      <c r="K199" s="510"/>
      <c r="L199" s="510"/>
      <c r="M199" s="510"/>
      <c r="N199" s="510"/>
      <c r="O199" s="510"/>
      <c r="P199" s="510"/>
      <c r="Q199" s="510"/>
      <c r="R199" s="510"/>
      <c r="S199" s="510"/>
      <c r="T199" s="510"/>
      <c r="U199" s="510"/>
    </row>
    <row r="200" ht="27.0" customHeight="1">
      <c r="A200" s="510"/>
      <c r="B200" s="510"/>
      <c r="C200" s="510"/>
      <c r="D200" s="510"/>
      <c r="E200" s="510"/>
      <c r="F200" s="510"/>
      <c r="G200" s="510"/>
      <c r="H200" s="510"/>
      <c r="I200" s="510"/>
      <c r="J200" s="510"/>
      <c r="K200" s="510"/>
      <c r="L200" s="510"/>
      <c r="M200" s="510"/>
      <c r="N200" s="510"/>
      <c r="O200" s="510"/>
      <c r="P200" s="510"/>
      <c r="Q200" s="510"/>
      <c r="R200" s="510"/>
      <c r="S200" s="510"/>
      <c r="T200" s="510"/>
      <c r="U200" s="510"/>
    </row>
    <row r="201" ht="27.0" customHeight="1">
      <c r="A201" s="510"/>
      <c r="B201" s="510"/>
      <c r="C201" s="510"/>
      <c r="D201" s="510"/>
      <c r="E201" s="510"/>
      <c r="F201" s="510"/>
      <c r="G201" s="510"/>
      <c r="H201" s="510"/>
      <c r="I201" s="510"/>
      <c r="J201" s="510"/>
      <c r="K201" s="510"/>
      <c r="L201" s="510"/>
      <c r="M201" s="510"/>
      <c r="N201" s="510"/>
      <c r="O201" s="510"/>
      <c r="P201" s="510"/>
      <c r="Q201" s="510"/>
      <c r="R201" s="510"/>
      <c r="S201" s="510"/>
      <c r="T201" s="510"/>
      <c r="U201" s="510"/>
    </row>
    <row r="202" ht="27.0" customHeight="1">
      <c r="A202" s="510"/>
      <c r="B202" s="510"/>
      <c r="C202" s="510"/>
      <c r="D202" s="510"/>
      <c r="E202" s="510"/>
      <c r="F202" s="510"/>
      <c r="G202" s="510"/>
      <c r="H202" s="510"/>
      <c r="I202" s="510"/>
      <c r="J202" s="510"/>
      <c r="K202" s="510"/>
      <c r="L202" s="510"/>
      <c r="M202" s="510"/>
      <c r="N202" s="510"/>
      <c r="O202" s="510"/>
      <c r="P202" s="510"/>
      <c r="Q202" s="510"/>
      <c r="R202" s="510"/>
      <c r="S202" s="510"/>
      <c r="T202" s="510"/>
      <c r="U202" s="510"/>
    </row>
    <row r="203" ht="27.0" customHeight="1">
      <c r="A203" s="510"/>
      <c r="B203" s="510"/>
      <c r="C203" s="510"/>
      <c r="D203" s="510"/>
      <c r="E203" s="510"/>
      <c r="F203" s="510"/>
      <c r="G203" s="510"/>
      <c r="H203" s="510"/>
      <c r="I203" s="510"/>
      <c r="J203" s="510"/>
      <c r="K203" s="510"/>
      <c r="L203" s="510"/>
      <c r="M203" s="510"/>
      <c r="N203" s="510"/>
      <c r="O203" s="510"/>
      <c r="P203" s="510"/>
      <c r="Q203" s="510"/>
      <c r="R203" s="510"/>
      <c r="S203" s="510"/>
      <c r="T203" s="510"/>
      <c r="U203" s="510"/>
    </row>
    <row r="204" ht="27.0" customHeight="1">
      <c r="A204" s="510"/>
      <c r="B204" s="510"/>
      <c r="C204" s="510"/>
      <c r="D204" s="510"/>
      <c r="E204" s="510"/>
      <c r="F204" s="510"/>
      <c r="G204" s="510"/>
      <c r="H204" s="510"/>
      <c r="I204" s="510"/>
      <c r="J204" s="510"/>
      <c r="K204" s="510"/>
      <c r="L204" s="510"/>
      <c r="M204" s="510"/>
      <c r="N204" s="510"/>
      <c r="O204" s="510"/>
      <c r="P204" s="510"/>
      <c r="Q204" s="510"/>
      <c r="R204" s="510"/>
      <c r="S204" s="510"/>
      <c r="T204" s="510"/>
      <c r="U204" s="510"/>
    </row>
    <row r="205" ht="27.0" customHeight="1">
      <c r="A205" s="510"/>
      <c r="B205" s="510"/>
      <c r="C205" s="510"/>
      <c r="D205" s="510"/>
      <c r="E205" s="510"/>
      <c r="F205" s="510"/>
      <c r="G205" s="510"/>
      <c r="H205" s="510"/>
      <c r="I205" s="510"/>
      <c r="J205" s="510"/>
      <c r="K205" s="510"/>
      <c r="L205" s="510"/>
      <c r="M205" s="510"/>
      <c r="N205" s="510"/>
      <c r="O205" s="510"/>
      <c r="P205" s="510"/>
      <c r="Q205" s="510"/>
      <c r="R205" s="510"/>
      <c r="S205" s="510"/>
      <c r="T205" s="510"/>
      <c r="U205" s="510"/>
    </row>
    <row r="206" ht="27.0" customHeight="1">
      <c r="A206" s="510"/>
      <c r="B206" s="510"/>
      <c r="C206" s="510"/>
      <c r="D206" s="510"/>
      <c r="E206" s="510"/>
      <c r="F206" s="510"/>
      <c r="G206" s="510"/>
      <c r="H206" s="510"/>
      <c r="I206" s="510"/>
      <c r="J206" s="510"/>
      <c r="K206" s="510"/>
      <c r="L206" s="510"/>
      <c r="M206" s="510"/>
      <c r="N206" s="510"/>
      <c r="O206" s="510"/>
      <c r="P206" s="510"/>
      <c r="Q206" s="510"/>
      <c r="R206" s="510"/>
      <c r="S206" s="510"/>
      <c r="T206" s="510"/>
      <c r="U206" s="510"/>
    </row>
    <row r="207" ht="27.0" customHeight="1">
      <c r="A207" s="510"/>
      <c r="B207" s="510"/>
      <c r="C207" s="510"/>
      <c r="D207" s="510"/>
      <c r="E207" s="510"/>
      <c r="F207" s="510"/>
      <c r="G207" s="510"/>
      <c r="H207" s="510"/>
      <c r="I207" s="510"/>
      <c r="J207" s="510"/>
      <c r="K207" s="510"/>
      <c r="L207" s="510"/>
      <c r="M207" s="510"/>
      <c r="N207" s="510"/>
      <c r="O207" s="510"/>
      <c r="P207" s="510"/>
      <c r="Q207" s="510"/>
      <c r="R207" s="510"/>
      <c r="S207" s="510"/>
      <c r="T207" s="510"/>
      <c r="U207" s="510"/>
    </row>
    <row r="208" ht="27.0" customHeight="1">
      <c r="A208" s="510"/>
      <c r="B208" s="510"/>
      <c r="C208" s="510"/>
      <c r="D208" s="510"/>
      <c r="E208" s="510"/>
      <c r="F208" s="510"/>
      <c r="G208" s="510"/>
      <c r="H208" s="510"/>
      <c r="I208" s="510"/>
      <c r="J208" s="510"/>
      <c r="K208" s="510"/>
      <c r="L208" s="510"/>
      <c r="M208" s="510"/>
      <c r="N208" s="510"/>
      <c r="O208" s="510"/>
      <c r="P208" s="510"/>
      <c r="Q208" s="510"/>
      <c r="R208" s="510"/>
      <c r="S208" s="510"/>
      <c r="T208" s="510"/>
      <c r="U208" s="510"/>
    </row>
    <row r="209" ht="27.0" customHeight="1">
      <c r="A209" s="510"/>
      <c r="B209" s="510"/>
      <c r="C209" s="510"/>
      <c r="D209" s="510"/>
      <c r="E209" s="510"/>
      <c r="F209" s="510"/>
      <c r="G209" s="510"/>
      <c r="H209" s="510"/>
      <c r="I209" s="510"/>
      <c r="J209" s="510"/>
      <c r="K209" s="510"/>
      <c r="L209" s="510"/>
      <c r="M209" s="510"/>
      <c r="N209" s="510"/>
      <c r="O209" s="510"/>
      <c r="P209" s="510"/>
      <c r="Q209" s="510"/>
      <c r="R209" s="510"/>
      <c r="S209" s="510"/>
      <c r="T209" s="510"/>
      <c r="U209" s="510"/>
    </row>
    <row r="210" ht="27.0" customHeight="1">
      <c r="A210" s="510"/>
      <c r="B210" s="510"/>
      <c r="C210" s="510"/>
      <c r="D210" s="510"/>
      <c r="E210" s="510"/>
      <c r="F210" s="510"/>
      <c r="G210" s="510"/>
      <c r="H210" s="510"/>
      <c r="I210" s="510"/>
      <c r="J210" s="510"/>
      <c r="K210" s="510"/>
      <c r="L210" s="510"/>
      <c r="M210" s="510"/>
      <c r="N210" s="510"/>
      <c r="O210" s="510"/>
      <c r="P210" s="510"/>
      <c r="Q210" s="510"/>
      <c r="R210" s="510"/>
      <c r="S210" s="510"/>
      <c r="T210" s="510"/>
      <c r="U210" s="510"/>
    </row>
    <row r="211" ht="27.0" customHeight="1">
      <c r="A211" s="510"/>
      <c r="B211" s="510"/>
      <c r="C211" s="510"/>
      <c r="D211" s="510"/>
      <c r="E211" s="510"/>
      <c r="F211" s="510"/>
      <c r="G211" s="510"/>
      <c r="H211" s="510"/>
      <c r="I211" s="510"/>
      <c r="J211" s="510"/>
      <c r="K211" s="510"/>
      <c r="L211" s="510"/>
      <c r="M211" s="510"/>
      <c r="N211" s="510"/>
      <c r="O211" s="510"/>
      <c r="P211" s="510"/>
      <c r="Q211" s="510"/>
      <c r="R211" s="510"/>
      <c r="S211" s="510"/>
      <c r="T211" s="510"/>
      <c r="U211" s="510"/>
    </row>
    <row r="212" ht="27.0" customHeight="1">
      <c r="A212" s="510"/>
      <c r="B212" s="510"/>
      <c r="C212" s="510"/>
      <c r="D212" s="510"/>
      <c r="E212" s="510"/>
      <c r="F212" s="510"/>
      <c r="G212" s="510"/>
      <c r="H212" s="510"/>
      <c r="I212" s="510"/>
      <c r="J212" s="510"/>
      <c r="K212" s="510"/>
      <c r="L212" s="510"/>
      <c r="M212" s="510"/>
      <c r="N212" s="510"/>
      <c r="O212" s="510"/>
      <c r="P212" s="510"/>
      <c r="Q212" s="510"/>
      <c r="R212" s="510"/>
      <c r="S212" s="510"/>
      <c r="T212" s="510"/>
      <c r="U212" s="510"/>
    </row>
    <row r="213" ht="27.0" customHeight="1">
      <c r="A213" s="510"/>
      <c r="B213" s="510"/>
      <c r="C213" s="510"/>
      <c r="D213" s="510"/>
      <c r="E213" s="510"/>
      <c r="F213" s="510"/>
      <c r="G213" s="510"/>
      <c r="H213" s="510"/>
      <c r="I213" s="510"/>
      <c r="J213" s="510"/>
      <c r="K213" s="510"/>
      <c r="L213" s="510"/>
      <c r="M213" s="510"/>
      <c r="N213" s="510"/>
      <c r="O213" s="510"/>
      <c r="P213" s="510"/>
      <c r="Q213" s="510"/>
      <c r="R213" s="510"/>
      <c r="S213" s="510"/>
      <c r="T213" s="510"/>
      <c r="U213" s="510"/>
    </row>
    <row r="214" ht="27.0" customHeight="1">
      <c r="A214" s="510"/>
      <c r="B214" s="510"/>
      <c r="C214" s="510"/>
      <c r="D214" s="510"/>
      <c r="E214" s="510"/>
      <c r="F214" s="510"/>
      <c r="G214" s="510"/>
      <c r="H214" s="510"/>
      <c r="I214" s="510"/>
      <c r="J214" s="510"/>
      <c r="K214" s="510"/>
      <c r="L214" s="510"/>
      <c r="M214" s="510"/>
      <c r="N214" s="510"/>
      <c r="O214" s="510"/>
      <c r="P214" s="510"/>
      <c r="Q214" s="510"/>
      <c r="R214" s="510"/>
      <c r="S214" s="510"/>
      <c r="T214" s="510"/>
      <c r="U214" s="510"/>
    </row>
    <row r="215" ht="27.0" customHeight="1">
      <c r="A215" s="510"/>
      <c r="B215" s="510"/>
      <c r="C215" s="510"/>
      <c r="D215" s="510"/>
      <c r="E215" s="510"/>
      <c r="F215" s="510"/>
      <c r="G215" s="510"/>
      <c r="H215" s="510"/>
      <c r="I215" s="510"/>
      <c r="J215" s="510"/>
      <c r="K215" s="510"/>
      <c r="L215" s="510"/>
      <c r="M215" s="510"/>
      <c r="N215" s="510"/>
      <c r="O215" s="510"/>
      <c r="P215" s="510"/>
      <c r="Q215" s="510"/>
      <c r="R215" s="510"/>
      <c r="S215" s="510"/>
      <c r="T215" s="510"/>
      <c r="U215" s="510"/>
    </row>
    <row r="216" ht="27.0" customHeight="1">
      <c r="A216" s="510"/>
      <c r="B216" s="510"/>
      <c r="C216" s="510"/>
      <c r="D216" s="510"/>
      <c r="E216" s="510"/>
      <c r="F216" s="510"/>
      <c r="G216" s="510"/>
      <c r="H216" s="510"/>
      <c r="I216" s="510"/>
      <c r="J216" s="510"/>
      <c r="K216" s="510"/>
      <c r="L216" s="510"/>
      <c r="M216" s="510"/>
      <c r="N216" s="510"/>
      <c r="O216" s="510"/>
      <c r="P216" s="510"/>
      <c r="Q216" s="510"/>
      <c r="R216" s="510"/>
      <c r="S216" s="510"/>
      <c r="T216" s="510"/>
      <c r="U216" s="510"/>
    </row>
    <row r="217" ht="27.0" customHeight="1">
      <c r="A217" s="510"/>
      <c r="B217" s="510"/>
      <c r="C217" s="510"/>
      <c r="D217" s="510"/>
      <c r="E217" s="510"/>
      <c r="F217" s="510"/>
      <c r="G217" s="510"/>
      <c r="H217" s="510"/>
      <c r="I217" s="510"/>
      <c r="J217" s="510"/>
      <c r="K217" s="510"/>
      <c r="L217" s="510"/>
      <c r="M217" s="510"/>
      <c r="N217" s="510"/>
      <c r="O217" s="510"/>
      <c r="P217" s="510"/>
      <c r="Q217" s="510"/>
      <c r="R217" s="510"/>
      <c r="S217" s="510"/>
      <c r="T217" s="510"/>
      <c r="U217" s="510"/>
    </row>
    <row r="218" ht="27.0" customHeight="1">
      <c r="A218" s="510"/>
      <c r="B218" s="510"/>
      <c r="C218" s="510"/>
      <c r="D218" s="510"/>
      <c r="E218" s="510"/>
      <c r="F218" s="510"/>
      <c r="G218" s="510"/>
      <c r="H218" s="510"/>
      <c r="I218" s="510"/>
      <c r="J218" s="510"/>
      <c r="K218" s="510"/>
      <c r="L218" s="510"/>
      <c r="M218" s="510"/>
      <c r="N218" s="510"/>
      <c r="O218" s="510"/>
      <c r="P218" s="510"/>
      <c r="Q218" s="510"/>
      <c r="R218" s="510"/>
      <c r="S218" s="510"/>
      <c r="T218" s="510"/>
      <c r="U218" s="510"/>
    </row>
    <row r="219" ht="27.0" customHeight="1">
      <c r="A219" s="510"/>
      <c r="B219" s="510"/>
      <c r="C219" s="510"/>
      <c r="D219" s="510"/>
      <c r="E219" s="510"/>
      <c r="F219" s="510"/>
      <c r="G219" s="510"/>
      <c r="H219" s="510"/>
      <c r="I219" s="510"/>
      <c r="J219" s="510"/>
      <c r="K219" s="510"/>
      <c r="L219" s="510"/>
      <c r="M219" s="510"/>
      <c r="N219" s="510"/>
      <c r="O219" s="510"/>
      <c r="P219" s="510"/>
      <c r="Q219" s="510"/>
      <c r="R219" s="510"/>
      <c r="S219" s="510"/>
      <c r="T219" s="510"/>
      <c r="U219" s="510"/>
    </row>
    <row r="220" ht="27.0" customHeight="1">
      <c r="A220" s="510"/>
      <c r="B220" s="510"/>
      <c r="C220" s="510"/>
      <c r="D220" s="510"/>
      <c r="E220" s="510"/>
      <c r="F220" s="510"/>
      <c r="G220" s="510"/>
      <c r="H220" s="510"/>
      <c r="I220" s="510"/>
      <c r="J220" s="510"/>
      <c r="K220" s="510"/>
      <c r="L220" s="510"/>
      <c r="M220" s="510"/>
      <c r="N220" s="510"/>
      <c r="O220" s="510"/>
      <c r="P220" s="510"/>
      <c r="Q220" s="510"/>
      <c r="R220" s="510"/>
      <c r="S220" s="510"/>
      <c r="T220" s="510"/>
      <c r="U220" s="510"/>
    </row>
    <row r="221" ht="27.0" customHeight="1">
      <c r="A221" s="510"/>
      <c r="B221" s="510"/>
      <c r="C221" s="510"/>
      <c r="D221" s="510"/>
      <c r="E221" s="510"/>
      <c r="F221" s="510"/>
      <c r="G221" s="510"/>
      <c r="H221" s="510"/>
      <c r="I221" s="510"/>
      <c r="J221" s="510"/>
      <c r="K221" s="510"/>
      <c r="L221" s="510"/>
      <c r="M221" s="510"/>
      <c r="N221" s="510"/>
      <c r="O221" s="510"/>
      <c r="P221" s="510"/>
      <c r="Q221" s="510"/>
      <c r="R221" s="510"/>
      <c r="S221" s="510"/>
      <c r="T221" s="510"/>
      <c r="U221" s="510"/>
    </row>
    <row r="222" ht="27.0" customHeight="1">
      <c r="A222" s="510"/>
      <c r="B222" s="510"/>
      <c r="C222" s="510"/>
      <c r="D222" s="510"/>
      <c r="E222" s="510"/>
      <c r="F222" s="510"/>
      <c r="G222" s="510"/>
      <c r="H222" s="510"/>
      <c r="I222" s="510"/>
      <c r="J222" s="510"/>
      <c r="K222" s="510"/>
      <c r="L222" s="510"/>
      <c r="M222" s="510"/>
      <c r="N222" s="510"/>
      <c r="O222" s="510"/>
      <c r="P222" s="510"/>
      <c r="Q222" s="510"/>
      <c r="R222" s="510"/>
      <c r="S222" s="510"/>
      <c r="T222" s="510"/>
      <c r="U222" s="510"/>
    </row>
    <row r="223" ht="27.0" customHeight="1">
      <c r="A223" s="510"/>
      <c r="B223" s="510"/>
      <c r="C223" s="510"/>
      <c r="D223" s="510"/>
      <c r="E223" s="510"/>
      <c r="F223" s="510"/>
      <c r="G223" s="510"/>
      <c r="H223" s="510"/>
      <c r="I223" s="510"/>
      <c r="J223" s="510"/>
      <c r="K223" s="510"/>
      <c r="L223" s="510"/>
      <c r="M223" s="510"/>
      <c r="N223" s="510"/>
      <c r="O223" s="510"/>
      <c r="P223" s="510"/>
      <c r="Q223" s="510"/>
      <c r="R223" s="510"/>
      <c r="S223" s="510"/>
      <c r="T223" s="510"/>
      <c r="U223" s="510"/>
    </row>
    <row r="224" ht="27.0" customHeight="1">
      <c r="A224" s="510"/>
      <c r="B224" s="510"/>
      <c r="C224" s="510"/>
      <c r="D224" s="510"/>
      <c r="E224" s="510"/>
      <c r="F224" s="510"/>
      <c r="G224" s="510"/>
      <c r="H224" s="510"/>
      <c r="I224" s="510"/>
      <c r="J224" s="510"/>
      <c r="K224" s="510"/>
      <c r="L224" s="510"/>
      <c r="M224" s="510"/>
      <c r="N224" s="510"/>
      <c r="O224" s="510"/>
      <c r="P224" s="510"/>
      <c r="Q224" s="510"/>
      <c r="R224" s="510"/>
      <c r="S224" s="510"/>
      <c r="T224" s="510"/>
      <c r="U224" s="510"/>
    </row>
    <row r="225" ht="27.0" customHeight="1">
      <c r="A225" s="510"/>
      <c r="B225" s="510"/>
      <c r="C225" s="510"/>
      <c r="D225" s="510"/>
      <c r="E225" s="510"/>
      <c r="F225" s="510"/>
      <c r="G225" s="510"/>
      <c r="H225" s="510"/>
      <c r="I225" s="510"/>
      <c r="J225" s="510"/>
      <c r="K225" s="510"/>
      <c r="L225" s="510"/>
      <c r="M225" s="510"/>
      <c r="N225" s="510"/>
      <c r="O225" s="510"/>
      <c r="P225" s="510"/>
      <c r="Q225" s="510"/>
      <c r="R225" s="510"/>
      <c r="S225" s="510"/>
      <c r="T225" s="510"/>
      <c r="U225" s="510"/>
    </row>
    <row r="226" ht="27.0" customHeight="1">
      <c r="A226" s="510"/>
      <c r="B226" s="510"/>
      <c r="C226" s="510"/>
      <c r="D226" s="510"/>
      <c r="E226" s="510"/>
      <c r="F226" s="510"/>
      <c r="G226" s="510"/>
      <c r="H226" s="510"/>
      <c r="I226" s="510"/>
      <c r="J226" s="510"/>
      <c r="K226" s="510"/>
      <c r="L226" s="510"/>
      <c r="M226" s="510"/>
      <c r="N226" s="510"/>
      <c r="O226" s="510"/>
      <c r="P226" s="510"/>
      <c r="Q226" s="510"/>
      <c r="R226" s="510"/>
      <c r="S226" s="510"/>
      <c r="T226" s="510"/>
      <c r="U226" s="510"/>
    </row>
    <row r="227" ht="27.0" customHeight="1">
      <c r="A227" s="510"/>
      <c r="B227" s="510"/>
      <c r="C227" s="510"/>
      <c r="D227" s="510"/>
      <c r="E227" s="510"/>
      <c r="F227" s="510"/>
      <c r="G227" s="510"/>
      <c r="H227" s="510"/>
      <c r="I227" s="510"/>
      <c r="J227" s="510"/>
      <c r="K227" s="510"/>
      <c r="L227" s="510"/>
      <c r="M227" s="510"/>
      <c r="N227" s="510"/>
      <c r="O227" s="510"/>
      <c r="P227" s="510"/>
      <c r="Q227" s="510"/>
      <c r="R227" s="510"/>
      <c r="S227" s="510"/>
      <c r="T227" s="510"/>
      <c r="U227" s="510"/>
    </row>
    <row r="228" ht="27.0" customHeight="1">
      <c r="A228" s="510"/>
      <c r="B228" s="510"/>
      <c r="C228" s="510"/>
      <c r="D228" s="510"/>
      <c r="E228" s="510"/>
      <c r="F228" s="510"/>
      <c r="G228" s="510"/>
      <c r="H228" s="510"/>
      <c r="I228" s="510"/>
      <c r="J228" s="510"/>
      <c r="K228" s="510"/>
      <c r="L228" s="510"/>
      <c r="M228" s="510"/>
      <c r="N228" s="510"/>
      <c r="O228" s="510"/>
      <c r="P228" s="510"/>
      <c r="Q228" s="510"/>
      <c r="R228" s="510"/>
      <c r="S228" s="510"/>
      <c r="T228" s="510"/>
      <c r="U228" s="510"/>
    </row>
    <row r="229" ht="27.0" customHeight="1">
      <c r="A229" s="510"/>
      <c r="B229" s="510"/>
      <c r="C229" s="510"/>
      <c r="D229" s="510"/>
      <c r="E229" s="510"/>
      <c r="F229" s="510"/>
      <c r="G229" s="510"/>
      <c r="H229" s="510"/>
      <c r="I229" s="510"/>
      <c r="J229" s="510"/>
      <c r="K229" s="510"/>
      <c r="L229" s="510"/>
      <c r="M229" s="510"/>
      <c r="N229" s="510"/>
      <c r="O229" s="510"/>
      <c r="P229" s="510"/>
      <c r="Q229" s="510"/>
      <c r="R229" s="510"/>
      <c r="S229" s="510"/>
      <c r="T229" s="510"/>
      <c r="U229" s="510"/>
    </row>
    <row r="230" ht="27.0" customHeight="1">
      <c r="A230" s="510"/>
      <c r="B230" s="510"/>
      <c r="C230" s="510"/>
      <c r="D230" s="510"/>
      <c r="E230" s="510"/>
      <c r="F230" s="510"/>
      <c r="G230" s="510"/>
      <c r="H230" s="510"/>
      <c r="I230" s="510"/>
      <c r="J230" s="510"/>
      <c r="K230" s="510"/>
      <c r="L230" s="510"/>
      <c r="M230" s="510"/>
      <c r="N230" s="510"/>
      <c r="O230" s="510"/>
      <c r="P230" s="510"/>
      <c r="Q230" s="510"/>
      <c r="R230" s="510"/>
      <c r="S230" s="510"/>
      <c r="T230" s="510"/>
      <c r="U230" s="510"/>
    </row>
    <row r="231" ht="27.0" customHeight="1">
      <c r="A231" s="510"/>
      <c r="B231" s="510"/>
      <c r="C231" s="510"/>
      <c r="D231" s="510"/>
      <c r="E231" s="510"/>
      <c r="F231" s="510"/>
      <c r="G231" s="510"/>
      <c r="H231" s="510"/>
      <c r="I231" s="510"/>
      <c r="J231" s="510"/>
      <c r="K231" s="510"/>
      <c r="L231" s="510"/>
      <c r="M231" s="510"/>
      <c r="N231" s="510"/>
      <c r="O231" s="510"/>
      <c r="P231" s="510"/>
      <c r="Q231" s="510"/>
      <c r="R231" s="510"/>
      <c r="S231" s="510"/>
      <c r="T231" s="510"/>
      <c r="U231" s="510"/>
    </row>
    <row r="232" ht="27.0" customHeight="1">
      <c r="A232" s="510"/>
      <c r="B232" s="510"/>
      <c r="C232" s="510"/>
      <c r="D232" s="510"/>
      <c r="E232" s="510"/>
      <c r="F232" s="510"/>
      <c r="G232" s="510"/>
      <c r="H232" s="510"/>
      <c r="I232" s="510"/>
      <c r="J232" s="510"/>
      <c r="K232" s="510"/>
      <c r="L232" s="510"/>
      <c r="M232" s="510"/>
      <c r="N232" s="510"/>
      <c r="O232" s="510"/>
      <c r="P232" s="510"/>
      <c r="Q232" s="510"/>
      <c r="R232" s="510"/>
      <c r="S232" s="510"/>
      <c r="T232" s="510"/>
      <c r="U232" s="510"/>
    </row>
    <row r="233" ht="27.0" customHeight="1">
      <c r="A233" s="510"/>
      <c r="B233" s="510"/>
      <c r="C233" s="510"/>
      <c r="D233" s="510"/>
      <c r="E233" s="510"/>
      <c r="F233" s="510"/>
      <c r="G233" s="510"/>
      <c r="H233" s="510"/>
      <c r="I233" s="510"/>
      <c r="J233" s="510"/>
      <c r="K233" s="510"/>
      <c r="L233" s="510"/>
      <c r="M233" s="510"/>
      <c r="N233" s="510"/>
      <c r="O233" s="510"/>
      <c r="P233" s="510"/>
      <c r="Q233" s="510"/>
      <c r="R233" s="510"/>
      <c r="S233" s="510"/>
      <c r="T233" s="510"/>
      <c r="U233" s="510"/>
    </row>
    <row r="234" ht="27.0" customHeight="1">
      <c r="A234" s="510"/>
      <c r="B234" s="510"/>
      <c r="C234" s="510"/>
      <c r="D234" s="510"/>
      <c r="E234" s="510"/>
      <c r="F234" s="510"/>
      <c r="G234" s="510"/>
      <c r="H234" s="510"/>
      <c r="I234" s="510"/>
      <c r="J234" s="510"/>
      <c r="K234" s="510"/>
      <c r="L234" s="510"/>
      <c r="M234" s="510"/>
      <c r="N234" s="510"/>
      <c r="O234" s="510"/>
      <c r="P234" s="510"/>
      <c r="Q234" s="510"/>
      <c r="R234" s="510"/>
      <c r="S234" s="510"/>
      <c r="T234" s="510"/>
      <c r="U234" s="510"/>
    </row>
    <row r="235" ht="27.0" customHeight="1">
      <c r="A235" s="510"/>
      <c r="B235" s="510"/>
      <c r="C235" s="510"/>
      <c r="D235" s="510"/>
      <c r="E235" s="510"/>
      <c r="F235" s="510"/>
      <c r="G235" s="510"/>
      <c r="H235" s="510"/>
      <c r="I235" s="510"/>
      <c r="J235" s="510"/>
      <c r="K235" s="510"/>
      <c r="L235" s="510"/>
      <c r="M235" s="510"/>
      <c r="N235" s="510"/>
      <c r="O235" s="510"/>
      <c r="P235" s="510"/>
      <c r="Q235" s="510"/>
      <c r="R235" s="510"/>
      <c r="S235" s="510"/>
      <c r="T235" s="510"/>
      <c r="U235" s="510"/>
    </row>
    <row r="236" ht="27.0" customHeight="1">
      <c r="A236" s="510"/>
      <c r="B236" s="510"/>
      <c r="C236" s="510"/>
      <c r="D236" s="510"/>
      <c r="E236" s="510"/>
      <c r="F236" s="510"/>
      <c r="G236" s="510"/>
      <c r="H236" s="510"/>
      <c r="I236" s="510"/>
      <c r="J236" s="510"/>
      <c r="K236" s="510"/>
      <c r="L236" s="510"/>
      <c r="M236" s="510"/>
      <c r="N236" s="510"/>
      <c r="O236" s="510"/>
      <c r="P236" s="510"/>
      <c r="Q236" s="510"/>
      <c r="R236" s="510"/>
      <c r="S236" s="510"/>
      <c r="T236" s="510"/>
      <c r="U236" s="510"/>
    </row>
    <row r="237" ht="27.0" customHeight="1">
      <c r="A237" s="510"/>
      <c r="B237" s="510"/>
      <c r="C237" s="510"/>
      <c r="D237" s="510"/>
      <c r="E237" s="510"/>
      <c r="F237" s="510"/>
      <c r="G237" s="510"/>
      <c r="H237" s="510"/>
      <c r="I237" s="510"/>
      <c r="J237" s="510"/>
      <c r="K237" s="510"/>
      <c r="L237" s="510"/>
      <c r="M237" s="510"/>
      <c r="N237" s="510"/>
      <c r="O237" s="510"/>
      <c r="P237" s="510"/>
      <c r="Q237" s="510"/>
      <c r="R237" s="510"/>
      <c r="S237" s="510"/>
      <c r="T237" s="510"/>
      <c r="U237" s="510"/>
    </row>
    <row r="238" ht="27.0" customHeight="1">
      <c r="A238" s="510"/>
      <c r="B238" s="510"/>
      <c r="C238" s="510"/>
      <c r="D238" s="510"/>
      <c r="E238" s="510"/>
      <c r="F238" s="510"/>
      <c r="G238" s="510"/>
      <c r="H238" s="510"/>
      <c r="I238" s="510"/>
      <c r="J238" s="510"/>
      <c r="K238" s="510"/>
      <c r="L238" s="510"/>
      <c r="M238" s="510"/>
      <c r="N238" s="510"/>
      <c r="O238" s="510"/>
      <c r="P238" s="510"/>
      <c r="Q238" s="510"/>
      <c r="R238" s="510"/>
      <c r="S238" s="510"/>
      <c r="T238" s="510"/>
      <c r="U238" s="510"/>
    </row>
    <row r="239" ht="27.0" customHeight="1">
      <c r="A239" s="510"/>
      <c r="B239" s="510"/>
      <c r="C239" s="510"/>
      <c r="D239" s="510"/>
      <c r="E239" s="510"/>
      <c r="F239" s="510"/>
      <c r="G239" s="510"/>
      <c r="H239" s="510"/>
      <c r="I239" s="510"/>
      <c r="J239" s="510"/>
      <c r="K239" s="510"/>
      <c r="L239" s="510"/>
      <c r="M239" s="510"/>
      <c r="N239" s="510"/>
      <c r="O239" s="510"/>
      <c r="P239" s="510"/>
      <c r="Q239" s="510"/>
      <c r="R239" s="510"/>
      <c r="S239" s="510"/>
      <c r="T239" s="510"/>
      <c r="U239" s="510"/>
    </row>
    <row r="240" ht="27.0" customHeight="1">
      <c r="A240" s="510"/>
      <c r="B240" s="510"/>
      <c r="C240" s="510"/>
      <c r="D240" s="510"/>
      <c r="E240" s="510"/>
      <c r="F240" s="510"/>
      <c r="G240" s="510"/>
      <c r="H240" s="510"/>
      <c r="I240" s="510"/>
      <c r="J240" s="510"/>
      <c r="K240" s="510"/>
      <c r="L240" s="510"/>
      <c r="M240" s="510"/>
      <c r="N240" s="510"/>
      <c r="O240" s="510"/>
      <c r="P240" s="510"/>
      <c r="Q240" s="510"/>
      <c r="R240" s="510"/>
      <c r="S240" s="510"/>
      <c r="T240" s="510"/>
      <c r="U240" s="510"/>
    </row>
    <row r="241" ht="27.0" customHeight="1">
      <c r="A241" s="510"/>
      <c r="B241" s="510"/>
      <c r="C241" s="510"/>
      <c r="D241" s="510"/>
      <c r="E241" s="510"/>
      <c r="F241" s="510"/>
      <c r="G241" s="510"/>
      <c r="H241" s="510"/>
      <c r="I241" s="510"/>
      <c r="J241" s="510"/>
      <c r="K241" s="510"/>
      <c r="L241" s="510"/>
      <c r="M241" s="510"/>
      <c r="N241" s="510"/>
      <c r="O241" s="510"/>
      <c r="P241" s="510"/>
      <c r="Q241" s="510"/>
      <c r="R241" s="510"/>
      <c r="S241" s="510"/>
      <c r="T241" s="510"/>
      <c r="U241" s="510"/>
    </row>
    <row r="242" ht="27.0" customHeight="1">
      <c r="A242" s="510"/>
      <c r="B242" s="510"/>
      <c r="C242" s="510"/>
      <c r="D242" s="510"/>
      <c r="E242" s="510"/>
      <c r="F242" s="510"/>
      <c r="G242" s="510"/>
      <c r="H242" s="510"/>
      <c r="I242" s="510"/>
      <c r="J242" s="510"/>
      <c r="K242" s="510"/>
      <c r="L242" s="510"/>
      <c r="M242" s="510"/>
      <c r="N242" s="510"/>
      <c r="O242" s="510"/>
      <c r="P242" s="510"/>
      <c r="Q242" s="510"/>
      <c r="R242" s="510"/>
      <c r="S242" s="510"/>
      <c r="T242" s="510"/>
      <c r="U242" s="510"/>
    </row>
    <row r="243" ht="27.0" customHeight="1">
      <c r="A243" s="510"/>
      <c r="B243" s="510"/>
      <c r="C243" s="510"/>
      <c r="D243" s="510"/>
      <c r="E243" s="510"/>
      <c r="F243" s="510"/>
      <c r="G243" s="510"/>
      <c r="H243" s="510"/>
      <c r="I243" s="510"/>
      <c r="J243" s="510"/>
      <c r="K243" s="510"/>
      <c r="L243" s="510"/>
      <c r="M243" s="510"/>
      <c r="N243" s="510"/>
      <c r="O243" s="510"/>
      <c r="P243" s="510"/>
      <c r="Q243" s="510"/>
      <c r="R243" s="510"/>
      <c r="S243" s="510"/>
      <c r="T243" s="510"/>
      <c r="U243" s="510"/>
    </row>
    <row r="244" ht="27.0" customHeight="1">
      <c r="A244" s="510"/>
      <c r="B244" s="510"/>
      <c r="C244" s="510"/>
      <c r="D244" s="510"/>
      <c r="E244" s="510"/>
      <c r="F244" s="510"/>
      <c r="G244" s="510"/>
      <c r="H244" s="510"/>
      <c r="I244" s="510"/>
      <c r="J244" s="510"/>
      <c r="K244" s="510"/>
      <c r="L244" s="510"/>
      <c r="M244" s="510"/>
      <c r="N244" s="510"/>
      <c r="O244" s="510"/>
      <c r="P244" s="510"/>
      <c r="Q244" s="510"/>
      <c r="R244" s="510"/>
      <c r="S244" s="510"/>
      <c r="T244" s="510"/>
      <c r="U244" s="510"/>
    </row>
    <row r="245" ht="27.0" customHeight="1">
      <c r="A245" s="510"/>
      <c r="B245" s="510"/>
      <c r="C245" s="510"/>
      <c r="D245" s="510"/>
      <c r="E245" s="510"/>
      <c r="F245" s="510"/>
      <c r="G245" s="510"/>
      <c r="H245" s="510"/>
      <c r="I245" s="510"/>
      <c r="J245" s="510"/>
      <c r="K245" s="510"/>
      <c r="L245" s="510"/>
      <c r="M245" s="510"/>
      <c r="N245" s="510"/>
      <c r="O245" s="510"/>
      <c r="P245" s="510"/>
      <c r="Q245" s="510"/>
      <c r="R245" s="510"/>
      <c r="S245" s="510"/>
      <c r="T245" s="510"/>
      <c r="U245" s="510"/>
    </row>
    <row r="246" ht="27.0" customHeight="1">
      <c r="A246" s="510"/>
      <c r="B246" s="510"/>
      <c r="C246" s="510"/>
      <c r="D246" s="510"/>
      <c r="E246" s="510"/>
      <c r="F246" s="510"/>
      <c r="G246" s="510"/>
      <c r="H246" s="510"/>
      <c r="I246" s="510"/>
      <c r="J246" s="510"/>
      <c r="K246" s="510"/>
      <c r="L246" s="510"/>
      <c r="M246" s="510"/>
      <c r="N246" s="510"/>
      <c r="O246" s="510"/>
      <c r="P246" s="510"/>
      <c r="Q246" s="510"/>
      <c r="R246" s="510"/>
      <c r="S246" s="510"/>
      <c r="T246" s="510"/>
      <c r="U246" s="510"/>
    </row>
    <row r="247" ht="27.0" customHeight="1">
      <c r="A247" s="510"/>
      <c r="B247" s="510"/>
      <c r="C247" s="510"/>
      <c r="D247" s="510"/>
      <c r="E247" s="510"/>
      <c r="F247" s="510"/>
      <c r="G247" s="510"/>
      <c r="H247" s="510"/>
      <c r="I247" s="510"/>
      <c r="J247" s="510"/>
      <c r="K247" s="510"/>
      <c r="L247" s="510"/>
      <c r="M247" s="510"/>
      <c r="N247" s="510"/>
      <c r="O247" s="510"/>
      <c r="P247" s="510"/>
      <c r="Q247" s="510"/>
      <c r="R247" s="510"/>
      <c r="S247" s="510"/>
      <c r="T247" s="510"/>
      <c r="U247" s="510"/>
    </row>
    <row r="248" ht="27.0" customHeight="1">
      <c r="A248" s="510"/>
      <c r="B248" s="510"/>
      <c r="C248" s="510"/>
      <c r="D248" s="510"/>
      <c r="E248" s="510"/>
      <c r="F248" s="510"/>
      <c r="G248" s="510"/>
      <c r="H248" s="510"/>
      <c r="I248" s="510"/>
      <c r="J248" s="510"/>
      <c r="K248" s="510"/>
      <c r="L248" s="510"/>
      <c r="M248" s="510"/>
      <c r="N248" s="510"/>
      <c r="O248" s="510"/>
      <c r="P248" s="510"/>
      <c r="Q248" s="510"/>
      <c r="R248" s="510"/>
      <c r="S248" s="510"/>
      <c r="T248" s="510"/>
      <c r="U248" s="510"/>
    </row>
    <row r="249" ht="27.0" customHeight="1">
      <c r="A249" s="510"/>
      <c r="B249" s="510"/>
      <c r="C249" s="510"/>
      <c r="D249" s="510"/>
      <c r="E249" s="510"/>
      <c r="F249" s="510"/>
      <c r="G249" s="510"/>
      <c r="H249" s="510"/>
      <c r="I249" s="510"/>
      <c r="J249" s="510"/>
      <c r="K249" s="510"/>
      <c r="L249" s="510"/>
      <c r="M249" s="510"/>
      <c r="N249" s="510"/>
      <c r="O249" s="510"/>
      <c r="P249" s="510"/>
      <c r="Q249" s="510"/>
      <c r="R249" s="510"/>
      <c r="S249" s="510"/>
      <c r="T249" s="510"/>
      <c r="U249" s="510"/>
    </row>
    <row r="250" ht="27.0" customHeight="1">
      <c r="A250" s="510"/>
      <c r="B250" s="510"/>
      <c r="C250" s="510"/>
      <c r="D250" s="510"/>
      <c r="E250" s="510"/>
      <c r="F250" s="510"/>
      <c r="G250" s="510"/>
      <c r="H250" s="510"/>
      <c r="I250" s="510"/>
      <c r="J250" s="510"/>
      <c r="K250" s="510"/>
      <c r="L250" s="510"/>
      <c r="M250" s="510"/>
      <c r="N250" s="510"/>
      <c r="O250" s="510"/>
      <c r="P250" s="510"/>
      <c r="Q250" s="510"/>
      <c r="R250" s="510"/>
      <c r="S250" s="510"/>
      <c r="T250" s="510"/>
      <c r="U250" s="510"/>
    </row>
    <row r="251" ht="27.0" customHeight="1">
      <c r="A251" s="510"/>
      <c r="B251" s="510"/>
      <c r="C251" s="510"/>
      <c r="D251" s="510"/>
      <c r="E251" s="510"/>
      <c r="F251" s="510"/>
      <c r="G251" s="510"/>
      <c r="H251" s="510"/>
      <c r="I251" s="510"/>
      <c r="J251" s="510"/>
      <c r="K251" s="510"/>
      <c r="L251" s="510"/>
      <c r="M251" s="510"/>
      <c r="N251" s="510"/>
      <c r="O251" s="510"/>
      <c r="P251" s="510"/>
      <c r="Q251" s="510"/>
      <c r="R251" s="510"/>
      <c r="S251" s="510"/>
      <c r="T251" s="510"/>
      <c r="U251" s="510"/>
    </row>
    <row r="252" ht="27.0" customHeight="1">
      <c r="A252" s="510"/>
      <c r="B252" s="510"/>
      <c r="C252" s="510"/>
      <c r="D252" s="510"/>
      <c r="E252" s="510"/>
      <c r="F252" s="510"/>
      <c r="G252" s="510"/>
      <c r="H252" s="510"/>
      <c r="I252" s="510"/>
      <c r="J252" s="510"/>
      <c r="K252" s="510"/>
      <c r="L252" s="510"/>
      <c r="M252" s="510"/>
      <c r="N252" s="510"/>
      <c r="O252" s="510"/>
      <c r="P252" s="510"/>
      <c r="Q252" s="510"/>
      <c r="R252" s="510"/>
      <c r="S252" s="510"/>
      <c r="T252" s="510"/>
      <c r="U252" s="510"/>
    </row>
    <row r="253" ht="27.0" customHeight="1">
      <c r="A253" s="510"/>
      <c r="B253" s="510"/>
      <c r="C253" s="510"/>
      <c r="D253" s="510"/>
      <c r="E253" s="510"/>
      <c r="F253" s="510"/>
      <c r="G253" s="510"/>
      <c r="H253" s="510"/>
      <c r="I253" s="510"/>
      <c r="J253" s="510"/>
      <c r="K253" s="510"/>
      <c r="L253" s="510"/>
      <c r="M253" s="510"/>
      <c r="N253" s="510"/>
      <c r="O253" s="510"/>
      <c r="P253" s="510"/>
      <c r="Q253" s="510"/>
      <c r="R253" s="510"/>
      <c r="S253" s="510"/>
      <c r="T253" s="510"/>
      <c r="U253" s="510"/>
    </row>
    <row r="254" ht="27.0" customHeight="1">
      <c r="A254" s="510"/>
      <c r="B254" s="510"/>
      <c r="C254" s="510"/>
      <c r="D254" s="510"/>
      <c r="E254" s="510"/>
      <c r="F254" s="510"/>
      <c r="G254" s="510"/>
      <c r="H254" s="510"/>
      <c r="I254" s="510"/>
      <c r="J254" s="510"/>
      <c r="K254" s="510"/>
      <c r="L254" s="510"/>
      <c r="M254" s="510"/>
      <c r="N254" s="510"/>
      <c r="O254" s="510"/>
      <c r="P254" s="510"/>
      <c r="Q254" s="510"/>
      <c r="R254" s="510"/>
      <c r="S254" s="510"/>
      <c r="T254" s="510"/>
      <c r="U254" s="510"/>
    </row>
    <row r="255" ht="27.0" customHeight="1">
      <c r="A255" s="510"/>
      <c r="B255" s="510"/>
      <c r="C255" s="510"/>
      <c r="D255" s="510"/>
      <c r="E255" s="510"/>
      <c r="F255" s="510"/>
      <c r="G255" s="510"/>
      <c r="H255" s="510"/>
      <c r="I255" s="510"/>
      <c r="J255" s="510"/>
      <c r="K255" s="510"/>
      <c r="L255" s="510"/>
      <c r="M255" s="510"/>
      <c r="N255" s="510"/>
      <c r="O255" s="510"/>
      <c r="P255" s="510"/>
      <c r="Q255" s="510"/>
      <c r="R255" s="510"/>
      <c r="S255" s="510"/>
      <c r="T255" s="510"/>
      <c r="U255" s="510"/>
    </row>
    <row r="256" ht="27.0" customHeight="1">
      <c r="A256" s="510"/>
      <c r="B256" s="510"/>
      <c r="C256" s="510"/>
      <c r="D256" s="510"/>
      <c r="E256" s="510"/>
      <c r="F256" s="510"/>
      <c r="G256" s="510"/>
      <c r="H256" s="510"/>
      <c r="I256" s="510"/>
      <c r="J256" s="510"/>
      <c r="K256" s="510"/>
      <c r="L256" s="510"/>
      <c r="M256" s="510"/>
      <c r="N256" s="510"/>
      <c r="O256" s="510"/>
      <c r="P256" s="510"/>
      <c r="Q256" s="510"/>
      <c r="R256" s="510"/>
      <c r="S256" s="510"/>
      <c r="T256" s="510"/>
      <c r="U256" s="510"/>
    </row>
    <row r="257" ht="27.0" customHeight="1">
      <c r="A257" s="510"/>
      <c r="B257" s="510"/>
      <c r="C257" s="510"/>
      <c r="D257" s="510"/>
      <c r="E257" s="510"/>
      <c r="F257" s="510"/>
      <c r="G257" s="510"/>
      <c r="H257" s="510"/>
      <c r="I257" s="510"/>
      <c r="J257" s="510"/>
      <c r="K257" s="510"/>
      <c r="L257" s="510"/>
      <c r="M257" s="510"/>
      <c r="N257" s="510"/>
      <c r="O257" s="510"/>
      <c r="P257" s="510"/>
      <c r="Q257" s="510"/>
      <c r="R257" s="510"/>
      <c r="S257" s="510"/>
      <c r="T257" s="510"/>
      <c r="U257" s="510"/>
    </row>
    <row r="258" ht="27.0" customHeight="1">
      <c r="A258" s="510"/>
      <c r="B258" s="510"/>
      <c r="C258" s="510"/>
      <c r="D258" s="510"/>
      <c r="E258" s="510"/>
      <c r="F258" s="510"/>
      <c r="G258" s="510"/>
      <c r="H258" s="510"/>
      <c r="I258" s="510"/>
      <c r="J258" s="510"/>
      <c r="K258" s="510"/>
      <c r="L258" s="510"/>
      <c r="M258" s="510"/>
      <c r="N258" s="510"/>
      <c r="O258" s="510"/>
      <c r="P258" s="510"/>
      <c r="Q258" s="510"/>
      <c r="R258" s="510"/>
      <c r="S258" s="510"/>
      <c r="T258" s="510"/>
      <c r="U258" s="510"/>
    </row>
    <row r="259" ht="27.0" customHeight="1">
      <c r="A259" s="510"/>
      <c r="B259" s="510"/>
      <c r="C259" s="510"/>
      <c r="D259" s="510"/>
      <c r="E259" s="510"/>
      <c r="F259" s="510"/>
      <c r="G259" s="510"/>
      <c r="H259" s="510"/>
      <c r="I259" s="510"/>
      <c r="J259" s="510"/>
      <c r="K259" s="510"/>
      <c r="L259" s="510"/>
      <c r="M259" s="510"/>
      <c r="N259" s="510"/>
      <c r="O259" s="510"/>
      <c r="P259" s="510"/>
      <c r="Q259" s="510"/>
      <c r="R259" s="510"/>
      <c r="S259" s="510"/>
      <c r="T259" s="510"/>
      <c r="U259" s="510"/>
    </row>
    <row r="260" ht="27.0" customHeight="1">
      <c r="A260" s="510"/>
      <c r="B260" s="510"/>
      <c r="C260" s="510"/>
      <c r="D260" s="510"/>
      <c r="E260" s="510"/>
      <c r="F260" s="510"/>
      <c r="G260" s="510"/>
      <c r="H260" s="510"/>
      <c r="I260" s="510"/>
      <c r="J260" s="510"/>
      <c r="K260" s="510"/>
      <c r="L260" s="510"/>
      <c r="M260" s="510"/>
      <c r="N260" s="510"/>
      <c r="O260" s="510"/>
      <c r="P260" s="510"/>
      <c r="Q260" s="510"/>
      <c r="R260" s="510"/>
      <c r="S260" s="510"/>
      <c r="T260" s="510"/>
      <c r="U260" s="510"/>
    </row>
    <row r="261" ht="27.0" customHeight="1">
      <c r="A261" s="510"/>
      <c r="B261" s="510"/>
      <c r="C261" s="510"/>
      <c r="D261" s="510"/>
      <c r="E261" s="510"/>
      <c r="F261" s="510"/>
      <c r="G261" s="510"/>
      <c r="H261" s="510"/>
      <c r="I261" s="510"/>
      <c r="J261" s="510"/>
      <c r="K261" s="510"/>
      <c r="L261" s="510"/>
      <c r="M261" s="510"/>
      <c r="N261" s="510"/>
      <c r="O261" s="510"/>
      <c r="P261" s="510"/>
      <c r="Q261" s="510"/>
      <c r="R261" s="510"/>
      <c r="S261" s="510"/>
      <c r="T261" s="510"/>
      <c r="U261" s="510"/>
    </row>
    <row r="262" ht="27.0" customHeight="1">
      <c r="A262" s="510"/>
      <c r="B262" s="510"/>
      <c r="C262" s="510"/>
      <c r="D262" s="510"/>
      <c r="E262" s="510"/>
      <c r="F262" s="510"/>
      <c r="G262" s="510"/>
      <c r="H262" s="510"/>
      <c r="I262" s="510"/>
      <c r="J262" s="510"/>
      <c r="K262" s="510"/>
      <c r="L262" s="510"/>
      <c r="M262" s="510"/>
      <c r="N262" s="510"/>
      <c r="O262" s="510"/>
      <c r="P262" s="510"/>
      <c r="Q262" s="510"/>
      <c r="R262" s="510"/>
      <c r="S262" s="510"/>
      <c r="T262" s="510"/>
      <c r="U262" s="510"/>
    </row>
    <row r="263" ht="27.0" customHeight="1">
      <c r="A263" s="510"/>
      <c r="B263" s="510"/>
      <c r="C263" s="510"/>
      <c r="D263" s="510"/>
      <c r="E263" s="510"/>
      <c r="F263" s="510"/>
      <c r="G263" s="510"/>
      <c r="H263" s="510"/>
      <c r="I263" s="510"/>
      <c r="J263" s="510"/>
      <c r="K263" s="510"/>
      <c r="L263" s="510"/>
      <c r="M263" s="510"/>
      <c r="N263" s="510"/>
      <c r="O263" s="510"/>
      <c r="P263" s="510"/>
      <c r="Q263" s="510"/>
      <c r="R263" s="510"/>
      <c r="S263" s="510"/>
      <c r="T263" s="510"/>
      <c r="U263" s="510"/>
    </row>
    <row r="264" ht="27.0" customHeight="1">
      <c r="A264" s="510"/>
      <c r="B264" s="510"/>
      <c r="C264" s="510"/>
      <c r="D264" s="510"/>
      <c r="E264" s="510"/>
      <c r="F264" s="510"/>
      <c r="G264" s="510"/>
      <c r="H264" s="510"/>
      <c r="I264" s="510"/>
      <c r="J264" s="510"/>
      <c r="K264" s="510"/>
      <c r="L264" s="510"/>
      <c r="M264" s="510"/>
      <c r="N264" s="510"/>
      <c r="O264" s="510"/>
      <c r="P264" s="510"/>
      <c r="Q264" s="510"/>
      <c r="R264" s="510"/>
      <c r="S264" s="510"/>
      <c r="T264" s="510"/>
      <c r="U264" s="510"/>
    </row>
    <row r="265" ht="27.0" customHeight="1">
      <c r="A265" s="510"/>
      <c r="B265" s="510"/>
      <c r="C265" s="510"/>
      <c r="D265" s="510"/>
      <c r="E265" s="510"/>
      <c r="F265" s="510"/>
      <c r="G265" s="510"/>
      <c r="H265" s="510"/>
      <c r="I265" s="510"/>
      <c r="J265" s="510"/>
      <c r="K265" s="510"/>
      <c r="L265" s="510"/>
      <c r="M265" s="510"/>
      <c r="N265" s="510"/>
      <c r="O265" s="510"/>
      <c r="P265" s="510"/>
      <c r="Q265" s="510"/>
      <c r="R265" s="510"/>
      <c r="S265" s="510"/>
      <c r="T265" s="510"/>
      <c r="U265" s="510"/>
    </row>
    <row r="266" ht="27.0" customHeight="1">
      <c r="A266" s="510"/>
      <c r="B266" s="510"/>
      <c r="C266" s="510"/>
      <c r="D266" s="510"/>
      <c r="E266" s="510"/>
      <c r="F266" s="510"/>
      <c r="G266" s="510"/>
      <c r="H266" s="510"/>
      <c r="I266" s="510"/>
      <c r="J266" s="510"/>
      <c r="K266" s="510"/>
      <c r="L266" s="510"/>
      <c r="M266" s="510"/>
      <c r="N266" s="510"/>
      <c r="O266" s="510"/>
      <c r="P266" s="510"/>
      <c r="Q266" s="510"/>
      <c r="R266" s="510"/>
      <c r="S266" s="510"/>
      <c r="T266" s="510"/>
      <c r="U266" s="510"/>
    </row>
    <row r="267" ht="27.0" customHeight="1">
      <c r="A267" s="510"/>
      <c r="B267" s="510"/>
      <c r="C267" s="510"/>
      <c r="D267" s="510"/>
      <c r="E267" s="510"/>
      <c r="F267" s="510"/>
      <c r="G267" s="510"/>
      <c r="H267" s="510"/>
      <c r="I267" s="510"/>
      <c r="J267" s="510"/>
      <c r="K267" s="510"/>
      <c r="L267" s="510"/>
      <c r="M267" s="510"/>
      <c r="N267" s="510"/>
      <c r="O267" s="510"/>
      <c r="P267" s="510"/>
      <c r="Q267" s="510"/>
      <c r="R267" s="510"/>
      <c r="S267" s="510"/>
      <c r="T267" s="510"/>
      <c r="U267" s="510"/>
    </row>
    <row r="268" ht="27.0" customHeight="1">
      <c r="A268" s="510"/>
      <c r="B268" s="510"/>
      <c r="C268" s="510"/>
      <c r="D268" s="510"/>
      <c r="E268" s="510"/>
      <c r="F268" s="510"/>
      <c r="G268" s="510"/>
      <c r="H268" s="510"/>
      <c r="I268" s="510"/>
      <c r="J268" s="510"/>
      <c r="K268" s="510"/>
      <c r="L268" s="510"/>
      <c r="M268" s="510"/>
      <c r="N268" s="510"/>
      <c r="O268" s="510"/>
      <c r="P268" s="510"/>
      <c r="Q268" s="510"/>
      <c r="R268" s="510"/>
      <c r="S268" s="510"/>
      <c r="T268" s="510"/>
      <c r="U268" s="510"/>
    </row>
    <row r="269" ht="27.0" customHeight="1">
      <c r="A269" s="510"/>
      <c r="B269" s="510"/>
      <c r="C269" s="510"/>
      <c r="D269" s="510"/>
      <c r="E269" s="510"/>
      <c r="F269" s="510"/>
      <c r="G269" s="510"/>
      <c r="H269" s="510"/>
      <c r="I269" s="510"/>
      <c r="J269" s="510"/>
      <c r="K269" s="510"/>
      <c r="L269" s="510"/>
      <c r="M269" s="510"/>
      <c r="N269" s="510"/>
      <c r="O269" s="510"/>
      <c r="P269" s="510"/>
      <c r="Q269" s="510"/>
      <c r="R269" s="510"/>
      <c r="S269" s="510"/>
      <c r="T269" s="510"/>
      <c r="U269" s="510"/>
    </row>
    <row r="270" ht="27.0" customHeight="1">
      <c r="A270" s="510"/>
      <c r="B270" s="510"/>
      <c r="C270" s="510"/>
      <c r="D270" s="510"/>
      <c r="E270" s="510"/>
      <c r="F270" s="510"/>
      <c r="G270" s="510"/>
      <c r="H270" s="510"/>
      <c r="I270" s="510"/>
      <c r="J270" s="510"/>
      <c r="K270" s="510"/>
      <c r="L270" s="510"/>
      <c r="M270" s="510"/>
      <c r="N270" s="510"/>
      <c r="O270" s="510"/>
      <c r="P270" s="510"/>
      <c r="Q270" s="510"/>
      <c r="R270" s="510"/>
      <c r="S270" s="510"/>
      <c r="T270" s="510"/>
      <c r="U270" s="510"/>
    </row>
    <row r="271" ht="27.0" customHeight="1">
      <c r="A271" s="510"/>
      <c r="B271" s="510"/>
      <c r="C271" s="510"/>
      <c r="D271" s="510"/>
      <c r="E271" s="510"/>
      <c r="F271" s="510"/>
      <c r="G271" s="510"/>
      <c r="H271" s="510"/>
      <c r="I271" s="510"/>
      <c r="J271" s="510"/>
      <c r="K271" s="510"/>
      <c r="L271" s="510"/>
      <c r="M271" s="510"/>
      <c r="N271" s="510"/>
      <c r="O271" s="510"/>
      <c r="P271" s="510"/>
      <c r="Q271" s="510"/>
      <c r="R271" s="510"/>
      <c r="S271" s="510"/>
      <c r="T271" s="510"/>
      <c r="U271" s="510"/>
    </row>
    <row r="272" ht="27.0" customHeight="1">
      <c r="A272" s="510"/>
      <c r="B272" s="510"/>
      <c r="C272" s="510"/>
      <c r="D272" s="510"/>
      <c r="E272" s="510"/>
      <c r="F272" s="510"/>
      <c r="G272" s="510"/>
      <c r="H272" s="510"/>
      <c r="I272" s="510"/>
      <c r="J272" s="510"/>
      <c r="K272" s="510"/>
      <c r="L272" s="510"/>
      <c r="M272" s="510"/>
      <c r="N272" s="510"/>
      <c r="O272" s="510"/>
      <c r="P272" s="510"/>
      <c r="Q272" s="510"/>
      <c r="R272" s="510"/>
      <c r="S272" s="510"/>
      <c r="T272" s="510"/>
      <c r="U272" s="510"/>
    </row>
    <row r="273" ht="27.0" customHeight="1">
      <c r="A273" s="510"/>
      <c r="B273" s="510"/>
      <c r="C273" s="510"/>
      <c r="D273" s="510"/>
      <c r="E273" s="510"/>
      <c r="F273" s="510"/>
      <c r="G273" s="510"/>
      <c r="H273" s="510"/>
      <c r="I273" s="510"/>
      <c r="J273" s="510"/>
      <c r="K273" s="510"/>
      <c r="L273" s="510"/>
      <c r="M273" s="510"/>
      <c r="N273" s="510"/>
      <c r="O273" s="510"/>
      <c r="P273" s="510"/>
      <c r="Q273" s="510"/>
      <c r="R273" s="510"/>
      <c r="S273" s="510"/>
      <c r="T273" s="510"/>
      <c r="U273" s="510"/>
    </row>
    <row r="274" ht="27.0" customHeight="1">
      <c r="A274" s="510"/>
      <c r="B274" s="510"/>
      <c r="C274" s="510"/>
      <c r="D274" s="510"/>
      <c r="E274" s="510"/>
      <c r="F274" s="510"/>
      <c r="G274" s="510"/>
      <c r="H274" s="510"/>
      <c r="I274" s="510"/>
      <c r="J274" s="510"/>
      <c r="K274" s="510"/>
      <c r="L274" s="510"/>
      <c r="M274" s="510"/>
      <c r="N274" s="510"/>
      <c r="O274" s="510"/>
      <c r="P274" s="510"/>
      <c r="Q274" s="510"/>
      <c r="R274" s="510"/>
      <c r="S274" s="510"/>
      <c r="T274" s="510"/>
      <c r="U274" s="510"/>
    </row>
    <row r="275" ht="27.0" customHeight="1">
      <c r="A275" s="510"/>
      <c r="B275" s="510"/>
      <c r="C275" s="510"/>
      <c r="D275" s="510"/>
      <c r="E275" s="510"/>
      <c r="F275" s="510"/>
      <c r="G275" s="510"/>
      <c r="H275" s="510"/>
      <c r="I275" s="510"/>
      <c r="J275" s="510"/>
      <c r="K275" s="510"/>
      <c r="L275" s="510"/>
      <c r="M275" s="510"/>
      <c r="N275" s="510"/>
      <c r="O275" s="510"/>
      <c r="P275" s="510"/>
      <c r="Q275" s="510"/>
      <c r="R275" s="510"/>
      <c r="S275" s="510"/>
      <c r="T275" s="510"/>
      <c r="U275" s="510"/>
    </row>
    <row r="276" ht="27.0" customHeight="1">
      <c r="A276" s="510"/>
      <c r="B276" s="510"/>
      <c r="C276" s="510"/>
      <c r="D276" s="510"/>
      <c r="E276" s="510"/>
      <c r="F276" s="510"/>
      <c r="G276" s="510"/>
      <c r="H276" s="510"/>
      <c r="I276" s="510"/>
      <c r="J276" s="510"/>
      <c r="K276" s="510"/>
      <c r="L276" s="510"/>
      <c r="M276" s="510"/>
      <c r="N276" s="510"/>
      <c r="O276" s="510"/>
      <c r="P276" s="510"/>
      <c r="Q276" s="510"/>
      <c r="R276" s="510"/>
      <c r="S276" s="510"/>
      <c r="T276" s="510"/>
      <c r="U276" s="510"/>
    </row>
    <row r="277" ht="27.0" customHeight="1">
      <c r="A277" s="510"/>
      <c r="B277" s="510"/>
      <c r="C277" s="510"/>
      <c r="D277" s="510"/>
      <c r="E277" s="510"/>
      <c r="F277" s="510"/>
      <c r="G277" s="510"/>
      <c r="H277" s="510"/>
      <c r="I277" s="510"/>
      <c r="J277" s="510"/>
      <c r="K277" s="510"/>
      <c r="L277" s="510"/>
      <c r="M277" s="510"/>
      <c r="N277" s="510"/>
      <c r="O277" s="510"/>
      <c r="P277" s="510"/>
      <c r="Q277" s="510"/>
      <c r="R277" s="510"/>
      <c r="S277" s="510"/>
      <c r="T277" s="510"/>
      <c r="U277" s="510"/>
    </row>
    <row r="278" ht="27.0" customHeight="1">
      <c r="A278" s="510"/>
      <c r="B278" s="510"/>
      <c r="C278" s="510"/>
      <c r="D278" s="510"/>
      <c r="E278" s="510"/>
      <c r="F278" s="510"/>
      <c r="G278" s="510"/>
      <c r="H278" s="510"/>
      <c r="I278" s="510"/>
      <c r="J278" s="510"/>
      <c r="K278" s="510"/>
      <c r="L278" s="510"/>
      <c r="M278" s="510"/>
      <c r="N278" s="510"/>
      <c r="O278" s="510"/>
      <c r="P278" s="510"/>
      <c r="Q278" s="510"/>
      <c r="R278" s="510"/>
      <c r="S278" s="510"/>
      <c r="T278" s="510"/>
      <c r="U278" s="510"/>
    </row>
    <row r="279" ht="27.0" customHeight="1">
      <c r="A279" s="510"/>
      <c r="B279" s="510"/>
      <c r="C279" s="510"/>
      <c r="D279" s="510"/>
      <c r="E279" s="510"/>
      <c r="F279" s="510"/>
      <c r="G279" s="510"/>
      <c r="H279" s="510"/>
      <c r="I279" s="510"/>
      <c r="J279" s="510"/>
      <c r="K279" s="510"/>
      <c r="L279" s="510"/>
      <c r="M279" s="510"/>
      <c r="N279" s="510"/>
      <c r="O279" s="510"/>
      <c r="P279" s="510"/>
      <c r="Q279" s="510"/>
      <c r="R279" s="510"/>
      <c r="S279" s="510"/>
      <c r="T279" s="510"/>
      <c r="U279" s="510"/>
    </row>
    <row r="280" ht="27.0" customHeight="1">
      <c r="A280" s="510"/>
      <c r="B280" s="510"/>
      <c r="C280" s="510"/>
      <c r="D280" s="510"/>
      <c r="E280" s="510"/>
      <c r="F280" s="510"/>
      <c r="G280" s="510"/>
      <c r="H280" s="510"/>
      <c r="I280" s="510"/>
      <c r="J280" s="510"/>
      <c r="K280" s="510"/>
      <c r="L280" s="510"/>
      <c r="M280" s="510"/>
      <c r="N280" s="510"/>
      <c r="O280" s="510"/>
      <c r="P280" s="510"/>
      <c r="Q280" s="510"/>
      <c r="R280" s="510"/>
      <c r="S280" s="510"/>
      <c r="T280" s="510"/>
      <c r="U280" s="510"/>
    </row>
    <row r="281" ht="27.0" customHeight="1">
      <c r="A281" s="510"/>
      <c r="B281" s="510"/>
      <c r="C281" s="510"/>
      <c r="D281" s="510"/>
      <c r="E281" s="510"/>
      <c r="F281" s="510"/>
      <c r="G281" s="510"/>
      <c r="H281" s="510"/>
      <c r="I281" s="510"/>
      <c r="J281" s="510"/>
      <c r="K281" s="510"/>
      <c r="L281" s="510"/>
      <c r="M281" s="510"/>
      <c r="N281" s="510"/>
      <c r="O281" s="510"/>
      <c r="P281" s="510"/>
      <c r="Q281" s="510"/>
      <c r="R281" s="510"/>
      <c r="S281" s="510"/>
      <c r="T281" s="510"/>
      <c r="U281" s="510"/>
    </row>
    <row r="282" ht="27.0" customHeight="1">
      <c r="A282" s="510"/>
      <c r="B282" s="510"/>
      <c r="C282" s="510"/>
      <c r="D282" s="510"/>
      <c r="E282" s="510"/>
      <c r="F282" s="510"/>
      <c r="G282" s="510"/>
      <c r="H282" s="510"/>
      <c r="I282" s="510"/>
      <c r="J282" s="510"/>
      <c r="K282" s="510"/>
      <c r="L282" s="510"/>
      <c r="M282" s="510"/>
      <c r="N282" s="510"/>
      <c r="O282" s="510"/>
      <c r="P282" s="510"/>
      <c r="Q282" s="510"/>
      <c r="R282" s="510"/>
      <c r="S282" s="510"/>
      <c r="T282" s="510"/>
      <c r="U282" s="510"/>
    </row>
    <row r="283" ht="27.0" customHeight="1">
      <c r="A283" s="510"/>
      <c r="B283" s="510"/>
      <c r="C283" s="510"/>
      <c r="D283" s="510"/>
      <c r="E283" s="510"/>
      <c r="F283" s="510"/>
      <c r="G283" s="510"/>
      <c r="H283" s="510"/>
      <c r="I283" s="510"/>
      <c r="J283" s="510"/>
      <c r="K283" s="510"/>
      <c r="L283" s="510"/>
      <c r="M283" s="510"/>
      <c r="N283" s="510"/>
      <c r="O283" s="510"/>
      <c r="P283" s="510"/>
      <c r="Q283" s="510"/>
      <c r="R283" s="510"/>
      <c r="S283" s="510"/>
      <c r="T283" s="510"/>
      <c r="U283" s="510"/>
    </row>
    <row r="284" ht="27.0" customHeight="1">
      <c r="A284" s="510"/>
      <c r="B284" s="510"/>
      <c r="C284" s="510"/>
      <c r="D284" s="510"/>
      <c r="E284" s="510"/>
      <c r="F284" s="510"/>
      <c r="G284" s="510"/>
      <c r="H284" s="510"/>
      <c r="I284" s="510"/>
      <c r="J284" s="510"/>
      <c r="K284" s="510"/>
      <c r="L284" s="510"/>
      <c r="M284" s="510"/>
      <c r="N284" s="510"/>
      <c r="O284" s="510"/>
      <c r="P284" s="510"/>
      <c r="Q284" s="510"/>
      <c r="R284" s="510"/>
      <c r="S284" s="510"/>
      <c r="T284" s="510"/>
      <c r="U284" s="510"/>
    </row>
    <row r="285" ht="27.0" customHeight="1">
      <c r="A285" s="510"/>
      <c r="B285" s="510"/>
      <c r="C285" s="510"/>
      <c r="D285" s="510"/>
      <c r="E285" s="510"/>
      <c r="F285" s="510"/>
      <c r="G285" s="510"/>
      <c r="H285" s="510"/>
      <c r="I285" s="510"/>
      <c r="J285" s="510"/>
      <c r="K285" s="510"/>
      <c r="L285" s="510"/>
      <c r="M285" s="510"/>
      <c r="N285" s="510"/>
      <c r="O285" s="510"/>
      <c r="P285" s="510"/>
      <c r="Q285" s="510"/>
      <c r="R285" s="510"/>
      <c r="S285" s="510"/>
      <c r="T285" s="510"/>
      <c r="U285" s="510"/>
    </row>
    <row r="286" ht="27.0" customHeight="1">
      <c r="A286" s="510"/>
      <c r="B286" s="510"/>
      <c r="C286" s="510"/>
      <c r="D286" s="510"/>
      <c r="E286" s="510"/>
      <c r="F286" s="510"/>
      <c r="G286" s="510"/>
      <c r="H286" s="510"/>
      <c r="I286" s="510"/>
      <c r="J286" s="510"/>
      <c r="K286" s="510"/>
      <c r="L286" s="510"/>
      <c r="M286" s="510"/>
      <c r="N286" s="510"/>
      <c r="O286" s="510"/>
      <c r="P286" s="510"/>
      <c r="Q286" s="510"/>
      <c r="R286" s="510"/>
      <c r="S286" s="510"/>
      <c r="T286" s="510"/>
      <c r="U286" s="510"/>
    </row>
    <row r="287" ht="27.0" customHeight="1">
      <c r="A287" s="510"/>
      <c r="B287" s="510"/>
      <c r="C287" s="510"/>
      <c r="D287" s="510"/>
      <c r="E287" s="510"/>
      <c r="F287" s="510"/>
      <c r="G287" s="510"/>
      <c r="H287" s="510"/>
      <c r="I287" s="510"/>
      <c r="J287" s="510"/>
      <c r="K287" s="510"/>
      <c r="L287" s="510"/>
      <c r="M287" s="510"/>
      <c r="N287" s="510"/>
      <c r="O287" s="510"/>
      <c r="P287" s="510"/>
      <c r="Q287" s="510"/>
      <c r="R287" s="510"/>
      <c r="S287" s="510"/>
      <c r="T287" s="510"/>
      <c r="U287" s="510"/>
    </row>
    <row r="288" ht="27.0" customHeight="1">
      <c r="A288" s="510"/>
      <c r="B288" s="510"/>
      <c r="C288" s="510"/>
      <c r="D288" s="510"/>
      <c r="E288" s="510"/>
      <c r="F288" s="510"/>
      <c r="G288" s="510"/>
      <c r="H288" s="510"/>
      <c r="I288" s="510"/>
      <c r="J288" s="510"/>
      <c r="K288" s="510"/>
      <c r="L288" s="510"/>
      <c r="M288" s="510"/>
      <c r="N288" s="510"/>
      <c r="O288" s="510"/>
      <c r="P288" s="510"/>
      <c r="Q288" s="510"/>
      <c r="R288" s="510"/>
      <c r="S288" s="510"/>
      <c r="T288" s="510"/>
      <c r="U288" s="510"/>
    </row>
    <row r="289" ht="27.0" customHeight="1">
      <c r="A289" s="510"/>
      <c r="B289" s="510"/>
      <c r="C289" s="510"/>
      <c r="D289" s="510"/>
      <c r="E289" s="510"/>
      <c r="F289" s="510"/>
      <c r="G289" s="510"/>
      <c r="H289" s="510"/>
      <c r="I289" s="510"/>
      <c r="J289" s="510"/>
      <c r="K289" s="510"/>
      <c r="L289" s="510"/>
      <c r="M289" s="510"/>
      <c r="N289" s="510"/>
      <c r="O289" s="510"/>
      <c r="P289" s="510"/>
      <c r="Q289" s="510"/>
      <c r="R289" s="510"/>
      <c r="S289" s="510"/>
      <c r="T289" s="510"/>
      <c r="U289" s="510"/>
    </row>
    <row r="290" ht="27.0" customHeight="1">
      <c r="A290" s="510"/>
      <c r="B290" s="510"/>
      <c r="C290" s="510"/>
      <c r="D290" s="510"/>
      <c r="E290" s="510"/>
      <c r="F290" s="510"/>
      <c r="G290" s="510"/>
      <c r="H290" s="510"/>
      <c r="I290" s="510"/>
      <c r="J290" s="510"/>
      <c r="K290" s="510"/>
      <c r="L290" s="510"/>
      <c r="M290" s="510"/>
      <c r="N290" s="510"/>
      <c r="O290" s="510"/>
      <c r="P290" s="510"/>
      <c r="Q290" s="510"/>
      <c r="R290" s="510"/>
      <c r="S290" s="510"/>
      <c r="T290" s="510"/>
      <c r="U290" s="510"/>
    </row>
    <row r="291" ht="27.0" customHeight="1">
      <c r="A291" s="510"/>
      <c r="B291" s="510"/>
      <c r="C291" s="510"/>
      <c r="D291" s="510"/>
      <c r="E291" s="510"/>
      <c r="F291" s="510"/>
      <c r="G291" s="510"/>
      <c r="H291" s="510"/>
      <c r="I291" s="510"/>
      <c r="J291" s="510"/>
      <c r="K291" s="510"/>
      <c r="L291" s="510"/>
      <c r="M291" s="510"/>
      <c r="N291" s="510"/>
      <c r="O291" s="510"/>
      <c r="P291" s="510"/>
      <c r="Q291" s="510"/>
      <c r="R291" s="510"/>
      <c r="S291" s="510"/>
      <c r="T291" s="510"/>
      <c r="U291" s="510"/>
    </row>
    <row r="292" ht="27.0" customHeight="1">
      <c r="A292" s="510"/>
      <c r="B292" s="510"/>
      <c r="C292" s="510"/>
      <c r="D292" s="510"/>
      <c r="E292" s="510"/>
      <c r="F292" s="510"/>
      <c r="G292" s="510"/>
      <c r="H292" s="510"/>
      <c r="I292" s="510"/>
      <c r="J292" s="510"/>
      <c r="K292" s="510"/>
      <c r="L292" s="510"/>
      <c r="M292" s="510"/>
      <c r="N292" s="510"/>
      <c r="O292" s="510"/>
      <c r="P292" s="510"/>
      <c r="Q292" s="510"/>
      <c r="R292" s="510"/>
      <c r="S292" s="510"/>
      <c r="T292" s="510"/>
      <c r="U292" s="510"/>
    </row>
    <row r="293" ht="27.0" customHeight="1">
      <c r="A293" s="510"/>
      <c r="B293" s="510"/>
      <c r="C293" s="510"/>
      <c r="D293" s="510"/>
      <c r="E293" s="510"/>
      <c r="F293" s="510"/>
      <c r="G293" s="510"/>
      <c r="H293" s="510"/>
      <c r="I293" s="510"/>
      <c r="J293" s="510"/>
      <c r="K293" s="510"/>
      <c r="L293" s="510"/>
      <c r="M293" s="510"/>
      <c r="N293" s="510"/>
      <c r="O293" s="510"/>
      <c r="P293" s="510"/>
      <c r="Q293" s="510"/>
      <c r="R293" s="510"/>
      <c r="S293" s="510"/>
      <c r="T293" s="510"/>
      <c r="U293" s="510"/>
    </row>
    <row r="294" ht="27.0" customHeight="1">
      <c r="A294" s="510"/>
      <c r="B294" s="510"/>
      <c r="C294" s="510"/>
      <c r="D294" s="510"/>
      <c r="E294" s="510"/>
      <c r="F294" s="510"/>
      <c r="G294" s="510"/>
      <c r="H294" s="510"/>
      <c r="I294" s="510"/>
      <c r="J294" s="510"/>
      <c r="K294" s="510"/>
      <c r="L294" s="510"/>
      <c r="M294" s="510"/>
      <c r="N294" s="510"/>
      <c r="O294" s="510"/>
      <c r="P294" s="510"/>
      <c r="Q294" s="510"/>
      <c r="R294" s="510"/>
      <c r="S294" s="510"/>
      <c r="T294" s="510"/>
      <c r="U294" s="510"/>
    </row>
    <row r="295" ht="27.0" customHeight="1">
      <c r="A295" s="510"/>
      <c r="B295" s="510"/>
      <c r="C295" s="510"/>
      <c r="D295" s="510"/>
      <c r="E295" s="510"/>
      <c r="F295" s="510"/>
      <c r="G295" s="510"/>
      <c r="H295" s="510"/>
      <c r="I295" s="510"/>
      <c r="J295" s="510"/>
      <c r="K295" s="510"/>
      <c r="L295" s="510"/>
      <c r="M295" s="510"/>
      <c r="N295" s="510"/>
      <c r="O295" s="510"/>
      <c r="P295" s="510"/>
      <c r="Q295" s="510"/>
      <c r="R295" s="510"/>
      <c r="S295" s="510"/>
      <c r="T295" s="510"/>
      <c r="U295" s="510"/>
    </row>
    <row r="296" ht="27.0" customHeight="1">
      <c r="A296" s="510"/>
      <c r="B296" s="510"/>
      <c r="C296" s="510"/>
      <c r="D296" s="510"/>
      <c r="E296" s="510"/>
      <c r="F296" s="510"/>
      <c r="G296" s="510"/>
      <c r="H296" s="510"/>
      <c r="I296" s="510"/>
      <c r="J296" s="510"/>
      <c r="K296" s="510"/>
      <c r="L296" s="510"/>
      <c r="M296" s="510"/>
      <c r="N296" s="510"/>
      <c r="O296" s="510"/>
      <c r="P296" s="510"/>
      <c r="Q296" s="510"/>
      <c r="R296" s="510"/>
      <c r="S296" s="510"/>
      <c r="T296" s="510"/>
      <c r="U296" s="510"/>
    </row>
    <row r="297" ht="27.0" customHeight="1">
      <c r="A297" s="510"/>
      <c r="B297" s="510"/>
      <c r="C297" s="510"/>
      <c r="D297" s="510"/>
      <c r="E297" s="510"/>
      <c r="F297" s="510"/>
      <c r="G297" s="510"/>
      <c r="H297" s="510"/>
      <c r="I297" s="510"/>
      <c r="J297" s="510"/>
      <c r="K297" s="510"/>
      <c r="L297" s="510"/>
      <c r="M297" s="510"/>
      <c r="N297" s="510"/>
      <c r="O297" s="510"/>
      <c r="P297" s="510"/>
      <c r="Q297" s="510"/>
      <c r="R297" s="510"/>
      <c r="S297" s="510"/>
      <c r="T297" s="510"/>
      <c r="U297" s="510"/>
    </row>
    <row r="298" ht="27.0" customHeight="1">
      <c r="A298" s="510"/>
      <c r="B298" s="510"/>
      <c r="C298" s="510"/>
      <c r="D298" s="510"/>
      <c r="E298" s="510"/>
      <c r="F298" s="510"/>
      <c r="G298" s="510"/>
      <c r="H298" s="510"/>
      <c r="I298" s="510"/>
      <c r="J298" s="510"/>
      <c r="K298" s="510"/>
      <c r="L298" s="510"/>
      <c r="M298" s="510"/>
      <c r="N298" s="510"/>
      <c r="O298" s="510"/>
      <c r="P298" s="510"/>
      <c r="Q298" s="510"/>
      <c r="R298" s="510"/>
      <c r="S298" s="510"/>
      <c r="T298" s="510"/>
      <c r="U298" s="510"/>
    </row>
    <row r="299" ht="27.0" customHeight="1">
      <c r="A299" s="510"/>
      <c r="B299" s="510"/>
      <c r="C299" s="510"/>
      <c r="D299" s="510"/>
      <c r="E299" s="510"/>
      <c r="F299" s="510"/>
      <c r="G299" s="510"/>
      <c r="H299" s="510"/>
      <c r="I299" s="510"/>
      <c r="J299" s="510"/>
      <c r="K299" s="510"/>
      <c r="L299" s="510"/>
      <c r="M299" s="510"/>
      <c r="N299" s="510"/>
      <c r="O299" s="510"/>
      <c r="P299" s="510"/>
      <c r="Q299" s="510"/>
      <c r="R299" s="510"/>
      <c r="S299" s="510"/>
      <c r="T299" s="510"/>
      <c r="U299" s="510"/>
    </row>
    <row r="300" ht="27.0" customHeight="1">
      <c r="A300" s="510"/>
      <c r="B300" s="510"/>
      <c r="C300" s="510"/>
      <c r="D300" s="510"/>
      <c r="E300" s="510"/>
      <c r="F300" s="510"/>
      <c r="G300" s="510"/>
      <c r="H300" s="510"/>
      <c r="I300" s="510"/>
      <c r="J300" s="510"/>
      <c r="K300" s="510"/>
      <c r="L300" s="510"/>
      <c r="M300" s="510"/>
      <c r="N300" s="510"/>
      <c r="O300" s="510"/>
      <c r="P300" s="510"/>
      <c r="Q300" s="510"/>
      <c r="R300" s="510"/>
      <c r="S300" s="510"/>
      <c r="T300" s="510"/>
      <c r="U300" s="510"/>
    </row>
    <row r="301" ht="27.0" customHeight="1">
      <c r="A301" s="510"/>
      <c r="B301" s="510"/>
      <c r="C301" s="510"/>
      <c r="D301" s="510"/>
      <c r="E301" s="510"/>
      <c r="F301" s="510"/>
      <c r="G301" s="510"/>
      <c r="H301" s="510"/>
      <c r="I301" s="510"/>
      <c r="J301" s="510"/>
      <c r="K301" s="510"/>
      <c r="L301" s="510"/>
      <c r="M301" s="510"/>
      <c r="N301" s="510"/>
      <c r="O301" s="510"/>
      <c r="P301" s="510"/>
      <c r="Q301" s="510"/>
      <c r="R301" s="510"/>
      <c r="S301" s="510"/>
      <c r="T301" s="510"/>
      <c r="U301" s="510"/>
    </row>
    <row r="302" ht="27.0" customHeight="1">
      <c r="A302" s="510"/>
      <c r="B302" s="510"/>
      <c r="C302" s="510"/>
      <c r="D302" s="510"/>
      <c r="E302" s="510"/>
      <c r="F302" s="510"/>
      <c r="G302" s="510"/>
      <c r="H302" s="510"/>
      <c r="I302" s="510"/>
      <c r="J302" s="510"/>
      <c r="K302" s="510"/>
      <c r="L302" s="510"/>
      <c r="M302" s="510"/>
      <c r="N302" s="510"/>
      <c r="O302" s="510"/>
      <c r="P302" s="510"/>
      <c r="Q302" s="510"/>
      <c r="R302" s="510"/>
      <c r="S302" s="510"/>
      <c r="T302" s="510"/>
      <c r="U302" s="510"/>
    </row>
    <row r="303" ht="27.0" customHeight="1">
      <c r="A303" s="510"/>
      <c r="B303" s="510"/>
      <c r="C303" s="510"/>
      <c r="D303" s="510"/>
      <c r="E303" s="510"/>
      <c r="F303" s="510"/>
      <c r="G303" s="510"/>
      <c r="H303" s="510"/>
      <c r="I303" s="510"/>
      <c r="J303" s="510"/>
      <c r="K303" s="510"/>
      <c r="L303" s="510"/>
      <c r="M303" s="510"/>
      <c r="N303" s="510"/>
      <c r="O303" s="510"/>
      <c r="P303" s="510"/>
      <c r="Q303" s="510"/>
      <c r="R303" s="510"/>
      <c r="S303" s="510"/>
      <c r="T303" s="510"/>
      <c r="U303" s="510"/>
    </row>
    <row r="304" ht="27.0" customHeight="1">
      <c r="A304" s="510"/>
      <c r="B304" s="510"/>
      <c r="C304" s="510"/>
      <c r="D304" s="510"/>
      <c r="E304" s="510"/>
      <c r="F304" s="510"/>
      <c r="G304" s="510"/>
      <c r="H304" s="510"/>
      <c r="I304" s="510"/>
      <c r="J304" s="510"/>
      <c r="K304" s="510"/>
      <c r="L304" s="510"/>
      <c r="M304" s="510"/>
      <c r="N304" s="510"/>
      <c r="O304" s="510"/>
      <c r="P304" s="510"/>
      <c r="Q304" s="510"/>
      <c r="R304" s="510"/>
      <c r="S304" s="510"/>
      <c r="T304" s="510"/>
      <c r="U304" s="510"/>
    </row>
    <row r="305" ht="27.0" customHeight="1">
      <c r="A305" s="510"/>
      <c r="B305" s="510"/>
      <c r="C305" s="510"/>
      <c r="D305" s="510"/>
      <c r="E305" s="510"/>
      <c r="F305" s="510"/>
      <c r="G305" s="510"/>
      <c r="H305" s="510"/>
      <c r="I305" s="510"/>
      <c r="J305" s="510"/>
      <c r="K305" s="510"/>
      <c r="L305" s="510"/>
      <c r="M305" s="510"/>
      <c r="N305" s="510"/>
      <c r="O305" s="510"/>
      <c r="P305" s="510"/>
      <c r="Q305" s="510"/>
      <c r="R305" s="510"/>
      <c r="S305" s="510"/>
      <c r="T305" s="510"/>
      <c r="U305" s="510"/>
    </row>
    <row r="306" ht="27.0" customHeight="1">
      <c r="A306" s="510"/>
      <c r="B306" s="510"/>
      <c r="C306" s="510"/>
      <c r="D306" s="510"/>
      <c r="E306" s="510"/>
      <c r="F306" s="510"/>
      <c r="G306" s="510"/>
      <c r="H306" s="510"/>
      <c r="I306" s="510"/>
      <c r="J306" s="510"/>
      <c r="K306" s="510"/>
      <c r="L306" s="510"/>
      <c r="M306" s="510"/>
      <c r="N306" s="510"/>
      <c r="O306" s="510"/>
      <c r="P306" s="510"/>
      <c r="Q306" s="510"/>
      <c r="R306" s="510"/>
      <c r="S306" s="510"/>
      <c r="T306" s="510"/>
      <c r="U306" s="510"/>
    </row>
    <row r="307" ht="27.0" customHeight="1">
      <c r="A307" s="510"/>
      <c r="B307" s="510"/>
      <c r="C307" s="510"/>
      <c r="D307" s="510"/>
      <c r="E307" s="510"/>
      <c r="F307" s="510"/>
      <c r="G307" s="510"/>
      <c r="H307" s="510"/>
      <c r="I307" s="510"/>
      <c r="J307" s="510"/>
      <c r="K307" s="510"/>
      <c r="L307" s="510"/>
      <c r="M307" s="510"/>
      <c r="N307" s="510"/>
      <c r="O307" s="510"/>
      <c r="P307" s="510"/>
      <c r="Q307" s="510"/>
      <c r="R307" s="510"/>
      <c r="S307" s="510"/>
      <c r="T307" s="510"/>
      <c r="U307" s="510"/>
    </row>
    <row r="308" ht="27.0" customHeight="1">
      <c r="A308" s="510"/>
      <c r="B308" s="510"/>
      <c r="C308" s="510"/>
      <c r="D308" s="510"/>
      <c r="E308" s="510"/>
      <c r="F308" s="510"/>
      <c r="G308" s="510"/>
      <c r="H308" s="510"/>
      <c r="I308" s="510"/>
      <c r="J308" s="510"/>
      <c r="K308" s="510"/>
      <c r="L308" s="510"/>
      <c r="M308" s="510"/>
      <c r="N308" s="510"/>
      <c r="O308" s="510"/>
      <c r="P308" s="510"/>
      <c r="Q308" s="510"/>
      <c r="R308" s="510"/>
      <c r="S308" s="510"/>
      <c r="T308" s="510"/>
      <c r="U308" s="510"/>
    </row>
    <row r="309" ht="27.0" customHeight="1">
      <c r="A309" s="510"/>
      <c r="B309" s="510"/>
      <c r="C309" s="510"/>
      <c r="D309" s="510"/>
      <c r="E309" s="510"/>
      <c r="F309" s="510"/>
      <c r="G309" s="510"/>
      <c r="H309" s="510"/>
      <c r="I309" s="510"/>
      <c r="J309" s="510"/>
      <c r="K309" s="510"/>
      <c r="L309" s="510"/>
      <c r="M309" s="510"/>
      <c r="N309" s="510"/>
      <c r="O309" s="510"/>
      <c r="P309" s="510"/>
      <c r="Q309" s="510"/>
      <c r="R309" s="510"/>
      <c r="S309" s="510"/>
      <c r="T309" s="510"/>
      <c r="U309" s="510"/>
    </row>
    <row r="310" ht="27.0" customHeight="1">
      <c r="A310" s="510"/>
      <c r="B310" s="510"/>
      <c r="C310" s="510"/>
      <c r="D310" s="510"/>
      <c r="E310" s="510"/>
      <c r="F310" s="510"/>
      <c r="G310" s="510"/>
      <c r="H310" s="510"/>
      <c r="I310" s="510"/>
      <c r="J310" s="510"/>
      <c r="K310" s="510"/>
      <c r="L310" s="510"/>
      <c r="M310" s="510"/>
      <c r="N310" s="510"/>
      <c r="O310" s="510"/>
      <c r="P310" s="510"/>
      <c r="Q310" s="510"/>
      <c r="R310" s="510"/>
      <c r="S310" s="510"/>
      <c r="T310" s="510"/>
      <c r="U310" s="510"/>
    </row>
    <row r="311" ht="27.0" customHeight="1">
      <c r="A311" s="510"/>
      <c r="B311" s="510"/>
      <c r="C311" s="510"/>
      <c r="D311" s="510"/>
      <c r="E311" s="510"/>
      <c r="F311" s="510"/>
      <c r="G311" s="510"/>
      <c r="H311" s="510"/>
      <c r="I311" s="510"/>
      <c r="J311" s="510"/>
      <c r="K311" s="510"/>
      <c r="L311" s="510"/>
      <c r="M311" s="510"/>
      <c r="N311" s="510"/>
      <c r="O311" s="510"/>
      <c r="P311" s="510"/>
      <c r="Q311" s="510"/>
      <c r="R311" s="510"/>
      <c r="S311" s="510"/>
      <c r="T311" s="510"/>
      <c r="U311" s="510"/>
    </row>
    <row r="312" ht="27.0" customHeight="1">
      <c r="A312" s="510"/>
      <c r="B312" s="510"/>
      <c r="C312" s="510"/>
      <c r="D312" s="510"/>
      <c r="E312" s="510"/>
      <c r="F312" s="510"/>
      <c r="G312" s="510"/>
      <c r="H312" s="510"/>
      <c r="I312" s="510"/>
      <c r="J312" s="510"/>
      <c r="K312" s="510"/>
      <c r="L312" s="510"/>
      <c r="M312" s="510"/>
      <c r="N312" s="510"/>
      <c r="O312" s="510"/>
      <c r="P312" s="510"/>
      <c r="Q312" s="510"/>
      <c r="R312" s="510"/>
      <c r="S312" s="510"/>
      <c r="T312" s="510"/>
      <c r="U312" s="510"/>
    </row>
    <row r="313" ht="27.0" customHeight="1">
      <c r="A313" s="510"/>
      <c r="B313" s="510"/>
      <c r="C313" s="510"/>
      <c r="D313" s="510"/>
      <c r="E313" s="510"/>
      <c r="F313" s="510"/>
      <c r="G313" s="510"/>
      <c r="H313" s="510"/>
      <c r="I313" s="510"/>
      <c r="J313" s="510"/>
      <c r="K313" s="510"/>
      <c r="L313" s="510"/>
      <c r="M313" s="510"/>
      <c r="N313" s="510"/>
      <c r="O313" s="510"/>
      <c r="P313" s="510"/>
      <c r="Q313" s="510"/>
      <c r="R313" s="510"/>
      <c r="S313" s="510"/>
      <c r="T313" s="510"/>
      <c r="U313" s="510"/>
    </row>
    <row r="314" ht="27.0" customHeight="1">
      <c r="A314" s="510"/>
      <c r="B314" s="510"/>
      <c r="C314" s="510"/>
      <c r="D314" s="510"/>
      <c r="E314" s="510"/>
      <c r="F314" s="510"/>
      <c r="G314" s="510"/>
      <c r="H314" s="510"/>
      <c r="I314" s="510"/>
      <c r="J314" s="510"/>
      <c r="K314" s="510"/>
      <c r="L314" s="510"/>
      <c r="M314" s="510"/>
      <c r="N314" s="510"/>
      <c r="O314" s="510"/>
      <c r="P314" s="510"/>
      <c r="Q314" s="510"/>
      <c r="R314" s="510"/>
      <c r="S314" s="510"/>
      <c r="T314" s="510"/>
      <c r="U314" s="510"/>
    </row>
    <row r="315" ht="27.0" customHeight="1">
      <c r="A315" s="510"/>
      <c r="B315" s="510"/>
      <c r="C315" s="510"/>
      <c r="D315" s="510"/>
      <c r="E315" s="510"/>
      <c r="F315" s="510"/>
      <c r="G315" s="510"/>
      <c r="H315" s="510"/>
      <c r="I315" s="510"/>
      <c r="J315" s="510"/>
      <c r="K315" s="510"/>
      <c r="L315" s="510"/>
      <c r="M315" s="510"/>
      <c r="N315" s="510"/>
      <c r="O315" s="510"/>
      <c r="P315" s="510"/>
      <c r="Q315" s="510"/>
      <c r="R315" s="510"/>
      <c r="S315" s="510"/>
      <c r="T315" s="510"/>
      <c r="U315" s="510"/>
    </row>
    <row r="316" ht="27.0" customHeight="1">
      <c r="A316" s="510"/>
      <c r="B316" s="510"/>
      <c r="C316" s="510"/>
      <c r="D316" s="510"/>
      <c r="E316" s="510"/>
      <c r="F316" s="510"/>
      <c r="G316" s="510"/>
      <c r="H316" s="510"/>
      <c r="I316" s="510"/>
      <c r="J316" s="510"/>
      <c r="K316" s="510"/>
      <c r="L316" s="510"/>
      <c r="M316" s="510"/>
      <c r="N316" s="510"/>
      <c r="O316" s="510"/>
      <c r="P316" s="510"/>
      <c r="Q316" s="510"/>
      <c r="R316" s="510"/>
      <c r="S316" s="510"/>
      <c r="T316" s="510"/>
      <c r="U316" s="510"/>
    </row>
    <row r="317" ht="27.0" customHeight="1">
      <c r="A317" s="510"/>
      <c r="B317" s="510"/>
      <c r="C317" s="510"/>
      <c r="D317" s="510"/>
      <c r="E317" s="510"/>
      <c r="F317" s="510"/>
      <c r="G317" s="510"/>
      <c r="H317" s="510"/>
      <c r="I317" s="510"/>
      <c r="J317" s="510"/>
      <c r="K317" s="510"/>
      <c r="L317" s="510"/>
      <c r="M317" s="510"/>
      <c r="N317" s="510"/>
      <c r="O317" s="510"/>
      <c r="P317" s="510"/>
      <c r="Q317" s="510"/>
      <c r="R317" s="510"/>
      <c r="S317" s="510"/>
      <c r="T317" s="510"/>
      <c r="U317" s="510"/>
    </row>
    <row r="318" ht="27.0" customHeight="1">
      <c r="A318" s="510"/>
      <c r="B318" s="510"/>
      <c r="C318" s="510"/>
      <c r="D318" s="510"/>
      <c r="E318" s="510"/>
      <c r="F318" s="510"/>
      <c r="G318" s="510"/>
      <c r="H318" s="510"/>
      <c r="I318" s="510"/>
      <c r="J318" s="510"/>
      <c r="K318" s="510"/>
      <c r="L318" s="510"/>
      <c r="M318" s="510"/>
      <c r="N318" s="510"/>
      <c r="O318" s="510"/>
      <c r="P318" s="510"/>
      <c r="Q318" s="510"/>
      <c r="R318" s="510"/>
      <c r="S318" s="510"/>
      <c r="T318" s="510"/>
      <c r="U318" s="510"/>
    </row>
    <row r="319" ht="27.0" customHeight="1">
      <c r="A319" s="510"/>
      <c r="B319" s="510"/>
      <c r="C319" s="510"/>
      <c r="D319" s="510"/>
      <c r="E319" s="510"/>
      <c r="F319" s="510"/>
      <c r="G319" s="510"/>
      <c r="H319" s="510"/>
      <c r="I319" s="510"/>
      <c r="J319" s="510"/>
      <c r="K319" s="510"/>
      <c r="L319" s="510"/>
      <c r="M319" s="510"/>
      <c r="N319" s="510"/>
      <c r="O319" s="510"/>
      <c r="P319" s="510"/>
      <c r="Q319" s="510"/>
      <c r="R319" s="510"/>
      <c r="S319" s="510"/>
      <c r="T319" s="510"/>
      <c r="U319" s="510"/>
    </row>
    <row r="320" ht="27.0" customHeight="1">
      <c r="A320" s="510"/>
      <c r="B320" s="510"/>
      <c r="C320" s="510"/>
      <c r="D320" s="510"/>
      <c r="E320" s="510"/>
      <c r="F320" s="510"/>
      <c r="G320" s="510"/>
      <c r="H320" s="510"/>
      <c r="I320" s="510"/>
      <c r="J320" s="510"/>
      <c r="K320" s="510"/>
      <c r="L320" s="510"/>
      <c r="M320" s="510"/>
      <c r="N320" s="510"/>
      <c r="O320" s="510"/>
      <c r="P320" s="510"/>
      <c r="Q320" s="510"/>
      <c r="R320" s="510"/>
      <c r="S320" s="510"/>
      <c r="T320" s="510"/>
      <c r="U320" s="510"/>
    </row>
    <row r="321" ht="27.0" customHeight="1">
      <c r="A321" s="510"/>
      <c r="B321" s="510"/>
      <c r="C321" s="510"/>
      <c r="D321" s="510"/>
      <c r="E321" s="510"/>
      <c r="F321" s="510"/>
      <c r="G321" s="510"/>
      <c r="H321" s="510"/>
      <c r="I321" s="510"/>
      <c r="J321" s="510"/>
      <c r="K321" s="510"/>
      <c r="L321" s="510"/>
      <c r="M321" s="510"/>
      <c r="N321" s="510"/>
      <c r="O321" s="510"/>
      <c r="P321" s="510"/>
      <c r="Q321" s="510"/>
      <c r="R321" s="510"/>
      <c r="S321" s="510"/>
      <c r="T321" s="510"/>
      <c r="U321" s="510"/>
    </row>
    <row r="322" ht="27.0" customHeight="1">
      <c r="A322" s="510"/>
      <c r="B322" s="510"/>
      <c r="C322" s="510"/>
      <c r="D322" s="510"/>
      <c r="E322" s="510"/>
      <c r="F322" s="510"/>
      <c r="G322" s="510"/>
      <c r="H322" s="510"/>
      <c r="I322" s="510"/>
      <c r="J322" s="510"/>
      <c r="K322" s="510"/>
      <c r="L322" s="510"/>
      <c r="M322" s="510"/>
      <c r="N322" s="510"/>
      <c r="O322" s="510"/>
      <c r="P322" s="510"/>
      <c r="Q322" s="510"/>
      <c r="R322" s="510"/>
      <c r="S322" s="510"/>
      <c r="T322" s="510"/>
      <c r="U322" s="510"/>
    </row>
    <row r="323" ht="27.0" customHeight="1">
      <c r="A323" s="510"/>
      <c r="B323" s="510"/>
      <c r="C323" s="510"/>
      <c r="D323" s="510"/>
      <c r="E323" s="510"/>
      <c r="F323" s="510"/>
      <c r="G323" s="510"/>
      <c r="H323" s="510"/>
      <c r="I323" s="510"/>
      <c r="J323" s="510"/>
      <c r="K323" s="510"/>
      <c r="L323" s="510"/>
      <c r="M323" s="510"/>
      <c r="N323" s="510"/>
      <c r="O323" s="510"/>
      <c r="P323" s="510"/>
      <c r="Q323" s="510"/>
      <c r="R323" s="510"/>
      <c r="S323" s="510"/>
      <c r="T323" s="510"/>
      <c r="U323" s="510"/>
    </row>
    <row r="324" ht="27.0" customHeight="1">
      <c r="A324" s="510"/>
      <c r="B324" s="510"/>
      <c r="C324" s="510"/>
      <c r="D324" s="510"/>
      <c r="E324" s="510"/>
      <c r="F324" s="510"/>
      <c r="G324" s="510"/>
      <c r="H324" s="510"/>
      <c r="I324" s="510"/>
      <c r="J324" s="510"/>
      <c r="K324" s="510"/>
      <c r="L324" s="510"/>
      <c r="M324" s="510"/>
      <c r="N324" s="510"/>
      <c r="O324" s="510"/>
      <c r="P324" s="510"/>
      <c r="Q324" s="510"/>
      <c r="R324" s="510"/>
      <c r="S324" s="510"/>
      <c r="T324" s="510"/>
      <c r="U324" s="510"/>
    </row>
    <row r="325" ht="27.0" customHeight="1">
      <c r="A325" s="510"/>
      <c r="B325" s="510"/>
      <c r="C325" s="510"/>
      <c r="D325" s="510"/>
      <c r="E325" s="510"/>
      <c r="F325" s="510"/>
      <c r="G325" s="510"/>
      <c r="H325" s="510"/>
      <c r="I325" s="510"/>
      <c r="J325" s="510"/>
      <c r="K325" s="510"/>
      <c r="L325" s="510"/>
      <c r="M325" s="510"/>
      <c r="N325" s="510"/>
      <c r="O325" s="510"/>
      <c r="P325" s="510"/>
      <c r="Q325" s="510"/>
      <c r="R325" s="510"/>
      <c r="S325" s="510"/>
      <c r="T325" s="510"/>
      <c r="U325" s="510"/>
    </row>
    <row r="326" ht="27.0" customHeight="1">
      <c r="A326" s="510"/>
      <c r="B326" s="510"/>
      <c r="C326" s="510"/>
      <c r="D326" s="510"/>
      <c r="E326" s="510"/>
      <c r="F326" s="510"/>
      <c r="G326" s="510"/>
      <c r="H326" s="510"/>
      <c r="I326" s="510"/>
      <c r="J326" s="510"/>
      <c r="K326" s="510"/>
      <c r="L326" s="510"/>
      <c r="M326" s="510"/>
      <c r="N326" s="510"/>
      <c r="O326" s="510"/>
      <c r="P326" s="510"/>
      <c r="Q326" s="510"/>
      <c r="R326" s="510"/>
      <c r="S326" s="510"/>
      <c r="T326" s="510"/>
      <c r="U326" s="510"/>
    </row>
    <row r="327" ht="27.0" customHeight="1">
      <c r="A327" s="510"/>
      <c r="B327" s="510"/>
      <c r="C327" s="510"/>
      <c r="D327" s="510"/>
      <c r="E327" s="510"/>
      <c r="F327" s="510"/>
      <c r="G327" s="510"/>
      <c r="H327" s="510"/>
      <c r="I327" s="510"/>
      <c r="J327" s="510"/>
      <c r="K327" s="510"/>
      <c r="L327" s="510"/>
      <c r="M327" s="510"/>
      <c r="N327" s="510"/>
      <c r="O327" s="510"/>
      <c r="P327" s="510"/>
      <c r="Q327" s="510"/>
      <c r="R327" s="510"/>
      <c r="S327" s="510"/>
      <c r="T327" s="510"/>
      <c r="U327" s="510"/>
    </row>
    <row r="328" ht="27.0" customHeight="1">
      <c r="A328" s="510"/>
      <c r="B328" s="510"/>
      <c r="C328" s="510"/>
      <c r="D328" s="510"/>
      <c r="E328" s="510"/>
      <c r="F328" s="510"/>
      <c r="G328" s="510"/>
      <c r="H328" s="510"/>
      <c r="I328" s="510"/>
      <c r="J328" s="510"/>
      <c r="K328" s="510"/>
      <c r="L328" s="510"/>
      <c r="M328" s="510"/>
      <c r="N328" s="510"/>
      <c r="O328" s="510"/>
      <c r="P328" s="510"/>
      <c r="Q328" s="510"/>
      <c r="R328" s="510"/>
      <c r="S328" s="510"/>
      <c r="T328" s="510"/>
      <c r="U328" s="510"/>
    </row>
    <row r="329" ht="27.0" customHeight="1">
      <c r="A329" s="510"/>
      <c r="B329" s="510"/>
      <c r="C329" s="510"/>
      <c r="D329" s="510"/>
      <c r="E329" s="510"/>
      <c r="F329" s="510"/>
      <c r="G329" s="510"/>
      <c r="H329" s="510"/>
      <c r="I329" s="510"/>
      <c r="J329" s="510"/>
      <c r="K329" s="510"/>
      <c r="L329" s="510"/>
      <c r="M329" s="510"/>
      <c r="N329" s="510"/>
      <c r="O329" s="510"/>
      <c r="P329" s="510"/>
      <c r="Q329" s="510"/>
      <c r="R329" s="510"/>
      <c r="S329" s="510"/>
      <c r="T329" s="510"/>
      <c r="U329" s="510"/>
    </row>
    <row r="330" ht="27.0" customHeight="1">
      <c r="A330" s="510"/>
      <c r="B330" s="510"/>
      <c r="C330" s="510"/>
      <c r="D330" s="510"/>
      <c r="E330" s="510"/>
      <c r="F330" s="510"/>
      <c r="G330" s="510"/>
      <c r="H330" s="510"/>
      <c r="I330" s="510"/>
      <c r="J330" s="510"/>
      <c r="K330" s="510"/>
      <c r="L330" s="510"/>
      <c r="M330" s="510"/>
      <c r="N330" s="510"/>
      <c r="O330" s="510"/>
      <c r="P330" s="510"/>
      <c r="Q330" s="510"/>
      <c r="R330" s="510"/>
      <c r="S330" s="510"/>
      <c r="T330" s="510"/>
      <c r="U330" s="510"/>
    </row>
    <row r="331" ht="27.0" customHeight="1">
      <c r="A331" s="510"/>
      <c r="B331" s="510"/>
      <c r="C331" s="510"/>
      <c r="D331" s="510"/>
      <c r="E331" s="510"/>
      <c r="F331" s="510"/>
      <c r="G331" s="510"/>
      <c r="H331" s="510"/>
      <c r="I331" s="510"/>
      <c r="J331" s="510"/>
      <c r="K331" s="510"/>
      <c r="L331" s="510"/>
      <c r="M331" s="510"/>
      <c r="N331" s="510"/>
      <c r="O331" s="510"/>
      <c r="P331" s="510"/>
      <c r="Q331" s="510"/>
      <c r="R331" s="510"/>
      <c r="S331" s="510"/>
      <c r="T331" s="510"/>
      <c r="U331" s="510"/>
    </row>
    <row r="332" ht="27.0" customHeight="1">
      <c r="A332" s="510"/>
      <c r="B332" s="510"/>
      <c r="C332" s="510"/>
      <c r="D332" s="510"/>
      <c r="E332" s="510"/>
      <c r="F332" s="510"/>
      <c r="G332" s="510"/>
      <c r="H332" s="510"/>
      <c r="I332" s="510"/>
      <c r="J332" s="510"/>
      <c r="K332" s="510"/>
      <c r="L332" s="510"/>
      <c r="M332" s="510"/>
      <c r="N332" s="510"/>
      <c r="O332" s="510"/>
      <c r="P332" s="510"/>
      <c r="Q332" s="510"/>
      <c r="R332" s="510"/>
      <c r="S332" s="510"/>
      <c r="T332" s="510"/>
      <c r="U332" s="510"/>
    </row>
    <row r="333" ht="27.0" customHeight="1">
      <c r="A333" s="510"/>
      <c r="B333" s="510"/>
      <c r="C333" s="510"/>
      <c r="D333" s="510"/>
      <c r="E333" s="510"/>
      <c r="F333" s="510"/>
      <c r="G333" s="510"/>
      <c r="H333" s="510"/>
      <c r="I333" s="510"/>
      <c r="J333" s="510"/>
      <c r="K333" s="510"/>
      <c r="L333" s="510"/>
      <c r="M333" s="510"/>
      <c r="N333" s="510"/>
      <c r="O333" s="510"/>
      <c r="P333" s="510"/>
      <c r="Q333" s="510"/>
      <c r="R333" s="510"/>
      <c r="S333" s="510"/>
      <c r="T333" s="510"/>
      <c r="U333" s="510"/>
    </row>
    <row r="334" ht="27.0" customHeight="1">
      <c r="A334" s="510"/>
      <c r="B334" s="510"/>
      <c r="C334" s="510"/>
      <c r="D334" s="510"/>
      <c r="E334" s="510"/>
      <c r="F334" s="510"/>
      <c r="G334" s="510"/>
      <c r="H334" s="510"/>
      <c r="I334" s="510"/>
      <c r="J334" s="510"/>
      <c r="K334" s="510"/>
      <c r="L334" s="510"/>
      <c r="M334" s="510"/>
      <c r="N334" s="510"/>
      <c r="O334" s="510"/>
      <c r="P334" s="510"/>
      <c r="Q334" s="510"/>
      <c r="R334" s="510"/>
      <c r="S334" s="510"/>
      <c r="T334" s="510"/>
      <c r="U334" s="510"/>
    </row>
    <row r="335" ht="27.0" customHeight="1">
      <c r="A335" s="510"/>
      <c r="B335" s="510"/>
      <c r="C335" s="510"/>
      <c r="D335" s="510"/>
      <c r="E335" s="510"/>
      <c r="F335" s="510"/>
      <c r="G335" s="510"/>
      <c r="H335" s="510"/>
      <c r="I335" s="510"/>
      <c r="J335" s="510"/>
      <c r="K335" s="510"/>
      <c r="L335" s="510"/>
      <c r="M335" s="510"/>
      <c r="N335" s="510"/>
      <c r="O335" s="510"/>
      <c r="P335" s="510"/>
      <c r="Q335" s="510"/>
      <c r="R335" s="510"/>
      <c r="S335" s="510"/>
      <c r="T335" s="510"/>
      <c r="U335" s="510"/>
    </row>
    <row r="336" ht="27.0" customHeight="1">
      <c r="A336" s="510"/>
      <c r="B336" s="510"/>
      <c r="C336" s="510"/>
      <c r="D336" s="510"/>
      <c r="E336" s="510"/>
      <c r="F336" s="510"/>
      <c r="G336" s="510"/>
      <c r="H336" s="510"/>
      <c r="I336" s="510"/>
      <c r="J336" s="510"/>
      <c r="K336" s="510"/>
      <c r="L336" s="510"/>
      <c r="M336" s="510"/>
      <c r="N336" s="510"/>
      <c r="O336" s="510"/>
      <c r="P336" s="510"/>
      <c r="Q336" s="510"/>
      <c r="R336" s="510"/>
      <c r="S336" s="510"/>
      <c r="T336" s="510"/>
      <c r="U336" s="510"/>
    </row>
    <row r="337" ht="27.0" customHeight="1">
      <c r="A337" s="510"/>
      <c r="B337" s="510"/>
      <c r="C337" s="510"/>
      <c r="D337" s="510"/>
      <c r="E337" s="510"/>
      <c r="F337" s="510"/>
      <c r="G337" s="510"/>
      <c r="H337" s="510"/>
      <c r="I337" s="510"/>
      <c r="J337" s="510"/>
      <c r="K337" s="510"/>
      <c r="L337" s="510"/>
      <c r="M337" s="510"/>
      <c r="N337" s="510"/>
      <c r="O337" s="510"/>
      <c r="P337" s="510"/>
      <c r="Q337" s="510"/>
      <c r="R337" s="510"/>
      <c r="S337" s="510"/>
      <c r="T337" s="510"/>
      <c r="U337" s="510"/>
    </row>
    <row r="338" ht="27.0" customHeight="1">
      <c r="A338" s="510"/>
      <c r="B338" s="510"/>
      <c r="C338" s="510"/>
      <c r="D338" s="510"/>
      <c r="E338" s="510"/>
      <c r="F338" s="510"/>
      <c r="G338" s="510"/>
      <c r="H338" s="510"/>
      <c r="I338" s="510"/>
      <c r="J338" s="510"/>
      <c r="K338" s="510"/>
      <c r="L338" s="510"/>
      <c r="M338" s="510"/>
      <c r="N338" s="510"/>
      <c r="O338" s="510"/>
      <c r="P338" s="510"/>
      <c r="Q338" s="510"/>
      <c r="R338" s="510"/>
      <c r="S338" s="510"/>
      <c r="T338" s="510"/>
      <c r="U338" s="510"/>
    </row>
    <row r="339" ht="27.0" customHeight="1">
      <c r="A339" s="510"/>
      <c r="B339" s="510"/>
      <c r="C339" s="510"/>
      <c r="D339" s="510"/>
      <c r="E339" s="510"/>
      <c r="F339" s="510"/>
      <c r="G339" s="510"/>
      <c r="H339" s="510"/>
      <c r="I339" s="510"/>
      <c r="J339" s="510"/>
      <c r="K339" s="510"/>
      <c r="L339" s="510"/>
      <c r="M339" s="510"/>
      <c r="N339" s="510"/>
      <c r="O339" s="510"/>
      <c r="P339" s="510"/>
      <c r="Q339" s="510"/>
      <c r="R339" s="510"/>
      <c r="S339" s="510"/>
      <c r="T339" s="510"/>
      <c r="U339" s="510"/>
    </row>
    <row r="340" ht="27.0" customHeight="1">
      <c r="A340" s="510"/>
      <c r="B340" s="510"/>
      <c r="C340" s="510"/>
      <c r="D340" s="510"/>
      <c r="E340" s="510"/>
      <c r="F340" s="510"/>
      <c r="G340" s="510"/>
      <c r="H340" s="510"/>
      <c r="I340" s="510"/>
      <c r="J340" s="510"/>
      <c r="K340" s="510"/>
      <c r="L340" s="510"/>
      <c r="M340" s="510"/>
      <c r="N340" s="510"/>
      <c r="O340" s="510"/>
      <c r="P340" s="510"/>
      <c r="Q340" s="510"/>
      <c r="R340" s="510"/>
      <c r="S340" s="510"/>
      <c r="T340" s="510"/>
      <c r="U340" s="510"/>
    </row>
    <row r="341" ht="27.0" customHeight="1">
      <c r="A341" s="510"/>
      <c r="B341" s="510"/>
      <c r="C341" s="510"/>
      <c r="D341" s="510"/>
      <c r="E341" s="510"/>
      <c r="F341" s="510"/>
      <c r="G341" s="510"/>
      <c r="H341" s="510"/>
      <c r="I341" s="510"/>
      <c r="J341" s="510"/>
      <c r="K341" s="510"/>
      <c r="L341" s="510"/>
      <c r="M341" s="510"/>
      <c r="N341" s="510"/>
      <c r="O341" s="510"/>
      <c r="P341" s="510"/>
      <c r="Q341" s="510"/>
      <c r="R341" s="510"/>
      <c r="S341" s="510"/>
      <c r="T341" s="510"/>
      <c r="U341" s="510"/>
    </row>
    <row r="342" ht="27.0" customHeight="1">
      <c r="A342" s="510"/>
      <c r="B342" s="510"/>
      <c r="C342" s="510"/>
      <c r="D342" s="510"/>
      <c r="E342" s="510"/>
      <c r="F342" s="510"/>
      <c r="G342" s="510"/>
      <c r="H342" s="510"/>
      <c r="I342" s="510"/>
      <c r="J342" s="510"/>
      <c r="K342" s="510"/>
      <c r="L342" s="510"/>
      <c r="M342" s="510"/>
      <c r="N342" s="510"/>
      <c r="O342" s="510"/>
      <c r="P342" s="510"/>
      <c r="Q342" s="510"/>
      <c r="R342" s="510"/>
      <c r="S342" s="510"/>
      <c r="T342" s="510"/>
      <c r="U342" s="510"/>
    </row>
    <row r="343" ht="27.0" customHeight="1">
      <c r="A343" s="510"/>
      <c r="B343" s="510"/>
      <c r="C343" s="510"/>
      <c r="D343" s="510"/>
      <c r="E343" s="510"/>
      <c r="F343" s="510"/>
      <c r="G343" s="510"/>
      <c r="H343" s="510"/>
      <c r="I343" s="510"/>
      <c r="J343" s="510"/>
      <c r="K343" s="510"/>
      <c r="L343" s="510"/>
      <c r="M343" s="510"/>
      <c r="N343" s="510"/>
      <c r="O343" s="510"/>
      <c r="P343" s="510"/>
      <c r="Q343" s="510"/>
      <c r="R343" s="510"/>
      <c r="S343" s="510"/>
      <c r="T343" s="510"/>
      <c r="U343" s="510"/>
    </row>
    <row r="344" ht="27.0" customHeight="1">
      <c r="A344" s="510"/>
      <c r="B344" s="510"/>
      <c r="C344" s="510"/>
      <c r="D344" s="510"/>
      <c r="E344" s="510"/>
      <c r="F344" s="510"/>
      <c r="G344" s="510"/>
      <c r="H344" s="510"/>
      <c r="I344" s="510"/>
      <c r="J344" s="510"/>
      <c r="K344" s="510"/>
      <c r="L344" s="510"/>
      <c r="M344" s="510"/>
      <c r="N344" s="510"/>
      <c r="O344" s="510"/>
      <c r="P344" s="510"/>
      <c r="Q344" s="510"/>
      <c r="R344" s="510"/>
      <c r="S344" s="510"/>
      <c r="T344" s="510"/>
      <c r="U344" s="510"/>
    </row>
    <row r="345" ht="27.0" customHeight="1">
      <c r="A345" s="510"/>
      <c r="B345" s="510"/>
      <c r="C345" s="510"/>
      <c r="D345" s="510"/>
      <c r="E345" s="510"/>
      <c r="F345" s="510"/>
      <c r="G345" s="510"/>
      <c r="H345" s="510"/>
      <c r="I345" s="510"/>
      <c r="J345" s="510"/>
      <c r="K345" s="510"/>
      <c r="L345" s="510"/>
      <c r="M345" s="510"/>
      <c r="N345" s="510"/>
      <c r="O345" s="510"/>
      <c r="P345" s="510"/>
      <c r="Q345" s="510"/>
      <c r="R345" s="510"/>
      <c r="S345" s="510"/>
      <c r="T345" s="510"/>
      <c r="U345" s="510"/>
    </row>
    <row r="346" ht="27.0" customHeight="1">
      <c r="A346" s="510"/>
      <c r="B346" s="510"/>
      <c r="C346" s="510"/>
      <c r="D346" s="510"/>
      <c r="E346" s="510"/>
      <c r="F346" s="510"/>
      <c r="G346" s="510"/>
      <c r="H346" s="510"/>
      <c r="I346" s="510"/>
      <c r="J346" s="510"/>
      <c r="K346" s="510"/>
      <c r="L346" s="510"/>
      <c r="M346" s="510"/>
      <c r="N346" s="510"/>
      <c r="O346" s="510"/>
      <c r="P346" s="510"/>
      <c r="Q346" s="510"/>
      <c r="R346" s="510"/>
      <c r="S346" s="510"/>
      <c r="T346" s="510"/>
      <c r="U346" s="510"/>
    </row>
    <row r="347" ht="27.0" customHeight="1">
      <c r="A347" s="510"/>
      <c r="B347" s="510"/>
      <c r="C347" s="510"/>
      <c r="D347" s="510"/>
      <c r="E347" s="510"/>
      <c r="F347" s="510"/>
      <c r="G347" s="510"/>
      <c r="H347" s="510"/>
      <c r="I347" s="510"/>
      <c r="J347" s="510"/>
      <c r="K347" s="510"/>
      <c r="L347" s="510"/>
      <c r="M347" s="510"/>
      <c r="N347" s="510"/>
      <c r="O347" s="510"/>
      <c r="P347" s="510"/>
      <c r="Q347" s="510"/>
      <c r="R347" s="510"/>
      <c r="S347" s="510"/>
      <c r="T347" s="510"/>
      <c r="U347" s="510"/>
    </row>
    <row r="348" ht="27.0" customHeight="1">
      <c r="A348" s="510"/>
      <c r="B348" s="510"/>
      <c r="C348" s="510"/>
      <c r="D348" s="510"/>
      <c r="E348" s="510"/>
      <c r="F348" s="510"/>
      <c r="G348" s="510"/>
      <c r="H348" s="510"/>
      <c r="I348" s="510"/>
      <c r="J348" s="510"/>
      <c r="K348" s="510"/>
      <c r="L348" s="510"/>
      <c r="M348" s="510"/>
      <c r="N348" s="510"/>
      <c r="O348" s="510"/>
      <c r="P348" s="510"/>
      <c r="Q348" s="510"/>
      <c r="R348" s="510"/>
      <c r="S348" s="510"/>
      <c r="T348" s="510"/>
      <c r="U348" s="510"/>
    </row>
    <row r="349" ht="27.0" customHeight="1">
      <c r="A349" s="510"/>
      <c r="B349" s="510"/>
      <c r="C349" s="510"/>
      <c r="D349" s="510"/>
      <c r="E349" s="510"/>
      <c r="F349" s="510"/>
      <c r="G349" s="510"/>
      <c r="H349" s="510"/>
      <c r="I349" s="510"/>
      <c r="J349" s="510"/>
      <c r="K349" s="510"/>
      <c r="L349" s="510"/>
      <c r="M349" s="510"/>
      <c r="N349" s="510"/>
      <c r="O349" s="510"/>
      <c r="P349" s="510"/>
      <c r="Q349" s="510"/>
      <c r="R349" s="510"/>
      <c r="S349" s="510"/>
      <c r="T349" s="510"/>
      <c r="U349" s="510"/>
    </row>
    <row r="350" ht="27.0" customHeight="1">
      <c r="A350" s="510"/>
      <c r="B350" s="510"/>
      <c r="C350" s="510"/>
      <c r="D350" s="510"/>
      <c r="E350" s="510"/>
      <c r="F350" s="510"/>
      <c r="G350" s="510"/>
      <c r="H350" s="510"/>
      <c r="I350" s="510"/>
      <c r="J350" s="510"/>
      <c r="K350" s="510"/>
      <c r="L350" s="510"/>
      <c r="M350" s="510"/>
      <c r="N350" s="510"/>
      <c r="O350" s="510"/>
      <c r="P350" s="510"/>
      <c r="Q350" s="510"/>
      <c r="R350" s="510"/>
      <c r="S350" s="510"/>
      <c r="T350" s="510"/>
      <c r="U350" s="510"/>
    </row>
    <row r="351" ht="27.0" customHeight="1">
      <c r="A351" s="510"/>
      <c r="B351" s="510"/>
      <c r="C351" s="510"/>
      <c r="D351" s="510"/>
      <c r="E351" s="510"/>
      <c r="F351" s="510"/>
      <c r="G351" s="510"/>
      <c r="H351" s="510"/>
      <c r="I351" s="510"/>
      <c r="J351" s="510"/>
      <c r="K351" s="510"/>
      <c r="L351" s="510"/>
      <c r="M351" s="510"/>
      <c r="N351" s="510"/>
      <c r="O351" s="510"/>
      <c r="P351" s="510"/>
      <c r="Q351" s="510"/>
      <c r="R351" s="510"/>
      <c r="S351" s="510"/>
      <c r="T351" s="510"/>
      <c r="U351" s="510"/>
    </row>
    <row r="352" ht="27.0" customHeight="1">
      <c r="A352" s="510"/>
      <c r="B352" s="510"/>
      <c r="C352" s="510"/>
      <c r="D352" s="510"/>
      <c r="E352" s="510"/>
      <c r="F352" s="510"/>
      <c r="G352" s="510"/>
      <c r="H352" s="510"/>
      <c r="I352" s="510"/>
      <c r="J352" s="510"/>
      <c r="K352" s="510"/>
      <c r="L352" s="510"/>
      <c r="M352" s="510"/>
      <c r="N352" s="510"/>
      <c r="O352" s="510"/>
      <c r="P352" s="510"/>
      <c r="Q352" s="510"/>
      <c r="R352" s="510"/>
      <c r="S352" s="510"/>
      <c r="T352" s="510"/>
      <c r="U352" s="510"/>
    </row>
    <row r="353" ht="27.0" customHeight="1">
      <c r="A353" s="510"/>
      <c r="B353" s="510"/>
      <c r="C353" s="510"/>
      <c r="D353" s="510"/>
      <c r="E353" s="510"/>
      <c r="F353" s="510"/>
      <c r="G353" s="510"/>
      <c r="H353" s="510"/>
      <c r="I353" s="510"/>
      <c r="J353" s="510"/>
      <c r="K353" s="510"/>
      <c r="L353" s="510"/>
      <c r="M353" s="510"/>
      <c r="N353" s="510"/>
      <c r="O353" s="510"/>
      <c r="P353" s="510"/>
      <c r="Q353" s="510"/>
      <c r="R353" s="510"/>
      <c r="S353" s="510"/>
      <c r="T353" s="510"/>
      <c r="U353" s="510"/>
    </row>
    <row r="354" ht="27.0" customHeight="1">
      <c r="A354" s="510"/>
      <c r="B354" s="510"/>
      <c r="C354" s="510"/>
      <c r="D354" s="510"/>
      <c r="E354" s="510"/>
      <c r="F354" s="510"/>
      <c r="G354" s="510"/>
      <c r="H354" s="510"/>
      <c r="I354" s="510"/>
      <c r="J354" s="510"/>
      <c r="K354" s="510"/>
      <c r="L354" s="510"/>
      <c r="M354" s="510"/>
      <c r="N354" s="510"/>
      <c r="O354" s="510"/>
      <c r="P354" s="510"/>
      <c r="Q354" s="510"/>
      <c r="R354" s="510"/>
      <c r="S354" s="510"/>
      <c r="T354" s="510"/>
      <c r="U354" s="510"/>
    </row>
    <row r="355" ht="27.0" customHeight="1">
      <c r="A355" s="510"/>
      <c r="B355" s="510"/>
      <c r="C355" s="510"/>
      <c r="D355" s="510"/>
      <c r="E355" s="510"/>
      <c r="F355" s="510"/>
      <c r="G355" s="510"/>
      <c r="H355" s="510"/>
      <c r="I355" s="510"/>
      <c r="J355" s="510"/>
      <c r="K355" s="510"/>
      <c r="L355" s="510"/>
      <c r="M355" s="510"/>
      <c r="N355" s="510"/>
      <c r="O355" s="510"/>
      <c r="P355" s="510"/>
      <c r="Q355" s="510"/>
      <c r="R355" s="510"/>
      <c r="S355" s="510"/>
      <c r="T355" s="510"/>
      <c r="U355" s="510"/>
    </row>
    <row r="356" ht="27.0" customHeight="1">
      <c r="A356" s="510"/>
      <c r="B356" s="510"/>
      <c r="C356" s="510"/>
      <c r="D356" s="510"/>
      <c r="E356" s="510"/>
      <c r="F356" s="510"/>
      <c r="G356" s="510"/>
      <c r="H356" s="510"/>
      <c r="I356" s="510"/>
      <c r="J356" s="510"/>
      <c r="K356" s="510"/>
      <c r="L356" s="510"/>
      <c r="M356" s="510"/>
      <c r="N356" s="510"/>
      <c r="O356" s="510"/>
      <c r="P356" s="510"/>
      <c r="Q356" s="510"/>
      <c r="R356" s="510"/>
      <c r="S356" s="510"/>
      <c r="T356" s="510"/>
      <c r="U356" s="510"/>
    </row>
    <row r="357" ht="27.0" customHeight="1">
      <c r="A357" s="510"/>
      <c r="B357" s="510"/>
      <c r="C357" s="510"/>
      <c r="D357" s="510"/>
      <c r="E357" s="510"/>
      <c r="F357" s="510"/>
      <c r="G357" s="510"/>
      <c r="H357" s="510"/>
      <c r="I357" s="510"/>
      <c r="J357" s="510"/>
      <c r="K357" s="510"/>
      <c r="L357" s="510"/>
      <c r="M357" s="510"/>
      <c r="N357" s="510"/>
      <c r="O357" s="510"/>
      <c r="P357" s="510"/>
      <c r="Q357" s="510"/>
      <c r="R357" s="510"/>
      <c r="S357" s="510"/>
      <c r="T357" s="510"/>
      <c r="U357" s="510"/>
    </row>
    <row r="358" ht="27.0" customHeight="1">
      <c r="A358" s="510"/>
      <c r="B358" s="510"/>
      <c r="C358" s="510"/>
      <c r="D358" s="510"/>
      <c r="E358" s="510"/>
      <c r="F358" s="510"/>
      <c r="G358" s="510"/>
      <c r="H358" s="510"/>
      <c r="I358" s="510"/>
      <c r="J358" s="510"/>
      <c r="K358" s="510"/>
      <c r="L358" s="510"/>
      <c r="M358" s="510"/>
      <c r="N358" s="510"/>
      <c r="O358" s="510"/>
      <c r="P358" s="510"/>
      <c r="Q358" s="510"/>
      <c r="R358" s="510"/>
      <c r="S358" s="510"/>
      <c r="T358" s="510"/>
      <c r="U358" s="510"/>
    </row>
    <row r="359" ht="27.0" customHeight="1">
      <c r="A359" s="510"/>
      <c r="B359" s="510"/>
      <c r="C359" s="510"/>
      <c r="D359" s="510"/>
      <c r="E359" s="510"/>
      <c r="F359" s="510"/>
      <c r="G359" s="510"/>
      <c r="H359" s="510"/>
      <c r="I359" s="510"/>
      <c r="J359" s="510"/>
      <c r="K359" s="510"/>
      <c r="L359" s="510"/>
      <c r="M359" s="510"/>
      <c r="N359" s="510"/>
      <c r="O359" s="510"/>
      <c r="P359" s="510"/>
      <c r="Q359" s="510"/>
      <c r="R359" s="510"/>
      <c r="S359" s="510"/>
      <c r="T359" s="510"/>
      <c r="U359" s="510"/>
    </row>
    <row r="360" ht="27.0" customHeight="1">
      <c r="A360" s="510"/>
      <c r="B360" s="510"/>
      <c r="C360" s="510"/>
      <c r="D360" s="510"/>
      <c r="E360" s="510"/>
      <c r="F360" s="510"/>
      <c r="G360" s="510"/>
      <c r="H360" s="510"/>
      <c r="I360" s="510"/>
      <c r="J360" s="510"/>
      <c r="K360" s="510"/>
      <c r="L360" s="510"/>
      <c r="M360" s="510"/>
      <c r="N360" s="510"/>
      <c r="O360" s="510"/>
      <c r="P360" s="510"/>
      <c r="Q360" s="510"/>
      <c r="R360" s="510"/>
      <c r="S360" s="510"/>
      <c r="T360" s="510"/>
      <c r="U360" s="510"/>
    </row>
    <row r="361" ht="27.0" customHeight="1">
      <c r="A361" s="510"/>
      <c r="B361" s="510"/>
      <c r="C361" s="510"/>
      <c r="D361" s="510"/>
      <c r="E361" s="510"/>
      <c r="F361" s="510"/>
      <c r="G361" s="510"/>
      <c r="H361" s="510"/>
      <c r="I361" s="510"/>
      <c r="J361" s="510"/>
      <c r="K361" s="510"/>
      <c r="L361" s="510"/>
      <c r="M361" s="510"/>
      <c r="N361" s="510"/>
      <c r="O361" s="510"/>
      <c r="P361" s="510"/>
      <c r="Q361" s="510"/>
      <c r="R361" s="510"/>
      <c r="S361" s="510"/>
      <c r="T361" s="510"/>
      <c r="U361" s="510"/>
    </row>
    <row r="362" ht="27.0" customHeight="1">
      <c r="A362" s="510"/>
      <c r="B362" s="510"/>
      <c r="C362" s="510"/>
      <c r="D362" s="510"/>
      <c r="E362" s="510"/>
      <c r="F362" s="510"/>
      <c r="G362" s="510"/>
      <c r="H362" s="510"/>
      <c r="I362" s="510"/>
      <c r="J362" s="510"/>
      <c r="K362" s="510"/>
      <c r="L362" s="510"/>
      <c r="M362" s="510"/>
      <c r="N362" s="510"/>
      <c r="O362" s="510"/>
      <c r="P362" s="510"/>
      <c r="Q362" s="510"/>
      <c r="R362" s="510"/>
      <c r="S362" s="510"/>
      <c r="T362" s="510"/>
      <c r="U362" s="510"/>
    </row>
    <row r="363" ht="27.0" customHeight="1">
      <c r="A363" s="510"/>
      <c r="B363" s="510"/>
      <c r="C363" s="510"/>
      <c r="D363" s="510"/>
      <c r="E363" s="510"/>
      <c r="F363" s="510"/>
      <c r="G363" s="510"/>
      <c r="H363" s="510"/>
      <c r="I363" s="510"/>
      <c r="J363" s="510"/>
      <c r="K363" s="510"/>
      <c r="L363" s="510"/>
      <c r="M363" s="510"/>
      <c r="N363" s="510"/>
      <c r="O363" s="510"/>
      <c r="P363" s="510"/>
      <c r="Q363" s="510"/>
      <c r="R363" s="510"/>
      <c r="S363" s="510"/>
      <c r="T363" s="510"/>
      <c r="U363" s="510"/>
    </row>
    <row r="364" ht="27.0" customHeight="1">
      <c r="A364" s="510"/>
      <c r="B364" s="510"/>
      <c r="C364" s="510"/>
      <c r="D364" s="510"/>
      <c r="E364" s="510"/>
      <c r="F364" s="510"/>
      <c r="G364" s="510"/>
      <c r="H364" s="510"/>
      <c r="I364" s="510"/>
      <c r="J364" s="510"/>
      <c r="K364" s="510"/>
      <c r="L364" s="510"/>
      <c r="M364" s="510"/>
      <c r="N364" s="510"/>
      <c r="O364" s="510"/>
      <c r="P364" s="510"/>
      <c r="Q364" s="510"/>
      <c r="R364" s="510"/>
      <c r="S364" s="510"/>
      <c r="T364" s="510"/>
      <c r="U364" s="510"/>
    </row>
    <row r="365" ht="27.0" customHeight="1">
      <c r="A365" s="510"/>
      <c r="B365" s="510"/>
      <c r="C365" s="510"/>
      <c r="D365" s="510"/>
      <c r="E365" s="510"/>
      <c r="F365" s="510"/>
      <c r="G365" s="510"/>
      <c r="H365" s="510"/>
      <c r="I365" s="510"/>
      <c r="J365" s="510"/>
      <c r="K365" s="510"/>
      <c r="L365" s="510"/>
      <c r="M365" s="510"/>
      <c r="N365" s="510"/>
      <c r="O365" s="510"/>
      <c r="P365" s="510"/>
      <c r="Q365" s="510"/>
      <c r="R365" s="510"/>
      <c r="S365" s="510"/>
      <c r="T365" s="510"/>
      <c r="U365" s="510"/>
    </row>
    <row r="366" ht="27.0" customHeight="1">
      <c r="A366" s="510"/>
      <c r="B366" s="510"/>
      <c r="C366" s="510"/>
      <c r="D366" s="510"/>
      <c r="E366" s="510"/>
      <c r="F366" s="510"/>
      <c r="G366" s="510"/>
      <c r="H366" s="510"/>
      <c r="I366" s="510"/>
      <c r="J366" s="510"/>
      <c r="K366" s="510"/>
      <c r="L366" s="510"/>
      <c r="M366" s="510"/>
      <c r="N366" s="510"/>
      <c r="O366" s="510"/>
      <c r="P366" s="510"/>
      <c r="Q366" s="510"/>
      <c r="R366" s="510"/>
      <c r="S366" s="510"/>
      <c r="T366" s="510"/>
      <c r="U366" s="510"/>
    </row>
    <row r="367" ht="27.0" customHeight="1">
      <c r="A367" s="510"/>
      <c r="B367" s="510"/>
      <c r="C367" s="510"/>
      <c r="D367" s="510"/>
      <c r="E367" s="510"/>
      <c r="F367" s="510"/>
      <c r="G367" s="510"/>
      <c r="H367" s="510"/>
      <c r="I367" s="510"/>
      <c r="J367" s="510"/>
      <c r="K367" s="510"/>
      <c r="L367" s="510"/>
      <c r="M367" s="510"/>
      <c r="N367" s="510"/>
      <c r="O367" s="510"/>
      <c r="P367" s="510"/>
      <c r="Q367" s="510"/>
      <c r="R367" s="510"/>
      <c r="S367" s="510"/>
      <c r="T367" s="510"/>
      <c r="U367" s="510"/>
    </row>
    <row r="368" ht="27.0" customHeight="1">
      <c r="A368" s="510"/>
      <c r="B368" s="510"/>
      <c r="C368" s="510"/>
      <c r="D368" s="510"/>
      <c r="E368" s="510"/>
      <c r="F368" s="510"/>
      <c r="G368" s="510"/>
      <c r="H368" s="510"/>
      <c r="I368" s="510"/>
      <c r="J368" s="510"/>
      <c r="K368" s="510"/>
      <c r="L368" s="510"/>
      <c r="M368" s="510"/>
      <c r="N368" s="510"/>
      <c r="O368" s="510"/>
      <c r="P368" s="510"/>
      <c r="Q368" s="510"/>
      <c r="R368" s="510"/>
      <c r="S368" s="510"/>
      <c r="T368" s="510"/>
      <c r="U368" s="510"/>
    </row>
    <row r="369" ht="27.0" customHeight="1">
      <c r="A369" s="510"/>
      <c r="B369" s="510"/>
      <c r="C369" s="510"/>
      <c r="D369" s="510"/>
      <c r="E369" s="510"/>
      <c r="F369" s="510"/>
      <c r="G369" s="510"/>
      <c r="H369" s="510"/>
      <c r="I369" s="510"/>
      <c r="J369" s="510"/>
      <c r="K369" s="510"/>
      <c r="L369" s="510"/>
      <c r="M369" s="510"/>
      <c r="N369" s="510"/>
      <c r="O369" s="510"/>
      <c r="P369" s="510"/>
      <c r="Q369" s="510"/>
      <c r="R369" s="510"/>
      <c r="S369" s="510"/>
      <c r="T369" s="510"/>
      <c r="U369" s="510"/>
    </row>
    <row r="370" ht="27.0" customHeight="1">
      <c r="A370" s="510"/>
      <c r="B370" s="510"/>
      <c r="C370" s="510"/>
      <c r="D370" s="510"/>
      <c r="E370" s="510"/>
      <c r="F370" s="510"/>
      <c r="G370" s="510"/>
      <c r="H370" s="510"/>
      <c r="I370" s="510"/>
      <c r="J370" s="510"/>
      <c r="K370" s="510"/>
      <c r="L370" s="510"/>
      <c r="M370" s="510"/>
      <c r="N370" s="510"/>
      <c r="O370" s="510"/>
      <c r="P370" s="510"/>
      <c r="Q370" s="510"/>
      <c r="R370" s="510"/>
      <c r="S370" s="510"/>
      <c r="T370" s="510"/>
      <c r="U370" s="510"/>
    </row>
    <row r="371" ht="27.0" customHeight="1">
      <c r="A371" s="510"/>
      <c r="B371" s="510"/>
      <c r="C371" s="510"/>
      <c r="D371" s="510"/>
      <c r="E371" s="510"/>
      <c r="F371" s="510"/>
      <c r="G371" s="510"/>
      <c r="H371" s="510"/>
      <c r="I371" s="510"/>
      <c r="J371" s="510"/>
      <c r="K371" s="510"/>
      <c r="L371" s="510"/>
      <c r="M371" s="510"/>
      <c r="N371" s="510"/>
      <c r="O371" s="510"/>
      <c r="P371" s="510"/>
      <c r="Q371" s="510"/>
      <c r="R371" s="510"/>
      <c r="S371" s="510"/>
      <c r="T371" s="510"/>
      <c r="U371" s="510"/>
    </row>
    <row r="372" ht="27.0" customHeight="1">
      <c r="A372" s="510"/>
      <c r="B372" s="510"/>
      <c r="C372" s="510"/>
      <c r="D372" s="510"/>
      <c r="E372" s="510"/>
      <c r="F372" s="510"/>
      <c r="G372" s="510"/>
      <c r="H372" s="510"/>
      <c r="I372" s="510"/>
      <c r="J372" s="510"/>
      <c r="K372" s="510"/>
      <c r="L372" s="510"/>
      <c r="M372" s="510"/>
      <c r="N372" s="510"/>
      <c r="O372" s="510"/>
      <c r="P372" s="510"/>
      <c r="Q372" s="510"/>
      <c r="R372" s="510"/>
      <c r="S372" s="510"/>
      <c r="T372" s="510"/>
      <c r="U372" s="510"/>
    </row>
    <row r="373" ht="27.0" customHeight="1">
      <c r="A373" s="510"/>
      <c r="B373" s="510"/>
      <c r="C373" s="510"/>
      <c r="D373" s="510"/>
      <c r="E373" s="510"/>
      <c r="F373" s="510"/>
      <c r="G373" s="510"/>
      <c r="H373" s="510"/>
      <c r="I373" s="510"/>
      <c r="J373" s="510"/>
      <c r="K373" s="510"/>
      <c r="L373" s="510"/>
      <c r="M373" s="510"/>
      <c r="N373" s="510"/>
      <c r="O373" s="510"/>
      <c r="P373" s="510"/>
      <c r="Q373" s="510"/>
      <c r="R373" s="510"/>
      <c r="S373" s="510"/>
      <c r="T373" s="510"/>
      <c r="U373" s="510"/>
    </row>
    <row r="374" ht="27.0" customHeight="1">
      <c r="A374" s="510"/>
      <c r="B374" s="510"/>
      <c r="C374" s="510"/>
      <c r="D374" s="510"/>
      <c r="E374" s="510"/>
      <c r="F374" s="510"/>
      <c r="G374" s="510"/>
      <c r="H374" s="510"/>
      <c r="I374" s="510"/>
      <c r="J374" s="510"/>
      <c r="K374" s="510"/>
      <c r="L374" s="510"/>
      <c r="M374" s="510"/>
      <c r="N374" s="510"/>
      <c r="O374" s="510"/>
      <c r="P374" s="510"/>
      <c r="Q374" s="510"/>
      <c r="R374" s="510"/>
      <c r="S374" s="510"/>
      <c r="T374" s="510"/>
      <c r="U374" s="510"/>
    </row>
    <row r="375" ht="27.0" customHeight="1">
      <c r="A375" s="510"/>
      <c r="B375" s="510"/>
      <c r="C375" s="510"/>
      <c r="D375" s="510"/>
      <c r="E375" s="510"/>
      <c r="F375" s="510"/>
      <c r="G375" s="510"/>
      <c r="H375" s="510"/>
      <c r="I375" s="510"/>
      <c r="J375" s="510"/>
      <c r="K375" s="510"/>
      <c r="L375" s="510"/>
      <c r="M375" s="510"/>
      <c r="N375" s="510"/>
      <c r="O375" s="510"/>
      <c r="P375" s="510"/>
      <c r="Q375" s="510"/>
      <c r="R375" s="510"/>
      <c r="S375" s="510"/>
      <c r="T375" s="510"/>
      <c r="U375" s="510"/>
    </row>
    <row r="376" ht="27.0" customHeight="1">
      <c r="A376" s="510"/>
      <c r="B376" s="510"/>
      <c r="C376" s="510"/>
      <c r="D376" s="510"/>
      <c r="E376" s="510"/>
      <c r="F376" s="510"/>
      <c r="G376" s="510"/>
      <c r="H376" s="510"/>
      <c r="I376" s="510"/>
      <c r="J376" s="510"/>
      <c r="K376" s="510"/>
      <c r="L376" s="510"/>
      <c r="M376" s="510"/>
      <c r="N376" s="510"/>
      <c r="O376" s="510"/>
      <c r="P376" s="510"/>
      <c r="Q376" s="510"/>
      <c r="R376" s="510"/>
      <c r="S376" s="510"/>
      <c r="T376" s="510"/>
      <c r="U376" s="510"/>
    </row>
    <row r="377" ht="27.0" customHeight="1">
      <c r="A377" s="510"/>
      <c r="B377" s="510"/>
      <c r="C377" s="510"/>
      <c r="D377" s="510"/>
      <c r="E377" s="510"/>
      <c r="F377" s="510"/>
      <c r="G377" s="510"/>
      <c r="H377" s="510"/>
      <c r="I377" s="510"/>
      <c r="J377" s="510"/>
      <c r="K377" s="510"/>
      <c r="L377" s="510"/>
      <c r="M377" s="510"/>
      <c r="N377" s="510"/>
      <c r="O377" s="510"/>
      <c r="P377" s="510"/>
      <c r="Q377" s="510"/>
      <c r="R377" s="510"/>
      <c r="S377" s="510"/>
      <c r="T377" s="510"/>
      <c r="U377" s="510"/>
    </row>
    <row r="378" ht="27.0" customHeight="1">
      <c r="A378" s="510"/>
      <c r="B378" s="510"/>
      <c r="C378" s="510"/>
      <c r="D378" s="510"/>
      <c r="E378" s="510"/>
      <c r="F378" s="510"/>
      <c r="G378" s="510"/>
      <c r="H378" s="510"/>
      <c r="I378" s="510"/>
      <c r="J378" s="510"/>
      <c r="K378" s="510"/>
      <c r="L378" s="510"/>
      <c r="M378" s="510"/>
      <c r="N378" s="510"/>
      <c r="O378" s="510"/>
      <c r="P378" s="510"/>
      <c r="Q378" s="510"/>
      <c r="R378" s="510"/>
      <c r="S378" s="510"/>
      <c r="T378" s="510"/>
      <c r="U378" s="510"/>
    </row>
    <row r="379" ht="27.0" customHeight="1">
      <c r="A379" s="510"/>
      <c r="B379" s="510"/>
      <c r="C379" s="510"/>
      <c r="D379" s="510"/>
      <c r="E379" s="510"/>
      <c r="F379" s="510"/>
      <c r="G379" s="510"/>
      <c r="H379" s="510"/>
      <c r="I379" s="510"/>
      <c r="J379" s="510"/>
      <c r="K379" s="510"/>
      <c r="L379" s="510"/>
      <c r="M379" s="510"/>
      <c r="N379" s="510"/>
      <c r="O379" s="510"/>
      <c r="P379" s="510"/>
      <c r="Q379" s="510"/>
      <c r="R379" s="510"/>
      <c r="S379" s="510"/>
      <c r="T379" s="510"/>
      <c r="U379" s="510"/>
    </row>
    <row r="380" ht="27.0" customHeight="1">
      <c r="A380" s="510"/>
      <c r="B380" s="510"/>
      <c r="C380" s="510"/>
      <c r="D380" s="510"/>
      <c r="E380" s="510"/>
      <c r="F380" s="510"/>
      <c r="G380" s="510"/>
      <c r="H380" s="510"/>
      <c r="I380" s="510"/>
      <c r="J380" s="510"/>
      <c r="K380" s="510"/>
      <c r="L380" s="510"/>
      <c r="M380" s="510"/>
      <c r="N380" s="510"/>
      <c r="O380" s="510"/>
      <c r="P380" s="510"/>
      <c r="Q380" s="510"/>
      <c r="R380" s="510"/>
      <c r="S380" s="510"/>
      <c r="T380" s="510"/>
      <c r="U380" s="510"/>
    </row>
    <row r="381" ht="27.0" customHeight="1">
      <c r="A381" s="510"/>
      <c r="B381" s="510"/>
      <c r="C381" s="510"/>
      <c r="D381" s="510"/>
      <c r="E381" s="510"/>
      <c r="F381" s="510"/>
      <c r="G381" s="510"/>
      <c r="H381" s="510"/>
      <c r="I381" s="510"/>
      <c r="J381" s="510"/>
      <c r="K381" s="510"/>
      <c r="L381" s="510"/>
      <c r="M381" s="510"/>
      <c r="N381" s="510"/>
      <c r="O381" s="510"/>
      <c r="P381" s="510"/>
      <c r="Q381" s="510"/>
      <c r="R381" s="510"/>
      <c r="S381" s="510"/>
      <c r="T381" s="510"/>
      <c r="U381" s="510"/>
    </row>
    <row r="382" ht="27.0" customHeight="1">
      <c r="A382" s="510"/>
      <c r="B382" s="510"/>
      <c r="C382" s="510"/>
      <c r="D382" s="510"/>
      <c r="E382" s="510"/>
      <c r="F382" s="510"/>
      <c r="G382" s="510"/>
      <c r="H382" s="510"/>
      <c r="I382" s="510"/>
      <c r="J382" s="510"/>
      <c r="K382" s="510"/>
      <c r="L382" s="510"/>
      <c r="M382" s="510"/>
      <c r="N382" s="510"/>
      <c r="O382" s="510"/>
      <c r="P382" s="510"/>
      <c r="Q382" s="510"/>
      <c r="R382" s="510"/>
      <c r="S382" s="510"/>
      <c r="T382" s="510"/>
      <c r="U382" s="510"/>
    </row>
    <row r="383" ht="27.0" customHeight="1">
      <c r="A383" s="510"/>
      <c r="B383" s="510"/>
      <c r="C383" s="510"/>
      <c r="D383" s="510"/>
      <c r="E383" s="510"/>
      <c r="F383" s="510"/>
      <c r="G383" s="510"/>
      <c r="H383" s="510"/>
      <c r="I383" s="510"/>
      <c r="J383" s="510"/>
      <c r="K383" s="510"/>
      <c r="L383" s="510"/>
      <c r="M383" s="510"/>
      <c r="N383" s="510"/>
      <c r="O383" s="510"/>
      <c r="P383" s="510"/>
      <c r="Q383" s="510"/>
      <c r="R383" s="510"/>
      <c r="S383" s="510"/>
      <c r="T383" s="510"/>
      <c r="U383" s="510"/>
    </row>
    <row r="384" ht="27.0" customHeight="1">
      <c r="A384" s="510"/>
      <c r="B384" s="510"/>
      <c r="C384" s="510"/>
      <c r="D384" s="510"/>
      <c r="E384" s="510"/>
      <c r="F384" s="510"/>
      <c r="G384" s="510"/>
      <c r="H384" s="510"/>
      <c r="I384" s="510"/>
      <c r="J384" s="510"/>
      <c r="K384" s="510"/>
      <c r="L384" s="510"/>
      <c r="M384" s="510"/>
      <c r="N384" s="510"/>
      <c r="O384" s="510"/>
      <c r="P384" s="510"/>
      <c r="Q384" s="510"/>
      <c r="R384" s="510"/>
      <c r="S384" s="510"/>
      <c r="T384" s="510"/>
      <c r="U384" s="510"/>
    </row>
    <row r="385" ht="27.0" customHeight="1">
      <c r="A385" s="510"/>
      <c r="B385" s="510"/>
      <c r="C385" s="510"/>
      <c r="D385" s="510"/>
      <c r="E385" s="510"/>
      <c r="F385" s="510"/>
      <c r="G385" s="510"/>
      <c r="H385" s="510"/>
      <c r="I385" s="510"/>
      <c r="J385" s="510"/>
      <c r="K385" s="510"/>
      <c r="L385" s="510"/>
      <c r="M385" s="510"/>
      <c r="N385" s="510"/>
      <c r="O385" s="510"/>
      <c r="P385" s="510"/>
      <c r="Q385" s="510"/>
      <c r="R385" s="510"/>
      <c r="S385" s="510"/>
      <c r="T385" s="510"/>
      <c r="U385" s="510"/>
    </row>
    <row r="386" ht="27.0" customHeight="1">
      <c r="A386" s="510"/>
      <c r="B386" s="510"/>
      <c r="C386" s="510"/>
      <c r="D386" s="510"/>
      <c r="E386" s="510"/>
      <c r="F386" s="510"/>
      <c r="G386" s="510"/>
      <c r="H386" s="510"/>
      <c r="I386" s="510"/>
      <c r="J386" s="510"/>
      <c r="K386" s="510"/>
      <c r="L386" s="510"/>
      <c r="M386" s="510"/>
      <c r="N386" s="510"/>
      <c r="O386" s="510"/>
      <c r="P386" s="510"/>
      <c r="Q386" s="510"/>
      <c r="R386" s="510"/>
      <c r="S386" s="510"/>
      <c r="T386" s="510"/>
      <c r="U386" s="510"/>
    </row>
    <row r="387" ht="27.0" customHeight="1">
      <c r="A387" s="510"/>
      <c r="B387" s="510"/>
      <c r="C387" s="510"/>
      <c r="D387" s="510"/>
      <c r="E387" s="510"/>
      <c r="F387" s="510"/>
      <c r="G387" s="510"/>
      <c r="H387" s="510"/>
      <c r="I387" s="510"/>
      <c r="J387" s="510"/>
      <c r="K387" s="510"/>
      <c r="L387" s="510"/>
      <c r="M387" s="510"/>
      <c r="N387" s="510"/>
      <c r="O387" s="510"/>
      <c r="P387" s="510"/>
      <c r="Q387" s="510"/>
      <c r="R387" s="510"/>
      <c r="S387" s="510"/>
      <c r="T387" s="510"/>
      <c r="U387" s="510"/>
    </row>
    <row r="388" ht="27.0" customHeight="1">
      <c r="A388" s="510"/>
      <c r="B388" s="510"/>
      <c r="C388" s="510"/>
      <c r="D388" s="510"/>
      <c r="E388" s="510"/>
      <c r="F388" s="510"/>
      <c r="G388" s="510"/>
      <c r="H388" s="510"/>
      <c r="I388" s="510"/>
      <c r="J388" s="510"/>
      <c r="K388" s="510"/>
      <c r="L388" s="510"/>
      <c r="M388" s="510"/>
      <c r="N388" s="510"/>
      <c r="O388" s="510"/>
      <c r="P388" s="510"/>
      <c r="Q388" s="510"/>
      <c r="R388" s="510"/>
      <c r="S388" s="510"/>
      <c r="T388" s="510"/>
      <c r="U388" s="510"/>
    </row>
    <row r="389" ht="27.0" customHeight="1">
      <c r="A389" s="510"/>
      <c r="B389" s="510"/>
      <c r="C389" s="510"/>
      <c r="D389" s="510"/>
      <c r="E389" s="510"/>
      <c r="F389" s="510"/>
      <c r="G389" s="510"/>
      <c r="H389" s="510"/>
      <c r="I389" s="510"/>
      <c r="J389" s="510"/>
      <c r="K389" s="510"/>
      <c r="L389" s="510"/>
      <c r="M389" s="510"/>
      <c r="N389" s="510"/>
      <c r="O389" s="510"/>
      <c r="P389" s="510"/>
      <c r="Q389" s="510"/>
      <c r="R389" s="510"/>
      <c r="S389" s="510"/>
      <c r="T389" s="510"/>
      <c r="U389" s="510"/>
    </row>
    <row r="390" ht="27.0" customHeight="1">
      <c r="A390" s="510"/>
      <c r="B390" s="510"/>
      <c r="C390" s="510"/>
      <c r="D390" s="510"/>
      <c r="E390" s="510"/>
      <c r="F390" s="510"/>
      <c r="G390" s="510"/>
      <c r="H390" s="510"/>
      <c r="I390" s="510"/>
      <c r="J390" s="510"/>
      <c r="K390" s="510"/>
      <c r="L390" s="510"/>
      <c r="M390" s="510"/>
      <c r="N390" s="510"/>
      <c r="O390" s="510"/>
      <c r="P390" s="510"/>
      <c r="Q390" s="510"/>
      <c r="R390" s="510"/>
      <c r="S390" s="510"/>
      <c r="T390" s="510"/>
      <c r="U390" s="510"/>
    </row>
    <row r="391" ht="27.0" customHeight="1">
      <c r="A391" s="510"/>
      <c r="B391" s="510"/>
      <c r="C391" s="510"/>
      <c r="D391" s="510"/>
      <c r="E391" s="510"/>
      <c r="F391" s="510"/>
      <c r="G391" s="510"/>
      <c r="H391" s="510"/>
      <c r="I391" s="510"/>
      <c r="J391" s="510"/>
      <c r="K391" s="510"/>
      <c r="L391" s="510"/>
      <c r="M391" s="510"/>
      <c r="N391" s="510"/>
      <c r="O391" s="510"/>
      <c r="P391" s="510"/>
      <c r="Q391" s="510"/>
      <c r="R391" s="510"/>
      <c r="S391" s="510"/>
      <c r="T391" s="510"/>
      <c r="U391" s="510"/>
    </row>
    <row r="392" ht="27.0" customHeight="1">
      <c r="A392" s="510"/>
      <c r="B392" s="510"/>
      <c r="C392" s="510"/>
      <c r="D392" s="510"/>
      <c r="E392" s="510"/>
      <c r="F392" s="510"/>
      <c r="G392" s="510"/>
      <c r="H392" s="510"/>
      <c r="I392" s="510"/>
      <c r="J392" s="510"/>
      <c r="K392" s="510"/>
      <c r="L392" s="510"/>
      <c r="M392" s="510"/>
      <c r="N392" s="510"/>
      <c r="O392" s="510"/>
      <c r="P392" s="510"/>
      <c r="Q392" s="510"/>
      <c r="R392" s="510"/>
      <c r="S392" s="510"/>
      <c r="T392" s="510"/>
      <c r="U392" s="510"/>
    </row>
    <row r="393" ht="27.0" customHeight="1">
      <c r="A393" s="510"/>
      <c r="B393" s="510"/>
      <c r="C393" s="510"/>
      <c r="D393" s="510"/>
      <c r="E393" s="510"/>
      <c r="F393" s="510"/>
      <c r="G393" s="510"/>
      <c r="H393" s="510"/>
      <c r="I393" s="510"/>
      <c r="J393" s="510"/>
      <c r="K393" s="510"/>
      <c r="L393" s="510"/>
      <c r="M393" s="510"/>
      <c r="N393" s="510"/>
      <c r="O393" s="510"/>
      <c r="P393" s="510"/>
      <c r="Q393" s="510"/>
      <c r="R393" s="510"/>
      <c r="S393" s="510"/>
      <c r="T393" s="510"/>
      <c r="U393" s="510"/>
    </row>
    <row r="394" ht="27.0" customHeight="1">
      <c r="A394" s="510"/>
      <c r="B394" s="510"/>
      <c r="C394" s="510"/>
      <c r="D394" s="510"/>
      <c r="E394" s="510"/>
      <c r="F394" s="510"/>
      <c r="G394" s="510"/>
      <c r="H394" s="510"/>
      <c r="I394" s="510"/>
      <c r="J394" s="510"/>
      <c r="K394" s="510"/>
      <c r="L394" s="510"/>
      <c r="M394" s="510"/>
      <c r="N394" s="510"/>
      <c r="O394" s="510"/>
      <c r="P394" s="510"/>
      <c r="Q394" s="510"/>
      <c r="R394" s="510"/>
      <c r="S394" s="510"/>
      <c r="T394" s="510"/>
      <c r="U394" s="510"/>
    </row>
    <row r="395" ht="27.0" customHeight="1">
      <c r="A395" s="510"/>
      <c r="B395" s="510"/>
      <c r="C395" s="510"/>
      <c r="D395" s="510"/>
      <c r="E395" s="510"/>
      <c r="F395" s="510"/>
      <c r="G395" s="510"/>
      <c r="H395" s="510"/>
      <c r="I395" s="510"/>
      <c r="J395" s="510"/>
      <c r="K395" s="510"/>
      <c r="L395" s="510"/>
      <c r="M395" s="510"/>
      <c r="N395" s="510"/>
      <c r="O395" s="510"/>
      <c r="P395" s="510"/>
      <c r="Q395" s="510"/>
      <c r="R395" s="510"/>
      <c r="S395" s="510"/>
      <c r="T395" s="510"/>
      <c r="U395" s="510"/>
    </row>
    <row r="396" ht="27.0" customHeight="1">
      <c r="A396" s="510"/>
      <c r="B396" s="510"/>
      <c r="C396" s="510"/>
      <c r="D396" s="510"/>
      <c r="E396" s="510"/>
      <c r="F396" s="510"/>
      <c r="G396" s="510"/>
      <c r="H396" s="510"/>
      <c r="I396" s="510"/>
      <c r="J396" s="510"/>
      <c r="K396" s="510"/>
      <c r="L396" s="510"/>
      <c r="M396" s="510"/>
      <c r="N396" s="510"/>
      <c r="O396" s="510"/>
      <c r="P396" s="510"/>
      <c r="Q396" s="510"/>
      <c r="R396" s="510"/>
      <c r="S396" s="510"/>
      <c r="T396" s="510"/>
      <c r="U396" s="510"/>
    </row>
    <row r="397" ht="27.0" customHeight="1">
      <c r="A397" s="510"/>
      <c r="B397" s="510"/>
      <c r="C397" s="510"/>
      <c r="D397" s="510"/>
      <c r="E397" s="510"/>
      <c r="F397" s="510"/>
      <c r="G397" s="510"/>
      <c r="H397" s="510"/>
      <c r="I397" s="510"/>
      <c r="J397" s="510"/>
      <c r="K397" s="510"/>
      <c r="L397" s="510"/>
      <c r="M397" s="510"/>
      <c r="N397" s="510"/>
      <c r="O397" s="510"/>
      <c r="P397" s="510"/>
      <c r="Q397" s="510"/>
      <c r="R397" s="510"/>
      <c r="S397" s="510"/>
      <c r="T397" s="510"/>
      <c r="U397" s="510"/>
    </row>
    <row r="398" ht="27.0" customHeight="1">
      <c r="A398" s="510"/>
      <c r="B398" s="510"/>
      <c r="C398" s="510"/>
      <c r="D398" s="510"/>
      <c r="E398" s="510"/>
      <c r="F398" s="510"/>
      <c r="G398" s="510"/>
      <c r="H398" s="510"/>
      <c r="I398" s="510"/>
      <c r="J398" s="510"/>
      <c r="K398" s="510"/>
      <c r="L398" s="510"/>
      <c r="M398" s="510"/>
      <c r="N398" s="510"/>
      <c r="O398" s="510"/>
      <c r="P398" s="510"/>
      <c r="Q398" s="510"/>
      <c r="R398" s="510"/>
      <c r="S398" s="510"/>
      <c r="T398" s="510"/>
      <c r="U398" s="510"/>
    </row>
    <row r="399" ht="27.0" customHeight="1">
      <c r="A399" s="510"/>
      <c r="B399" s="510"/>
      <c r="C399" s="510"/>
      <c r="D399" s="510"/>
      <c r="E399" s="510"/>
      <c r="F399" s="510"/>
      <c r="G399" s="510"/>
      <c r="H399" s="510"/>
      <c r="I399" s="510"/>
      <c r="J399" s="510"/>
      <c r="K399" s="510"/>
      <c r="L399" s="510"/>
      <c r="M399" s="510"/>
      <c r="N399" s="510"/>
      <c r="O399" s="510"/>
      <c r="P399" s="510"/>
      <c r="Q399" s="510"/>
      <c r="R399" s="510"/>
      <c r="S399" s="510"/>
      <c r="T399" s="510"/>
      <c r="U399" s="510"/>
    </row>
    <row r="400" ht="27.0" customHeight="1">
      <c r="A400" s="510"/>
      <c r="B400" s="510"/>
      <c r="C400" s="510"/>
      <c r="D400" s="510"/>
      <c r="E400" s="510"/>
      <c r="F400" s="510"/>
      <c r="G400" s="510"/>
      <c r="H400" s="510"/>
      <c r="I400" s="510"/>
      <c r="J400" s="510"/>
      <c r="K400" s="510"/>
      <c r="L400" s="510"/>
      <c r="M400" s="510"/>
      <c r="N400" s="510"/>
      <c r="O400" s="510"/>
      <c r="P400" s="510"/>
      <c r="Q400" s="510"/>
      <c r="R400" s="510"/>
      <c r="S400" s="510"/>
      <c r="T400" s="510"/>
      <c r="U400" s="510"/>
    </row>
    <row r="401" ht="27.0" customHeight="1">
      <c r="A401" s="510"/>
      <c r="B401" s="510"/>
      <c r="C401" s="510"/>
      <c r="D401" s="510"/>
      <c r="E401" s="510"/>
      <c r="F401" s="510"/>
      <c r="G401" s="510"/>
      <c r="H401" s="510"/>
      <c r="I401" s="510"/>
      <c r="J401" s="510"/>
      <c r="K401" s="510"/>
      <c r="L401" s="510"/>
      <c r="M401" s="510"/>
      <c r="N401" s="510"/>
      <c r="O401" s="510"/>
      <c r="P401" s="510"/>
      <c r="Q401" s="510"/>
      <c r="R401" s="510"/>
      <c r="S401" s="510"/>
      <c r="T401" s="510"/>
      <c r="U401" s="510"/>
    </row>
    <row r="402" ht="27.0" customHeight="1">
      <c r="A402" s="510"/>
      <c r="B402" s="510"/>
      <c r="C402" s="510"/>
      <c r="D402" s="510"/>
      <c r="E402" s="510"/>
      <c r="F402" s="510"/>
      <c r="G402" s="510"/>
      <c r="H402" s="510"/>
      <c r="I402" s="510"/>
      <c r="J402" s="510"/>
      <c r="K402" s="510"/>
      <c r="L402" s="510"/>
      <c r="M402" s="510"/>
      <c r="N402" s="510"/>
      <c r="O402" s="510"/>
      <c r="P402" s="510"/>
      <c r="Q402" s="510"/>
      <c r="R402" s="510"/>
      <c r="S402" s="510"/>
      <c r="T402" s="510"/>
      <c r="U402" s="510"/>
    </row>
    <row r="403" ht="27.0" customHeight="1">
      <c r="A403" s="510"/>
      <c r="B403" s="510"/>
      <c r="C403" s="510"/>
      <c r="D403" s="510"/>
      <c r="E403" s="510"/>
      <c r="F403" s="510"/>
      <c r="G403" s="510"/>
      <c r="H403" s="510"/>
      <c r="I403" s="510"/>
      <c r="J403" s="510"/>
      <c r="K403" s="510"/>
      <c r="L403" s="510"/>
      <c r="M403" s="510"/>
      <c r="N403" s="510"/>
      <c r="O403" s="510"/>
      <c r="P403" s="510"/>
      <c r="Q403" s="510"/>
      <c r="R403" s="510"/>
      <c r="S403" s="510"/>
      <c r="T403" s="510"/>
      <c r="U403" s="510"/>
    </row>
    <row r="404" ht="27.0" customHeight="1">
      <c r="A404" s="510"/>
      <c r="B404" s="510"/>
      <c r="C404" s="510"/>
      <c r="D404" s="510"/>
      <c r="E404" s="510"/>
      <c r="F404" s="510"/>
      <c r="G404" s="510"/>
      <c r="H404" s="510"/>
      <c r="I404" s="510"/>
      <c r="J404" s="510"/>
      <c r="K404" s="510"/>
      <c r="L404" s="510"/>
      <c r="M404" s="510"/>
      <c r="N404" s="510"/>
      <c r="O404" s="510"/>
      <c r="P404" s="510"/>
      <c r="Q404" s="510"/>
      <c r="R404" s="510"/>
      <c r="S404" s="510"/>
      <c r="T404" s="510"/>
      <c r="U404" s="510"/>
    </row>
    <row r="405" ht="27.0" customHeight="1">
      <c r="A405" s="510"/>
      <c r="B405" s="510"/>
      <c r="C405" s="510"/>
      <c r="D405" s="510"/>
      <c r="E405" s="510"/>
      <c r="F405" s="510"/>
      <c r="G405" s="510"/>
      <c r="H405" s="510"/>
      <c r="I405" s="510"/>
      <c r="J405" s="510"/>
      <c r="K405" s="510"/>
      <c r="L405" s="510"/>
      <c r="M405" s="510"/>
      <c r="N405" s="510"/>
      <c r="O405" s="510"/>
      <c r="P405" s="510"/>
      <c r="Q405" s="510"/>
      <c r="R405" s="510"/>
      <c r="S405" s="510"/>
      <c r="T405" s="510"/>
      <c r="U405" s="510"/>
    </row>
    <row r="406" ht="27.0" customHeight="1">
      <c r="A406" s="510"/>
      <c r="B406" s="510"/>
      <c r="C406" s="510"/>
      <c r="D406" s="510"/>
      <c r="E406" s="510"/>
      <c r="F406" s="510"/>
      <c r="G406" s="510"/>
      <c r="H406" s="510"/>
      <c r="I406" s="510"/>
      <c r="J406" s="510"/>
      <c r="K406" s="510"/>
      <c r="L406" s="510"/>
      <c r="M406" s="510"/>
      <c r="N406" s="510"/>
      <c r="O406" s="510"/>
      <c r="P406" s="510"/>
      <c r="Q406" s="510"/>
      <c r="R406" s="510"/>
      <c r="S406" s="510"/>
      <c r="T406" s="510"/>
      <c r="U406" s="510"/>
    </row>
    <row r="407" ht="27.0" customHeight="1">
      <c r="A407" s="510"/>
      <c r="B407" s="510"/>
      <c r="C407" s="510"/>
      <c r="D407" s="510"/>
      <c r="E407" s="510"/>
      <c r="F407" s="510"/>
      <c r="G407" s="510"/>
      <c r="H407" s="510"/>
      <c r="I407" s="510"/>
      <c r="J407" s="510"/>
      <c r="K407" s="510"/>
      <c r="L407" s="510"/>
      <c r="M407" s="510"/>
      <c r="N407" s="510"/>
      <c r="O407" s="510"/>
      <c r="P407" s="510"/>
      <c r="Q407" s="510"/>
      <c r="R407" s="510"/>
      <c r="S407" s="510"/>
      <c r="T407" s="510"/>
      <c r="U407" s="510"/>
    </row>
    <row r="408" ht="27.0" customHeight="1">
      <c r="A408" s="510"/>
      <c r="B408" s="510"/>
      <c r="C408" s="510"/>
      <c r="D408" s="510"/>
      <c r="E408" s="510"/>
      <c r="F408" s="510"/>
      <c r="G408" s="510"/>
      <c r="H408" s="510"/>
      <c r="I408" s="510"/>
      <c r="J408" s="510"/>
      <c r="K408" s="510"/>
      <c r="L408" s="510"/>
      <c r="M408" s="510"/>
      <c r="N408" s="510"/>
      <c r="O408" s="510"/>
      <c r="P408" s="510"/>
      <c r="Q408" s="510"/>
      <c r="R408" s="510"/>
      <c r="S408" s="510"/>
      <c r="T408" s="510"/>
      <c r="U408" s="510"/>
    </row>
    <row r="409" ht="27.0" customHeight="1">
      <c r="A409" s="510"/>
      <c r="B409" s="510"/>
      <c r="C409" s="510"/>
      <c r="D409" s="510"/>
      <c r="E409" s="510"/>
      <c r="F409" s="510"/>
      <c r="G409" s="510"/>
      <c r="H409" s="510"/>
      <c r="I409" s="510"/>
      <c r="J409" s="510"/>
      <c r="K409" s="510"/>
      <c r="L409" s="510"/>
      <c r="M409" s="510"/>
      <c r="N409" s="510"/>
      <c r="O409" s="510"/>
      <c r="P409" s="510"/>
      <c r="Q409" s="510"/>
      <c r="R409" s="510"/>
      <c r="S409" s="510"/>
      <c r="T409" s="510"/>
      <c r="U409" s="510"/>
    </row>
    <row r="410" ht="27.0" customHeight="1">
      <c r="A410" s="510"/>
      <c r="B410" s="510"/>
      <c r="C410" s="510"/>
      <c r="D410" s="510"/>
      <c r="E410" s="510"/>
      <c r="F410" s="510"/>
      <c r="G410" s="510"/>
      <c r="H410" s="510"/>
      <c r="I410" s="510"/>
      <c r="J410" s="510"/>
      <c r="K410" s="510"/>
      <c r="L410" s="510"/>
      <c r="M410" s="510"/>
      <c r="N410" s="510"/>
      <c r="O410" s="510"/>
      <c r="P410" s="510"/>
      <c r="Q410" s="510"/>
      <c r="R410" s="510"/>
      <c r="S410" s="510"/>
      <c r="T410" s="510"/>
      <c r="U410" s="510"/>
    </row>
    <row r="411" ht="27.0" customHeight="1">
      <c r="A411" s="510"/>
      <c r="B411" s="510"/>
      <c r="C411" s="510"/>
      <c r="D411" s="510"/>
      <c r="E411" s="510"/>
      <c r="F411" s="510"/>
      <c r="G411" s="510"/>
      <c r="H411" s="510"/>
      <c r="I411" s="510"/>
      <c r="J411" s="510"/>
      <c r="K411" s="510"/>
      <c r="L411" s="510"/>
      <c r="M411" s="510"/>
      <c r="N411" s="510"/>
      <c r="O411" s="510"/>
      <c r="P411" s="510"/>
      <c r="Q411" s="510"/>
      <c r="R411" s="510"/>
      <c r="S411" s="510"/>
      <c r="T411" s="510"/>
      <c r="U411" s="510"/>
    </row>
    <row r="412" ht="27.0" customHeight="1">
      <c r="A412" s="510"/>
      <c r="B412" s="510"/>
      <c r="C412" s="510"/>
      <c r="D412" s="510"/>
      <c r="E412" s="510"/>
      <c r="F412" s="510"/>
      <c r="G412" s="510"/>
      <c r="H412" s="510"/>
      <c r="I412" s="510"/>
      <c r="J412" s="510"/>
      <c r="K412" s="510"/>
      <c r="L412" s="510"/>
      <c r="M412" s="510"/>
      <c r="N412" s="510"/>
      <c r="O412" s="510"/>
      <c r="P412" s="510"/>
      <c r="Q412" s="510"/>
      <c r="R412" s="510"/>
      <c r="S412" s="510"/>
      <c r="T412" s="510"/>
      <c r="U412" s="510"/>
    </row>
    <row r="413" ht="27.0" customHeight="1">
      <c r="A413" s="510"/>
      <c r="B413" s="510"/>
      <c r="C413" s="510"/>
      <c r="D413" s="510"/>
      <c r="E413" s="510"/>
      <c r="F413" s="510"/>
      <c r="G413" s="510"/>
      <c r="H413" s="510"/>
      <c r="I413" s="510"/>
      <c r="J413" s="510"/>
      <c r="K413" s="510"/>
      <c r="L413" s="510"/>
      <c r="M413" s="510"/>
      <c r="N413" s="510"/>
      <c r="O413" s="510"/>
      <c r="P413" s="510"/>
      <c r="Q413" s="510"/>
      <c r="R413" s="510"/>
      <c r="S413" s="510"/>
      <c r="T413" s="510"/>
      <c r="U413" s="510"/>
    </row>
    <row r="414" ht="27.0" customHeight="1">
      <c r="A414" s="510"/>
      <c r="B414" s="510"/>
      <c r="C414" s="510"/>
      <c r="D414" s="510"/>
      <c r="E414" s="510"/>
      <c r="F414" s="510"/>
      <c r="G414" s="510"/>
      <c r="H414" s="510"/>
      <c r="I414" s="510"/>
      <c r="J414" s="510"/>
      <c r="K414" s="510"/>
      <c r="L414" s="510"/>
      <c r="M414" s="510"/>
      <c r="N414" s="510"/>
      <c r="O414" s="510"/>
      <c r="P414" s="510"/>
      <c r="Q414" s="510"/>
      <c r="R414" s="510"/>
      <c r="S414" s="510"/>
      <c r="T414" s="510"/>
      <c r="U414" s="510"/>
    </row>
    <row r="415" ht="27.0" customHeight="1">
      <c r="A415" s="510"/>
      <c r="B415" s="510"/>
      <c r="C415" s="510"/>
      <c r="D415" s="510"/>
      <c r="E415" s="510"/>
      <c r="F415" s="510"/>
      <c r="G415" s="510"/>
      <c r="H415" s="510"/>
      <c r="I415" s="510"/>
      <c r="J415" s="510"/>
      <c r="K415" s="510"/>
      <c r="L415" s="510"/>
      <c r="M415" s="510"/>
      <c r="N415" s="510"/>
      <c r="O415" s="510"/>
      <c r="P415" s="510"/>
      <c r="Q415" s="510"/>
      <c r="R415" s="510"/>
      <c r="S415" s="510"/>
      <c r="T415" s="510"/>
      <c r="U415" s="510"/>
    </row>
    <row r="416" ht="27.0" customHeight="1">
      <c r="A416" s="510"/>
      <c r="B416" s="510"/>
      <c r="C416" s="510"/>
      <c r="D416" s="510"/>
      <c r="E416" s="510"/>
      <c r="F416" s="510"/>
      <c r="G416" s="510"/>
      <c r="H416" s="510"/>
      <c r="I416" s="510"/>
      <c r="J416" s="510"/>
      <c r="K416" s="510"/>
      <c r="L416" s="510"/>
      <c r="M416" s="510"/>
      <c r="N416" s="510"/>
      <c r="O416" s="510"/>
      <c r="P416" s="510"/>
      <c r="Q416" s="510"/>
      <c r="R416" s="510"/>
      <c r="S416" s="510"/>
      <c r="T416" s="510"/>
      <c r="U416" s="510"/>
    </row>
    <row r="417" ht="27.0" customHeight="1">
      <c r="A417" s="510"/>
      <c r="B417" s="510"/>
      <c r="C417" s="510"/>
      <c r="D417" s="510"/>
      <c r="E417" s="510"/>
      <c r="F417" s="510"/>
      <c r="G417" s="510"/>
      <c r="H417" s="510"/>
      <c r="I417" s="510"/>
      <c r="J417" s="510"/>
      <c r="K417" s="510"/>
      <c r="L417" s="510"/>
      <c r="M417" s="510"/>
      <c r="N417" s="510"/>
      <c r="O417" s="510"/>
      <c r="P417" s="510"/>
      <c r="Q417" s="510"/>
      <c r="R417" s="510"/>
      <c r="S417" s="510"/>
      <c r="T417" s="510"/>
      <c r="U417" s="510"/>
    </row>
    <row r="418" ht="27.0" customHeight="1">
      <c r="A418" s="510"/>
      <c r="B418" s="510"/>
      <c r="C418" s="510"/>
      <c r="D418" s="510"/>
      <c r="E418" s="510"/>
      <c r="F418" s="510"/>
      <c r="G418" s="510"/>
      <c r="H418" s="510"/>
      <c r="I418" s="510"/>
      <c r="J418" s="510"/>
      <c r="K418" s="510"/>
      <c r="L418" s="510"/>
      <c r="M418" s="510"/>
      <c r="N418" s="510"/>
      <c r="O418" s="510"/>
      <c r="P418" s="510"/>
      <c r="Q418" s="510"/>
      <c r="R418" s="510"/>
      <c r="S418" s="510"/>
      <c r="T418" s="510"/>
      <c r="U418" s="510"/>
    </row>
    <row r="419" ht="27.0" customHeight="1">
      <c r="A419" s="510"/>
      <c r="B419" s="510"/>
      <c r="C419" s="510"/>
      <c r="D419" s="510"/>
      <c r="E419" s="510"/>
      <c r="F419" s="510"/>
      <c r="G419" s="510"/>
      <c r="H419" s="510"/>
      <c r="I419" s="510"/>
      <c r="J419" s="510"/>
      <c r="K419" s="510"/>
      <c r="L419" s="510"/>
      <c r="M419" s="510"/>
      <c r="N419" s="510"/>
      <c r="O419" s="510"/>
      <c r="P419" s="510"/>
      <c r="Q419" s="510"/>
      <c r="R419" s="510"/>
      <c r="S419" s="510"/>
      <c r="T419" s="510"/>
      <c r="U419" s="510"/>
    </row>
    <row r="420" ht="27.0" customHeight="1">
      <c r="A420" s="510"/>
      <c r="B420" s="510"/>
      <c r="C420" s="510"/>
      <c r="D420" s="510"/>
      <c r="E420" s="510"/>
      <c r="F420" s="510"/>
      <c r="G420" s="510"/>
      <c r="H420" s="510"/>
      <c r="I420" s="510"/>
      <c r="J420" s="510"/>
      <c r="K420" s="510"/>
      <c r="L420" s="510"/>
      <c r="M420" s="510"/>
      <c r="N420" s="510"/>
      <c r="O420" s="510"/>
      <c r="P420" s="510"/>
      <c r="Q420" s="510"/>
      <c r="R420" s="510"/>
      <c r="S420" s="510"/>
      <c r="T420" s="510"/>
      <c r="U420" s="510"/>
    </row>
    <row r="421" ht="27.0" customHeight="1">
      <c r="A421" s="510"/>
      <c r="B421" s="510"/>
      <c r="C421" s="510"/>
      <c r="D421" s="510"/>
      <c r="E421" s="510"/>
      <c r="F421" s="510"/>
      <c r="G421" s="510"/>
      <c r="H421" s="510"/>
      <c r="I421" s="510"/>
      <c r="J421" s="510"/>
      <c r="K421" s="510"/>
      <c r="L421" s="510"/>
      <c r="M421" s="510"/>
      <c r="N421" s="510"/>
      <c r="O421" s="510"/>
      <c r="P421" s="510"/>
      <c r="Q421" s="510"/>
      <c r="R421" s="510"/>
      <c r="S421" s="510"/>
      <c r="T421" s="510"/>
      <c r="U421" s="510"/>
    </row>
    <row r="422" ht="27.0" customHeight="1">
      <c r="A422" s="510"/>
      <c r="B422" s="510"/>
      <c r="C422" s="510"/>
      <c r="D422" s="510"/>
      <c r="E422" s="510"/>
      <c r="F422" s="510"/>
      <c r="G422" s="510"/>
      <c r="H422" s="510"/>
      <c r="I422" s="510"/>
      <c r="J422" s="510"/>
      <c r="K422" s="510"/>
      <c r="L422" s="510"/>
      <c r="M422" s="510"/>
      <c r="N422" s="510"/>
      <c r="O422" s="510"/>
      <c r="P422" s="510"/>
      <c r="Q422" s="510"/>
      <c r="R422" s="510"/>
      <c r="S422" s="510"/>
      <c r="T422" s="510"/>
      <c r="U422" s="510"/>
    </row>
    <row r="423" ht="27.0" customHeight="1">
      <c r="A423" s="510"/>
      <c r="B423" s="510"/>
      <c r="C423" s="510"/>
      <c r="D423" s="510"/>
      <c r="E423" s="510"/>
      <c r="F423" s="510"/>
      <c r="G423" s="510"/>
      <c r="H423" s="510"/>
      <c r="I423" s="510"/>
      <c r="J423" s="510"/>
      <c r="K423" s="510"/>
      <c r="L423" s="510"/>
      <c r="M423" s="510"/>
      <c r="N423" s="510"/>
      <c r="O423" s="510"/>
      <c r="P423" s="510"/>
      <c r="Q423" s="510"/>
      <c r="R423" s="510"/>
      <c r="S423" s="510"/>
      <c r="T423" s="510"/>
      <c r="U423" s="510"/>
    </row>
    <row r="424" ht="27.0" customHeight="1">
      <c r="A424" s="510"/>
      <c r="B424" s="510"/>
      <c r="C424" s="510"/>
      <c r="D424" s="510"/>
      <c r="E424" s="510"/>
      <c r="F424" s="510"/>
      <c r="G424" s="510"/>
      <c r="H424" s="510"/>
      <c r="I424" s="510"/>
      <c r="J424" s="510"/>
      <c r="K424" s="510"/>
      <c r="L424" s="510"/>
      <c r="M424" s="510"/>
      <c r="N424" s="510"/>
      <c r="O424" s="510"/>
      <c r="P424" s="510"/>
      <c r="Q424" s="510"/>
      <c r="R424" s="510"/>
      <c r="S424" s="510"/>
      <c r="T424" s="510"/>
      <c r="U424" s="510"/>
    </row>
    <row r="425" ht="27.0" customHeight="1">
      <c r="A425" s="510"/>
      <c r="B425" s="510"/>
      <c r="C425" s="510"/>
      <c r="D425" s="510"/>
      <c r="E425" s="510"/>
      <c r="F425" s="510"/>
      <c r="G425" s="510"/>
      <c r="H425" s="510"/>
      <c r="I425" s="510"/>
      <c r="J425" s="510"/>
      <c r="K425" s="510"/>
      <c r="L425" s="510"/>
      <c r="M425" s="510"/>
      <c r="N425" s="510"/>
      <c r="O425" s="510"/>
      <c r="P425" s="510"/>
      <c r="Q425" s="510"/>
      <c r="R425" s="510"/>
      <c r="S425" s="510"/>
      <c r="T425" s="510"/>
      <c r="U425" s="510"/>
    </row>
    <row r="426" ht="27.0" customHeight="1">
      <c r="A426" s="510"/>
      <c r="B426" s="510"/>
      <c r="C426" s="510"/>
      <c r="D426" s="510"/>
      <c r="E426" s="510"/>
      <c r="F426" s="510"/>
      <c r="G426" s="510"/>
      <c r="H426" s="510"/>
      <c r="I426" s="510"/>
      <c r="J426" s="510"/>
      <c r="K426" s="510"/>
      <c r="L426" s="510"/>
      <c r="M426" s="510"/>
      <c r="N426" s="510"/>
      <c r="O426" s="510"/>
      <c r="P426" s="510"/>
      <c r="Q426" s="510"/>
      <c r="R426" s="510"/>
      <c r="S426" s="510"/>
      <c r="T426" s="510"/>
      <c r="U426" s="510"/>
    </row>
    <row r="427" ht="27.0" customHeight="1">
      <c r="A427" s="510"/>
      <c r="B427" s="510"/>
      <c r="C427" s="510"/>
      <c r="D427" s="510"/>
      <c r="E427" s="510"/>
      <c r="F427" s="510"/>
      <c r="G427" s="510"/>
      <c r="H427" s="510"/>
      <c r="I427" s="510"/>
      <c r="J427" s="510"/>
      <c r="K427" s="510"/>
      <c r="L427" s="510"/>
      <c r="M427" s="510"/>
      <c r="N427" s="510"/>
      <c r="O427" s="510"/>
      <c r="P427" s="510"/>
      <c r="Q427" s="510"/>
      <c r="R427" s="510"/>
      <c r="S427" s="510"/>
      <c r="T427" s="510"/>
      <c r="U427" s="510"/>
    </row>
    <row r="428" ht="27.0" customHeight="1">
      <c r="A428" s="510"/>
      <c r="B428" s="510"/>
      <c r="C428" s="510"/>
      <c r="D428" s="510"/>
      <c r="E428" s="510"/>
      <c r="F428" s="510"/>
      <c r="G428" s="510"/>
      <c r="H428" s="510"/>
      <c r="I428" s="510"/>
      <c r="J428" s="510"/>
      <c r="K428" s="510"/>
      <c r="L428" s="510"/>
      <c r="M428" s="510"/>
      <c r="N428" s="510"/>
      <c r="O428" s="510"/>
      <c r="P428" s="510"/>
      <c r="Q428" s="510"/>
      <c r="R428" s="510"/>
      <c r="S428" s="510"/>
      <c r="T428" s="510"/>
      <c r="U428" s="510"/>
    </row>
    <row r="429" ht="27.0" customHeight="1">
      <c r="A429" s="510"/>
      <c r="B429" s="510"/>
      <c r="C429" s="510"/>
      <c r="D429" s="510"/>
      <c r="E429" s="510"/>
      <c r="F429" s="510"/>
      <c r="G429" s="510"/>
      <c r="H429" s="510"/>
      <c r="I429" s="510"/>
      <c r="J429" s="510"/>
      <c r="K429" s="510"/>
      <c r="L429" s="510"/>
      <c r="M429" s="510"/>
      <c r="N429" s="510"/>
      <c r="O429" s="510"/>
      <c r="P429" s="510"/>
      <c r="Q429" s="510"/>
      <c r="R429" s="510"/>
      <c r="S429" s="510"/>
      <c r="T429" s="510"/>
      <c r="U429" s="510"/>
    </row>
    <row r="430" ht="27.0" customHeight="1">
      <c r="A430" s="510"/>
      <c r="B430" s="510"/>
      <c r="C430" s="510"/>
      <c r="D430" s="510"/>
      <c r="E430" s="510"/>
      <c r="F430" s="510"/>
      <c r="G430" s="510"/>
      <c r="H430" s="510"/>
      <c r="I430" s="510"/>
      <c r="J430" s="510"/>
      <c r="K430" s="510"/>
      <c r="L430" s="510"/>
      <c r="M430" s="510"/>
      <c r="N430" s="510"/>
      <c r="O430" s="510"/>
      <c r="P430" s="510"/>
      <c r="Q430" s="510"/>
      <c r="R430" s="510"/>
      <c r="S430" s="510"/>
      <c r="T430" s="510"/>
      <c r="U430" s="510"/>
    </row>
    <row r="431" ht="27.0" customHeight="1">
      <c r="A431" s="510"/>
      <c r="B431" s="510"/>
      <c r="C431" s="510"/>
      <c r="D431" s="510"/>
      <c r="E431" s="510"/>
      <c r="F431" s="510"/>
      <c r="G431" s="510"/>
      <c r="H431" s="510"/>
      <c r="I431" s="510"/>
      <c r="J431" s="510"/>
      <c r="K431" s="510"/>
      <c r="L431" s="510"/>
      <c r="M431" s="510"/>
      <c r="N431" s="510"/>
      <c r="O431" s="510"/>
      <c r="P431" s="510"/>
      <c r="Q431" s="510"/>
      <c r="R431" s="510"/>
      <c r="S431" s="510"/>
      <c r="T431" s="510"/>
      <c r="U431" s="510"/>
    </row>
    <row r="432" ht="27.0" customHeight="1">
      <c r="A432" s="510"/>
      <c r="B432" s="510"/>
      <c r="C432" s="510"/>
      <c r="D432" s="510"/>
      <c r="E432" s="510"/>
      <c r="F432" s="510"/>
      <c r="G432" s="510"/>
      <c r="H432" s="510"/>
      <c r="I432" s="510"/>
      <c r="J432" s="510"/>
      <c r="K432" s="510"/>
      <c r="L432" s="510"/>
      <c r="M432" s="510"/>
      <c r="N432" s="510"/>
      <c r="O432" s="510"/>
      <c r="P432" s="510"/>
      <c r="Q432" s="510"/>
      <c r="R432" s="510"/>
      <c r="S432" s="510"/>
      <c r="T432" s="510"/>
      <c r="U432" s="510"/>
    </row>
    <row r="433" ht="27.0" customHeight="1">
      <c r="A433" s="510"/>
      <c r="B433" s="510"/>
      <c r="C433" s="510"/>
      <c r="D433" s="510"/>
      <c r="E433" s="510"/>
      <c r="F433" s="510"/>
      <c r="G433" s="510"/>
      <c r="H433" s="510"/>
      <c r="I433" s="510"/>
      <c r="J433" s="510"/>
      <c r="K433" s="510"/>
      <c r="L433" s="510"/>
      <c r="M433" s="510"/>
      <c r="N433" s="510"/>
      <c r="O433" s="510"/>
      <c r="P433" s="510"/>
      <c r="Q433" s="510"/>
      <c r="R433" s="510"/>
      <c r="S433" s="510"/>
      <c r="T433" s="510"/>
      <c r="U433" s="510"/>
    </row>
    <row r="434" ht="27.0" customHeight="1">
      <c r="A434" s="510"/>
      <c r="B434" s="510"/>
      <c r="C434" s="510"/>
      <c r="D434" s="510"/>
      <c r="E434" s="510"/>
      <c r="F434" s="510"/>
      <c r="G434" s="510"/>
      <c r="H434" s="510"/>
      <c r="I434" s="510"/>
      <c r="J434" s="510"/>
      <c r="K434" s="510"/>
      <c r="L434" s="510"/>
      <c r="M434" s="510"/>
      <c r="N434" s="510"/>
      <c r="O434" s="510"/>
      <c r="P434" s="510"/>
      <c r="Q434" s="510"/>
      <c r="R434" s="510"/>
      <c r="S434" s="510"/>
      <c r="T434" s="510"/>
      <c r="U434" s="510"/>
    </row>
    <row r="435" ht="27.0" customHeight="1">
      <c r="A435" s="510"/>
      <c r="B435" s="510"/>
      <c r="C435" s="510"/>
      <c r="D435" s="510"/>
      <c r="E435" s="510"/>
      <c r="F435" s="510"/>
      <c r="G435" s="510"/>
      <c r="H435" s="510"/>
      <c r="I435" s="510"/>
      <c r="J435" s="510"/>
      <c r="K435" s="510"/>
      <c r="L435" s="510"/>
      <c r="M435" s="510"/>
      <c r="N435" s="510"/>
      <c r="O435" s="510"/>
      <c r="P435" s="510"/>
      <c r="Q435" s="510"/>
      <c r="R435" s="510"/>
      <c r="S435" s="510"/>
      <c r="T435" s="510"/>
      <c r="U435" s="510"/>
    </row>
    <row r="436" ht="27.0" customHeight="1">
      <c r="A436" s="510"/>
      <c r="B436" s="510"/>
      <c r="C436" s="510"/>
      <c r="D436" s="510"/>
      <c r="E436" s="510"/>
      <c r="F436" s="510"/>
      <c r="G436" s="510"/>
      <c r="H436" s="510"/>
      <c r="I436" s="510"/>
      <c r="J436" s="510"/>
      <c r="K436" s="510"/>
      <c r="L436" s="510"/>
      <c r="M436" s="510"/>
      <c r="N436" s="510"/>
      <c r="O436" s="510"/>
      <c r="P436" s="510"/>
      <c r="Q436" s="510"/>
      <c r="R436" s="510"/>
      <c r="S436" s="510"/>
      <c r="T436" s="510"/>
      <c r="U436" s="510"/>
    </row>
    <row r="437" ht="27.0" customHeight="1">
      <c r="A437" s="510"/>
      <c r="B437" s="510"/>
      <c r="C437" s="510"/>
      <c r="D437" s="510"/>
      <c r="E437" s="510"/>
      <c r="F437" s="510"/>
      <c r="G437" s="510"/>
      <c r="H437" s="510"/>
      <c r="I437" s="510"/>
      <c r="J437" s="510"/>
      <c r="K437" s="510"/>
      <c r="L437" s="510"/>
      <c r="M437" s="510"/>
      <c r="N437" s="510"/>
      <c r="O437" s="510"/>
      <c r="P437" s="510"/>
      <c r="Q437" s="510"/>
      <c r="R437" s="510"/>
      <c r="S437" s="510"/>
      <c r="T437" s="510"/>
      <c r="U437" s="510"/>
    </row>
    <row r="438" ht="27.0" customHeight="1">
      <c r="A438" s="510"/>
      <c r="B438" s="510"/>
      <c r="C438" s="510"/>
      <c r="D438" s="510"/>
      <c r="E438" s="510"/>
      <c r="F438" s="510"/>
      <c r="G438" s="510"/>
      <c r="H438" s="510"/>
      <c r="I438" s="510"/>
      <c r="J438" s="510"/>
      <c r="K438" s="510"/>
      <c r="L438" s="510"/>
      <c r="M438" s="510"/>
      <c r="N438" s="510"/>
      <c r="O438" s="510"/>
      <c r="P438" s="510"/>
      <c r="Q438" s="510"/>
      <c r="R438" s="510"/>
      <c r="S438" s="510"/>
      <c r="T438" s="510"/>
      <c r="U438" s="510"/>
    </row>
    <row r="439" ht="27.0" customHeight="1">
      <c r="A439" s="510"/>
      <c r="B439" s="510"/>
      <c r="C439" s="510"/>
      <c r="D439" s="510"/>
      <c r="E439" s="510"/>
      <c r="F439" s="510"/>
      <c r="G439" s="510"/>
      <c r="H439" s="510"/>
      <c r="I439" s="510"/>
      <c r="J439" s="510"/>
      <c r="K439" s="510"/>
      <c r="L439" s="510"/>
      <c r="M439" s="510"/>
      <c r="N439" s="510"/>
      <c r="O439" s="510"/>
      <c r="P439" s="510"/>
      <c r="Q439" s="510"/>
      <c r="R439" s="510"/>
      <c r="S439" s="510"/>
      <c r="T439" s="510"/>
      <c r="U439" s="510"/>
    </row>
    <row r="440" ht="27.0" customHeight="1">
      <c r="A440" s="510"/>
      <c r="B440" s="510"/>
      <c r="C440" s="510"/>
      <c r="D440" s="510"/>
      <c r="E440" s="510"/>
      <c r="F440" s="510"/>
      <c r="G440" s="510"/>
      <c r="H440" s="510"/>
      <c r="I440" s="510"/>
      <c r="J440" s="510"/>
      <c r="K440" s="510"/>
      <c r="L440" s="510"/>
      <c r="M440" s="510"/>
      <c r="N440" s="510"/>
      <c r="O440" s="510"/>
      <c r="P440" s="510"/>
      <c r="Q440" s="510"/>
      <c r="R440" s="510"/>
      <c r="S440" s="510"/>
      <c r="T440" s="510"/>
      <c r="U440" s="510"/>
    </row>
    <row r="441" ht="27.0" customHeight="1">
      <c r="A441" s="510"/>
      <c r="B441" s="510"/>
      <c r="C441" s="510"/>
      <c r="D441" s="510"/>
      <c r="E441" s="510"/>
      <c r="F441" s="510"/>
      <c r="G441" s="510"/>
      <c r="H441" s="510"/>
      <c r="I441" s="510"/>
      <c r="J441" s="510"/>
      <c r="K441" s="510"/>
      <c r="L441" s="510"/>
      <c r="M441" s="510"/>
      <c r="N441" s="510"/>
      <c r="O441" s="510"/>
      <c r="P441" s="510"/>
      <c r="Q441" s="510"/>
      <c r="R441" s="510"/>
      <c r="S441" s="510"/>
      <c r="T441" s="510"/>
      <c r="U441" s="510"/>
    </row>
    <row r="442" ht="27.0" customHeight="1">
      <c r="A442" s="510"/>
      <c r="B442" s="510"/>
      <c r="C442" s="510"/>
      <c r="D442" s="510"/>
      <c r="E442" s="510"/>
      <c r="F442" s="510"/>
      <c r="G442" s="510"/>
      <c r="H442" s="510"/>
      <c r="I442" s="510"/>
      <c r="J442" s="510"/>
      <c r="K442" s="510"/>
      <c r="L442" s="510"/>
      <c r="M442" s="510"/>
      <c r="N442" s="510"/>
      <c r="O442" s="510"/>
      <c r="P442" s="510"/>
      <c r="Q442" s="510"/>
      <c r="R442" s="510"/>
      <c r="S442" s="510"/>
      <c r="T442" s="510"/>
      <c r="U442" s="510"/>
    </row>
    <row r="443" ht="27.0" customHeight="1">
      <c r="A443" s="510"/>
      <c r="B443" s="510"/>
      <c r="C443" s="510"/>
      <c r="D443" s="510"/>
      <c r="E443" s="510"/>
      <c r="F443" s="510"/>
      <c r="G443" s="510"/>
      <c r="H443" s="510"/>
      <c r="I443" s="510"/>
      <c r="J443" s="510"/>
      <c r="K443" s="510"/>
      <c r="L443" s="510"/>
      <c r="M443" s="510"/>
      <c r="N443" s="510"/>
      <c r="O443" s="510"/>
      <c r="P443" s="510"/>
      <c r="Q443" s="510"/>
      <c r="R443" s="510"/>
      <c r="S443" s="510"/>
      <c r="T443" s="510"/>
      <c r="U443" s="510"/>
    </row>
    <row r="444" ht="27.0" customHeight="1">
      <c r="A444" s="510"/>
      <c r="B444" s="510"/>
      <c r="C444" s="510"/>
      <c r="D444" s="510"/>
      <c r="E444" s="510"/>
      <c r="F444" s="510"/>
      <c r="G444" s="510"/>
      <c r="H444" s="510"/>
      <c r="I444" s="510"/>
      <c r="J444" s="510"/>
      <c r="K444" s="510"/>
      <c r="L444" s="510"/>
      <c r="M444" s="510"/>
      <c r="N444" s="510"/>
      <c r="O444" s="510"/>
      <c r="P444" s="510"/>
      <c r="Q444" s="510"/>
      <c r="R444" s="510"/>
      <c r="S444" s="510"/>
      <c r="T444" s="510"/>
      <c r="U444" s="510"/>
    </row>
    <row r="445" ht="27.0" customHeight="1">
      <c r="A445" s="510"/>
      <c r="B445" s="510"/>
      <c r="C445" s="510"/>
      <c r="D445" s="510"/>
      <c r="E445" s="510"/>
      <c r="F445" s="510"/>
      <c r="G445" s="510"/>
      <c r="H445" s="510"/>
      <c r="I445" s="510"/>
      <c r="J445" s="510"/>
      <c r="K445" s="510"/>
      <c r="L445" s="510"/>
      <c r="M445" s="510"/>
      <c r="N445" s="510"/>
      <c r="O445" s="510"/>
      <c r="P445" s="510"/>
      <c r="Q445" s="510"/>
      <c r="R445" s="510"/>
      <c r="S445" s="510"/>
      <c r="T445" s="510"/>
      <c r="U445" s="510"/>
    </row>
    <row r="446" ht="27.0" customHeight="1">
      <c r="A446" s="510"/>
      <c r="B446" s="510"/>
      <c r="C446" s="510"/>
      <c r="D446" s="510"/>
      <c r="E446" s="510"/>
      <c r="F446" s="510"/>
      <c r="G446" s="510"/>
      <c r="H446" s="510"/>
      <c r="I446" s="510"/>
      <c r="J446" s="510"/>
      <c r="K446" s="510"/>
      <c r="L446" s="510"/>
      <c r="M446" s="510"/>
      <c r="N446" s="510"/>
      <c r="O446" s="510"/>
      <c r="P446" s="510"/>
      <c r="Q446" s="510"/>
      <c r="R446" s="510"/>
      <c r="S446" s="510"/>
      <c r="T446" s="510"/>
      <c r="U446" s="510"/>
    </row>
    <row r="447" ht="27.0" customHeight="1">
      <c r="A447" s="510"/>
      <c r="B447" s="510"/>
      <c r="C447" s="510"/>
      <c r="D447" s="510"/>
      <c r="E447" s="510"/>
      <c r="F447" s="510"/>
      <c r="G447" s="510"/>
      <c r="H447" s="510"/>
      <c r="I447" s="510"/>
      <c r="J447" s="510"/>
      <c r="K447" s="510"/>
      <c r="L447" s="510"/>
      <c r="M447" s="510"/>
      <c r="N447" s="510"/>
      <c r="O447" s="510"/>
      <c r="P447" s="510"/>
      <c r="Q447" s="510"/>
      <c r="R447" s="510"/>
      <c r="S447" s="510"/>
      <c r="T447" s="510"/>
      <c r="U447" s="510"/>
    </row>
    <row r="448" ht="27.0" customHeight="1">
      <c r="A448" s="510"/>
      <c r="B448" s="510"/>
      <c r="C448" s="510"/>
      <c r="D448" s="510"/>
      <c r="E448" s="510"/>
      <c r="F448" s="510"/>
      <c r="G448" s="510"/>
      <c r="H448" s="510"/>
      <c r="I448" s="510"/>
      <c r="J448" s="510"/>
      <c r="K448" s="510"/>
      <c r="L448" s="510"/>
      <c r="M448" s="510"/>
      <c r="N448" s="510"/>
      <c r="O448" s="510"/>
      <c r="P448" s="510"/>
      <c r="Q448" s="510"/>
      <c r="R448" s="510"/>
      <c r="S448" s="510"/>
      <c r="T448" s="510"/>
      <c r="U448" s="510"/>
    </row>
    <row r="449" ht="27.0" customHeight="1">
      <c r="A449" s="510"/>
      <c r="B449" s="510"/>
      <c r="C449" s="510"/>
      <c r="D449" s="510"/>
      <c r="E449" s="510"/>
      <c r="F449" s="510"/>
      <c r="G449" s="510"/>
      <c r="H449" s="510"/>
      <c r="I449" s="510"/>
      <c r="J449" s="510"/>
      <c r="K449" s="510"/>
      <c r="L449" s="510"/>
      <c r="M449" s="510"/>
      <c r="N449" s="510"/>
      <c r="O449" s="510"/>
      <c r="P449" s="510"/>
      <c r="Q449" s="510"/>
      <c r="R449" s="510"/>
      <c r="S449" s="510"/>
      <c r="T449" s="510"/>
      <c r="U449" s="510"/>
    </row>
    <row r="450" ht="27.0" customHeight="1">
      <c r="A450" s="510"/>
      <c r="B450" s="510"/>
      <c r="C450" s="510"/>
      <c r="D450" s="510"/>
      <c r="E450" s="510"/>
      <c r="F450" s="510"/>
      <c r="G450" s="510"/>
      <c r="H450" s="510"/>
      <c r="I450" s="510"/>
      <c r="J450" s="510"/>
      <c r="K450" s="510"/>
      <c r="L450" s="510"/>
      <c r="M450" s="510"/>
      <c r="N450" s="510"/>
      <c r="O450" s="510"/>
      <c r="P450" s="510"/>
      <c r="Q450" s="510"/>
      <c r="R450" s="510"/>
      <c r="S450" s="510"/>
      <c r="T450" s="510"/>
      <c r="U450" s="510"/>
    </row>
    <row r="451" ht="27.0" customHeight="1">
      <c r="A451" s="510"/>
      <c r="B451" s="510"/>
      <c r="C451" s="510"/>
      <c r="D451" s="510"/>
      <c r="E451" s="510"/>
      <c r="F451" s="510"/>
      <c r="G451" s="510"/>
      <c r="H451" s="510"/>
      <c r="I451" s="510"/>
      <c r="J451" s="510"/>
      <c r="K451" s="510"/>
      <c r="L451" s="510"/>
      <c r="M451" s="510"/>
      <c r="N451" s="510"/>
      <c r="O451" s="510"/>
      <c r="P451" s="510"/>
      <c r="Q451" s="510"/>
      <c r="R451" s="510"/>
      <c r="S451" s="510"/>
      <c r="T451" s="510"/>
      <c r="U451" s="510"/>
    </row>
    <row r="452" ht="27.0" customHeight="1">
      <c r="A452" s="510"/>
      <c r="B452" s="510"/>
      <c r="C452" s="510"/>
      <c r="D452" s="510"/>
      <c r="E452" s="510"/>
      <c r="F452" s="510"/>
      <c r="G452" s="510"/>
      <c r="H452" s="510"/>
      <c r="I452" s="510"/>
      <c r="J452" s="510"/>
      <c r="K452" s="510"/>
      <c r="L452" s="510"/>
      <c r="M452" s="510"/>
      <c r="N452" s="510"/>
      <c r="O452" s="510"/>
      <c r="P452" s="510"/>
      <c r="Q452" s="510"/>
      <c r="R452" s="510"/>
      <c r="S452" s="510"/>
      <c r="T452" s="510"/>
      <c r="U452" s="510"/>
    </row>
    <row r="453" ht="27.0" customHeight="1">
      <c r="A453" s="510"/>
      <c r="B453" s="510"/>
      <c r="C453" s="510"/>
      <c r="D453" s="510"/>
      <c r="E453" s="510"/>
      <c r="F453" s="510"/>
      <c r="G453" s="510"/>
      <c r="H453" s="510"/>
      <c r="I453" s="510"/>
      <c r="J453" s="510"/>
      <c r="K453" s="510"/>
      <c r="L453" s="510"/>
      <c r="M453" s="510"/>
      <c r="N453" s="510"/>
      <c r="O453" s="510"/>
      <c r="P453" s="510"/>
      <c r="Q453" s="510"/>
      <c r="R453" s="510"/>
      <c r="S453" s="510"/>
      <c r="T453" s="510"/>
      <c r="U453" s="510"/>
    </row>
    <row r="454" ht="27.0" customHeight="1">
      <c r="A454" s="510"/>
      <c r="B454" s="510"/>
      <c r="C454" s="510"/>
      <c r="D454" s="510"/>
      <c r="E454" s="510"/>
      <c r="F454" s="510"/>
      <c r="G454" s="510"/>
      <c r="H454" s="510"/>
      <c r="I454" s="510"/>
      <c r="J454" s="510"/>
      <c r="K454" s="510"/>
      <c r="L454" s="510"/>
      <c r="M454" s="510"/>
      <c r="N454" s="510"/>
      <c r="O454" s="510"/>
      <c r="P454" s="510"/>
      <c r="Q454" s="510"/>
      <c r="R454" s="510"/>
      <c r="S454" s="510"/>
      <c r="T454" s="510"/>
      <c r="U454" s="510"/>
    </row>
    <row r="455" ht="27.0" customHeight="1">
      <c r="A455" s="510"/>
      <c r="B455" s="510"/>
      <c r="C455" s="510"/>
      <c r="D455" s="510"/>
      <c r="E455" s="510"/>
      <c r="F455" s="510"/>
      <c r="G455" s="510"/>
      <c r="H455" s="510"/>
      <c r="I455" s="510"/>
      <c r="J455" s="510"/>
      <c r="K455" s="510"/>
      <c r="L455" s="510"/>
      <c r="M455" s="510"/>
      <c r="N455" s="510"/>
      <c r="O455" s="510"/>
      <c r="P455" s="510"/>
      <c r="Q455" s="510"/>
      <c r="R455" s="510"/>
      <c r="S455" s="510"/>
      <c r="T455" s="510"/>
      <c r="U455" s="510"/>
    </row>
    <row r="456" ht="27.0" customHeight="1">
      <c r="A456" s="510"/>
      <c r="B456" s="510"/>
      <c r="C456" s="510"/>
      <c r="D456" s="510"/>
      <c r="E456" s="510"/>
      <c r="F456" s="510"/>
      <c r="G456" s="510"/>
      <c r="H456" s="510"/>
      <c r="I456" s="510"/>
      <c r="J456" s="510"/>
      <c r="K456" s="510"/>
      <c r="L456" s="510"/>
      <c r="M456" s="510"/>
      <c r="N456" s="510"/>
      <c r="O456" s="510"/>
      <c r="P456" s="510"/>
      <c r="Q456" s="510"/>
      <c r="R456" s="510"/>
      <c r="S456" s="510"/>
      <c r="T456" s="510"/>
      <c r="U456" s="510"/>
    </row>
    <row r="457" ht="27.0" customHeight="1">
      <c r="A457" s="510"/>
      <c r="B457" s="510"/>
      <c r="C457" s="510"/>
      <c r="D457" s="510"/>
      <c r="E457" s="510"/>
      <c r="F457" s="510"/>
      <c r="G457" s="510"/>
      <c r="H457" s="510"/>
      <c r="I457" s="510"/>
      <c r="J457" s="510"/>
      <c r="K457" s="510"/>
      <c r="L457" s="510"/>
      <c r="M457" s="510"/>
      <c r="N457" s="510"/>
      <c r="O457" s="510"/>
      <c r="P457" s="510"/>
      <c r="Q457" s="510"/>
      <c r="R457" s="510"/>
      <c r="S457" s="510"/>
      <c r="T457" s="510"/>
      <c r="U457" s="510"/>
    </row>
    <row r="458" ht="27.0" customHeight="1">
      <c r="A458" s="510"/>
      <c r="B458" s="510"/>
      <c r="C458" s="510"/>
      <c r="D458" s="510"/>
      <c r="E458" s="510"/>
      <c r="F458" s="510"/>
      <c r="G458" s="510"/>
      <c r="H458" s="510"/>
      <c r="I458" s="510"/>
      <c r="J458" s="510"/>
      <c r="K458" s="510"/>
      <c r="L458" s="510"/>
      <c r="M458" s="510"/>
      <c r="N458" s="510"/>
      <c r="O458" s="510"/>
      <c r="P458" s="510"/>
      <c r="Q458" s="510"/>
      <c r="R458" s="510"/>
      <c r="S458" s="510"/>
      <c r="T458" s="510"/>
      <c r="U458" s="510"/>
    </row>
    <row r="459" ht="27.0" customHeight="1">
      <c r="A459" s="510"/>
      <c r="B459" s="510"/>
      <c r="C459" s="510"/>
      <c r="D459" s="510"/>
      <c r="E459" s="510"/>
      <c r="F459" s="510"/>
      <c r="G459" s="510"/>
      <c r="H459" s="510"/>
      <c r="I459" s="510"/>
      <c r="J459" s="510"/>
      <c r="K459" s="510"/>
      <c r="L459" s="510"/>
      <c r="M459" s="510"/>
      <c r="N459" s="510"/>
      <c r="O459" s="510"/>
      <c r="P459" s="510"/>
      <c r="Q459" s="510"/>
      <c r="R459" s="510"/>
      <c r="S459" s="510"/>
      <c r="T459" s="510"/>
      <c r="U459" s="510"/>
    </row>
    <row r="460" ht="27.0" customHeight="1">
      <c r="A460" s="510"/>
      <c r="B460" s="510"/>
      <c r="C460" s="510"/>
      <c r="D460" s="510"/>
      <c r="E460" s="510"/>
      <c r="F460" s="510"/>
      <c r="G460" s="510"/>
      <c r="H460" s="510"/>
      <c r="I460" s="510"/>
      <c r="J460" s="510"/>
      <c r="K460" s="510"/>
      <c r="L460" s="510"/>
      <c r="M460" s="510"/>
      <c r="N460" s="510"/>
      <c r="O460" s="510"/>
      <c r="P460" s="510"/>
      <c r="Q460" s="510"/>
      <c r="R460" s="510"/>
      <c r="S460" s="510"/>
      <c r="T460" s="510"/>
      <c r="U460" s="510"/>
    </row>
    <row r="461" ht="27.0" customHeight="1">
      <c r="A461" s="510"/>
      <c r="B461" s="510"/>
      <c r="C461" s="510"/>
      <c r="D461" s="510"/>
      <c r="E461" s="510"/>
      <c r="F461" s="510"/>
      <c r="G461" s="510"/>
      <c r="H461" s="510"/>
      <c r="I461" s="510"/>
      <c r="J461" s="510"/>
      <c r="K461" s="510"/>
      <c r="L461" s="510"/>
      <c r="M461" s="510"/>
      <c r="N461" s="510"/>
      <c r="O461" s="510"/>
      <c r="P461" s="510"/>
      <c r="Q461" s="510"/>
      <c r="R461" s="510"/>
      <c r="S461" s="510"/>
      <c r="T461" s="510"/>
      <c r="U461" s="510"/>
    </row>
    <row r="462" ht="27.0" customHeight="1">
      <c r="A462" s="510"/>
      <c r="B462" s="510"/>
      <c r="C462" s="510"/>
      <c r="D462" s="510"/>
      <c r="E462" s="510"/>
      <c r="F462" s="510"/>
      <c r="G462" s="510"/>
      <c r="H462" s="510"/>
      <c r="I462" s="510"/>
      <c r="J462" s="510"/>
      <c r="K462" s="510"/>
      <c r="L462" s="510"/>
      <c r="M462" s="510"/>
      <c r="N462" s="510"/>
      <c r="O462" s="510"/>
      <c r="P462" s="510"/>
      <c r="Q462" s="510"/>
      <c r="R462" s="510"/>
      <c r="S462" s="510"/>
      <c r="T462" s="510"/>
      <c r="U462" s="510"/>
    </row>
    <row r="463" ht="27.0" customHeight="1">
      <c r="A463" s="510"/>
      <c r="B463" s="510"/>
      <c r="C463" s="510"/>
      <c r="D463" s="510"/>
      <c r="E463" s="510"/>
      <c r="F463" s="510"/>
      <c r="G463" s="510"/>
      <c r="H463" s="510"/>
      <c r="I463" s="510"/>
      <c r="J463" s="510"/>
      <c r="K463" s="510"/>
      <c r="L463" s="510"/>
      <c r="M463" s="510"/>
      <c r="N463" s="510"/>
      <c r="O463" s="510"/>
      <c r="P463" s="510"/>
      <c r="Q463" s="510"/>
      <c r="R463" s="510"/>
      <c r="S463" s="510"/>
      <c r="T463" s="510"/>
      <c r="U463" s="510"/>
    </row>
    <row r="464" ht="27.0" customHeight="1">
      <c r="A464" s="510"/>
      <c r="B464" s="510"/>
      <c r="C464" s="510"/>
      <c r="D464" s="510"/>
      <c r="E464" s="510"/>
      <c r="F464" s="510"/>
      <c r="G464" s="510"/>
      <c r="H464" s="510"/>
      <c r="I464" s="510"/>
      <c r="J464" s="510"/>
      <c r="K464" s="510"/>
      <c r="L464" s="510"/>
      <c r="M464" s="510"/>
      <c r="N464" s="510"/>
      <c r="O464" s="510"/>
      <c r="P464" s="510"/>
      <c r="Q464" s="510"/>
      <c r="R464" s="510"/>
      <c r="S464" s="510"/>
      <c r="T464" s="510"/>
      <c r="U464" s="510"/>
    </row>
    <row r="465" ht="27.0" customHeight="1">
      <c r="A465" s="510"/>
      <c r="B465" s="510"/>
      <c r="C465" s="510"/>
      <c r="D465" s="510"/>
      <c r="E465" s="510"/>
      <c r="F465" s="510"/>
      <c r="G465" s="510"/>
      <c r="H465" s="510"/>
      <c r="I465" s="510"/>
      <c r="J465" s="510"/>
      <c r="K465" s="510"/>
      <c r="L465" s="510"/>
      <c r="M465" s="510"/>
      <c r="N465" s="510"/>
      <c r="O465" s="510"/>
      <c r="P465" s="510"/>
      <c r="Q465" s="510"/>
      <c r="R465" s="510"/>
      <c r="S465" s="510"/>
      <c r="T465" s="510"/>
      <c r="U465" s="510"/>
    </row>
    <row r="466" ht="27.0" customHeight="1">
      <c r="A466" s="510"/>
      <c r="B466" s="510"/>
      <c r="C466" s="510"/>
      <c r="D466" s="510"/>
      <c r="E466" s="510"/>
      <c r="F466" s="510"/>
      <c r="G466" s="510"/>
      <c r="H466" s="510"/>
      <c r="I466" s="510"/>
      <c r="J466" s="510"/>
      <c r="K466" s="510"/>
      <c r="L466" s="510"/>
      <c r="M466" s="510"/>
      <c r="N466" s="510"/>
      <c r="O466" s="510"/>
      <c r="P466" s="510"/>
      <c r="Q466" s="510"/>
      <c r="R466" s="510"/>
      <c r="S466" s="510"/>
      <c r="T466" s="510"/>
      <c r="U466" s="510"/>
    </row>
    <row r="467" ht="27.0" customHeight="1">
      <c r="A467" s="510"/>
      <c r="B467" s="510"/>
      <c r="C467" s="510"/>
      <c r="D467" s="510"/>
      <c r="E467" s="510"/>
      <c r="F467" s="510"/>
      <c r="G467" s="510"/>
      <c r="H467" s="510"/>
      <c r="I467" s="510"/>
      <c r="J467" s="510"/>
      <c r="K467" s="510"/>
      <c r="L467" s="510"/>
      <c r="M467" s="510"/>
      <c r="N467" s="510"/>
      <c r="O467" s="510"/>
      <c r="P467" s="510"/>
      <c r="Q467" s="510"/>
      <c r="R467" s="510"/>
      <c r="S467" s="510"/>
      <c r="T467" s="510"/>
      <c r="U467" s="510"/>
    </row>
    <row r="468" ht="27.0" customHeight="1">
      <c r="A468" s="510"/>
      <c r="B468" s="510"/>
      <c r="C468" s="510"/>
      <c r="D468" s="510"/>
      <c r="E468" s="510"/>
      <c r="F468" s="510"/>
      <c r="G468" s="510"/>
      <c r="H468" s="510"/>
      <c r="I468" s="510"/>
      <c r="J468" s="510"/>
      <c r="K468" s="510"/>
      <c r="L468" s="510"/>
      <c r="M468" s="510"/>
      <c r="N468" s="510"/>
      <c r="O468" s="510"/>
      <c r="P468" s="510"/>
      <c r="Q468" s="510"/>
      <c r="R468" s="510"/>
      <c r="S468" s="510"/>
      <c r="T468" s="510"/>
      <c r="U468" s="510"/>
    </row>
    <row r="469" ht="27.0" customHeight="1">
      <c r="A469" s="510"/>
      <c r="B469" s="510"/>
      <c r="C469" s="510"/>
      <c r="D469" s="510"/>
      <c r="E469" s="510"/>
      <c r="F469" s="510"/>
      <c r="G469" s="510"/>
      <c r="H469" s="510"/>
      <c r="I469" s="510"/>
      <c r="J469" s="510"/>
      <c r="K469" s="510"/>
      <c r="L469" s="510"/>
      <c r="M469" s="510"/>
      <c r="N469" s="510"/>
      <c r="O469" s="510"/>
      <c r="P469" s="510"/>
      <c r="Q469" s="510"/>
      <c r="R469" s="510"/>
      <c r="S469" s="510"/>
      <c r="T469" s="510"/>
      <c r="U469" s="510"/>
    </row>
    <row r="470" ht="27.0" customHeight="1">
      <c r="A470" s="510"/>
      <c r="B470" s="510"/>
      <c r="C470" s="510"/>
      <c r="D470" s="510"/>
      <c r="E470" s="510"/>
      <c r="F470" s="510"/>
      <c r="G470" s="510"/>
      <c r="H470" s="510"/>
      <c r="I470" s="510"/>
      <c r="J470" s="510"/>
      <c r="K470" s="510"/>
      <c r="L470" s="510"/>
      <c r="M470" s="510"/>
      <c r="N470" s="510"/>
      <c r="O470" s="510"/>
      <c r="P470" s="510"/>
      <c r="Q470" s="510"/>
      <c r="R470" s="510"/>
      <c r="S470" s="510"/>
      <c r="T470" s="510"/>
      <c r="U470" s="510"/>
    </row>
    <row r="471" ht="27.0" customHeight="1">
      <c r="A471" s="510"/>
      <c r="B471" s="510"/>
      <c r="C471" s="510"/>
      <c r="D471" s="510"/>
      <c r="E471" s="510"/>
      <c r="F471" s="510"/>
      <c r="G471" s="510"/>
      <c r="H471" s="510"/>
      <c r="I471" s="510"/>
      <c r="J471" s="510"/>
      <c r="K471" s="510"/>
      <c r="L471" s="510"/>
      <c r="M471" s="510"/>
      <c r="N471" s="510"/>
      <c r="O471" s="510"/>
      <c r="P471" s="510"/>
      <c r="Q471" s="510"/>
      <c r="R471" s="510"/>
      <c r="S471" s="510"/>
      <c r="T471" s="510"/>
      <c r="U471" s="510"/>
    </row>
    <row r="472" ht="27.0" customHeight="1">
      <c r="A472" s="510"/>
      <c r="B472" s="510"/>
      <c r="C472" s="510"/>
      <c r="D472" s="510"/>
      <c r="E472" s="510"/>
      <c r="F472" s="510"/>
      <c r="G472" s="510"/>
      <c r="H472" s="510"/>
      <c r="I472" s="510"/>
      <c r="J472" s="510"/>
      <c r="K472" s="510"/>
      <c r="L472" s="510"/>
      <c r="M472" s="510"/>
      <c r="N472" s="510"/>
      <c r="O472" s="510"/>
      <c r="P472" s="510"/>
      <c r="Q472" s="510"/>
      <c r="R472" s="510"/>
      <c r="S472" s="510"/>
      <c r="T472" s="510"/>
      <c r="U472" s="510"/>
    </row>
    <row r="473" ht="27.0" customHeight="1">
      <c r="A473" s="510"/>
      <c r="B473" s="510"/>
      <c r="C473" s="510"/>
      <c r="D473" s="510"/>
      <c r="E473" s="510"/>
      <c r="F473" s="510"/>
      <c r="G473" s="510"/>
      <c r="H473" s="510"/>
      <c r="I473" s="510"/>
      <c r="J473" s="510"/>
      <c r="K473" s="510"/>
      <c r="L473" s="510"/>
      <c r="M473" s="510"/>
      <c r="N473" s="510"/>
      <c r="O473" s="510"/>
      <c r="P473" s="510"/>
      <c r="Q473" s="510"/>
      <c r="R473" s="510"/>
      <c r="S473" s="510"/>
      <c r="T473" s="510"/>
      <c r="U473" s="510"/>
    </row>
    <row r="474" ht="27.0" customHeight="1">
      <c r="A474" s="510"/>
      <c r="B474" s="510"/>
      <c r="C474" s="510"/>
      <c r="D474" s="510"/>
      <c r="E474" s="510"/>
      <c r="F474" s="510"/>
      <c r="G474" s="510"/>
      <c r="H474" s="510"/>
      <c r="I474" s="510"/>
      <c r="J474" s="510"/>
      <c r="K474" s="510"/>
      <c r="L474" s="510"/>
      <c r="M474" s="510"/>
      <c r="N474" s="510"/>
      <c r="O474" s="510"/>
      <c r="P474" s="510"/>
      <c r="Q474" s="510"/>
      <c r="R474" s="510"/>
      <c r="S474" s="510"/>
      <c r="T474" s="510"/>
      <c r="U474" s="510"/>
    </row>
    <row r="475" ht="27.0" customHeight="1">
      <c r="A475" s="510"/>
      <c r="B475" s="510"/>
      <c r="C475" s="510"/>
      <c r="D475" s="510"/>
      <c r="E475" s="510"/>
      <c r="F475" s="510"/>
      <c r="G475" s="510"/>
      <c r="H475" s="510"/>
      <c r="I475" s="510"/>
      <c r="J475" s="510"/>
      <c r="K475" s="510"/>
      <c r="L475" s="510"/>
      <c r="M475" s="510"/>
      <c r="N475" s="510"/>
      <c r="O475" s="510"/>
      <c r="P475" s="510"/>
      <c r="Q475" s="510"/>
      <c r="R475" s="510"/>
      <c r="S475" s="510"/>
      <c r="T475" s="510"/>
      <c r="U475" s="510"/>
    </row>
    <row r="476" ht="27.0" customHeight="1">
      <c r="A476" s="510"/>
      <c r="B476" s="510"/>
      <c r="C476" s="510"/>
      <c r="D476" s="510"/>
      <c r="E476" s="510"/>
      <c r="F476" s="510"/>
      <c r="G476" s="510"/>
      <c r="H476" s="510"/>
      <c r="I476" s="510"/>
      <c r="J476" s="510"/>
      <c r="K476" s="510"/>
      <c r="L476" s="510"/>
      <c r="M476" s="510"/>
      <c r="N476" s="510"/>
      <c r="O476" s="510"/>
      <c r="P476" s="510"/>
      <c r="Q476" s="510"/>
      <c r="R476" s="510"/>
      <c r="S476" s="510"/>
      <c r="T476" s="510"/>
      <c r="U476" s="510"/>
    </row>
    <row r="477" ht="27.0" customHeight="1">
      <c r="A477" s="510"/>
      <c r="B477" s="510"/>
      <c r="C477" s="510"/>
      <c r="D477" s="510"/>
      <c r="E477" s="510"/>
      <c r="F477" s="510"/>
      <c r="G477" s="510"/>
      <c r="H477" s="510"/>
      <c r="I477" s="510"/>
      <c r="J477" s="510"/>
      <c r="K477" s="510"/>
      <c r="L477" s="510"/>
      <c r="M477" s="510"/>
      <c r="N477" s="510"/>
      <c r="O477" s="510"/>
      <c r="P477" s="510"/>
      <c r="Q477" s="510"/>
      <c r="R477" s="510"/>
      <c r="S477" s="510"/>
      <c r="T477" s="510"/>
      <c r="U477" s="510"/>
    </row>
    <row r="478" ht="27.0" customHeight="1">
      <c r="A478" s="510"/>
      <c r="B478" s="510"/>
      <c r="C478" s="510"/>
      <c r="D478" s="510"/>
      <c r="E478" s="510"/>
      <c r="F478" s="510"/>
      <c r="G478" s="510"/>
      <c r="H478" s="510"/>
      <c r="I478" s="510"/>
      <c r="J478" s="510"/>
      <c r="K478" s="510"/>
      <c r="L478" s="510"/>
      <c r="M478" s="510"/>
      <c r="N478" s="510"/>
      <c r="O478" s="510"/>
      <c r="P478" s="510"/>
      <c r="Q478" s="510"/>
      <c r="R478" s="510"/>
      <c r="S478" s="510"/>
      <c r="T478" s="510"/>
      <c r="U478" s="510"/>
    </row>
    <row r="479" ht="27.0" customHeight="1">
      <c r="A479" s="510"/>
      <c r="B479" s="510"/>
      <c r="C479" s="510"/>
      <c r="D479" s="510"/>
      <c r="E479" s="510"/>
      <c r="F479" s="510"/>
      <c r="G479" s="510"/>
      <c r="H479" s="510"/>
      <c r="I479" s="510"/>
      <c r="J479" s="510"/>
      <c r="K479" s="510"/>
      <c r="L479" s="510"/>
      <c r="M479" s="510"/>
      <c r="N479" s="510"/>
      <c r="O479" s="510"/>
      <c r="P479" s="510"/>
      <c r="Q479" s="510"/>
      <c r="R479" s="510"/>
      <c r="S479" s="510"/>
      <c r="T479" s="510"/>
      <c r="U479" s="510"/>
    </row>
    <row r="480" ht="27.0" customHeight="1">
      <c r="A480" s="510"/>
      <c r="B480" s="510"/>
      <c r="C480" s="510"/>
      <c r="D480" s="510"/>
      <c r="E480" s="510"/>
      <c r="F480" s="510"/>
      <c r="G480" s="510"/>
      <c r="H480" s="510"/>
      <c r="I480" s="510"/>
      <c r="J480" s="510"/>
      <c r="K480" s="510"/>
      <c r="L480" s="510"/>
      <c r="M480" s="510"/>
      <c r="N480" s="510"/>
      <c r="O480" s="510"/>
      <c r="P480" s="510"/>
      <c r="Q480" s="510"/>
      <c r="R480" s="510"/>
      <c r="S480" s="510"/>
      <c r="T480" s="510"/>
      <c r="U480" s="510"/>
    </row>
    <row r="481" ht="27.0" customHeight="1">
      <c r="A481" s="510"/>
      <c r="B481" s="510"/>
      <c r="C481" s="510"/>
      <c r="D481" s="510"/>
      <c r="E481" s="510"/>
      <c r="F481" s="510"/>
      <c r="G481" s="510"/>
      <c r="H481" s="510"/>
      <c r="I481" s="510"/>
      <c r="J481" s="510"/>
      <c r="K481" s="510"/>
      <c r="L481" s="510"/>
      <c r="M481" s="510"/>
      <c r="N481" s="510"/>
      <c r="O481" s="510"/>
      <c r="P481" s="510"/>
      <c r="Q481" s="510"/>
      <c r="R481" s="510"/>
      <c r="S481" s="510"/>
      <c r="T481" s="510"/>
      <c r="U481" s="510"/>
    </row>
    <row r="482" ht="27.0" customHeight="1">
      <c r="A482" s="510"/>
      <c r="B482" s="510"/>
      <c r="C482" s="510"/>
      <c r="D482" s="510"/>
      <c r="E482" s="510"/>
      <c r="F482" s="510"/>
      <c r="G482" s="510"/>
      <c r="H482" s="510"/>
      <c r="I482" s="510"/>
      <c r="J482" s="510"/>
      <c r="K482" s="510"/>
      <c r="L482" s="510"/>
      <c r="M482" s="510"/>
      <c r="N482" s="510"/>
      <c r="O482" s="510"/>
      <c r="P482" s="510"/>
      <c r="Q482" s="510"/>
      <c r="R482" s="510"/>
      <c r="S482" s="510"/>
      <c r="T482" s="510"/>
      <c r="U482" s="510"/>
    </row>
    <row r="483" ht="27.0" customHeight="1">
      <c r="A483" s="510"/>
      <c r="B483" s="510"/>
      <c r="C483" s="510"/>
      <c r="D483" s="510"/>
      <c r="E483" s="510"/>
      <c r="F483" s="510"/>
      <c r="G483" s="510"/>
      <c r="H483" s="510"/>
      <c r="I483" s="510"/>
      <c r="J483" s="510"/>
      <c r="K483" s="510"/>
      <c r="L483" s="510"/>
      <c r="M483" s="510"/>
      <c r="N483" s="510"/>
      <c r="O483" s="510"/>
      <c r="P483" s="510"/>
      <c r="Q483" s="510"/>
      <c r="R483" s="510"/>
      <c r="S483" s="510"/>
      <c r="T483" s="510"/>
      <c r="U483" s="510"/>
    </row>
    <row r="484" ht="27.0" customHeight="1">
      <c r="A484" s="510"/>
      <c r="B484" s="510"/>
      <c r="C484" s="510"/>
      <c r="D484" s="510"/>
      <c r="E484" s="510"/>
      <c r="F484" s="510"/>
      <c r="G484" s="510"/>
      <c r="H484" s="510"/>
      <c r="I484" s="510"/>
      <c r="J484" s="510"/>
      <c r="K484" s="510"/>
      <c r="L484" s="510"/>
      <c r="M484" s="510"/>
      <c r="N484" s="510"/>
      <c r="O484" s="510"/>
      <c r="P484" s="510"/>
      <c r="Q484" s="510"/>
      <c r="R484" s="510"/>
      <c r="S484" s="510"/>
      <c r="T484" s="510"/>
      <c r="U484" s="510"/>
    </row>
    <row r="485" ht="27.0" customHeight="1">
      <c r="A485" s="510"/>
      <c r="B485" s="510"/>
      <c r="C485" s="510"/>
      <c r="D485" s="510"/>
      <c r="E485" s="510"/>
      <c r="F485" s="510"/>
      <c r="G485" s="510"/>
      <c r="H485" s="510"/>
      <c r="I485" s="510"/>
      <c r="J485" s="510"/>
      <c r="K485" s="510"/>
      <c r="L485" s="510"/>
      <c r="M485" s="510"/>
      <c r="N485" s="510"/>
      <c r="O485" s="510"/>
      <c r="P485" s="510"/>
      <c r="Q485" s="510"/>
      <c r="R485" s="510"/>
      <c r="S485" s="510"/>
      <c r="T485" s="510"/>
      <c r="U485" s="510"/>
    </row>
    <row r="486" ht="27.0" customHeight="1">
      <c r="A486" s="510"/>
      <c r="B486" s="510"/>
      <c r="C486" s="510"/>
      <c r="D486" s="510"/>
      <c r="E486" s="510"/>
      <c r="F486" s="510"/>
      <c r="G486" s="510"/>
      <c r="H486" s="510"/>
      <c r="I486" s="510"/>
      <c r="J486" s="510"/>
      <c r="K486" s="510"/>
      <c r="L486" s="510"/>
      <c r="M486" s="510"/>
      <c r="N486" s="510"/>
      <c r="O486" s="510"/>
      <c r="P486" s="510"/>
      <c r="Q486" s="510"/>
      <c r="R486" s="510"/>
      <c r="S486" s="510"/>
      <c r="T486" s="510"/>
      <c r="U486" s="510"/>
    </row>
    <row r="487" ht="27.0" customHeight="1">
      <c r="A487" s="510"/>
      <c r="B487" s="510"/>
      <c r="C487" s="510"/>
      <c r="D487" s="510"/>
      <c r="E487" s="510"/>
      <c r="F487" s="510"/>
      <c r="G487" s="510"/>
      <c r="H487" s="510"/>
      <c r="I487" s="510"/>
      <c r="J487" s="510"/>
      <c r="K487" s="510"/>
      <c r="L487" s="510"/>
      <c r="M487" s="510"/>
      <c r="N487" s="510"/>
      <c r="O487" s="510"/>
      <c r="P487" s="510"/>
      <c r="Q487" s="510"/>
      <c r="R487" s="510"/>
      <c r="S487" s="510"/>
      <c r="T487" s="510"/>
      <c r="U487" s="510"/>
    </row>
    <row r="488" ht="27.0" customHeight="1">
      <c r="A488" s="510"/>
      <c r="B488" s="510"/>
      <c r="C488" s="510"/>
      <c r="D488" s="510"/>
      <c r="E488" s="510"/>
      <c r="F488" s="510"/>
      <c r="G488" s="510"/>
      <c r="H488" s="510"/>
      <c r="I488" s="510"/>
      <c r="J488" s="510"/>
      <c r="K488" s="510"/>
      <c r="L488" s="510"/>
      <c r="M488" s="510"/>
      <c r="N488" s="510"/>
      <c r="O488" s="510"/>
      <c r="P488" s="510"/>
      <c r="Q488" s="510"/>
      <c r="R488" s="510"/>
      <c r="S488" s="510"/>
      <c r="T488" s="510"/>
      <c r="U488" s="510"/>
    </row>
    <row r="489" ht="27.0" customHeight="1">
      <c r="A489" s="510"/>
      <c r="B489" s="510"/>
      <c r="C489" s="510"/>
      <c r="D489" s="510"/>
      <c r="E489" s="510"/>
      <c r="F489" s="510"/>
      <c r="G489" s="510"/>
      <c r="H489" s="510"/>
      <c r="I489" s="510"/>
      <c r="J489" s="510"/>
      <c r="K489" s="510"/>
      <c r="L489" s="510"/>
      <c r="M489" s="510"/>
      <c r="N489" s="510"/>
      <c r="O489" s="510"/>
      <c r="P489" s="510"/>
      <c r="Q489" s="510"/>
      <c r="R489" s="510"/>
      <c r="S489" s="510"/>
      <c r="T489" s="510"/>
      <c r="U489" s="510"/>
    </row>
    <row r="490" ht="27.0" customHeight="1">
      <c r="A490" s="510"/>
      <c r="B490" s="510"/>
      <c r="C490" s="510"/>
      <c r="D490" s="510"/>
      <c r="E490" s="510"/>
      <c r="F490" s="510"/>
      <c r="G490" s="510"/>
      <c r="H490" s="510"/>
      <c r="I490" s="510"/>
      <c r="J490" s="510"/>
      <c r="K490" s="510"/>
      <c r="L490" s="510"/>
      <c r="M490" s="510"/>
      <c r="N490" s="510"/>
      <c r="O490" s="510"/>
      <c r="P490" s="510"/>
      <c r="Q490" s="510"/>
      <c r="R490" s="510"/>
      <c r="S490" s="510"/>
      <c r="T490" s="510"/>
      <c r="U490" s="510"/>
    </row>
    <row r="491" ht="27.0" customHeight="1">
      <c r="A491" s="510"/>
      <c r="B491" s="510"/>
      <c r="C491" s="510"/>
      <c r="D491" s="510"/>
      <c r="E491" s="510"/>
      <c r="F491" s="510"/>
      <c r="G491" s="510"/>
      <c r="H491" s="510"/>
      <c r="I491" s="510"/>
      <c r="J491" s="510"/>
      <c r="K491" s="510"/>
      <c r="L491" s="510"/>
      <c r="M491" s="510"/>
      <c r="N491" s="510"/>
      <c r="O491" s="510"/>
      <c r="P491" s="510"/>
      <c r="Q491" s="510"/>
      <c r="R491" s="510"/>
      <c r="S491" s="510"/>
      <c r="T491" s="510"/>
      <c r="U491" s="510"/>
    </row>
    <row r="492" ht="27.0" customHeight="1">
      <c r="A492" s="510"/>
      <c r="B492" s="510"/>
      <c r="C492" s="510"/>
      <c r="D492" s="510"/>
      <c r="E492" s="510"/>
      <c r="F492" s="510"/>
      <c r="G492" s="510"/>
      <c r="H492" s="510"/>
      <c r="I492" s="510"/>
      <c r="J492" s="510"/>
      <c r="K492" s="510"/>
      <c r="L492" s="510"/>
      <c r="M492" s="510"/>
      <c r="N492" s="510"/>
      <c r="O492" s="510"/>
      <c r="P492" s="510"/>
      <c r="Q492" s="510"/>
      <c r="R492" s="510"/>
      <c r="S492" s="510"/>
      <c r="T492" s="510"/>
      <c r="U492" s="510"/>
    </row>
    <row r="493" ht="27.0" customHeight="1">
      <c r="A493" s="510"/>
      <c r="B493" s="510"/>
      <c r="C493" s="510"/>
      <c r="D493" s="510"/>
      <c r="E493" s="510"/>
      <c r="F493" s="510"/>
      <c r="G493" s="510"/>
      <c r="H493" s="510"/>
      <c r="I493" s="510"/>
      <c r="J493" s="510"/>
      <c r="K493" s="510"/>
      <c r="L493" s="510"/>
      <c r="M493" s="510"/>
      <c r="N493" s="510"/>
      <c r="O493" s="510"/>
      <c r="P493" s="510"/>
      <c r="Q493" s="510"/>
      <c r="R493" s="510"/>
      <c r="S493" s="510"/>
      <c r="T493" s="510"/>
      <c r="U493" s="510"/>
    </row>
    <row r="494" ht="27.0" customHeight="1">
      <c r="A494" s="510"/>
      <c r="B494" s="510"/>
      <c r="C494" s="510"/>
      <c r="D494" s="510"/>
      <c r="E494" s="510"/>
      <c r="F494" s="510"/>
      <c r="G494" s="510"/>
      <c r="H494" s="510"/>
      <c r="I494" s="510"/>
      <c r="J494" s="510"/>
      <c r="K494" s="510"/>
      <c r="L494" s="510"/>
      <c r="M494" s="510"/>
      <c r="N494" s="510"/>
      <c r="O494" s="510"/>
      <c r="P494" s="510"/>
      <c r="Q494" s="510"/>
      <c r="R494" s="510"/>
      <c r="S494" s="510"/>
      <c r="T494" s="510"/>
      <c r="U494" s="510"/>
    </row>
    <row r="495" ht="27.0" customHeight="1">
      <c r="A495" s="510"/>
      <c r="B495" s="510"/>
      <c r="C495" s="510"/>
      <c r="D495" s="510"/>
      <c r="E495" s="510"/>
      <c r="F495" s="510"/>
      <c r="G495" s="510"/>
      <c r="H495" s="510"/>
      <c r="I495" s="510"/>
      <c r="J495" s="510"/>
      <c r="K495" s="510"/>
      <c r="L495" s="510"/>
      <c r="M495" s="510"/>
      <c r="N495" s="510"/>
      <c r="O495" s="510"/>
      <c r="P495" s="510"/>
      <c r="Q495" s="510"/>
      <c r="R495" s="510"/>
      <c r="S495" s="510"/>
      <c r="T495" s="510"/>
      <c r="U495" s="510"/>
    </row>
    <row r="496" ht="27.0" customHeight="1">
      <c r="A496" s="510"/>
      <c r="B496" s="510"/>
      <c r="C496" s="510"/>
      <c r="D496" s="510"/>
      <c r="E496" s="510"/>
      <c r="F496" s="510"/>
      <c r="G496" s="510"/>
      <c r="H496" s="510"/>
      <c r="I496" s="510"/>
      <c r="J496" s="510"/>
      <c r="K496" s="510"/>
      <c r="L496" s="510"/>
      <c r="M496" s="510"/>
      <c r="N496" s="510"/>
      <c r="O496" s="510"/>
      <c r="P496" s="510"/>
      <c r="Q496" s="510"/>
      <c r="R496" s="510"/>
      <c r="S496" s="510"/>
      <c r="T496" s="510"/>
      <c r="U496" s="510"/>
    </row>
    <row r="497" ht="27.0" customHeight="1">
      <c r="A497" s="510"/>
      <c r="B497" s="510"/>
      <c r="C497" s="510"/>
      <c r="D497" s="510"/>
      <c r="E497" s="510"/>
      <c r="F497" s="510"/>
      <c r="G497" s="510"/>
      <c r="H497" s="510"/>
      <c r="I497" s="510"/>
      <c r="J497" s="510"/>
      <c r="K497" s="510"/>
      <c r="L497" s="510"/>
      <c r="M497" s="510"/>
      <c r="N497" s="510"/>
      <c r="O497" s="510"/>
      <c r="P497" s="510"/>
      <c r="Q497" s="510"/>
      <c r="R497" s="510"/>
      <c r="S497" s="510"/>
      <c r="T497" s="510"/>
      <c r="U497" s="510"/>
    </row>
    <row r="498" ht="27.0" customHeight="1">
      <c r="A498" s="510"/>
      <c r="B498" s="510"/>
      <c r="C498" s="510"/>
      <c r="D498" s="510"/>
      <c r="E498" s="510"/>
      <c r="F498" s="510"/>
      <c r="G498" s="510"/>
      <c r="H498" s="510"/>
      <c r="I498" s="510"/>
      <c r="J498" s="510"/>
      <c r="K498" s="510"/>
      <c r="L498" s="510"/>
      <c r="M498" s="510"/>
      <c r="N498" s="510"/>
      <c r="O498" s="510"/>
      <c r="P498" s="510"/>
      <c r="Q498" s="510"/>
      <c r="R498" s="510"/>
      <c r="S498" s="510"/>
      <c r="T498" s="510"/>
      <c r="U498" s="510"/>
    </row>
    <row r="499" ht="27.0" customHeight="1">
      <c r="A499" s="510"/>
      <c r="B499" s="510"/>
      <c r="C499" s="510"/>
      <c r="D499" s="510"/>
      <c r="E499" s="510"/>
      <c r="F499" s="510"/>
      <c r="G499" s="510"/>
      <c r="H499" s="510"/>
      <c r="I499" s="510"/>
      <c r="J499" s="510"/>
      <c r="K499" s="510"/>
      <c r="L499" s="510"/>
      <c r="M499" s="510"/>
      <c r="N499" s="510"/>
      <c r="O499" s="510"/>
      <c r="P499" s="510"/>
      <c r="Q499" s="510"/>
      <c r="R499" s="510"/>
      <c r="S499" s="510"/>
      <c r="T499" s="510"/>
      <c r="U499" s="510"/>
    </row>
    <row r="500" ht="27.0" customHeight="1">
      <c r="A500" s="510"/>
      <c r="B500" s="510"/>
      <c r="C500" s="510"/>
      <c r="D500" s="510"/>
      <c r="E500" s="510"/>
      <c r="F500" s="510"/>
      <c r="G500" s="510"/>
      <c r="H500" s="510"/>
      <c r="I500" s="510"/>
      <c r="J500" s="510"/>
      <c r="K500" s="510"/>
      <c r="L500" s="510"/>
      <c r="M500" s="510"/>
      <c r="N500" s="510"/>
      <c r="O500" s="510"/>
      <c r="P500" s="510"/>
      <c r="Q500" s="510"/>
      <c r="R500" s="510"/>
      <c r="S500" s="510"/>
      <c r="T500" s="510"/>
      <c r="U500" s="510"/>
    </row>
    <row r="501" ht="27.0" customHeight="1">
      <c r="A501" s="510"/>
      <c r="B501" s="510"/>
      <c r="C501" s="510"/>
      <c r="D501" s="510"/>
      <c r="E501" s="510"/>
      <c r="F501" s="510"/>
      <c r="G501" s="510"/>
      <c r="H501" s="510"/>
      <c r="I501" s="510"/>
      <c r="J501" s="510"/>
      <c r="K501" s="510"/>
      <c r="L501" s="510"/>
      <c r="M501" s="510"/>
      <c r="N501" s="510"/>
      <c r="O501" s="510"/>
      <c r="P501" s="510"/>
      <c r="Q501" s="510"/>
      <c r="R501" s="510"/>
      <c r="S501" s="510"/>
      <c r="T501" s="510"/>
      <c r="U501" s="510"/>
    </row>
    <row r="502" ht="27.0" customHeight="1">
      <c r="A502" s="510"/>
      <c r="B502" s="510"/>
      <c r="C502" s="510"/>
      <c r="D502" s="510"/>
      <c r="E502" s="510"/>
      <c r="F502" s="510"/>
      <c r="G502" s="510"/>
      <c r="H502" s="510"/>
      <c r="I502" s="510"/>
      <c r="J502" s="510"/>
      <c r="K502" s="510"/>
      <c r="L502" s="510"/>
      <c r="M502" s="510"/>
      <c r="N502" s="510"/>
      <c r="O502" s="510"/>
      <c r="P502" s="510"/>
      <c r="Q502" s="510"/>
      <c r="R502" s="510"/>
      <c r="S502" s="510"/>
      <c r="T502" s="510"/>
      <c r="U502" s="510"/>
    </row>
    <row r="503" ht="27.0" customHeight="1">
      <c r="A503" s="510"/>
      <c r="B503" s="510"/>
      <c r="C503" s="510"/>
      <c r="D503" s="510"/>
      <c r="E503" s="510"/>
      <c r="F503" s="510"/>
      <c r="G503" s="510"/>
      <c r="H503" s="510"/>
      <c r="I503" s="510"/>
      <c r="J503" s="510"/>
      <c r="K503" s="510"/>
      <c r="L503" s="510"/>
      <c r="M503" s="510"/>
      <c r="N503" s="510"/>
      <c r="O503" s="510"/>
      <c r="P503" s="510"/>
      <c r="Q503" s="510"/>
      <c r="R503" s="510"/>
      <c r="S503" s="510"/>
      <c r="T503" s="510"/>
      <c r="U503" s="510"/>
    </row>
    <row r="504" ht="27.0" customHeight="1">
      <c r="A504" s="510"/>
      <c r="B504" s="510"/>
      <c r="C504" s="510"/>
      <c r="D504" s="510"/>
      <c r="E504" s="510"/>
      <c r="F504" s="510"/>
      <c r="G504" s="510"/>
      <c r="H504" s="510"/>
      <c r="I504" s="510"/>
      <c r="J504" s="510"/>
      <c r="K504" s="510"/>
      <c r="L504" s="510"/>
      <c r="M504" s="510"/>
      <c r="N504" s="510"/>
      <c r="O504" s="510"/>
      <c r="P504" s="510"/>
      <c r="Q504" s="510"/>
      <c r="R504" s="510"/>
      <c r="S504" s="510"/>
      <c r="T504" s="510"/>
      <c r="U504" s="510"/>
    </row>
    <row r="505" ht="27.0" customHeight="1">
      <c r="A505" s="510"/>
      <c r="B505" s="510"/>
      <c r="C505" s="510"/>
      <c r="D505" s="510"/>
      <c r="E505" s="510"/>
      <c r="F505" s="510"/>
      <c r="G505" s="510"/>
      <c r="H505" s="510"/>
      <c r="I505" s="510"/>
      <c r="J505" s="510"/>
      <c r="K505" s="510"/>
      <c r="L505" s="510"/>
      <c r="M505" s="510"/>
      <c r="N505" s="510"/>
      <c r="O505" s="510"/>
      <c r="P505" s="510"/>
      <c r="Q505" s="510"/>
      <c r="R505" s="510"/>
      <c r="S505" s="510"/>
      <c r="T505" s="510"/>
      <c r="U505" s="510"/>
    </row>
    <row r="506" ht="27.0" customHeight="1">
      <c r="A506" s="510"/>
      <c r="B506" s="510"/>
      <c r="C506" s="510"/>
      <c r="D506" s="510"/>
      <c r="E506" s="510"/>
      <c r="F506" s="510"/>
      <c r="G506" s="510"/>
      <c r="H506" s="510"/>
      <c r="I506" s="510"/>
      <c r="J506" s="510"/>
      <c r="K506" s="510"/>
      <c r="L506" s="510"/>
      <c r="M506" s="510"/>
      <c r="N506" s="510"/>
      <c r="O506" s="510"/>
      <c r="P506" s="510"/>
      <c r="Q506" s="510"/>
      <c r="R506" s="510"/>
      <c r="S506" s="510"/>
      <c r="T506" s="510"/>
      <c r="U506" s="510"/>
    </row>
    <row r="507" ht="27.0" customHeight="1">
      <c r="A507" s="510"/>
      <c r="B507" s="510"/>
      <c r="C507" s="510"/>
      <c r="D507" s="510"/>
      <c r="E507" s="510"/>
      <c r="F507" s="510"/>
      <c r="G507" s="510"/>
      <c r="H507" s="510"/>
      <c r="I507" s="510"/>
      <c r="J507" s="510"/>
      <c r="K507" s="510"/>
      <c r="L507" s="510"/>
      <c r="M507" s="510"/>
      <c r="N507" s="510"/>
      <c r="O507" s="510"/>
      <c r="P507" s="510"/>
      <c r="Q507" s="510"/>
      <c r="R507" s="510"/>
      <c r="S507" s="510"/>
      <c r="T507" s="510"/>
      <c r="U507" s="510"/>
    </row>
    <row r="508" ht="27.0" customHeight="1">
      <c r="A508" s="510"/>
      <c r="B508" s="510"/>
      <c r="C508" s="510"/>
      <c r="D508" s="510"/>
      <c r="E508" s="510"/>
      <c r="F508" s="510"/>
      <c r="G508" s="510"/>
      <c r="H508" s="510"/>
      <c r="I508" s="510"/>
      <c r="J508" s="510"/>
      <c r="K508" s="510"/>
      <c r="L508" s="510"/>
      <c r="M508" s="510"/>
      <c r="N508" s="510"/>
      <c r="O508" s="510"/>
      <c r="P508" s="510"/>
      <c r="Q508" s="510"/>
      <c r="R508" s="510"/>
      <c r="S508" s="510"/>
      <c r="T508" s="510"/>
      <c r="U508" s="510"/>
    </row>
    <row r="509" ht="27.0" customHeight="1">
      <c r="A509" s="510"/>
      <c r="B509" s="510"/>
      <c r="C509" s="510"/>
      <c r="D509" s="510"/>
      <c r="E509" s="510"/>
      <c r="F509" s="510"/>
      <c r="G509" s="510"/>
      <c r="H509" s="510"/>
      <c r="I509" s="510"/>
      <c r="J509" s="510"/>
      <c r="K509" s="510"/>
      <c r="L509" s="510"/>
      <c r="M509" s="510"/>
      <c r="N509" s="510"/>
      <c r="O509" s="510"/>
      <c r="P509" s="510"/>
      <c r="Q509" s="510"/>
      <c r="R509" s="510"/>
      <c r="S509" s="510"/>
      <c r="T509" s="510"/>
      <c r="U509" s="510"/>
    </row>
    <row r="510" ht="27.0" customHeight="1">
      <c r="A510" s="510"/>
      <c r="B510" s="510"/>
      <c r="C510" s="510"/>
      <c r="D510" s="510"/>
      <c r="E510" s="510"/>
      <c r="F510" s="510"/>
      <c r="G510" s="510"/>
      <c r="H510" s="510"/>
      <c r="I510" s="510"/>
      <c r="J510" s="510"/>
      <c r="K510" s="510"/>
      <c r="L510" s="510"/>
      <c r="M510" s="510"/>
      <c r="N510" s="510"/>
      <c r="O510" s="510"/>
      <c r="P510" s="510"/>
      <c r="Q510" s="510"/>
      <c r="R510" s="510"/>
      <c r="S510" s="510"/>
      <c r="T510" s="510"/>
      <c r="U510" s="510"/>
    </row>
    <row r="511" ht="27.0" customHeight="1">
      <c r="A511" s="510"/>
      <c r="B511" s="510"/>
      <c r="C511" s="510"/>
      <c r="D511" s="510"/>
      <c r="E511" s="510"/>
      <c r="F511" s="510"/>
      <c r="G511" s="510"/>
      <c r="H511" s="510"/>
      <c r="I511" s="510"/>
      <c r="J511" s="510"/>
      <c r="K511" s="510"/>
      <c r="L511" s="510"/>
      <c r="M511" s="510"/>
      <c r="N511" s="510"/>
      <c r="O511" s="510"/>
      <c r="P511" s="510"/>
      <c r="Q511" s="510"/>
      <c r="R511" s="510"/>
      <c r="S511" s="510"/>
      <c r="T511" s="510"/>
      <c r="U511" s="510"/>
    </row>
    <row r="512" ht="27.0" customHeight="1">
      <c r="A512" s="510"/>
      <c r="B512" s="510"/>
      <c r="C512" s="510"/>
      <c r="D512" s="510"/>
      <c r="E512" s="510"/>
      <c r="F512" s="510"/>
      <c r="G512" s="510"/>
      <c r="H512" s="510"/>
      <c r="I512" s="510"/>
      <c r="J512" s="510"/>
      <c r="K512" s="510"/>
      <c r="L512" s="510"/>
      <c r="M512" s="510"/>
      <c r="N512" s="510"/>
      <c r="O512" s="510"/>
      <c r="P512" s="510"/>
      <c r="Q512" s="510"/>
      <c r="R512" s="510"/>
      <c r="S512" s="510"/>
      <c r="T512" s="510"/>
      <c r="U512" s="510"/>
    </row>
    <row r="513" ht="27.0" customHeight="1">
      <c r="A513" s="510"/>
      <c r="B513" s="510"/>
      <c r="C513" s="510"/>
      <c r="D513" s="510"/>
      <c r="E513" s="510"/>
      <c r="F513" s="510"/>
      <c r="G513" s="510"/>
      <c r="H513" s="510"/>
      <c r="I513" s="510"/>
      <c r="J513" s="510"/>
      <c r="K513" s="510"/>
      <c r="L513" s="510"/>
      <c r="M513" s="510"/>
      <c r="N513" s="510"/>
      <c r="O513" s="510"/>
      <c r="P513" s="510"/>
      <c r="Q513" s="510"/>
      <c r="R513" s="510"/>
      <c r="S513" s="510"/>
      <c r="T513" s="510"/>
      <c r="U513" s="510"/>
    </row>
    <row r="514" ht="27.0" customHeight="1">
      <c r="A514" s="510"/>
      <c r="B514" s="510"/>
      <c r="C514" s="510"/>
      <c r="D514" s="510"/>
      <c r="E514" s="510"/>
      <c r="F514" s="510"/>
      <c r="G514" s="510"/>
      <c r="H514" s="510"/>
      <c r="I514" s="510"/>
      <c r="J514" s="510"/>
      <c r="K514" s="510"/>
      <c r="L514" s="510"/>
      <c r="M514" s="510"/>
      <c r="N514" s="510"/>
      <c r="O514" s="510"/>
      <c r="P514" s="510"/>
      <c r="Q514" s="510"/>
      <c r="R514" s="510"/>
      <c r="S514" s="510"/>
      <c r="T514" s="510"/>
      <c r="U514" s="510"/>
    </row>
    <row r="515" ht="27.0" customHeight="1">
      <c r="A515" s="510"/>
      <c r="B515" s="510"/>
      <c r="C515" s="510"/>
      <c r="D515" s="510"/>
      <c r="E515" s="510"/>
      <c r="F515" s="510"/>
      <c r="G515" s="510"/>
      <c r="H515" s="510"/>
      <c r="I515" s="510"/>
      <c r="J515" s="510"/>
      <c r="K515" s="510"/>
      <c r="L515" s="510"/>
      <c r="M515" s="510"/>
      <c r="N515" s="510"/>
      <c r="O515" s="510"/>
      <c r="P515" s="510"/>
      <c r="Q515" s="510"/>
      <c r="R515" s="510"/>
      <c r="S515" s="510"/>
      <c r="T515" s="510"/>
      <c r="U515" s="510"/>
    </row>
    <row r="516" ht="27.0" customHeight="1">
      <c r="A516" s="510"/>
      <c r="B516" s="510"/>
      <c r="C516" s="510"/>
      <c r="D516" s="510"/>
      <c r="E516" s="510"/>
      <c r="F516" s="510"/>
      <c r="G516" s="510"/>
      <c r="H516" s="510"/>
      <c r="I516" s="510"/>
      <c r="J516" s="510"/>
      <c r="K516" s="510"/>
      <c r="L516" s="510"/>
      <c r="M516" s="510"/>
      <c r="N516" s="510"/>
      <c r="O516" s="510"/>
      <c r="P516" s="510"/>
      <c r="Q516" s="510"/>
      <c r="R516" s="510"/>
      <c r="S516" s="510"/>
      <c r="T516" s="510"/>
      <c r="U516" s="510"/>
    </row>
    <row r="517" ht="27.0" customHeight="1">
      <c r="A517" s="510"/>
      <c r="B517" s="510"/>
      <c r="C517" s="510"/>
      <c r="D517" s="510"/>
      <c r="E517" s="510"/>
      <c r="F517" s="510"/>
      <c r="G517" s="510"/>
      <c r="H517" s="510"/>
      <c r="I517" s="510"/>
      <c r="J517" s="510"/>
      <c r="K517" s="510"/>
      <c r="L517" s="510"/>
      <c r="M517" s="510"/>
      <c r="N517" s="510"/>
      <c r="O517" s="510"/>
      <c r="P517" s="510"/>
      <c r="Q517" s="510"/>
      <c r="R517" s="510"/>
      <c r="S517" s="510"/>
      <c r="T517" s="510"/>
      <c r="U517" s="510"/>
    </row>
    <row r="518" ht="27.0" customHeight="1">
      <c r="A518" s="510"/>
      <c r="B518" s="510"/>
      <c r="C518" s="510"/>
      <c r="D518" s="510"/>
      <c r="E518" s="510"/>
      <c r="F518" s="510"/>
      <c r="G518" s="510"/>
      <c r="H518" s="510"/>
      <c r="I518" s="510"/>
      <c r="J518" s="510"/>
      <c r="K518" s="510"/>
      <c r="L518" s="510"/>
      <c r="M518" s="510"/>
      <c r="N518" s="510"/>
      <c r="O518" s="510"/>
      <c r="P518" s="510"/>
      <c r="Q518" s="510"/>
      <c r="R518" s="510"/>
      <c r="S518" s="510"/>
      <c r="T518" s="510"/>
      <c r="U518" s="510"/>
    </row>
    <row r="519" ht="27.0" customHeight="1">
      <c r="A519" s="510"/>
      <c r="B519" s="510"/>
      <c r="C519" s="510"/>
      <c r="D519" s="510"/>
      <c r="E519" s="510"/>
      <c r="F519" s="510"/>
      <c r="G519" s="510"/>
      <c r="H519" s="510"/>
      <c r="I519" s="510"/>
      <c r="J519" s="510"/>
      <c r="K519" s="510"/>
      <c r="L519" s="510"/>
      <c r="M519" s="510"/>
      <c r="N519" s="510"/>
      <c r="O519" s="510"/>
      <c r="P519" s="510"/>
      <c r="Q519" s="510"/>
      <c r="R519" s="510"/>
      <c r="S519" s="510"/>
      <c r="T519" s="510"/>
      <c r="U519" s="510"/>
    </row>
    <row r="520" ht="27.0" customHeight="1">
      <c r="A520" s="510"/>
      <c r="B520" s="510"/>
      <c r="C520" s="510"/>
      <c r="D520" s="510"/>
      <c r="E520" s="510"/>
      <c r="F520" s="510"/>
      <c r="G520" s="510"/>
      <c r="H520" s="510"/>
      <c r="I520" s="510"/>
      <c r="J520" s="510"/>
      <c r="K520" s="510"/>
      <c r="L520" s="510"/>
      <c r="M520" s="510"/>
      <c r="N520" s="510"/>
      <c r="O520" s="510"/>
      <c r="P520" s="510"/>
      <c r="Q520" s="510"/>
      <c r="R520" s="510"/>
      <c r="S520" s="510"/>
      <c r="T520" s="510"/>
      <c r="U520" s="510"/>
    </row>
    <row r="521" ht="27.0" customHeight="1">
      <c r="A521" s="510"/>
      <c r="B521" s="510"/>
      <c r="C521" s="510"/>
      <c r="D521" s="510"/>
      <c r="E521" s="510"/>
      <c r="F521" s="510"/>
      <c r="G521" s="510"/>
      <c r="H521" s="510"/>
      <c r="I521" s="510"/>
      <c r="J521" s="510"/>
      <c r="K521" s="510"/>
      <c r="L521" s="510"/>
      <c r="M521" s="510"/>
      <c r="N521" s="510"/>
      <c r="O521" s="510"/>
      <c r="P521" s="510"/>
      <c r="Q521" s="510"/>
      <c r="R521" s="510"/>
      <c r="S521" s="510"/>
      <c r="T521" s="510"/>
      <c r="U521" s="510"/>
    </row>
    <row r="522" ht="27.0" customHeight="1">
      <c r="A522" s="510"/>
      <c r="B522" s="510"/>
      <c r="C522" s="510"/>
      <c r="D522" s="510"/>
      <c r="E522" s="510"/>
      <c r="F522" s="510"/>
      <c r="G522" s="510"/>
      <c r="H522" s="510"/>
      <c r="I522" s="510"/>
      <c r="J522" s="510"/>
      <c r="K522" s="510"/>
      <c r="L522" s="510"/>
      <c r="M522" s="510"/>
      <c r="N522" s="510"/>
      <c r="O522" s="510"/>
      <c r="P522" s="510"/>
      <c r="Q522" s="510"/>
      <c r="R522" s="510"/>
      <c r="S522" s="510"/>
      <c r="T522" s="510"/>
      <c r="U522" s="510"/>
    </row>
    <row r="523" ht="27.0" customHeight="1">
      <c r="A523" s="510"/>
      <c r="B523" s="510"/>
      <c r="C523" s="510"/>
      <c r="D523" s="510"/>
      <c r="E523" s="510"/>
      <c r="F523" s="510"/>
      <c r="G523" s="510"/>
      <c r="H523" s="510"/>
      <c r="I523" s="510"/>
      <c r="J523" s="510"/>
      <c r="K523" s="510"/>
      <c r="L523" s="510"/>
      <c r="M523" s="510"/>
      <c r="N523" s="510"/>
      <c r="O523" s="510"/>
      <c r="P523" s="510"/>
      <c r="Q523" s="510"/>
      <c r="R523" s="510"/>
      <c r="S523" s="510"/>
      <c r="T523" s="510"/>
      <c r="U523" s="510"/>
    </row>
    <row r="524" ht="27.0" customHeight="1">
      <c r="A524" s="510"/>
      <c r="B524" s="510"/>
      <c r="C524" s="510"/>
      <c r="D524" s="510"/>
      <c r="E524" s="510"/>
      <c r="F524" s="510"/>
      <c r="G524" s="510"/>
      <c r="H524" s="510"/>
      <c r="I524" s="510"/>
      <c r="J524" s="510"/>
      <c r="K524" s="510"/>
      <c r="L524" s="510"/>
      <c r="M524" s="510"/>
      <c r="N524" s="510"/>
      <c r="O524" s="510"/>
      <c r="P524" s="510"/>
      <c r="Q524" s="510"/>
      <c r="R524" s="510"/>
      <c r="S524" s="510"/>
      <c r="T524" s="510"/>
      <c r="U524" s="510"/>
    </row>
    <row r="525" ht="27.0" customHeight="1">
      <c r="A525" s="510"/>
      <c r="B525" s="510"/>
      <c r="C525" s="510"/>
      <c r="D525" s="510"/>
      <c r="E525" s="510"/>
      <c r="F525" s="510"/>
      <c r="G525" s="510"/>
      <c r="H525" s="510"/>
      <c r="I525" s="510"/>
      <c r="J525" s="510"/>
      <c r="K525" s="510"/>
      <c r="L525" s="510"/>
      <c r="M525" s="510"/>
      <c r="N525" s="510"/>
      <c r="O525" s="510"/>
      <c r="P525" s="510"/>
      <c r="Q525" s="510"/>
      <c r="R525" s="510"/>
      <c r="S525" s="510"/>
      <c r="T525" s="510"/>
      <c r="U525" s="510"/>
    </row>
    <row r="526" ht="27.0" customHeight="1">
      <c r="A526" s="510"/>
      <c r="B526" s="510"/>
      <c r="C526" s="510"/>
      <c r="D526" s="510"/>
      <c r="E526" s="510"/>
      <c r="F526" s="510"/>
      <c r="G526" s="510"/>
      <c r="H526" s="510"/>
      <c r="I526" s="510"/>
      <c r="J526" s="510"/>
      <c r="K526" s="510"/>
      <c r="L526" s="510"/>
      <c r="M526" s="510"/>
      <c r="N526" s="510"/>
      <c r="O526" s="510"/>
      <c r="P526" s="510"/>
      <c r="Q526" s="510"/>
      <c r="R526" s="510"/>
      <c r="S526" s="510"/>
      <c r="T526" s="510"/>
      <c r="U526" s="510"/>
    </row>
    <row r="527" ht="27.0" customHeight="1">
      <c r="A527" s="510"/>
      <c r="B527" s="510"/>
      <c r="C527" s="510"/>
      <c r="D527" s="510"/>
      <c r="E527" s="510"/>
      <c r="F527" s="510"/>
      <c r="G527" s="510"/>
      <c r="H527" s="510"/>
      <c r="I527" s="510"/>
      <c r="J527" s="510"/>
      <c r="K527" s="510"/>
      <c r="L527" s="510"/>
      <c r="M527" s="510"/>
      <c r="N527" s="510"/>
      <c r="O527" s="510"/>
      <c r="P527" s="510"/>
      <c r="Q527" s="510"/>
      <c r="R527" s="510"/>
      <c r="S527" s="510"/>
      <c r="T527" s="510"/>
      <c r="U527" s="510"/>
    </row>
    <row r="528" ht="27.0" customHeight="1">
      <c r="A528" s="510"/>
      <c r="B528" s="510"/>
      <c r="C528" s="510"/>
      <c r="D528" s="510"/>
      <c r="E528" s="510"/>
      <c r="F528" s="510"/>
      <c r="G528" s="510"/>
      <c r="H528" s="510"/>
      <c r="I528" s="510"/>
      <c r="J528" s="510"/>
      <c r="K528" s="510"/>
      <c r="L528" s="510"/>
      <c r="M528" s="510"/>
      <c r="N528" s="510"/>
      <c r="O528" s="510"/>
      <c r="P528" s="510"/>
      <c r="Q528" s="510"/>
      <c r="R528" s="510"/>
      <c r="S528" s="510"/>
      <c r="T528" s="510"/>
      <c r="U528" s="510"/>
    </row>
    <row r="529" ht="27.0" customHeight="1">
      <c r="A529" s="510"/>
      <c r="B529" s="510"/>
      <c r="C529" s="510"/>
      <c r="D529" s="510"/>
      <c r="E529" s="510"/>
      <c r="F529" s="510"/>
      <c r="G529" s="510"/>
      <c r="H529" s="510"/>
      <c r="I529" s="510"/>
      <c r="J529" s="510"/>
      <c r="K529" s="510"/>
      <c r="L529" s="510"/>
      <c r="M529" s="510"/>
      <c r="N529" s="510"/>
      <c r="O529" s="510"/>
      <c r="P529" s="510"/>
      <c r="Q529" s="510"/>
      <c r="R529" s="510"/>
      <c r="S529" s="510"/>
      <c r="T529" s="510"/>
      <c r="U529" s="510"/>
    </row>
    <row r="530" ht="27.0" customHeight="1">
      <c r="A530" s="510"/>
      <c r="B530" s="510"/>
      <c r="C530" s="510"/>
      <c r="D530" s="510"/>
      <c r="E530" s="510"/>
      <c r="F530" s="510"/>
      <c r="G530" s="510"/>
      <c r="H530" s="510"/>
      <c r="I530" s="510"/>
      <c r="J530" s="510"/>
      <c r="K530" s="510"/>
      <c r="L530" s="510"/>
      <c r="M530" s="510"/>
      <c r="N530" s="510"/>
      <c r="O530" s="510"/>
      <c r="P530" s="510"/>
      <c r="Q530" s="510"/>
      <c r="R530" s="510"/>
      <c r="S530" s="510"/>
      <c r="T530" s="510"/>
      <c r="U530" s="510"/>
    </row>
    <row r="531" ht="27.0" customHeight="1">
      <c r="A531" s="510"/>
      <c r="B531" s="510"/>
      <c r="C531" s="510"/>
      <c r="D531" s="510"/>
      <c r="E531" s="510"/>
      <c r="F531" s="510"/>
      <c r="G531" s="510"/>
      <c r="H531" s="510"/>
      <c r="I531" s="510"/>
      <c r="J531" s="510"/>
      <c r="K531" s="510"/>
      <c r="L531" s="510"/>
      <c r="M531" s="510"/>
      <c r="N531" s="510"/>
      <c r="O531" s="510"/>
      <c r="P531" s="510"/>
      <c r="Q531" s="510"/>
      <c r="R531" s="510"/>
      <c r="S531" s="510"/>
      <c r="T531" s="510"/>
      <c r="U531" s="510"/>
    </row>
    <row r="532" ht="27.0" customHeight="1">
      <c r="A532" s="510"/>
      <c r="B532" s="510"/>
      <c r="C532" s="510"/>
      <c r="D532" s="510"/>
      <c r="E532" s="510"/>
      <c r="F532" s="510"/>
      <c r="G532" s="510"/>
      <c r="H532" s="510"/>
      <c r="I532" s="510"/>
      <c r="J532" s="510"/>
      <c r="K532" s="510"/>
      <c r="L532" s="510"/>
      <c r="M532" s="510"/>
      <c r="N532" s="510"/>
      <c r="O532" s="510"/>
      <c r="P532" s="510"/>
      <c r="Q532" s="510"/>
      <c r="R532" s="510"/>
      <c r="S532" s="510"/>
      <c r="T532" s="510"/>
      <c r="U532" s="510"/>
    </row>
    <row r="533" ht="27.0" customHeight="1">
      <c r="A533" s="510"/>
      <c r="B533" s="510"/>
      <c r="C533" s="510"/>
      <c r="D533" s="510"/>
      <c r="E533" s="510"/>
      <c r="F533" s="510"/>
      <c r="G533" s="510"/>
      <c r="H533" s="510"/>
      <c r="I533" s="510"/>
      <c r="J533" s="510"/>
      <c r="K533" s="510"/>
      <c r="L533" s="510"/>
      <c r="M533" s="510"/>
      <c r="N533" s="510"/>
      <c r="O533" s="510"/>
      <c r="P533" s="510"/>
      <c r="Q533" s="510"/>
      <c r="R533" s="510"/>
      <c r="S533" s="510"/>
      <c r="T533" s="510"/>
      <c r="U533" s="510"/>
    </row>
    <row r="534" ht="27.0" customHeight="1">
      <c r="A534" s="510"/>
      <c r="B534" s="510"/>
      <c r="C534" s="510"/>
      <c r="D534" s="510"/>
      <c r="E534" s="510"/>
      <c r="F534" s="510"/>
      <c r="G534" s="510"/>
      <c r="H534" s="510"/>
      <c r="I534" s="510"/>
      <c r="J534" s="510"/>
      <c r="K534" s="510"/>
      <c r="L534" s="510"/>
      <c r="M534" s="510"/>
      <c r="N534" s="510"/>
      <c r="O534" s="510"/>
      <c r="P534" s="510"/>
      <c r="Q534" s="510"/>
      <c r="R534" s="510"/>
      <c r="S534" s="510"/>
      <c r="T534" s="510"/>
      <c r="U534" s="510"/>
    </row>
    <row r="535" ht="27.0" customHeight="1">
      <c r="A535" s="510"/>
      <c r="B535" s="510"/>
      <c r="C535" s="510"/>
      <c r="D535" s="510"/>
      <c r="E535" s="510"/>
      <c r="F535" s="510"/>
      <c r="G535" s="510"/>
      <c r="H535" s="510"/>
      <c r="I535" s="510"/>
      <c r="J535" s="510"/>
      <c r="K535" s="510"/>
      <c r="L535" s="510"/>
      <c r="M535" s="510"/>
      <c r="N535" s="510"/>
      <c r="O535" s="510"/>
      <c r="P535" s="510"/>
      <c r="Q535" s="510"/>
      <c r="R535" s="510"/>
      <c r="S535" s="510"/>
      <c r="T535" s="510"/>
      <c r="U535" s="510"/>
    </row>
    <row r="536" ht="27.0" customHeight="1">
      <c r="A536" s="510"/>
      <c r="B536" s="510"/>
      <c r="C536" s="510"/>
      <c r="D536" s="510"/>
      <c r="E536" s="510"/>
      <c r="F536" s="510"/>
      <c r="G536" s="510"/>
      <c r="H536" s="510"/>
      <c r="I536" s="510"/>
      <c r="J536" s="510"/>
      <c r="K536" s="510"/>
      <c r="L536" s="510"/>
      <c r="M536" s="510"/>
      <c r="N536" s="510"/>
      <c r="O536" s="510"/>
      <c r="P536" s="510"/>
      <c r="Q536" s="510"/>
      <c r="R536" s="510"/>
      <c r="S536" s="510"/>
      <c r="T536" s="510"/>
      <c r="U536" s="510"/>
    </row>
    <row r="537" ht="27.0" customHeight="1">
      <c r="A537" s="510"/>
      <c r="B537" s="510"/>
      <c r="C537" s="510"/>
      <c r="D537" s="510"/>
      <c r="E537" s="510"/>
      <c r="F537" s="510"/>
      <c r="G537" s="510"/>
      <c r="H537" s="510"/>
      <c r="I537" s="510"/>
      <c r="J537" s="510"/>
      <c r="K537" s="510"/>
      <c r="L537" s="510"/>
      <c r="M537" s="510"/>
      <c r="N537" s="510"/>
      <c r="O537" s="510"/>
      <c r="P537" s="510"/>
      <c r="Q537" s="510"/>
      <c r="R537" s="510"/>
      <c r="S537" s="510"/>
      <c r="T537" s="510"/>
      <c r="U537" s="510"/>
    </row>
    <row r="538" ht="27.0" customHeight="1">
      <c r="A538" s="510"/>
      <c r="B538" s="510"/>
      <c r="C538" s="510"/>
      <c r="D538" s="510"/>
      <c r="E538" s="510"/>
      <c r="F538" s="510"/>
      <c r="G538" s="510"/>
      <c r="H538" s="510"/>
      <c r="I538" s="510"/>
      <c r="J538" s="510"/>
      <c r="K538" s="510"/>
      <c r="L538" s="510"/>
      <c r="M538" s="510"/>
      <c r="N538" s="510"/>
      <c r="O538" s="510"/>
      <c r="P538" s="510"/>
      <c r="Q538" s="510"/>
      <c r="R538" s="510"/>
      <c r="S538" s="510"/>
      <c r="T538" s="510"/>
      <c r="U538" s="510"/>
    </row>
    <row r="539" ht="27.0" customHeight="1">
      <c r="A539" s="510"/>
      <c r="B539" s="510"/>
      <c r="C539" s="510"/>
      <c r="D539" s="510"/>
      <c r="E539" s="510"/>
      <c r="F539" s="510"/>
      <c r="G539" s="510"/>
      <c r="H539" s="510"/>
      <c r="I539" s="510"/>
      <c r="J539" s="510"/>
      <c r="K539" s="510"/>
      <c r="L539" s="510"/>
      <c r="M539" s="510"/>
      <c r="N539" s="510"/>
      <c r="O539" s="510"/>
      <c r="P539" s="510"/>
      <c r="Q539" s="510"/>
      <c r="R539" s="510"/>
      <c r="S539" s="510"/>
      <c r="T539" s="510"/>
      <c r="U539" s="510"/>
    </row>
    <row r="540" ht="27.0" customHeight="1">
      <c r="A540" s="510"/>
      <c r="B540" s="510"/>
      <c r="C540" s="510"/>
      <c r="D540" s="510"/>
      <c r="E540" s="510"/>
      <c r="F540" s="510"/>
      <c r="G540" s="510"/>
      <c r="H540" s="510"/>
      <c r="I540" s="510"/>
      <c r="J540" s="510"/>
      <c r="K540" s="510"/>
      <c r="L540" s="510"/>
      <c r="M540" s="510"/>
      <c r="N540" s="510"/>
      <c r="O540" s="510"/>
      <c r="P540" s="510"/>
      <c r="Q540" s="510"/>
      <c r="R540" s="510"/>
      <c r="S540" s="510"/>
      <c r="T540" s="510"/>
      <c r="U540" s="510"/>
    </row>
    <row r="541" ht="27.0" customHeight="1">
      <c r="A541" s="510"/>
      <c r="B541" s="510"/>
      <c r="C541" s="510"/>
      <c r="D541" s="510"/>
      <c r="E541" s="510"/>
      <c r="F541" s="510"/>
      <c r="G541" s="510"/>
      <c r="H541" s="510"/>
      <c r="I541" s="510"/>
      <c r="J541" s="510"/>
      <c r="K541" s="510"/>
      <c r="L541" s="510"/>
      <c r="M541" s="510"/>
      <c r="N541" s="510"/>
      <c r="O541" s="510"/>
      <c r="P541" s="510"/>
      <c r="Q541" s="510"/>
      <c r="R541" s="510"/>
      <c r="S541" s="510"/>
      <c r="T541" s="510"/>
      <c r="U541" s="510"/>
    </row>
    <row r="542" ht="27.0" customHeight="1">
      <c r="A542" s="510"/>
      <c r="B542" s="510"/>
      <c r="C542" s="510"/>
      <c r="D542" s="510"/>
      <c r="E542" s="510"/>
      <c r="F542" s="510"/>
      <c r="G542" s="510"/>
      <c r="H542" s="510"/>
      <c r="I542" s="510"/>
      <c r="J542" s="510"/>
      <c r="K542" s="510"/>
      <c r="L542" s="510"/>
      <c r="M542" s="510"/>
      <c r="N542" s="510"/>
      <c r="O542" s="510"/>
      <c r="P542" s="510"/>
      <c r="Q542" s="510"/>
      <c r="R542" s="510"/>
      <c r="S542" s="510"/>
      <c r="T542" s="510"/>
      <c r="U542" s="510"/>
    </row>
    <row r="543" ht="27.0" customHeight="1">
      <c r="A543" s="510"/>
      <c r="B543" s="510"/>
      <c r="C543" s="510"/>
      <c r="D543" s="510"/>
      <c r="E543" s="510"/>
      <c r="F543" s="510"/>
      <c r="G543" s="510"/>
      <c r="H543" s="510"/>
      <c r="I543" s="510"/>
      <c r="J543" s="510"/>
      <c r="K543" s="510"/>
      <c r="L543" s="510"/>
      <c r="M543" s="510"/>
      <c r="N543" s="510"/>
      <c r="O543" s="510"/>
      <c r="P543" s="510"/>
      <c r="Q543" s="510"/>
      <c r="R543" s="510"/>
      <c r="S543" s="510"/>
      <c r="T543" s="510"/>
      <c r="U543" s="510"/>
    </row>
    <row r="544" ht="27.0" customHeight="1">
      <c r="A544" s="510"/>
      <c r="B544" s="510"/>
      <c r="C544" s="510"/>
      <c r="D544" s="510"/>
      <c r="E544" s="510"/>
      <c r="F544" s="510"/>
      <c r="G544" s="510"/>
      <c r="H544" s="510"/>
      <c r="I544" s="510"/>
      <c r="J544" s="510"/>
      <c r="K544" s="510"/>
      <c r="L544" s="510"/>
      <c r="M544" s="510"/>
      <c r="N544" s="510"/>
      <c r="O544" s="510"/>
      <c r="P544" s="510"/>
      <c r="Q544" s="510"/>
      <c r="R544" s="510"/>
      <c r="S544" s="510"/>
      <c r="T544" s="510"/>
      <c r="U544" s="510"/>
    </row>
    <row r="545" ht="27.0" customHeight="1">
      <c r="A545" s="510"/>
      <c r="B545" s="510"/>
      <c r="C545" s="510"/>
      <c r="D545" s="510"/>
      <c r="E545" s="510"/>
      <c r="F545" s="510"/>
      <c r="G545" s="510"/>
      <c r="H545" s="510"/>
      <c r="I545" s="510"/>
      <c r="J545" s="510"/>
      <c r="K545" s="510"/>
      <c r="L545" s="510"/>
      <c r="M545" s="510"/>
      <c r="N545" s="510"/>
      <c r="O545" s="510"/>
      <c r="P545" s="510"/>
      <c r="Q545" s="510"/>
      <c r="R545" s="510"/>
      <c r="S545" s="510"/>
      <c r="T545" s="510"/>
      <c r="U545" s="510"/>
    </row>
    <row r="546" ht="27.0" customHeight="1">
      <c r="A546" s="510"/>
      <c r="B546" s="510"/>
      <c r="C546" s="510"/>
      <c r="D546" s="510"/>
      <c r="E546" s="510"/>
      <c r="F546" s="510"/>
      <c r="G546" s="510"/>
      <c r="H546" s="510"/>
      <c r="I546" s="510"/>
      <c r="J546" s="510"/>
      <c r="K546" s="510"/>
      <c r="L546" s="510"/>
      <c r="M546" s="510"/>
      <c r="N546" s="510"/>
      <c r="O546" s="510"/>
      <c r="P546" s="510"/>
      <c r="Q546" s="510"/>
      <c r="R546" s="510"/>
      <c r="S546" s="510"/>
      <c r="T546" s="510"/>
      <c r="U546" s="510"/>
    </row>
    <row r="547" ht="27.0" customHeight="1">
      <c r="A547" s="510"/>
      <c r="B547" s="510"/>
      <c r="C547" s="510"/>
      <c r="D547" s="510"/>
      <c r="E547" s="510"/>
      <c r="F547" s="510"/>
      <c r="G547" s="510"/>
      <c r="H547" s="510"/>
      <c r="I547" s="510"/>
      <c r="J547" s="510"/>
      <c r="K547" s="510"/>
      <c r="L547" s="510"/>
      <c r="M547" s="510"/>
      <c r="N547" s="510"/>
      <c r="O547" s="510"/>
      <c r="P547" s="510"/>
      <c r="Q547" s="510"/>
      <c r="R547" s="510"/>
      <c r="S547" s="510"/>
      <c r="T547" s="510"/>
      <c r="U547" s="510"/>
    </row>
    <row r="548" ht="27.0" customHeight="1">
      <c r="A548" s="510"/>
      <c r="B548" s="510"/>
      <c r="C548" s="510"/>
      <c r="D548" s="510"/>
      <c r="E548" s="510"/>
      <c r="F548" s="510"/>
      <c r="G548" s="510"/>
      <c r="H548" s="510"/>
      <c r="I548" s="510"/>
      <c r="J548" s="510"/>
      <c r="K548" s="510"/>
      <c r="L548" s="510"/>
      <c r="M548" s="510"/>
      <c r="N548" s="510"/>
      <c r="O548" s="510"/>
      <c r="P548" s="510"/>
      <c r="Q548" s="510"/>
      <c r="R548" s="510"/>
      <c r="S548" s="510"/>
      <c r="T548" s="510"/>
      <c r="U548" s="510"/>
    </row>
    <row r="549" ht="27.0" customHeight="1">
      <c r="A549" s="510"/>
      <c r="B549" s="510"/>
      <c r="C549" s="510"/>
      <c r="D549" s="510"/>
      <c r="E549" s="510"/>
      <c r="F549" s="510"/>
      <c r="G549" s="510"/>
      <c r="H549" s="510"/>
      <c r="I549" s="510"/>
      <c r="J549" s="510"/>
      <c r="K549" s="510"/>
      <c r="L549" s="510"/>
      <c r="M549" s="510"/>
      <c r="N549" s="510"/>
      <c r="O549" s="510"/>
      <c r="P549" s="510"/>
      <c r="Q549" s="510"/>
      <c r="R549" s="510"/>
      <c r="S549" s="510"/>
      <c r="T549" s="510"/>
      <c r="U549" s="510"/>
    </row>
    <row r="550" ht="27.0" customHeight="1">
      <c r="A550" s="510"/>
      <c r="B550" s="510"/>
      <c r="C550" s="510"/>
      <c r="D550" s="510"/>
      <c r="E550" s="510"/>
      <c r="F550" s="510"/>
      <c r="G550" s="510"/>
      <c r="H550" s="510"/>
      <c r="I550" s="510"/>
      <c r="J550" s="510"/>
      <c r="K550" s="510"/>
      <c r="L550" s="510"/>
      <c r="M550" s="510"/>
      <c r="N550" s="510"/>
      <c r="O550" s="510"/>
      <c r="P550" s="510"/>
      <c r="Q550" s="510"/>
      <c r="R550" s="510"/>
      <c r="S550" s="510"/>
      <c r="T550" s="510"/>
      <c r="U550" s="510"/>
    </row>
    <row r="551" ht="27.0" customHeight="1">
      <c r="A551" s="510"/>
      <c r="B551" s="510"/>
      <c r="C551" s="510"/>
      <c r="D551" s="510"/>
      <c r="E551" s="510"/>
      <c r="F551" s="510"/>
      <c r="G551" s="510"/>
      <c r="H551" s="510"/>
      <c r="I551" s="510"/>
      <c r="J551" s="510"/>
      <c r="K551" s="510"/>
      <c r="L551" s="510"/>
      <c r="M551" s="510"/>
      <c r="N551" s="510"/>
      <c r="O551" s="510"/>
      <c r="P551" s="510"/>
      <c r="Q551" s="510"/>
      <c r="R551" s="510"/>
      <c r="S551" s="510"/>
      <c r="T551" s="510"/>
      <c r="U551" s="510"/>
    </row>
    <row r="552" ht="27.0" customHeight="1">
      <c r="A552" s="510"/>
      <c r="B552" s="510"/>
      <c r="C552" s="510"/>
      <c r="D552" s="510"/>
      <c r="E552" s="510"/>
      <c r="F552" s="510"/>
      <c r="G552" s="510"/>
      <c r="H552" s="510"/>
      <c r="I552" s="510"/>
      <c r="J552" s="510"/>
      <c r="K552" s="510"/>
      <c r="L552" s="510"/>
      <c r="M552" s="510"/>
      <c r="N552" s="510"/>
      <c r="O552" s="510"/>
      <c r="P552" s="510"/>
      <c r="Q552" s="510"/>
      <c r="R552" s="510"/>
      <c r="S552" s="510"/>
      <c r="T552" s="510"/>
      <c r="U552" s="510"/>
    </row>
    <row r="553" ht="27.0" customHeight="1">
      <c r="A553" s="510"/>
      <c r="B553" s="510"/>
      <c r="C553" s="510"/>
      <c r="D553" s="510"/>
      <c r="E553" s="510"/>
      <c r="F553" s="510"/>
      <c r="G553" s="510"/>
      <c r="H553" s="510"/>
      <c r="I553" s="510"/>
      <c r="J553" s="510"/>
      <c r="K553" s="510"/>
      <c r="L553" s="510"/>
      <c r="M553" s="510"/>
      <c r="N553" s="510"/>
      <c r="O553" s="510"/>
      <c r="P553" s="510"/>
      <c r="Q553" s="510"/>
      <c r="R553" s="510"/>
      <c r="S553" s="510"/>
      <c r="T553" s="510"/>
      <c r="U553" s="510"/>
    </row>
    <row r="554" ht="27.0" customHeight="1">
      <c r="A554" s="510"/>
      <c r="B554" s="510"/>
      <c r="C554" s="510"/>
      <c r="D554" s="510"/>
      <c r="E554" s="510"/>
      <c r="F554" s="510"/>
      <c r="G554" s="510"/>
      <c r="H554" s="510"/>
      <c r="I554" s="510"/>
      <c r="J554" s="510"/>
      <c r="K554" s="510"/>
      <c r="L554" s="510"/>
      <c r="M554" s="510"/>
      <c r="N554" s="510"/>
      <c r="O554" s="510"/>
      <c r="P554" s="510"/>
      <c r="Q554" s="510"/>
      <c r="R554" s="510"/>
      <c r="S554" s="510"/>
      <c r="T554" s="510"/>
      <c r="U554" s="510"/>
    </row>
    <row r="555" ht="27.0" customHeight="1">
      <c r="A555" s="510"/>
      <c r="B555" s="510"/>
      <c r="C555" s="510"/>
      <c r="D555" s="510"/>
      <c r="E555" s="510"/>
      <c r="F555" s="510"/>
      <c r="G555" s="510"/>
      <c r="H555" s="510"/>
      <c r="I555" s="510"/>
      <c r="J555" s="510"/>
      <c r="K555" s="510"/>
      <c r="L555" s="510"/>
      <c r="M555" s="510"/>
      <c r="N555" s="510"/>
      <c r="O555" s="510"/>
      <c r="P555" s="510"/>
      <c r="Q555" s="510"/>
      <c r="R555" s="510"/>
      <c r="S555" s="510"/>
      <c r="T555" s="510"/>
      <c r="U555" s="510"/>
    </row>
    <row r="556" ht="27.0" customHeight="1">
      <c r="A556" s="510"/>
      <c r="B556" s="510"/>
      <c r="C556" s="510"/>
      <c r="D556" s="510"/>
      <c r="E556" s="510"/>
      <c r="F556" s="510"/>
      <c r="G556" s="510"/>
      <c r="H556" s="510"/>
      <c r="I556" s="510"/>
      <c r="J556" s="510"/>
      <c r="K556" s="510"/>
      <c r="L556" s="510"/>
      <c r="M556" s="510"/>
      <c r="N556" s="510"/>
      <c r="O556" s="510"/>
      <c r="P556" s="510"/>
      <c r="Q556" s="510"/>
      <c r="R556" s="510"/>
      <c r="S556" s="510"/>
      <c r="T556" s="510"/>
      <c r="U556" s="510"/>
    </row>
    <row r="557" ht="27.0" customHeight="1">
      <c r="A557" s="510"/>
      <c r="B557" s="510"/>
      <c r="C557" s="510"/>
      <c r="D557" s="510"/>
      <c r="E557" s="510"/>
      <c r="F557" s="510"/>
      <c r="G557" s="510"/>
      <c r="H557" s="510"/>
      <c r="I557" s="510"/>
      <c r="J557" s="510"/>
      <c r="K557" s="510"/>
      <c r="L557" s="510"/>
      <c r="M557" s="510"/>
      <c r="N557" s="510"/>
      <c r="O557" s="510"/>
      <c r="P557" s="510"/>
      <c r="Q557" s="510"/>
      <c r="R557" s="510"/>
      <c r="S557" s="510"/>
      <c r="T557" s="510"/>
      <c r="U557" s="510"/>
    </row>
    <row r="558" ht="27.0" customHeight="1">
      <c r="A558" s="510"/>
      <c r="B558" s="510"/>
      <c r="C558" s="510"/>
      <c r="D558" s="510"/>
      <c r="E558" s="510"/>
      <c r="F558" s="510"/>
      <c r="G558" s="510"/>
      <c r="H558" s="510"/>
      <c r="I558" s="510"/>
      <c r="J558" s="510"/>
      <c r="K558" s="510"/>
      <c r="L558" s="510"/>
      <c r="M558" s="510"/>
      <c r="N558" s="510"/>
      <c r="O558" s="510"/>
      <c r="P558" s="510"/>
      <c r="Q558" s="510"/>
      <c r="R558" s="510"/>
      <c r="S558" s="510"/>
      <c r="T558" s="510"/>
      <c r="U558" s="510"/>
    </row>
    <row r="559" ht="27.0" customHeight="1">
      <c r="A559" s="510"/>
      <c r="B559" s="510"/>
      <c r="C559" s="510"/>
      <c r="D559" s="510"/>
      <c r="E559" s="510"/>
      <c r="F559" s="510"/>
      <c r="G559" s="510"/>
      <c r="H559" s="510"/>
      <c r="I559" s="510"/>
      <c r="J559" s="510"/>
      <c r="K559" s="510"/>
      <c r="L559" s="510"/>
      <c r="M559" s="510"/>
      <c r="N559" s="510"/>
      <c r="O559" s="510"/>
      <c r="P559" s="510"/>
      <c r="Q559" s="510"/>
      <c r="R559" s="510"/>
      <c r="S559" s="510"/>
      <c r="T559" s="510"/>
      <c r="U559" s="510"/>
    </row>
    <row r="560" ht="27.0" customHeight="1">
      <c r="A560" s="510"/>
      <c r="B560" s="510"/>
      <c r="C560" s="510"/>
      <c r="D560" s="510"/>
      <c r="E560" s="510"/>
      <c r="F560" s="510"/>
      <c r="G560" s="510"/>
      <c r="H560" s="510"/>
      <c r="I560" s="510"/>
      <c r="J560" s="510"/>
      <c r="K560" s="510"/>
      <c r="L560" s="510"/>
      <c r="M560" s="510"/>
      <c r="N560" s="510"/>
      <c r="O560" s="510"/>
      <c r="P560" s="510"/>
      <c r="Q560" s="510"/>
      <c r="R560" s="510"/>
      <c r="S560" s="510"/>
      <c r="T560" s="510"/>
      <c r="U560" s="510"/>
    </row>
    <row r="561" ht="27.0" customHeight="1">
      <c r="A561" s="510"/>
      <c r="B561" s="510"/>
      <c r="C561" s="510"/>
      <c r="D561" s="510"/>
      <c r="E561" s="510"/>
      <c r="F561" s="510"/>
      <c r="G561" s="510"/>
      <c r="H561" s="510"/>
      <c r="I561" s="510"/>
      <c r="J561" s="510"/>
      <c r="K561" s="510"/>
      <c r="L561" s="510"/>
      <c r="M561" s="510"/>
      <c r="N561" s="510"/>
      <c r="O561" s="510"/>
      <c r="P561" s="510"/>
      <c r="Q561" s="510"/>
      <c r="R561" s="510"/>
      <c r="S561" s="510"/>
      <c r="T561" s="510"/>
      <c r="U561" s="510"/>
    </row>
    <row r="562" ht="27.0" customHeight="1">
      <c r="A562" s="510"/>
      <c r="B562" s="510"/>
      <c r="C562" s="510"/>
      <c r="D562" s="510"/>
      <c r="E562" s="510"/>
      <c r="F562" s="510"/>
      <c r="G562" s="510"/>
      <c r="H562" s="510"/>
      <c r="I562" s="510"/>
      <c r="J562" s="510"/>
      <c r="K562" s="510"/>
      <c r="L562" s="510"/>
      <c r="M562" s="510"/>
      <c r="N562" s="510"/>
      <c r="O562" s="510"/>
      <c r="P562" s="510"/>
      <c r="Q562" s="510"/>
      <c r="R562" s="510"/>
      <c r="S562" s="510"/>
      <c r="T562" s="510"/>
      <c r="U562" s="510"/>
    </row>
    <row r="563" ht="27.0" customHeight="1">
      <c r="A563" s="510"/>
      <c r="B563" s="510"/>
      <c r="C563" s="510"/>
      <c r="D563" s="510"/>
      <c r="E563" s="510"/>
      <c r="F563" s="510"/>
      <c r="G563" s="510"/>
      <c r="H563" s="510"/>
      <c r="I563" s="510"/>
      <c r="J563" s="510"/>
      <c r="K563" s="510"/>
      <c r="L563" s="510"/>
      <c r="M563" s="510"/>
      <c r="N563" s="510"/>
      <c r="O563" s="510"/>
      <c r="P563" s="510"/>
      <c r="Q563" s="510"/>
      <c r="R563" s="510"/>
      <c r="S563" s="510"/>
      <c r="T563" s="510"/>
      <c r="U563" s="510"/>
    </row>
    <row r="564" ht="27.0" customHeight="1">
      <c r="A564" s="510"/>
      <c r="B564" s="510"/>
      <c r="C564" s="510"/>
      <c r="D564" s="510"/>
      <c r="E564" s="510"/>
      <c r="F564" s="510"/>
      <c r="G564" s="510"/>
      <c r="H564" s="510"/>
      <c r="I564" s="510"/>
      <c r="J564" s="510"/>
      <c r="K564" s="510"/>
      <c r="L564" s="510"/>
      <c r="M564" s="510"/>
      <c r="N564" s="510"/>
      <c r="O564" s="510"/>
      <c r="P564" s="510"/>
      <c r="Q564" s="510"/>
      <c r="R564" s="510"/>
      <c r="S564" s="510"/>
      <c r="T564" s="510"/>
      <c r="U564" s="510"/>
    </row>
    <row r="565" ht="27.0" customHeight="1">
      <c r="A565" s="510"/>
      <c r="B565" s="510"/>
      <c r="C565" s="510"/>
      <c r="D565" s="510"/>
      <c r="E565" s="510"/>
      <c r="F565" s="510"/>
      <c r="G565" s="510"/>
      <c r="H565" s="510"/>
      <c r="I565" s="510"/>
      <c r="J565" s="510"/>
      <c r="K565" s="510"/>
      <c r="L565" s="510"/>
      <c r="M565" s="510"/>
      <c r="N565" s="510"/>
      <c r="O565" s="510"/>
      <c r="P565" s="510"/>
      <c r="Q565" s="510"/>
      <c r="R565" s="510"/>
      <c r="S565" s="510"/>
      <c r="T565" s="510"/>
      <c r="U565" s="510"/>
    </row>
    <row r="566" ht="27.0" customHeight="1">
      <c r="A566" s="510"/>
      <c r="B566" s="510"/>
      <c r="C566" s="510"/>
      <c r="D566" s="510"/>
      <c r="E566" s="510"/>
      <c r="F566" s="510"/>
      <c r="G566" s="510"/>
      <c r="H566" s="510"/>
      <c r="I566" s="510"/>
      <c r="J566" s="510"/>
      <c r="K566" s="510"/>
      <c r="L566" s="510"/>
      <c r="M566" s="510"/>
      <c r="N566" s="510"/>
      <c r="O566" s="510"/>
      <c r="P566" s="510"/>
      <c r="Q566" s="510"/>
      <c r="R566" s="510"/>
      <c r="S566" s="510"/>
      <c r="T566" s="510"/>
      <c r="U566" s="510"/>
    </row>
    <row r="567" ht="27.0" customHeight="1">
      <c r="A567" s="510"/>
      <c r="B567" s="510"/>
      <c r="C567" s="510"/>
      <c r="D567" s="510"/>
      <c r="E567" s="510"/>
      <c r="F567" s="510"/>
      <c r="G567" s="510"/>
      <c r="H567" s="510"/>
      <c r="I567" s="510"/>
      <c r="J567" s="510"/>
      <c r="K567" s="510"/>
      <c r="L567" s="510"/>
      <c r="M567" s="510"/>
      <c r="N567" s="510"/>
      <c r="O567" s="510"/>
      <c r="P567" s="510"/>
      <c r="Q567" s="510"/>
      <c r="R567" s="510"/>
      <c r="S567" s="510"/>
      <c r="T567" s="510"/>
      <c r="U567" s="510"/>
    </row>
    <row r="568" ht="27.0" customHeight="1">
      <c r="A568" s="510"/>
      <c r="B568" s="510"/>
      <c r="C568" s="510"/>
      <c r="D568" s="510"/>
      <c r="E568" s="510"/>
      <c r="F568" s="510"/>
      <c r="G568" s="510"/>
      <c r="H568" s="510"/>
      <c r="I568" s="510"/>
      <c r="J568" s="510"/>
      <c r="K568" s="510"/>
      <c r="L568" s="510"/>
      <c r="M568" s="510"/>
      <c r="N568" s="510"/>
      <c r="O568" s="510"/>
      <c r="P568" s="510"/>
      <c r="Q568" s="510"/>
      <c r="R568" s="510"/>
      <c r="S568" s="510"/>
      <c r="T568" s="510"/>
      <c r="U568" s="510"/>
    </row>
    <row r="569" ht="27.0" customHeight="1">
      <c r="A569" s="510"/>
      <c r="B569" s="510"/>
      <c r="C569" s="510"/>
      <c r="D569" s="510"/>
      <c r="E569" s="510"/>
      <c r="F569" s="510"/>
      <c r="G569" s="510"/>
      <c r="H569" s="510"/>
      <c r="I569" s="510"/>
      <c r="J569" s="510"/>
      <c r="K569" s="510"/>
      <c r="L569" s="510"/>
      <c r="M569" s="510"/>
      <c r="N569" s="510"/>
      <c r="O569" s="510"/>
      <c r="P569" s="510"/>
      <c r="Q569" s="510"/>
      <c r="R569" s="510"/>
      <c r="S569" s="510"/>
      <c r="T569" s="510"/>
      <c r="U569" s="510"/>
    </row>
    <row r="570" ht="27.0" customHeight="1">
      <c r="A570" s="510"/>
      <c r="B570" s="510"/>
      <c r="C570" s="510"/>
      <c r="D570" s="510"/>
      <c r="E570" s="510"/>
      <c r="F570" s="510"/>
      <c r="G570" s="510"/>
      <c r="H570" s="510"/>
      <c r="I570" s="510"/>
      <c r="J570" s="510"/>
      <c r="K570" s="510"/>
      <c r="L570" s="510"/>
      <c r="M570" s="510"/>
      <c r="N570" s="510"/>
      <c r="O570" s="510"/>
      <c r="P570" s="510"/>
      <c r="Q570" s="510"/>
      <c r="R570" s="510"/>
      <c r="S570" s="510"/>
      <c r="T570" s="510"/>
      <c r="U570" s="510"/>
    </row>
    <row r="571" ht="27.0" customHeight="1">
      <c r="A571" s="510"/>
      <c r="B571" s="510"/>
      <c r="C571" s="510"/>
      <c r="D571" s="510"/>
      <c r="E571" s="510"/>
      <c r="F571" s="510"/>
      <c r="G571" s="510"/>
      <c r="H571" s="510"/>
      <c r="I571" s="510"/>
      <c r="J571" s="510"/>
      <c r="K571" s="510"/>
      <c r="L571" s="510"/>
      <c r="M571" s="510"/>
      <c r="N571" s="510"/>
      <c r="O571" s="510"/>
      <c r="P571" s="510"/>
      <c r="Q571" s="510"/>
      <c r="R571" s="510"/>
      <c r="S571" s="510"/>
      <c r="T571" s="510"/>
      <c r="U571" s="510"/>
    </row>
    <row r="572" ht="27.0" customHeight="1">
      <c r="A572" s="510"/>
      <c r="B572" s="510"/>
      <c r="C572" s="510"/>
      <c r="D572" s="510"/>
      <c r="E572" s="510"/>
      <c r="F572" s="510"/>
      <c r="G572" s="510"/>
      <c r="H572" s="510"/>
      <c r="I572" s="510"/>
      <c r="J572" s="510"/>
      <c r="K572" s="510"/>
      <c r="L572" s="510"/>
      <c r="M572" s="510"/>
      <c r="N572" s="510"/>
      <c r="O572" s="510"/>
      <c r="P572" s="510"/>
      <c r="Q572" s="510"/>
      <c r="R572" s="510"/>
      <c r="S572" s="510"/>
      <c r="T572" s="510"/>
      <c r="U572" s="510"/>
    </row>
    <row r="573" ht="27.0" customHeight="1">
      <c r="A573" s="510"/>
      <c r="B573" s="510"/>
      <c r="C573" s="510"/>
      <c r="D573" s="510"/>
      <c r="E573" s="510"/>
      <c r="F573" s="510"/>
      <c r="G573" s="510"/>
      <c r="H573" s="510"/>
      <c r="I573" s="510"/>
      <c r="J573" s="510"/>
      <c r="K573" s="510"/>
      <c r="L573" s="510"/>
      <c r="M573" s="510"/>
      <c r="N573" s="510"/>
      <c r="O573" s="510"/>
      <c r="P573" s="510"/>
      <c r="Q573" s="510"/>
      <c r="R573" s="510"/>
      <c r="S573" s="510"/>
      <c r="T573" s="510"/>
      <c r="U573" s="510"/>
    </row>
    <row r="574" ht="27.0" customHeight="1">
      <c r="A574" s="510"/>
      <c r="B574" s="510"/>
      <c r="C574" s="510"/>
      <c r="D574" s="510"/>
      <c r="E574" s="510"/>
      <c r="F574" s="510"/>
      <c r="G574" s="510"/>
      <c r="H574" s="510"/>
      <c r="I574" s="510"/>
      <c r="J574" s="510"/>
      <c r="K574" s="510"/>
      <c r="L574" s="510"/>
      <c r="M574" s="510"/>
      <c r="N574" s="510"/>
      <c r="O574" s="510"/>
      <c r="P574" s="510"/>
      <c r="Q574" s="510"/>
      <c r="R574" s="510"/>
      <c r="S574" s="510"/>
      <c r="T574" s="510"/>
      <c r="U574" s="510"/>
    </row>
    <row r="575" ht="27.0" customHeight="1">
      <c r="A575" s="510"/>
      <c r="B575" s="510"/>
      <c r="C575" s="510"/>
      <c r="D575" s="510"/>
      <c r="E575" s="510"/>
      <c r="F575" s="510"/>
      <c r="G575" s="510"/>
      <c r="H575" s="510"/>
      <c r="I575" s="510"/>
      <c r="J575" s="510"/>
      <c r="K575" s="510"/>
      <c r="L575" s="510"/>
      <c r="M575" s="510"/>
      <c r="N575" s="510"/>
      <c r="O575" s="510"/>
      <c r="P575" s="510"/>
      <c r="Q575" s="510"/>
      <c r="R575" s="510"/>
      <c r="S575" s="510"/>
      <c r="T575" s="510"/>
      <c r="U575" s="510"/>
    </row>
    <row r="576" ht="27.0" customHeight="1">
      <c r="A576" s="510"/>
      <c r="B576" s="510"/>
      <c r="C576" s="510"/>
      <c r="D576" s="510"/>
      <c r="E576" s="510"/>
      <c r="F576" s="510"/>
      <c r="G576" s="510"/>
      <c r="H576" s="510"/>
      <c r="I576" s="510"/>
      <c r="J576" s="510"/>
      <c r="K576" s="510"/>
      <c r="L576" s="510"/>
      <c r="M576" s="510"/>
      <c r="N576" s="510"/>
      <c r="O576" s="510"/>
      <c r="P576" s="510"/>
      <c r="Q576" s="510"/>
      <c r="R576" s="510"/>
      <c r="S576" s="510"/>
      <c r="T576" s="510"/>
      <c r="U576" s="510"/>
    </row>
    <row r="577" ht="27.0" customHeight="1">
      <c r="A577" s="510"/>
      <c r="B577" s="510"/>
      <c r="C577" s="510"/>
      <c r="D577" s="510"/>
      <c r="E577" s="510"/>
      <c r="F577" s="510"/>
      <c r="G577" s="510"/>
      <c r="H577" s="510"/>
      <c r="I577" s="510"/>
      <c r="J577" s="510"/>
      <c r="K577" s="510"/>
      <c r="L577" s="510"/>
      <c r="M577" s="510"/>
      <c r="N577" s="510"/>
      <c r="O577" s="510"/>
      <c r="P577" s="510"/>
      <c r="Q577" s="510"/>
      <c r="R577" s="510"/>
      <c r="S577" s="510"/>
      <c r="T577" s="510"/>
      <c r="U577" s="510"/>
    </row>
    <row r="578" ht="27.0" customHeight="1">
      <c r="A578" s="510"/>
      <c r="B578" s="510"/>
      <c r="C578" s="510"/>
      <c r="D578" s="510"/>
      <c r="E578" s="510"/>
      <c r="F578" s="510"/>
      <c r="G578" s="510"/>
      <c r="H578" s="510"/>
      <c r="I578" s="510"/>
      <c r="J578" s="510"/>
      <c r="K578" s="510"/>
      <c r="L578" s="510"/>
      <c r="M578" s="510"/>
      <c r="N578" s="510"/>
      <c r="O578" s="510"/>
      <c r="P578" s="510"/>
      <c r="Q578" s="510"/>
      <c r="R578" s="510"/>
      <c r="S578" s="510"/>
      <c r="T578" s="510"/>
      <c r="U578" s="510"/>
    </row>
    <row r="579" ht="27.0" customHeight="1">
      <c r="A579" s="510"/>
      <c r="B579" s="510"/>
      <c r="C579" s="510"/>
      <c r="D579" s="510"/>
      <c r="E579" s="510"/>
      <c r="F579" s="510"/>
      <c r="G579" s="510"/>
      <c r="H579" s="510"/>
      <c r="I579" s="510"/>
      <c r="J579" s="510"/>
      <c r="K579" s="510"/>
      <c r="L579" s="510"/>
      <c r="M579" s="510"/>
      <c r="N579" s="510"/>
      <c r="O579" s="510"/>
      <c r="P579" s="510"/>
      <c r="Q579" s="510"/>
      <c r="R579" s="510"/>
      <c r="S579" s="510"/>
      <c r="T579" s="510"/>
      <c r="U579" s="510"/>
    </row>
    <row r="580" ht="27.0" customHeight="1">
      <c r="A580" s="510"/>
      <c r="B580" s="510"/>
      <c r="C580" s="510"/>
      <c r="D580" s="510"/>
      <c r="E580" s="510"/>
      <c r="F580" s="510"/>
      <c r="G580" s="510"/>
      <c r="H580" s="510"/>
      <c r="I580" s="510"/>
      <c r="J580" s="510"/>
      <c r="K580" s="510"/>
      <c r="L580" s="510"/>
      <c r="M580" s="510"/>
      <c r="N580" s="510"/>
      <c r="O580" s="510"/>
      <c r="P580" s="510"/>
      <c r="Q580" s="510"/>
      <c r="R580" s="510"/>
      <c r="S580" s="510"/>
      <c r="T580" s="510"/>
      <c r="U580" s="510"/>
    </row>
    <row r="581" ht="27.0" customHeight="1">
      <c r="A581" s="510"/>
      <c r="B581" s="510"/>
      <c r="C581" s="510"/>
      <c r="D581" s="510"/>
      <c r="E581" s="510"/>
      <c r="F581" s="510"/>
      <c r="G581" s="510"/>
      <c r="H581" s="510"/>
      <c r="I581" s="510"/>
      <c r="J581" s="510"/>
      <c r="K581" s="510"/>
      <c r="L581" s="510"/>
      <c r="M581" s="510"/>
      <c r="N581" s="510"/>
      <c r="O581" s="510"/>
      <c r="P581" s="510"/>
      <c r="Q581" s="510"/>
      <c r="R581" s="510"/>
      <c r="S581" s="510"/>
      <c r="T581" s="510"/>
      <c r="U581" s="510"/>
    </row>
    <row r="582" ht="27.0" customHeight="1">
      <c r="A582" s="510"/>
      <c r="B582" s="510"/>
      <c r="C582" s="510"/>
      <c r="D582" s="510"/>
      <c r="E582" s="510"/>
      <c r="F582" s="510"/>
      <c r="G582" s="510"/>
      <c r="H582" s="510"/>
      <c r="I582" s="510"/>
      <c r="J582" s="510"/>
      <c r="K582" s="510"/>
      <c r="L582" s="510"/>
      <c r="M582" s="510"/>
      <c r="N582" s="510"/>
      <c r="O582" s="510"/>
      <c r="P582" s="510"/>
      <c r="Q582" s="510"/>
      <c r="R582" s="510"/>
      <c r="S582" s="510"/>
      <c r="T582" s="510"/>
      <c r="U582" s="510"/>
    </row>
    <row r="583" ht="27.0" customHeight="1">
      <c r="A583" s="510"/>
      <c r="B583" s="510"/>
      <c r="C583" s="510"/>
      <c r="D583" s="510"/>
      <c r="E583" s="510"/>
      <c r="F583" s="510"/>
      <c r="G583" s="510"/>
      <c r="H583" s="510"/>
      <c r="I583" s="510"/>
      <c r="J583" s="510"/>
      <c r="K583" s="510"/>
      <c r="L583" s="510"/>
      <c r="M583" s="510"/>
      <c r="N583" s="510"/>
      <c r="O583" s="510"/>
      <c r="P583" s="510"/>
      <c r="Q583" s="510"/>
      <c r="R583" s="510"/>
      <c r="S583" s="510"/>
      <c r="T583" s="510"/>
      <c r="U583" s="510"/>
    </row>
    <row r="584" ht="27.0" customHeight="1">
      <c r="A584" s="510"/>
      <c r="B584" s="510"/>
      <c r="C584" s="510"/>
      <c r="D584" s="510"/>
      <c r="E584" s="510"/>
      <c r="F584" s="510"/>
      <c r="G584" s="510"/>
      <c r="H584" s="510"/>
      <c r="I584" s="510"/>
      <c r="J584" s="510"/>
      <c r="K584" s="510"/>
      <c r="L584" s="510"/>
      <c r="M584" s="510"/>
      <c r="N584" s="510"/>
      <c r="O584" s="510"/>
      <c r="P584" s="510"/>
      <c r="Q584" s="510"/>
      <c r="R584" s="510"/>
      <c r="S584" s="510"/>
      <c r="T584" s="510"/>
      <c r="U584" s="510"/>
    </row>
    <row r="585" ht="27.0" customHeight="1">
      <c r="A585" s="510"/>
      <c r="B585" s="510"/>
      <c r="C585" s="510"/>
      <c r="D585" s="510"/>
      <c r="E585" s="510"/>
      <c r="F585" s="510"/>
      <c r="G585" s="510"/>
      <c r="H585" s="510"/>
      <c r="I585" s="510"/>
      <c r="J585" s="510"/>
      <c r="K585" s="510"/>
      <c r="L585" s="510"/>
      <c r="M585" s="510"/>
      <c r="N585" s="510"/>
      <c r="O585" s="510"/>
      <c r="P585" s="510"/>
      <c r="Q585" s="510"/>
      <c r="R585" s="510"/>
      <c r="S585" s="510"/>
      <c r="T585" s="510"/>
      <c r="U585" s="510"/>
    </row>
    <row r="586" ht="27.0" customHeight="1">
      <c r="A586" s="510"/>
      <c r="B586" s="510"/>
      <c r="C586" s="510"/>
      <c r="D586" s="510"/>
      <c r="E586" s="510"/>
      <c r="F586" s="510"/>
      <c r="G586" s="510"/>
      <c r="H586" s="510"/>
      <c r="I586" s="510"/>
      <c r="J586" s="510"/>
      <c r="K586" s="510"/>
      <c r="L586" s="510"/>
      <c r="M586" s="510"/>
      <c r="N586" s="510"/>
      <c r="O586" s="510"/>
      <c r="P586" s="510"/>
      <c r="Q586" s="510"/>
      <c r="R586" s="510"/>
      <c r="S586" s="510"/>
      <c r="T586" s="510"/>
      <c r="U586" s="510"/>
    </row>
    <row r="587" ht="27.0" customHeight="1">
      <c r="A587" s="510"/>
      <c r="B587" s="510"/>
      <c r="C587" s="510"/>
      <c r="D587" s="510"/>
      <c r="E587" s="510"/>
      <c r="F587" s="510"/>
      <c r="G587" s="510"/>
      <c r="H587" s="510"/>
      <c r="I587" s="510"/>
      <c r="J587" s="510"/>
      <c r="K587" s="510"/>
      <c r="L587" s="510"/>
      <c r="M587" s="510"/>
      <c r="N587" s="510"/>
      <c r="O587" s="510"/>
      <c r="P587" s="510"/>
      <c r="Q587" s="510"/>
      <c r="R587" s="510"/>
      <c r="S587" s="510"/>
      <c r="T587" s="510"/>
      <c r="U587" s="510"/>
    </row>
    <row r="588" ht="27.0" customHeight="1">
      <c r="A588" s="510"/>
      <c r="B588" s="510"/>
      <c r="C588" s="510"/>
      <c r="D588" s="510"/>
      <c r="E588" s="510"/>
      <c r="F588" s="510"/>
      <c r="G588" s="510"/>
      <c r="H588" s="510"/>
      <c r="I588" s="510"/>
      <c r="J588" s="510"/>
      <c r="K588" s="510"/>
      <c r="L588" s="510"/>
      <c r="M588" s="510"/>
      <c r="N588" s="510"/>
      <c r="O588" s="510"/>
      <c r="P588" s="510"/>
      <c r="Q588" s="510"/>
      <c r="R588" s="510"/>
      <c r="S588" s="510"/>
      <c r="T588" s="510"/>
      <c r="U588" s="510"/>
    </row>
    <row r="589" ht="27.0" customHeight="1">
      <c r="A589" s="510"/>
      <c r="B589" s="510"/>
      <c r="C589" s="510"/>
      <c r="D589" s="510"/>
      <c r="E589" s="510"/>
      <c r="F589" s="510"/>
      <c r="G589" s="510"/>
      <c r="H589" s="510"/>
      <c r="I589" s="510"/>
      <c r="J589" s="510"/>
      <c r="K589" s="510"/>
      <c r="L589" s="510"/>
      <c r="M589" s="510"/>
      <c r="N589" s="510"/>
      <c r="O589" s="510"/>
      <c r="P589" s="510"/>
      <c r="Q589" s="510"/>
      <c r="R589" s="510"/>
      <c r="S589" s="510"/>
      <c r="T589" s="510"/>
      <c r="U589" s="510"/>
    </row>
    <row r="590" ht="27.0" customHeight="1">
      <c r="A590" s="510"/>
      <c r="B590" s="510"/>
      <c r="C590" s="510"/>
      <c r="D590" s="510"/>
      <c r="E590" s="510"/>
      <c r="F590" s="510"/>
      <c r="G590" s="510"/>
      <c r="H590" s="510"/>
      <c r="I590" s="510"/>
      <c r="J590" s="510"/>
      <c r="K590" s="510"/>
      <c r="L590" s="510"/>
      <c r="M590" s="510"/>
      <c r="N590" s="510"/>
      <c r="O590" s="510"/>
      <c r="P590" s="510"/>
      <c r="Q590" s="510"/>
      <c r="R590" s="510"/>
      <c r="S590" s="510"/>
      <c r="T590" s="510"/>
      <c r="U590" s="510"/>
    </row>
    <row r="591" ht="27.0" customHeight="1">
      <c r="A591" s="510"/>
      <c r="B591" s="510"/>
      <c r="C591" s="510"/>
      <c r="D591" s="510"/>
      <c r="E591" s="510"/>
      <c r="F591" s="510"/>
      <c r="G591" s="510"/>
      <c r="H591" s="510"/>
      <c r="I591" s="510"/>
      <c r="J591" s="510"/>
      <c r="K591" s="510"/>
      <c r="L591" s="510"/>
      <c r="M591" s="510"/>
      <c r="N591" s="510"/>
      <c r="O591" s="510"/>
      <c r="P591" s="510"/>
      <c r="Q591" s="510"/>
      <c r="R591" s="510"/>
      <c r="S591" s="510"/>
      <c r="T591" s="510"/>
      <c r="U591" s="510"/>
    </row>
    <row r="592" ht="27.0" customHeight="1">
      <c r="A592" s="510"/>
      <c r="B592" s="510"/>
      <c r="C592" s="510"/>
      <c r="D592" s="510"/>
      <c r="E592" s="510"/>
      <c r="F592" s="510"/>
      <c r="G592" s="510"/>
      <c r="H592" s="510"/>
      <c r="I592" s="510"/>
      <c r="J592" s="510"/>
      <c r="K592" s="510"/>
      <c r="L592" s="510"/>
      <c r="M592" s="510"/>
      <c r="N592" s="510"/>
      <c r="O592" s="510"/>
      <c r="P592" s="510"/>
      <c r="Q592" s="510"/>
      <c r="R592" s="510"/>
      <c r="S592" s="510"/>
      <c r="T592" s="510"/>
      <c r="U592" s="510"/>
    </row>
    <row r="593" ht="27.0" customHeight="1">
      <c r="A593" s="510"/>
      <c r="B593" s="510"/>
      <c r="C593" s="510"/>
      <c r="D593" s="510"/>
      <c r="E593" s="510"/>
      <c r="F593" s="510"/>
      <c r="G593" s="510"/>
      <c r="H593" s="510"/>
      <c r="I593" s="510"/>
      <c r="J593" s="510"/>
      <c r="K593" s="510"/>
      <c r="L593" s="510"/>
      <c r="M593" s="510"/>
      <c r="N593" s="510"/>
      <c r="O593" s="510"/>
      <c r="P593" s="510"/>
      <c r="Q593" s="510"/>
      <c r="R593" s="510"/>
      <c r="S593" s="510"/>
      <c r="T593" s="510"/>
      <c r="U593" s="510"/>
    </row>
    <row r="594" ht="27.0" customHeight="1">
      <c r="A594" s="510"/>
      <c r="B594" s="510"/>
      <c r="C594" s="510"/>
      <c r="D594" s="510"/>
      <c r="E594" s="510"/>
      <c r="F594" s="510"/>
      <c r="G594" s="510"/>
      <c r="H594" s="510"/>
      <c r="I594" s="510"/>
      <c r="J594" s="510"/>
      <c r="K594" s="510"/>
      <c r="L594" s="510"/>
      <c r="M594" s="510"/>
      <c r="N594" s="510"/>
      <c r="O594" s="510"/>
      <c r="P594" s="510"/>
      <c r="Q594" s="510"/>
      <c r="R594" s="510"/>
      <c r="S594" s="510"/>
      <c r="T594" s="510"/>
      <c r="U594" s="510"/>
    </row>
    <row r="595" ht="27.0" customHeight="1">
      <c r="A595" s="510"/>
      <c r="B595" s="510"/>
      <c r="C595" s="510"/>
      <c r="D595" s="510"/>
      <c r="E595" s="510"/>
      <c r="F595" s="510"/>
      <c r="G595" s="510"/>
      <c r="H595" s="510"/>
      <c r="I595" s="510"/>
      <c r="J595" s="510"/>
      <c r="K595" s="510"/>
      <c r="L595" s="510"/>
      <c r="M595" s="510"/>
      <c r="N595" s="510"/>
      <c r="O595" s="510"/>
      <c r="P595" s="510"/>
      <c r="Q595" s="510"/>
      <c r="R595" s="510"/>
      <c r="S595" s="510"/>
      <c r="T595" s="510"/>
      <c r="U595" s="510"/>
    </row>
    <row r="596" ht="27.0" customHeight="1">
      <c r="A596" s="510"/>
      <c r="B596" s="510"/>
      <c r="C596" s="510"/>
      <c r="D596" s="510"/>
      <c r="E596" s="510"/>
      <c r="F596" s="510"/>
      <c r="G596" s="510"/>
      <c r="H596" s="510"/>
      <c r="I596" s="510"/>
      <c r="J596" s="510"/>
      <c r="K596" s="510"/>
      <c r="L596" s="510"/>
      <c r="M596" s="510"/>
      <c r="N596" s="510"/>
      <c r="O596" s="510"/>
      <c r="P596" s="510"/>
      <c r="Q596" s="510"/>
      <c r="R596" s="510"/>
      <c r="S596" s="510"/>
      <c r="T596" s="510"/>
      <c r="U596" s="510"/>
    </row>
    <row r="597" ht="27.0" customHeight="1">
      <c r="A597" s="510"/>
      <c r="B597" s="510"/>
      <c r="C597" s="510"/>
      <c r="D597" s="510"/>
      <c r="E597" s="510"/>
      <c r="F597" s="510"/>
      <c r="G597" s="510"/>
      <c r="H597" s="510"/>
      <c r="I597" s="510"/>
      <c r="J597" s="510"/>
      <c r="K597" s="510"/>
      <c r="L597" s="510"/>
      <c r="M597" s="510"/>
      <c r="N597" s="510"/>
      <c r="O597" s="510"/>
      <c r="P597" s="510"/>
      <c r="Q597" s="510"/>
      <c r="R597" s="510"/>
      <c r="S597" s="510"/>
      <c r="T597" s="510"/>
      <c r="U597" s="510"/>
    </row>
    <row r="598" ht="27.0" customHeight="1">
      <c r="A598" s="510"/>
      <c r="B598" s="510"/>
      <c r="C598" s="510"/>
      <c r="D598" s="510"/>
      <c r="E598" s="510"/>
      <c r="F598" s="510"/>
      <c r="G598" s="510"/>
      <c r="H598" s="510"/>
      <c r="I598" s="510"/>
      <c r="J598" s="510"/>
      <c r="K598" s="510"/>
      <c r="L598" s="510"/>
      <c r="M598" s="510"/>
      <c r="N598" s="510"/>
      <c r="O598" s="510"/>
      <c r="P598" s="510"/>
      <c r="Q598" s="510"/>
      <c r="R598" s="510"/>
      <c r="S598" s="510"/>
      <c r="T598" s="510"/>
      <c r="U598" s="510"/>
    </row>
    <row r="599" ht="27.0" customHeight="1">
      <c r="A599" s="510"/>
      <c r="B599" s="510"/>
      <c r="C599" s="510"/>
      <c r="D599" s="510"/>
      <c r="E599" s="510"/>
      <c r="F599" s="510"/>
      <c r="G599" s="510"/>
      <c r="H599" s="510"/>
      <c r="I599" s="510"/>
      <c r="J599" s="510"/>
      <c r="K599" s="510"/>
      <c r="L599" s="510"/>
      <c r="M599" s="510"/>
      <c r="N599" s="510"/>
      <c r="O599" s="510"/>
      <c r="P599" s="510"/>
      <c r="Q599" s="510"/>
      <c r="R599" s="510"/>
      <c r="S599" s="510"/>
      <c r="T599" s="510"/>
      <c r="U599" s="510"/>
    </row>
    <row r="600" ht="27.0" customHeight="1">
      <c r="A600" s="510"/>
      <c r="B600" s="510"/>
      <c r="C600" s="510"/>
      <c r="D600" s="510"/>
      <c r="E600" s="510"/>
      <c r="F600" s="510"/>
      <c r="G600" s="510"/>
      <c r="H600" s="510"/>
      <c r="I600" s="510"/>
      <c r="J600" s="510"/>
      <c r="K600" s="510"/>
      <c r="L600" s="510"/>
      <c r="M600" s="510"/>
      <c r="N600" s="510"/>
      <c r="O600" s="510"/>
      <c r="P600" s="510"/>
      <c r="Q600" s="510"/>
      <c r="R600" s="510"/>
      <c r="S600" s="510"/>
      <c r="T600" s="510"/>
      <c r="U600" s="510"/>
    </row>
    <row r="601" ht="27.0" customHeight="1">
      <c r="A601" s="510"/>
      <c r="B601" s="510"/>
      <c r="C601" s="510"/>
      <c r="D601" s="510"/>
      <c r="E601" s="510"/>
      <c r="F601" s="510"/>
      <c r="G601" s="510"/>
      <c r="H601" s="510"/>
      <c r="I601" s="510"/>
      <c r="J601" s="510"/>
      <c r="K601" s="510"/>
      <c r="L601" s="510"/>
      <c r="M601" s="510"/>
      <c r="N601" s="510"/>
      <c r="O601" s="510"/>
      <c r="P601" s="510"/>
      <c r="Q601" s="510"/>
      <c r="R601" s="510"/>
      <c r="S601" s="510"/>
      <c r="T601" s="510"/>
      <c r="U601" s="510"/>
    </row>
    <row r="602" ht="27.0" customHeight="1">
      <c r="A602" s="510"/>
      <c r="B602" s="510"/>
      <c r="C602" s="510"/>
      <c r="D602" s="510"/>
      <c r="E602" s="510"/>
      <c r="F602" s="510"/>
      <c r="G602" s="510"/>
      <c r="H602" s="510"/>
      <c r="I602" s="510"/>
      <c r="J602" s="510"/>
      <c r="K602" s="510"/>
      <c r="L602" s="510"/>
      <c r="M602" s="510"/>
      <c r="N602" s="510"/>
      <c r="O602" s="510"/>
      <c r="P602" s="510"/>
      <c r="Q602" s="510"/>
      <c r="R602" s="510"/>
      <c r="S602" s="510"/>
      <c r="T602" s="510"/>
      <c r="U602" s="510"/>
    </row>
    <row r="603" ht="27.0" customHeight="1">
      <c r="A603" s="510"/>
      <c r="B603" s="510"/>
      <c r="C603" s="510"/>
      <c r="D603" s="510"/>
      <c r="E603" s="510"/>
      <c r="F603" s="510"/>
      <c r="G603" s="510"/>
      <c r="H603" s="510"/>
      <c r="I603" s="510"/>
      <c r="J603" s="510"/>
      <c r="K603" s="510"/>
      <c r="L603" s="510"/>
      <c r="M603" s="510"/>
      <c r="N603" s="510"/>
      <c r="O603" s="510"/>
      <c r="P603" s="510"/>
      <c r="Q603" s="510"/>
      <c r="R603" s="510"/>
      <c r="S603" s="510"/>
      <c r="T603" s="510"/>
      <c r="U603" s="510"/>
    </row>
    <row r="604" ht="27.0" customHeight="1">
      <c r="A604" s="510"/>
      <c r="B604" s="510"/>
      <c r="C604" s="510"/>
      <c r="D604" s="510"/>
      <c r="E604" s="510"/>
      <c r="F604" s="510"/>
      <c r="G604" s="510"/>
      <c r="H604" s="510"/>
      <c r="I604" s="510"/>
      <c r="J604" s="510"/>
      <c r="K604" s="510"/>
      <c r="L604" s="510"/>
      <c r="M604" s="510"/>
      <c r="N604" s="510"/>
      <c r="O604" s="510"/>
      <c r="P604" s="510"/>
      <c r="Q604" s="510"/>
      <c r="R604" s="510"/>
      <c r="S604" s="510"/>
      <c r="T604" s="510"/>
      <c r="U604" s="510"/>
    </row>
    <row r="605" ht="27.0" customHeight="1">
      <c r="A605" s="510"/>
      <c r="B605" s="510"/>
      <c r="C605" s="510"/>
      <c r="D605" s="510"/>
      <c r="E605" s="510"/>
      <c r="F605" s="510"/>
      <c r="G605" s="510"/>
      <c r="H605" s="510"/>
      <c r="I605" s="510"/>
      <c r="J605" s="510"/>
      <c r="K605" s="510"/>
      <c r="L605" s="510"/>
      <c r="M605" s="510"/>
      <c r="N605" s="510"/>
      <c r="O605" s="510"/>
      <c r="P605" s="510"/>
      <c r="Q605" s="510"/>
      <c r="R605" s="510"/>
      <c r="S605" s="510"/>
      <c r="T605" s="510"/>
      <c r="U605" s="510"/>
    </row>
    <row r="606" ht="27.0" customHeight="1">
      <c r="A606" s="510"/>
      <c r="B606" s="510"/>
      <c r="C606" s="510"/>
      <c r="D606" s="510"/>
      <c r="E606" s="510"/>
      <c r="F606" s="510"/>
      <c r="G606" s="510"/>
      <c r="H606" s="510"/>
      <c r="I606" s="510"/>
      <c r="J606" s="510"/>
      <c r="K606" s="510"/>
      <c r="L606" s="510"/>
      <c r="M606" s="510"/>
      <c r="N606" s="510"/>
      <c r="O606" s="510"/>
      <c r="P606" s="510"/>
      <c r="Q606" s="510"/>
      <c r="R606" s="510"/>
      <c r="S606" s="510"/>
      <c r="T606" s="510"/>
      <c r="U606" s="510"/>
    </row>
    <row r="607" ht="27.0" customHeight="1">
      <c r="A607" s="510"/>
      <c r="B607" s="510"/>
      <c r="C607" s="510"/>
      <c r="D607" s="510"/>
      <c r="E607" s="510"/>
      <c r="F607" s="510"/>
      <c r="G607" s="510"/>
      <c r="H607" s="510"/>
      <c r="I607" s="510"/>
      <c r="J607" s="510"/>
      <c r="K607" s="510"/>
      <c r="L607" s="510"/>
      <c r="M607" s="510"/>
      <c r="N607" s="510"/>
      <c r="O607" s="510"/>
      <c r="P607" s="510"/>
      <c r="Q607" s="510"/>
      <c r="R607" s="510"/>
      <c r="S607" s="510"/>
      <c r="T607" s="510"/>
      <c r="U607" s="510"/>
    </row>
    <row r="608" ht="27.0" customHeight="1">
      <c r="A608" s="510"/>
      <c r="B608" s="510"/>
      <c r="C608" s="510"/>
      <c r="D608" s="510"/>
      <c r="E608" s="510"/>
      <c r="F608" s="510"/>
      <c r="G608" s="510"/>
      <c r="H608" s="510"/>
      <c r="I608" s="510"/>
      <c r="J608" s="510"/>
      <c r="K608" s="510"/>
      <c r="L608" s="510"/>
      <c r="M608" s="510"/>
      <c r="N608" s="510"/>
      <c r="O608" s="510"/>
      <c r="P608" s="510"/>
      <c r="Q608" s="510"/>
      <c r="R608" s="510"/>
      <c r="S608" s="510"/>
      <c r="T608" s="510"/>
      <c r="U608" s="510"/>
    </row>
    <row r="609" ht="27.0" customHeight="1">
      <c r="A609" s="510"/>
      <c r="B609" s="510"/>
      <c r="C609" s="510"/>
      <c r="D609" s="510"/>
      <c r="E609" s="510"/>
      <c r="F609" s="510"/>
      <c r="G609" s="510"/>
      <c r="H609" s="510"/>
      <c r="I609" s="510"/>
      <c r="J609" s="510"/>
      <c r="K609" s="510"/>
      <c r="L609" s="510"/>
      <c r="M609" s="510"/>
      <c r="N609" s="510"/>
      <c r="O609" s="510"/>
      <c r="P609" s="510"/>
      <c r="Q609" s="510"/>
      <c r="R609" s="510"/>
      <c r="S609" s="510"/>
      <c r="T609" s="510"/>
      <c r="U609" s="510"/>
    </row>
    <row r="610" ht="27.0" customHeight="1">
      <c r="A610" s="510"/>
      <c r="B610" s="510"/>
      <c r="C610" s="510"/>
      <c r="D610" s="510"/>
      <c r="E610" s="510"/>
      <c r="F610" s="510"/>
      <c r="G610" s="510"/>
      <c r="H610" s="510"/>
      <c r="I610" s="510"/>
      <c r="J610" s="510"/>
      <c r="K610" s="510"/>
      <c r="L610" s="510"/>
      <c r="M610" s="510"/>
      <c r="N610" s="510"/>
      <c r="O610" s="510"/>
      <c r="P610" s="510"/>
      <c r="Q610" s="510"/>
      <c r="R610" s="510"/>
      <c r="S610" s="510"/>
      <c r="T610" s="510"/>
      <c r="U610" s="510"/>
    </row>
    <row r="611" ht="27.0" customHeight="1">
      <c r="A611" s="510"/>
      <c r="B611" s="510"/>
      <c r="C611" s="510"/>
      <c r="D611" s="510"/>
      <c r="E611" s="510"/>
      <c r="F611" s="510"/>
      <c r="G611" s="510"/>
      <c r="H611" s="510"/>
      <c r="I611" s="510"/>
      <c r="J611" s="510"/>
      <c r="K611" s="510"/>
      <c r="L611" s="510"/>
      <c r="M611" s="510"/>
      <c r="N611" s="510"/>
      <c r="O611" s="510"/>
      <c r="P611" s="510"/>
      <c r="Q611" s="510"/>
      <c r="R611" s="510"/>
      <c r="S611" s="510"/>
      <c r="T611" s="510"/>
      <c r="U611" s="510"/>
    </row>
    <row r="612" ht="27.0" customHeight="1">
      <c r="A612" s="510"/>
      <c r="B612" s="510"/>
      <c r="C612" s="510"/>
      <c r="D612" s="510"/>
      <c r="E612" s="510"/>
      <c r="F612" s="510"/>
      <c r="G612" s="510"/>
      <c r="H612" s="510"/>
      <c r="I612" s="510"/>
      <c r="J612" s="510"/>
      <c r="K612" s="510"/>
      <c r="L612" s="510"/>
      <c r="M612" s="510"/>
      <c r="N612" s="510"/>
      <c r="O612" s="510"/>
      <c r="P612" s="510"/>
      <c r="Q612" s="510"/>
      <c r="R612" s="510"/>
      <c r="S612" s="510"/>
      <c r="T612" s="510"/>
      <c r="U612" s="510"/>
    </row>
    <row r="613" ht="27.0" customHeight="1">
      <c r="A613" s="510"/>
      <c r="B613" s="510"/>
      <c r="C613" s="510"/>
      <c r="D613" s="510"/>
      <c r="E613" s="510"/>
      <c r="F613" s="510"/>
      <c r="G613" s="510"/>
      <c r="H613" s="510"/>
      <c r="I613" s="510"/>
      <c r="J613" s="510"/>
      <c r="K613" s="510"/>
      <c r="L613" s="510"/>
      <c r="M613" s="510"/>
      <c r="N613" s="510"/>
      <c r="O613" s="510"/>
      <c r="P613" s="510"/>
      <c r="Q613" s="510"/>
      <c r="R613" s="510"/>
      <c r="S613" s="510"/>
      <c r="T613" s="510"/>
      <c r="U613" s="510"/>
    </row>
    <row r="614" ht="27.0" customHeight="1">
      <c r="A614" s="510"/>
      <c r="B614" s="510"/>
      <c r="C614" s="510"/>
      <c r="D614" s="510"/>
      <c r="E614" s="510"/>
      <c r="F614" s="510"/>
      <c r="G614" s="510"/>
      <c r="H614" s="510"/>
      <c r="I614" s="510"/>
      <c r="J614" s="510"/>
      <c r="K614" s="510"/>
      <c r="L614" s="510"/>
      <c r="M614" s="510"/>
      <c r="N614" s="510"/>
      <c r="O614" s="510"/>
      <c r="P614" s="510"/>
      <c r="Q614" s="510"/>
      <c r="R614" s="510"/>
      <c r="S614" s="510"/>
      <c r="T614" s="510"/>
      <c r="U614" s="510"/>
    </row>
    <row r="615" ht="27.0" customHeight="1">
      <c r="A615" s="510"/>
      <c r="B615" s="510"/>
      <c r="C615" s="510"/>
      <c r="D615" s="510"/>
      <c r="E615" s="510"/>
      <c r="F615" s="510"/>
      <c r="G615" s="510"/>
      <c r="H615" s="510"/>
      <c r="I615" s="510"/>
      <c r="J615" s="510"/>
      <c r="K615" s="510"/>
      <c r="L615" s="510"/>
      <c r="M615" s="510"/>
      <c r="N615" s="510"/>
      <c r="O615" s="510"/>
      <c r="P615" s="510"/>
      <c r="Q615" s="510"/>
      <c r="R615" s="510"/>
      <c r="S615" s="510"/>
      <c r="T615" s="510"/>
      <c r="U615" s="510"/>
    </row>
    <row r="616" ht="27.0" customHeight="1">
      <c r="A616" s="510"/>
      <c r="B616" s="510"/>
      <c r="C616" s="510"/>
      <c r="D616" s="510"/>
      <c r="E616" s="510"/>
      <c r="F616" s="510"/>
      <c r="G616" s="510"/>
      <c r="H616" s="510"/>
      <c r="I616" s="510"/>
      <c r="J616" s="510"/>
      <c r="K616" s="510"/>
      <c r="L616" s="510"/>
      <c r="M616" s="510"/>
      <c r="N616" s="510"/>
      <c r="O616" s="510"/>
      <c r="P616" s="510"/>
      <c r="Q616" s="510"/>
      <c r="R616" s="510"/>
      <c r="S616" s="510"/>
      <c r="T616" s="510"/>
      <c r="U616" s="510"/>
    </row>
    <row r="617" ht="27.0" customHeight="1">
      <c r="A617" s="510"/>
      <c r="B617" s="510"/>
      <c r="C617" s="510"/>
      <c r="D617" s="510"/>
      <c r="E617" s="510"/>
      <c r="F617" s="510"/>
      <c r="G617" s="510"/>
      <c r="H617" s="510"/>
      <c r="I617" s="510"/>
      <c r="J617" s="510"/>
      <c r="K617" s="510"/>
      <c r="L617" s="510"/>
      <c r="M617" s="510"/>
      <c r="N617" s="510"/>
      <c r="O617" s="510"/>
      <c r="P617" s="510"/>
      <c r="Q617" s="510"/>
      <c r="R617" s="510"/>
      <c r="S617" s="510"/>
      <c r="T617" s="510"/>
      <c r="U617" s="510"/>
    </row>
    <row r="618" ht="27.0" customHeight="1">
      <c r="A618" s="510"/>
      <c r="B618" s="510"/>
      <c r="C618" s="510"/>
      <c r="D618" s="510"/>
      <c r="E618" s="510"/>
      <c r="F618" s="510"/>
      <c r="G618" s="510"/>
      <c r="H618" s="510"/>
      <c r="I618" s="510"/>
      <c r="J618" s="510"/>
      <c r="K618" s="510"/>
      <c r="L618" s="510"/>
      <c r="M618" s="510"/>
      <c r="N618" s="510"/>
      <c r="O618" s="510"/>
      <c r="P618" s="510"/>
      <c r="Q618" s="510"/>
      <c r="R618" s="510"/>
      <c r="S618" s="510"/>
      <c r="T618" s="510"/>
      <c r="U618" s="510"/>
    </row>
    <row r="619" ht="27.0" customHeight="1">
      <c r="A619" s="510"/>
      <c r="B619" s="510"/>
      <c r="C619" s="510"/>
      <c r="D619" s="510"/>
      <c r="E619" s="510"/>
      <c r="F619" s="510"/>
      <c r="G619" s="510"/>
      <c r="H619" s="510"/>
      <c r="I619" s="510"/>
      <c r="J619" s="510"/>
      <c r="K619" s="510"/>
      <c r="L619" s="510"/>
      <c r="M619" s="510"/>
      <c r="N619" s="510"/>
      <c r="O619" s="510"/>
      <c r="P619" s="510"/>
      <c r="Q619" s="510"/>
      <c r="R619" s="510"/>
      <c r="S619" s="510"/>
      <c r="T619" s="510"/>
      <c r="U619" s="510"/>
    </row>
    <row r="620" ht="27.0" customHeight="1">
      <c r="A620" s="510"/>
      <c r="B620" s="510"/>
      <c r="C620" s="510"/>
      <c r="D620" s="510"/>
      <c r="E620" s="510"/>
      <c r="F620" s="510"/>
      <c r="G620" s="510"/>
      <c r="H620" s="510"/>
      <c r="I620" s="510"/>
      <c r="J620" s="510"/>
      <c r="K620" s="510"/>
      <c r="L620" s="510"/>
      <c r="M620" s="510"/>
      <c r="N620" s="510"/>
      <c r="O620" s="510"/>
      <c r="P620" s="510"/>
      <c r="Q620" s="510"/>
      <c r="R620" s="510"/>
      <c r="S620" s="510"/>
      <c r="T620" s="510"/>
      <c r="U620" s="510"/>
    </row>
    <row r="621" ht="27.0" customHeight="1">
      <c r="A621" s="510"/>
      <c r="B621" s="510"/>
      <c r="C621" s="510"/>
      <c r="D621" s="510"/>
      <c r="E621" s="510"/>
      <c r="F621" s="510"/>
      <c r="G621" s="510"/>
      <c r="H621" s="510"/>
      <c r="I621" s="510"/>
      <c r="J621" s="510"/>
      <c r="K621" s="510"/>
      <c r="L621" s="510"/>
      <c r="M621" s="510"/>
      <c r="N621" s="510"/>
      <c r="O621" s="510"/>
      <c r="P621" s="510"/>
      <c r="Q621" s="510"/>
      <c r="R621" s="510"/>
      <c r="S621" s="510"/>
      <c r="T621" s="510"/>
      <c r="U621" s="510"/>
    </row>
    <row r="622" ht="27.0" customHeight="1">
      <c r="A622" s="510"/>
      <c r="B622" s="510"/>
      <c r="C622" s="510"/>
      <c r="D622" s="510"/>
      <c r="E622" s="510"/>
      <c r="F622" s="510"/>
      <c r="G622" s="510"/>
      <c r="H622" s="510"/>
      <c r="I622" s="510"/>
      <c r="J622" s="510"/>
      <c r="K622" s="510"/>
      <c r="L622" s="510"/>
      <c r="M622" s="510"/>
      <c r="N622" s="510"/>
      <c r="O622" s="510"/>
      <c r="P622" s="510"/>
      <c r="Q622" s="510"/>
      <c r="R622" s="510"/>
      <c r="S622" s="510"/>
      <c r="T622" s="510"/>
      <c r="U622" s="510"/>
    </row>
    <row r="623" ht="27.0" customHeight="1">
      <c r="A623" s="510"/>
      <c r="B623" s="510"/>
      <c r="C623" s="510"/>
      <c r="D623" s="510"/>
      <c r="E623" s="510"/>
      <c r="F623" s="510"/>
      <c r="G623" s="510"/>
      <c r="H623" s="510"/>
      <c r="I623" s="510"/>
      <c r="J623" s="510"/>
      <c r="K623" s="510"/>
      <c r="L623" s="510"/>
      <c r="M623" s="510"/>
      <c r="N623" s="510"/>
      <c r="O623" s="510"/>
      <c r="P623" s="510"/>
      <c r="Q623" s="510"/>
      <c r="R623" s="510"/>
      <c r="S623" s="510"/>
      <c r="T623" s="510"/>
      <c r="U623" s="510"/>
    </row>
    <row r="624" ht="27.0" customHeight="1">
      <c r="A624" s="510"/>
      <c r="B624" s="510"/>
      <c r="C624" s="510"/>
      <c r="D624" s="510"/>
      <c r="E624" s="510"/>
      <c r="F624" s="510"/>
      <c r="G624" s="510"/>
      <c r="H624" s="510"/>
      <c r="I624" s="510"/>
      <c r="J624" s="510"/>
      <c r="K624" s="510"/>
      <c r="L624" s="510"/>
      <c r="M624" s="510"/>
      <c r="N624" s="510"/>
      <c r="O624" s="510"/>
      <c r="P624" s="510"/>
      <c r="Q624" s="510"/>
      <c r="R624" s="510"/>
      <c r="S624" s="510"/>
      <c r="T624" s="510"/>
      <c r="U624" s="510"/>
    </row>
    <row r="625" ht="27.0" customHeight="1">
      <c r="A625" s="510"/>
      <c r="B625" s="510"/>
      <c r="C625" s="510"/>
      <c r="D625" s="510"/>
      <c r="E625" s="510"/>
      <c r="F625" s="510"/>
      <c r="G625" s="510"/>
      <c r="H625" s="510"/>
      <c r="I625" s="510"/>
      <c r="J625" s="510"/>
      <c r="K625" s="510"/>
      <c r="L625" s="510"/>
      <c r="M625" s="510"/>
      <c r="N625" s="510"/>
      <c r="O625" s="510"/>
      <c r="P625" s="510"/>
      <c r="Q625" s="510"/>
      <c r="R625" s="510"/>
      <c r="S625" s="510"/>
      <c r="T625" s="510"/>
      <c r="U625" s="510"/>
    </row>
    <row r="626" ht="27.0" customHeight="1">
      <c r="A626" s="510"/>
      <c r="B626" s="510"/>
      <c r="C626" s="510"/>
      <c r="D626" s="510"/>
      <c r="E626" s="510"/>
      <c r="F626" s="510"/>
      <c r="G626" s="510"/>
      <c r="H626" s="510"/>
      <c r="I626" s="510"/>
      <c r="J626" s="510"/>
      <c r="K626" s="510"/>
      <c r="L626" s="510"/>
      <c r="M626" s="510"/>
      <c r="N626" s="510"/>
      <c r="O626" s="510"/>
      <c r="P626" s="510"/>
      <c r="Q626" s="510"/>
      <c r="R626" s="510"/>
      <c r="S626" s="510"/>
      <c r="T626" s="510"/>
      <c r="U626" s="510"/>
    </row>
    <row r="627" ht="27.0" customHeight="1">
      <c r="A627" s="510"/>
      <c r="B627" s="510"/>
      <c r="C627" s="510"/>
      <c r="D627" s="510"/>
      <c r="E627" s="510"/>
      <c r="F627" s="510"/>
      <c r="G627" s="510"/>
      <c r="H627" s="510"/>
      <c r="I627" s="510"/>
      <c r="J627" s="510"/>
      <c r="K627" s="510"/>
      <c r="L627" s="510"/>
      <c r="M627" s="510"/>
      <c r="N627" s="510"/>
      <c r="O627" s="510"/>
      <c r="P627" s="510"/>
      <c r="Q627" s="510"/>
      <c r="R627" s="510"/>
      <c r="S627" s="510"/>
      <c r="T627" s="510"/>
      <c r="U627" s="510"/>
    </row>
    <row r="628" ht="27.0" customHeight="1">
      <c r="A628" s="510"/>
      <c r="B628" s="510"/>
      <c r="C628" s="510"/>
      <c r="D628" s="510"/>
      <c r="E628" s="510"/>
      <c r="F628" s="510"/>
      <c r="G628" s="510"/>
      <c r="H628" s="510"/>
      <c r="I628" s="510"/>
      <c r="J628" s="510"/>
      <c r="K628" s="510"/>
      <c r="L628" s="510"/>
      <c r="M628" s="510"/>
      <c r="N628" s="510"/>
      <c r="O628" s="510"/>
      <c r="P628" s="510"/>
      <c r="Q628" s="510"/>
      <c r="R628" s="510"/>
      <c r="S628" s="510"/>
      <c r="T628" s="510"/>
      <c r="U628" s="510"/>
    </row>
    <row r="629" ht="27.0" customHeight="1">
      <c r="A629" s="510"/>
      <c r="B629" s="510"/>
      <c r="C629" s="510"/>
      <c r="D629" s="510"/>
      <c r="E629" s="510"/>
      <c r="F629" s="510"/>
      <c r="G629" s="510"/>
      <c r="H629" s="510"/>
      <c r="I629" s="510"/>
      <c r="J629" s="510"/>
      <c r="K629" s="510"/>
      <c r="L629" s="510"/>
      <c r="M629" s="510"/>
      <c r="N629" s="510"/>
      <c r="O629" s="510"/>
      <c r="P629" s="510"/>
      <c r="Q629" s="510"/>
      <c r="R629" s="510"/>
      <c r="S629" s="510"/>
      <c r="T629" s="510"/>
      <c r="U629" s="510"/>
    </row>
    <row r="630" ht="27.0" customHeight="1">
      <c r="A630" s="510"/>
      <c r="B630" s="510"/>
      <c r="C630" s="510"/>
      <c r="D630" s="510"/>
      <c r="E630" s="510"/>
      <c r="F630" s="510"/>
      <c r="G630" s="510"/>
      <c r="H630" s="510"/>
      <c r="I630" s="510"/>
      <c r="J630" s="510"/>
      <c r="K630" s="510"/>
      <c r="L630" s="510"/>
      <c r="M630" s="510"/>
      <c r="N630" s="510"/>
      <c r="O630" s="510"/>
      <c r="P630" s="510"/>
      <c r="Q630" s="510"/>
      <c r="R630" s="510"/>
      <c r="S630" s="510"/>
      <c r="T630" s="510"/>
      <c r="U630" s="510"/>
    </row>
    <row r="631" ht="27.0" customHeight="1">
      <c r="A631" s="510"/>
      <c r="B631" s="510"/>
      <c r="C631" s="510"/>
      <c r="D631" s="510"/>
      <c r="E631" s="510"/>
      <c r="F631" s="510"/>
      <c r="G631" s="510"/>
      <c r="H631" s="510"/>
      <c r="I631" s="510"/>
      <c r="J631" s="510"/>
      <c r="K631" s="510"/>
      <c r="L631" s="510"/>
      <c r="M631" s="510"/>
      <c r="N631" s="510"/>
      <c r="O631" s="510"/>
      <c r="P631" s="510"/>
      <c r="Q631" s="510"/>
      <c r="R631" s="510"/>
      <c r="S631" s="510"/>
      <c r="T631" s="510"/>
      <c r="U631" s="510"/>
    </row>
    <row r="632" ht="27.0" customHeight="1">
      <c r="A632" s="510"/>
      <c r="B632" s="510"/>
      <c r="C632" s="510"/>
      <c r="D632" s="510"/>
      <c r="E632" s="510"/>
      <c r="F632" s="510"/>
      <c r="G632" s="510"/>
      <c r="H632" s="510"/>
      <c r="I632" s="510"/>
      <c r="J632" s="510"/>
      <c r="K632" s="510"/>
      <c r="L632" s="510"/>
      <c r="M632" s="510"/>
      <c r="N632" s="510"/>
      <c r="O632" s="510"/>
      <c r="P632" s="510"/>
      <c r="Q632" s="510"/>
      <c r="R632" s="510"/>
      <c r="S632" s="510"/>
      <c r="T632" s="510"/>
      <c r="U632" s="510"/>
    </row>
    <row r="633" ht="27.0" customHeight="1">
      <c r="A633" s="510"/>
      <c r="B633" s="510"/>
      <c r="C633" s="510"/>
      <c r="D633" s="510"/>
      <c r="E633" s="510"/>
      <c r="F633" s="510"/>
      <c r="G633" s="510"/>
      <c r="H633" s="510"/>
      <c r="I633" s="510"/>
      <c r="J633" s="510"/>
      <c r="K633" s="510"/>
      <c r="L633" s="510"/>
      <c r="M633" s="510"/>
      <c r="N633" s="510"/>
      <c r="O633" s="510"/>
      <c r="P633" s="510"/>
      <c r="Q633" s="510"/>
      <c r="R633" s="510"/>
      <c r="S633" s="510"/>
      <c r="T633" s="510"/>
      <c r="U633" s="510"/>
    </row>
    <row r="634" ht="27.0" customHeight="1">
      <c r="A634" s="510"/>
      <c r="B634" s="510"/>
      <c r="C634" s="510"/>
      <c r="D634" s="510"/>
      <c r="E634" s="510"/>
      <c r="F634" s="510"/>
      <c r="G634" s="510"/>
      <c r="H634" s="510"/>
      <c r="I634" s="510"/>
      <c r="J634" s="510"/>
      <c r="K634" s="510"/>
      <c r="L634" s="510"/>
      <c r="M634" s="510"/>
      <c r="N634" s="510"/>
      <c r="O634" s="510"/>
      <c r="P634" s="510"/>
      <c r="Q634" s="510"/>
      <c r="R634" s="510"/>
      <c r="S634" s="510"/>
      <c r="T634" s="510"/>
      <c r="U634" s="510"/>
    </row>
    <row r="635" ht="27.0" customHeight="1">
      <c r="A635" s="510"/>
      <c r="B635" s="510"/>
      <c r="C635" s="510"/>
      <c r="D635" s="510"/>
      <c r="E635" s="510"/>
      <c r="F635" s="510"/>
      <c r="G635" s="510"/>
      <c r="H635" s="510"/>
      <c r="I635" s="510"/>
      <c r="J635" s="510"/>
      <c r="K635" s="510"/>
      <c r="L635" s="510"/>
      <c r="M635" s="510"/>
      <c r="N635" s="510"/>
      <c r="O635" s="510"/>
      <c r="P635" s="510"/>
      <c r="Q635" s="510"/>
      <c r="R635" s="510"/>
      <c r="S635" s="510"/>
      <c r="T635" s="510"/>
      <c r="U635" s="510"/>
    </row>
    <row r="636" ht="27.0" customHeight="1">
      <c r="A636" s="510"/>
      <c r="B636" s="510"/>
      <c r="C636" s="510"/>
      <c r="D636" s="510"/>
      <c r="E636" s="510"/>
      <c r="F636" s="510"/>
      <c r="G636" s="510"/>
      <c r="H636" s="510"/>
      <c r="I636" s="510"/>
      <c r="J636" s="510"/>
      <c r="K636" s="510"/>
      <c r="L636" s="510"/>
      <c r="M636" s="510"/>
      <c r="N636" s="510"/>
      <c r="O636" s="510"/>
      <c r="P636" s="510"/>
      <c r="Q636" s="510"/>
      <c r="R636" s="510"/>
      <c r="S636" s="510"/>
      <c r="T636" s="510"/>
      <c r="U636" s="510"/>
    </row>
    <row r="637" ht="27.0" customHeight="1">
      <c r="A637" s="510"/>
      <c r="B637" s="510"/>
      <c r="C637" s="510"/>
      <c r="D637" s="510"/>
      <c r="E637" s="510"/>
      <c r="F637" s="510"/>
      <c r="G637" s="510"/>
      <c r="H637" s="510"/>
      <c r="I637" s="510"/>
      <c r="J637" s="510"/>
      <c r="K637" s="510"/>
      <c r="L637" s="510"/>
      <c r="M637" s="510"/>
      <c r="N637" s="510"/>
      <c r="O637" s="510"/>
      <c r="P637" s="510"/>
      <c r="Q637" s="510"/>
      <c r="R637" s="510"/>
      <c r="S637" s="510"/>
      <c r="T637" s="510"/>
      <c r="U637" s="510"/>
    </row>
    <row r="638" ht="27.0" customHeight="1">
      <c r="A638" s="510"/>
      <c r="B638" s="510"/>
      <c r="C638" s="510"/>
      <c r="D638" s="510"/>
      <c r="E638" s="510"/>
      <c r="F638" s="510"/>
      <c r="G638" s="510"/>
      <c r="H638" s="510"/>
      <c r="I638" s="510"/>
      <c r="J638" s="510"/>
      <c r="K638" s="510"/>
      <c r="L638" s="510"/>
      <c r="M638" s="510"/>
      <c r="N638" s="510"/>
      <c r="O638" s="510"/>
      <c r="P638" s="510"/>
      <c r="Q638" s="510"/>
      <c r="R638" s="510"/>
      <c r="S638" s="510"/>
      <c r="T638" s="510"/>
      <c r="U638" s="510"/>
    </row>
    <row r="639" ht="27.0" customHeight="1">
      <c r="A639" s="510"/>
      <c r="B639" s="510"/>
      <c r="C639" s="510"/>
      <c r="D639" s="510"/>
      <c r="E639" s="510"/>
      <c r="F639" s="510"/>
      <c r="G639" s="510"/>
      <c r="H639" s="510"/>
      <c r="I639" s="510"/>
      <c r="J639" s="510"/>
      <c r="K639" s="510"/>
      <c r="L639" s="510"/>
      <c r="M639" s="510"/>
      <c r="N639" s="510"/>
      <c r="O639" s="510"/>
      <c r="P639" s="510"/>
      <c r="Q639" s="510"/>
      <c r="R639" s="510"/>
      <c r="S639" s="510"/>
      <c r="T639" s="510"/>
      <c r="U639" s="510"/>
    </row>
    <row r="640" ht="27.0" customHeight="1">
      <c r="A640" s="510"/>
      <c r="B640" s="510"/>
      <c r="C640" s="510"/>
      <c r="D640" s="510"/>
      <c r="E640" s="510"/>
      <c r="F640" s="510"/>
      <c r="G640" s="510"/>
      <c r="H640" s="510"/>
      <c r="I640" s="510"/>
      <c r="J640" s="510"/>
      <c r="K640" s="510"/>
      <c r="L640" s="510"/>
      <c r="M640" s="510"/>
      <c r="N640" s="510"/>
      <c r="O640" s="510"/>
      <c r="P640" s="510"/>
      <c r="Q640" s="510"/>
      <c r="R640" s="510"/>
      <c r="S640" s="510"/>
      <c r="T640" s="510"/>
      <c r="U640" s="510"/>
    </row>
    <row r="641" ht="27.0" customHeight="1">
      <c r="A641" s="510"/>
      <c r="B641" s="510"/>
      <c r="C641" s="510"/>
      <c r="D641" s="510"/>
      <c r="E641" s="510"/>
      <c r="F641" s="510"/>
      <c r="G641" s="510"/>
      <c r="H641" s="510"/>
      <c r="I641" s="510"/>
      <c r="J641" s="510"/>
      <c r="K641" s="510"/>
      <c r="L641" s="510"/>
      <c r="M641" s="510"/>
      <c r="N641" s="510"/>
      <c r="O641" s="510"/>
      <c r="P641" s="510"/>
      <c r="Q641" s="510"/>
      <c r="R641" s="510"/>
      <c r="S641" s="510"/>
      <c r="T641" s="510"/>
      <c r="U641" s="510"/>
    </row>
    <row r="642" ht="27.0" customHeight="1">
      <c r="A642" s="510"/>
      <c r="B642" s="510"/>
      <c r="C642" s="510"/>
      <c r="D642" s="510"/>
      <c r="E642" s="510"/>
      <c r="F642" s="510"/>
      <c r="G642" s="510"/>
      <c r="H642" s="510"/>
      <c r="I642" s="510"/>
      <c r="J642" s="510"/>
      <c r="K642" s="510"/>
      <c r="L642" s="510"/>
      <c r="M642" s="510"/>
      <c r="N642" s="510"/>
      <c r="O642" s="510"/>
      <c r="P642" s="510"/>
      <c r="Q642" s="510"/>
      <c r="R642" s="510"/>
      <c r="S642" s="510"/>
      <c r="T642" s="510"/>
      <c r="U642" s="510"/>
    </row>
    <row r="643" ht="27.0" customHeight="1">
      <c r="A643" s="510"/>
      <c r="B643" s="510"/>
      <c r="C643" s="510"/>
      <c r="D643" s="510"/>
      <c r="E643" s="510"/>
      <c r="F643" s="510"/>
      <c r="G643" s="510"/>
      <c r="H643" s="510"/>
      <c r="I643" s="510"/>
      <c r="J643" s="510"/>
      <c r="K643" s="510"/>
      <c r="L643" s="510"/>
      <c r="M643" s="510"/>
      <c r="N643" s="510"/>
      <c r="O643" s="510"/>
      <c r="P643" s="510"/>
      <c r="Q643" s="510"/>
      <c r="R643" s="510"/>
      <c r="S643" s="510"/>
      <c r="T643" s="510"/>
      <c r="U643" s="510"/>
    </row>
    <row r="644" ht="27.0" customHeight="1">
      <c r="A644" s="510"/>
      <c r="B644" s="510"/>
      <c r="C644" s="510"/>
      <c r="D644" s="510"/>
      <c r="E644" s="510"/>
      <c r="F644" s="510"/>
      <c r="G644" s="510"/>
      <c r="H644" s="510"/>
      <c r="I644" s="510"/>
      <c r="J644" s="510"/>
      <c r="K644" s="510"/>
      <c r="L644" s="510"/>
      <c r="M644" s="510"/>
      <c r="N644" s="510"/>
      <c r="O644" s="510"/>
      <c r="P644" s="510"/>
      <c r="Q644" s="510"/>
      <c r="R644" s="510"/>
      <c r="S644" s="510"/>
      <c r="T644" s="510"/>
      <c r="U644" s="510"/>
    </row>
    <row r="645" ht="27.0" customHeight="1">
      <c r="A645" s="510"/>
      <c r="B645" s="510"/>
      <c r="C645" s="510"/>
      <c r="D645" s="510"/>
      <c r="E645" s="510"/>
      <c r="F645" s="510"/>
      <c r="G645" s="510"/>
      <c r="H645" s="510"/>
      <c r="I645" s="510"/>
      <c r="J645" s="510"/>
      <c r="K645" s="510"/>
      <c r="L645" s="510"/>
      <c r="M645" s="510"/>
      <c r="N645" s="510"/>
      <c r="O645" s="510"/>
      <c r="P645" s="510"/>
      <c r="Q645" s="510"/>
      <c r="R645" s="510"/>
      <c r="S645" s="510"/>
      <c r="T645" s="510"/>
      <c r="U645" s="510"/>
    </row>
    <row r="646" ht="27.0" customHeight="1">
      <c r="A646" s="510"/>
      <c r="B646" s="510"/>
      <c r="C646" s="510"/>
      <c r="D646" s="510"/>
      <c r="E646" s="510"/>
      <c r="F646" s="510"/>
      <c r="G646" s="510"/>
      <c r="H646" s="510"/>
      <c r="I646" s="510"/>
      <c r="J646" s="510"/>
      <c r="K646" s="510"/>
      <c r="L646" s="510"/>
      <c r="M646" s="510"/>
      <c r="N646" s="510"/>
      <c r="O646" s="510"/>
      <c r="P646" s="510"/>
      <c r="Q646" s="510"/>
      <c r="R646" s="510"/>
      <c r="S646" s="510"/>
      <c r="T646" s="510"/>
      <c r="U646" s="510"/>
    </row>
    <row r="647" ht="27.0" customHeight="1">
      <c r="A647" s="510"/>
      <c r="B647" s="510"/>
      <c r="C647" s="510"/>
      <c r="D647" s="510"/>
      <c r="E647" s="510"/>
      <c r="F647" s="510"/>
      <c r="G647" s="510"/>
      <c r="H647" s="510"/>
      <c r="I647" s="510"/>
      <c r="J647" s="510"/>
      <c r="K647" s="510"/>
      <c r="L647" s="510"/>
      <c r="M647" s="510"/>
      <c r="N647" s="510"/>
      <c r="O647" s="510"/>
      <c r="P647" s="510"/>
      <c r="Q647" s="510"/>
      <c r="R647" s="510"/>
      <c r="S647" s="510"/>
      <c r="T647" s="510"/>
      <c r="U647" s="510"/>
    </row>
    <row r="648" ht="27.0" customHeight="1">
      <c r="A648" s="510"/>
      <c r="B648" s="510"/>
      <c r="C648" s="510"/>
      <c r="D648" s="510"/>
      <c r="E648" s="510"/>
      <c r="F648" s="510"/>
      <c r="G648" s="510"/>
      <c r="H648" s="510"/>
      <c r="I648" s="510"/>
      <c r="J648" s="510"/>
      <c r="K648" s="510"/>
      <c r="L648" s="510"/>
      <c r="M648" s="510"/>
      <c r="N648" s="510"/>
      <c r="O648" s="510"/>
      <c r="P648" s="510"/>
      <c r="Q648" s="510"/>
      <c r="R648" s="510"/>
      <c r="S648" s="510"/>
      <c r="T648" s="510"/>
      <c r="U648" s="510"/>
    </row>
    <row r="649" ht="27.0" customHeight="1">
      <c r="A649" s="510"/>
      <c r="B649" s="510"/>
      <c r="C649" s="510"/>
      <c r="D649" s="510"/>
      <c r="E649" s="510"/>
      <c r="F649" s="510"/>
      <c r="G649" s="510"/>
      <c r="H649" s="510"/>
      <c r="I649" s="510"/>
      <c r="J649" s="510"/>
      <c r="K649" s="510"/>
      <c r="L649" s="510"/>
      <c r="M649" s="510"/>
      <c r="N649" s="510"/>
      <c r="O649" s="510"/>
      <c r="P649" s="510"/>
      <c r="Q649" s="510"/>
      <c r="R649" s="510"/>
      <c r="S649" s="510"/>
      <c r="T649" s="510"/>
      <c r="U649" s="510"/>
    </row>
    <row r="650" ht="27.0" customHeight="1">
      <c r="A650" s="510"/>
      <c r="B650" s="510"/>
      <c r="C650" s="510"/>
      <c r="D650" s="510"/>
      <c r="E650" s="510"/>
      <c r="F650" s="510"/>
      <c r="G650" s="510"/>
      <c r="H650" s="510"/>
      <c r="I650" s="510"/>
      <c r="J650" s="510"/>
      <c r="K650" s="510"/>
      <c r="L650" s="510"/>
      <c r="M650" s="510"/>
      <c r="N650" s="510"/>
      <c r="O650" s="510"/>
      <c r="P650" s="510"/>
      <c r="Q650" s="510"/>
      <c r="R650" s="510"/>
      <c r="S650" s="510"/>
      <c r="T650" s="510"/>
      <c r="U650" s="510"/>
    </row>
    <row r="651" ht="27.0" customHeight="1">
      <c r="A651" s="510"/>
      <c r="B651" s="510"/>
      <c r="C651" s="510"/>
      <c r="D651" s="510"/>
      <c r="E651" s="510"/>
      <c r="F651" s="510"/>
      <c r="G651" s="510"/>
      <c r="H651" s="510"/>
      <c r="I651" s="510"/>
      <c r="J651" s="510"/>
      <c r="K651" s="510"/>
      <c r="L651" s="510"/>
      <c r="M651" s="510"/>
      <c r="N651" s="510"/>
      <c r="O651" s="510"/>
      <c r="P651" s="510"/>
      <c r="Q651" s="510"/>
      <c r="R651" s="510"/>
      <c r="S651" s="510"/>
      <c r="T651" s="510"/>
      <c r="U651" s="510"/>
    </row>
    <row r="652" ht="27.0" customHeight="1">
      <c r="A652" s="510"/>
      <c r="B652" s="510"/>
      <c r="C652" s="510"/>
      <c r="D652" s="510"/>
      <c r="E652" s="510"/>
      <c r="F652" s="510"/>
      <c r="G652" s="510"/>
      <c r="H652" s="510"/>
      <c r="I652" s="510"/>
      <c r="J652" s="510"/>
      <c r="K652" s="510"/>
      <c r="L652" s="510"/>
      <c r="M652" s="510"/>
      <c r="N652" s="510"/>
      <c r="O652" s="510"/>
      <c r="P652" s="510"/>
      <c r="Q652" s="510"/>
      <c r="R652" s="510"/>
      <c r="S652" s="510"/>
      <c r="T652" s="510"/>
      <c r="U652" s="510"/>
    </row>
    <row r="653" ht="27.0" customHeight="1">
      <c r="A653" s="510"/>
      <c r="B653" s="510"/>
      <c r="C653" s="510"/>
      <c r="D653" s="510"/>
      <c r="E653" s="510"/>
      <c r="F653" s="510"/>
      <c r="G653" s="510"/>
      <c r="H653" s="510"/>
      <c r="I653" s="510"/>
      <c r="J653" s="510"/>
      <c r="K653" s="510"/>
      <c r="L653" s="510"/>
      <c r="M653" s="510"/>
      <c r="N653" s="510"/>
      <c r="O653" s="510"/>
      <c r="P653" s="510"/>
      <c r="Q653" s="510"/>
      <c r="R653" s="510"/>
      <c r="S653" s="510"/>
      <c r="T653" s="510"/>
      <c r="U653" s="510"/>
    </row>
    <row r="654" ht="27.0" customHeight="1">
      <c r="A654" s="510"/>
      <c r="B654" s="510"/>
      <c r="C654" s="510"/>
      <c r="D654" s="510"/>
      <c r="E654" s="510"/>
      <c r="F654" s="510"/>
      <c r="G654" s="510"/>
      <c r="H654" s="510"/>
      <c r="I654" s="510"/>
      <c r="J654" s="510"/>
      <c r="K654" s="510"/>
      <c r="L654" s="510"/>
      <c r="M654" s="510"/>
      <c r="N654" s="510"/>
      <c r="O654" s="510"/>
      <c r="P654" s="510"/>
      <c r="Q654" s="510"/>
      <c r="R654" s="510"/>
      <c r="S654" s="510"/>
      <c r="T654" s="510"/>
      <c r="U654" s="510"/>
    </row>
    <row r="655" ht="27.0" customHeight="1">
      <c r="A655" s="510"/>
      <c r="B655" s="510"/>
      <c r="C655" s="510"/>
      <c r="D655" s="510"/>
      <c r="E655" s="510"/>
      <c r="F655" s="510"/>
      <c r="G655" s="510"/>
      <c r="H655" s="510"/>
      <c r="I655" s="510"/>
      <c r="J655" s="510"/>
      <c r="K655" s="510"/>
      <c r="L655" s="510"/>
      <c r="M655" s="510"/>
      <c r="N655" s="510"/>
      <c r="O655" s="510"/>
      <c r="P655" s="510"/>
      <c r="Q655" s="510"/>
      <c r="R655" s="510"/>
      <c r="S655" s="510"/>
      <c r="T655" s="510"/>
      <c r="U655" s="510"/>
    </row>
    <row r="656" ht="27.0" customHeight="1">
      <c r="A656" s="510"/>
      <c r="B656" s="510"/>
      <c r="C656" s="510"/>
      <c r="D656" s="510"/>
      <c r="E656" s="510"/>
      <c r="F656" s="510"/>
      <c r="G656" s="510"/>
      <c r="H656" s="510"/>
      <c r="I656" s="510"/>
      <c r="J656" s="510"/>
      <c r="K656" s="510"/>
      <c r="L656" s="510"/>
      <c r="M656" s="510"/>
      <c r="N656" s="510"/>
      <c r="O656" s="510"/>
      <c r="P656" s="510"/>
      <c r="Q656" s="510"/>
      <c r="R656" s="510"/>
      <c r="S656" s="510"/>
      <c r="T656" s="510"/>
      <c r="U656" s="510"/>
    </row>
    <row r="657" ht="27.0" customHeight="1">
      <c r="A657" s="510"/>
      <c r="B657" s="510"/>
      <c r="C657" s="510"/>
      <c r="D657" s="510"/>
      <c r="E657" s="510"/>
      <c r="F657" s="510"/>
      <c r="G657" s="510"/>
      <c r="H657" s="510"/>
      <c r="I657" s="510"/>
      <c r="J657" s="510"/>
      <c r="K657" s="510"/>
      <c r="L657" s="510"/>
      <c r="M657" s="510"/>
      <c r="N657" s="510"/>
      <c r="O657" s="510"/>
      <c r="P657" s="510"/>
      <c r="Q657" s="510"/>
      <c r="R657" s="510"/>
      <c r="S657" s="510"/>
      <c r="T657" s="510"/>
      <c r="U657" s="510"/>
    </row>
    <row r="658" ht="27.0" customHeight="1">
      <c r="A658" s="510"/>
      <c r="B658" s="510"/>
      <c r="C658" s="510"/>
      <c r="D658" s="510"/>
      <c r="E658" s="510"/>
      <c r="F658" s="510"/>
      <c r="G658" s="510"/>
      <c r="H658" s="510"/>
      <c r="I658" s="510"/>
      <c r="J658" s="510"/>
      <c r="K658" s="510"/>
      <c r="L658" s="510"/>
      <c r="M658" s="510"/>
      <c r="N658" s="510"/>
      <c r="O658" s="510"/>
      <c r="P658" s="510"/>
      <c r="Q658" s="510"/>
      <c r="R658" s="510"/>
      <c r="S658" s="510"/>
      <c r="T658" s="510"/>
      <c r="U658" s="510"/>
    </row>
    <row r="659" ht="27.0" customHeight="1">
      <c r="A659" s="510"/>
      <c r="B659" s="510"/>
      <c r="C659" s="510"/>
      <c r="D659" s="510"/>
      <c r="E659" s="510"/>
      <c r="F659" s="510"/>
      <c r="G659" s="510"/>
      <c r="H659" s="510"/>
      <c r="I659" s="510"/>
      <c r="J659" s="510"/>
      <c r="K659" s="510"/>
      <c r="L659" s="510"/>
      <c r="M659" s="510"/>
      <c r="N659" s="510"/>
      <c r="O659" s="510"/>
      <c r="P659" s="510"/>
      <c r="Q659" s="510"/>
      <c r="R659" s="510"/>
      <c r="S659" s="510"/>
      <c r="T659" s="510"/>
      <c r="U659" s="510"/>
    </row>
    <row r="660" ht="27.0" customHeight="1">
      <c r="A660" s="510"/>
      <c r="B660" s="510"/>
      <c r="C660" s="510"/>
      <c r="D660" s="510"/>
      <c r="E660" s="510"/>
      <c r="F660" s="510"/>
      <c r="G660" s="510"/>
      <c r="H660" s="510"/>
      <c r="I660" s="510"/>
      <c r="J660" s="510"/>
      <c r="K660" s="510"/>
      <c r="L660" s="510"/>
      <c r="M660" s="510"/>
      <c r="N660" s="510"/>
      <c r="O660" s="510"/>
      <c r="P660" s="510"/>
      <c r="Q660" s="510"/>
      <c r="R660" s="510"/>
      <c r="S660" s="510"/>
      <c r="T660" s="510"/>
      <c r="U660" s="510"/>
    </row>
    <row r="661" ht="27.0" customHeight="1">
      <c r="A661" s="510"/>
      <c r="B661" s="510"/>
      <c r="C661" s="510"/>
      <c r="D661" s="510"/>
      <c r="E661" s="510"/>
      <c r="F661" s="510"/>
      <c r="G661" s="510"/>
      <c r="H661" s="510"/>
      <c r="I661" s="510"/>
      <c r="J661" s="510"/>
      <c r="K661" s="510"/>
      <c r="L661" s="510"/>
      <c r="M661" s="510"/>
      <c r="N661" s="510"/>
      <c r="O661" s="510"/>
      <c r="P661" s="510"/>
      <c r="Q661" s="510"/>
      <c r="R661" s="510"/>
      <c r="S661" s="510"/>
      <c r="T661" s="510"/>
      <c r="U661" s="510"/>
    </row>
    <row r="662" ht="27.0" customHeight="1">
      <c r="A662" s="510"/>
      <c r="B662" s="510"/>
      <c r="C662" s="510"/>
      <c r="D662" s="510"/>
      <c r="E662" s="510"/>
      <c r="F662" s="510"/>
      <c r="G662" s="510"/>
      <c r="H662" s="510"/>
      <c r="I662" s="510"/>
      <c r="J662" s="510"/>
      <c r="K662" s="510"/>
      <c r="L662" s="510"/>
      <c r="M662" s="510"/>
      <c r="N662" s="510"/>
      <c r="O662" s="510"/>
      <c r="P662" s="510"/>
      <c r="Q662" s="510"/>
      <c r="R662" s="510"/>
      <c r="S662" s="510"/>
      <c r="T662" s="510"/>
      <c r="U662" s="510"/>
    </row>
    <row r="663" ht="27.0" customHeight="1">
      <c r="A663" s="510"/>
      <c r="B663" s="510"/>
      <c r="C663" s="510"/>
      <c r="D663" s="510"/>
      <c r="E663" s="510"/>
      <c r="F663" s="510"/>
      <c r="G663" s="510"/>
      <c r="H663" s="510"/>
      <c r="I663" s="510"/>
      <c r="J663" s="510"/>
      <c r="K663" s="510"/>
      <c r="L663" s="510"/>
      <c r="M663" s="510"/>
      <c r="N663" s="510"/>
      <c r="O663" s="510"/>
      <c r="P663" s="510"/>
      <c r="Q663" s="510"/>
      <c r="R663" s="510"/>
      <c r="S663" s="510"/>
      <c r="T663" s="510"/>
      <c r="U663" s="510"/>
    </row>
    <row r="664" ht="27.0" customHeight="1">
      <c r="A664" s="510"/>
      <c r="B664" s="510"/>
      <c r="C664" s="510"/>
      <c r="D664" s="510"/>
      <c r="E664" s="510"/>
      <c r="F664" s="510"/>
      <c r="G664" s="510"/>
      <c r="H664" s="510"/>
      <c r="I664" s="510"/>
      <c r="J664" s="510"/>
      <c r="K664" s="510"/>
      <c r="L664" s="510"/>
      <c r="M664" s="510"/>
      <c r="N664" s="510"/>
      <c r="O664" s="510"/>
      <c r="P664" s="510"/>
      <c r="Q664" s="510"/>
      <c r="R664" s="510"/>
      <c r="S664" s="510"/>
      <c r="T664" s="510"/>
      <c r="U664" s="510"/>
    </row>
    <row r="665" ht="27.0" customHeight="1">
      <c r="A665" s="510"/>
      <c r="B665" s="510"/>
      <c r="C665" s="510"/>
      <c r="D665" s="510"/>
      <c r="E665" s="510"/>
      <c r="F665" s="510"/>
      <c r="G665" s="510"/>
      <c r="H665" s="510"/>
      <c r="I665" s="510"/>
      <c r="J665" s="510"/>
      <c r="K665" s="510"/>
      <c r="L665" s="510"/>
      <c r="M665" s="510"/>
      <c r="N665" s="510"/>
      <c r="O665" s="510"/>
      <c r="P665" s="510"/>
      <c r="Q665" s="510"/>
      <c r="R665" s="510"/>
      <c r="S665" s="510"/>
      <c r="T665" s="510"/>
      <c r="U665" s="510"/>
    </row>
    <row r="666" ht="27.0" customHeight="1">
      <c r="A666" s="510"/>
      <c r="B666" s="510"/>
      <c r="C666" s="510"/>
      <c r="D666" s="510"/>
      <c r="E666" s="510"/>
      <c r="F666" s="510"/>
      <c r="G666" s="510"/>
      <c r="H666" s="510"/>
      <c r="I666" s="510"/>
      <c r="J666" s="510"/>
      <c r="K666" s="510"/>
      <c r="L666" s="510"/>
      <c r="M666" s="510"/>
      <c r="N666" s="510"/>
      <c r="O666" s="510"/>
      <c r="P666" s="510"/>
      <c r="Q666" s="510"/>
      <c r="R666" s="510"/>
      <c r="S666" s="510"/>
      <c r="T666" s="510"/>
      <c r="U666" s="510"/>
    </row>
    <row r="667" ht="27.0" customHeight="1">
      <c r="A667" s="510"/>
      <c r="B667" s="510"/>
      <c r="C667" s="510"/>
      <c r="D667" s="510"/>
      <c r="E667" s="510"/>
      <c r="F667" s="510"/>
      <c r="G667" s="510"/>
      <c r="H667" s="510"/>
      <c r="I667" s="510"/>
      <c r="J667" s="510"/>
      <c r="K667" s="510"/>
      <c r="L667" s="510"/>
      <c r="M667" s="510"/>
      <c r="N667" s="510"/>
      <c r="O667" s="510"/>
      <c r="P667" s="510"/>
      <c r="Q667" s="510"/>
      <c r="R667" s="510"/>
      <c r="S667" s="510"/>
      <c r="T667" s="510"/>
      <c r="U667" s="510"/>
    </row>
    <row r="668" ht="27.0" customHeight="1">
      <c r="A668" s="510"/>
      <c r="B668" s="510"/>
      <c r="C668" s="510"/>
      <c r="D668" s="510"/>
      <c r="E668" s="510"/>
      <c r="F668" s="510"/>
      <c r="G668" s="510"/>
      <c r="H668" s="510"/>
      <c r="I668" s="510"/>
      <c r="J668" s="510"/>
      <c r="K668" s="510"/>
      <c r="L668" s="510"/>
      <c r="M668" s="510"/>
      <c r="N668" s="510"/>
      <c r="O668" s="510"/>
      <c r="P668" s="510"/>
      <c r="Q668" s="510"/>
      <c r="R668" s="510"/>
      <c r="S668" s="510"/>
      <c r="T668" s="510"/>
      <c r="U668" s="510"/>
    </row>
    <row r="669" ht="27.0" customHeight="1">
      <c r="A669" s="510"/>
      <c r="B669" s="510"/>
      <c r="C669" s="510"/>
      <c r="D669" s="510"/>
      <c r="E669" s="510"/>
      <c r="F669" s="510"/>
      <c r="G669" s="510"/>
      <c r="H669" s="510"/>
      <c r="I669" s="510"/>
      <c r="J669" s="510"/>
      <c r="K669" s="510"/>
      <c r="L669" s="510"/>
      <c r="M669" s="510"/>
      <c r="N669" s="510"/>
      <c r="O669" s="510"/>
      <c r="P669" s="510"/>
      <c r="Q669" s="510"/>
      <c r="R669" s="510"/>
      <c r="S669" s="510"/>
      <c r="T669" s="510"/>
      <c r="U669" s="510"/>
    </row>
    <row r="670" ht="27.0" customHeight="1">
      <c r="A670" s="510"/>
      <c r="B670" s="510"/>
      <c r="C670" s="510"/>
      <c r="D670" s="510"/>
      <c r="E670" s="510"/>
      <c r="F670" s="510"/>
      <c r="G670" s="510"/>
      <c r="H670" s="510"/>
      <c r="I670" s="510"/>
      <c r="J670" s="510"/>
      <c r="K670" s="510"/>
      <c r="L670" s="510"/>
      <c r="M670" s="510"/>
      <c r="N670" s="510"/>
      <c r="O670" s="510"/>
      <c r="P670" s="510"/>
      <c r="Q670" s="510"/>
      <c r="R670" s="510"/>
      <c r="S670" s="510"/>
      <c r="T670" s="510"/>
      <c r="U670" s="510"/>
    </row>
    <row r="671" ht="27.0" customHeight="1">
      <c r="A671" s="510"/>
      <c r="B671" s="510"/>
      <c r="C671" s="510"/>
      <c r="D671" s="510"/>
      <c r="E671" s="510"/>
      <c r="F671" s="510"/>
      <c r="G671" s="510"/>
      <c r="H671" s="510"/>
      <c r="I671" s="510"/>
      <c r="J671" s="510"/>
      <c r="K671" s="510"/>
      <c r="L671" s="510"/>
      <c r="M671" s="510"/>
      <c r="N671" s="510"/>
      <c r="O671" s="510"/>
      <c r="P671" s="510"/>
      <c r="Q671" s="510"/>
      <c r="R671" s="510"/>
      <c r="S671" s="510"/>
      <c r="T671" s="510"/>
      <c r="U671" s="510"/>
    </row>
    <row r="672" ht="27.0" customHeight="1">
      <c r="A672" s="510"/>
      <c r="B672" s="510"/>
      <c r="C672" s="510"/>
      <c r="D672" s="510"/>
      <c r="E672" s="510"/>
      <c r="F672" s="510"/>
      <c r="G672" s="510"/>
      <c r="H672" s="510"/>
      <c r="I672" s="510"/>
      <c r="J672" s="510"/>
      <c r="K672" s="510"/>
      <c r="L672" s="510"/>
      <c r="M672" s="510"/>
      <c r="N672" s="510"/>
      <c r="O672" s="510"/>
      <c r="P672" s="510"/>
      <c r="Q672" s="510"/>
      <c r="R672" s="510"/>
      <c r="S672" s="510"/>
      <c r="T672" s="510"/>
      <c r="U672" s="510"/>
    </row>
    <row r="673" ht="27.0" customHeight="1">
      <c r="A673" s="510"/>
      <c r="B673" s="510"/>
      <c r="C673" s="510"/>
      <c r="D673" s="510"/>
      <c r="E673" s="510"/>
      <c r="F673" s="510"/>
      <c r="G673" s="510"/>
      <c r="H673" s="510"/>
      <c r="I673" s="510"/>
      <c r="J673" s="510"/>
      <c r="K673" s="510"/>
      <c r="L673" s="510"/>
      <c r="M673" s="510"/>
      <c r="N673" s="510"/>
      <c r="O673" s="510"/>
      <c r="P673" s="510"/>
      <c r="Q673" s="510"/>
      <c r="R673" s="510"/>
      <c r="S673" s="510"/>
      <c r="T673" s="510"/>
      <c r="U673" s="510"/>
    </row>
    <row r="674" ht="27.0" customHeight="1">
      <c r="A674" s="510"/>
      <c r="B674" s="510"/>
      <c r="C674" s="510"/>
      <c r="D674" s="510"/>
      <c r="E674" s="510"/>
      <c r="F674" s="510"/>
      <c r="G674" s="510"/>
      <c r="H674" s="510"/>
      <c r="I674" s="510"/>
      <c r="J674" s="510"/>
      <c r="K674" s="510"/>
      <c r="L674" s="510"/>
      <c r="M674" s="510"/>
      <c r="N674" s="510"/>
      <c r="O674" s="510"/>
      <c r="P674" s="510"/>
      <c r="Q674" s="510"/>
      <c r="R674" s="510"/>
      <c r="S674" s="510"/>
      <c r="T674" s="510"/>
      <c r="U674" s="510"/>
    </row>
    <row r="675" ht="27.0" customHeight="1">
      <c r="A675" s="510"/>
      <c r="B675" s="510"/>
      <c r="C675" s="510"/>
      <c r="D675" s="510"/>
      <c r="E675" s="510"/>
      <c r="F675" s="510"/>
      <c r="G675" s="510"/>
      <c r="H675" s="510"/>
      <c r="I675" s="510"/>
      <c r="J675" s="510"/>
      <c r="K675" s="510"/>
      <c r="L675" s="510"/>
      <c r="M675" s="510"/>
      <c r="N675" s="510"/>
      <c r="O675" s="510"/>
      <c r="P675" s="510"/>
      <c r="Q675" s="510"/>
      <c r="R675" s="510"/>
      <c r="S675" s="510"/>
      <c r="T675" s="510"/>
      <c r="U675" s="510"/>
    </row>
    <row r="676" ht="27.0" customHeight="1">
      <c r="A676" s="510"/>
      <c r="B676" s="510"/>
      <c r="C676" s="510"/>
      <c r="D676" s="510"/>
      <c r="E676" s="510"/>
      <c r="F676" s="510"/>
      <c r="G676" s="510"/>
      <c r="H676" s="510"/>
      <c r="I676" s="510"/>
      <c r="J676" s="510"/>
      <c r="K676" s="510"/>
      <c r="L676" s="510"/>
      <c r="M676" s="510"/>
      <c r="N676" s="510"/>
      <c r="O676" s="510"/>
      <c r="P676" s="510"/>
      <c r="Q676" s="510"/>
      <c r="R676" s="510"/>
      <c r="S676" s="510"/>
      <c r="T676" s="510"/>
      <c r="U676" s="510"/>
    </row>
    <row r="677" ht="27.0" customHeight="1">
      <c r="A677" s="510"/>
      <c r="B677" s="510"/>
      <c r="C677" s="510"/>
      <c r="D677" s="510"/>
      <c r="E677" s="510"/>
      <c r="F677" s="510"/>
      <c r="G677" s="510"/>
      <c r="H677" s="510"/>
      <c r="I677" s="510"/>
      <c r="J677" s="510"/>
      <c r="K677" s="510"/>
      <c r="L677" s="510"/>
      <c r="M677" s="510"/>
      <c r="N677" s="510"/>
      <c r="O677" s="510"/>
      <c r="P677" s="510"/>
      <c r="Q677" s="510"/>
      <c r="R677" s="510"/>
      <c r="S677" s="510"/>
      <c r="T677" s="510"/>
      <c r="U677" s="510"/>
    </row>
    <row r="678" ht="27.0" customHeight="1">
      <c r="A678" s="510"/>
      <c r="B678" s="510"/>
      <c r="C678" s="510"/>
      <c r="D678" s="510"/>
      <c r="E678" s="510"/>
      <c r="F678" s="510"/>
      <c r="G678" s="510"/>
      <c r="H678" s="510"/>
      <c r="I678" s="510"/>
      <c r="J678" s="510"/>
      <c r="K678" s="510"/>
      <c r="L678" s="510"/>
      <c r="M678" s="510"/>
      <c r="N678" s="510"/>
      <c r="O678" s="510"/>
      <c r="P678" s="510"/>
      <c r="Q678" s="510"/>
      <c r="R678" s="510"/>
      <c r="S678" s="510"/>
      <c r="T678" s="510"/>
      <c r="U678" s="510"/>
    </row>
    <row r="679" ht="27.0" customHeight="1">
      <c r="A679" s="510"/>
      <c r="B679" s="510"/>
      <c r="C679" s="510"/>
      <c r="D679" s="510"/>
      <c r="E679" s="510"/>
      <c r="F679" s="510"/>
      <c r="G679" s="510"/>
      <c r="H679" s="510"/>
      <c r="I679" s="510"/>
      <c r="J679" s="510"/>
      <c r="K679" s="510"/>
      <c r="L679" s="510"/>
      <c r="M679" s="510"/>
      <c r="N679" s="510"/>
      <c r="O679" s="510"/>
      <c r="P679" s="510"/>
      <c r="Q679" s="510"/>
      <c r="R679" s="510"/>
      <c r="S679" s="510"/>
      <c r="T679" s="510"/>
      <c r="U679" s="510"/>
    </row>
    <row r="680" ht="27.0" customHeight="1">
      <c r="A680" s="510"/>
      <c r="B680" s="510"/>
      <c r="C680" s="510"/>
      <c r="D680" s="510"/>
      <c r="E680" s="510"/>
      <c r="F680" s="510"/>
      <c r="G680" s="510"/>
      <c r="H680" s="510"/>
      <c r="I680" s="510"/>
      <c r="J680" s="510"/>
      <c r="K680" s="510"/>
      <c r="L680" s="510"/>
      <c r="M680" s="510"/>
      <c r="N680" s="510"/>
      <c r="O680" s="510"/>
      <c r="P680" s="510"/>
      <c r="Q680" s="510"/>
      <c r="R680" s="510"/>
      <c r="S680" s="510"/>
      <c r="T680" s="510"/>
      <c r="U680" s="510"/>
    </row>
    <row r="681" ht="27.0" customHeight="1">
      <c r="A681" s="510"/>
      <c r="B681" s="510"/>
      <c r="C681" s="510"/>
      <c r="D681" s="510"/>
      <c r="E681" s="510"/>
      <c r="F681" s="510"/>
      <c r="G681" s="510"/>
      <c r="H681" s="510"/>
      <c r="I681" s="510"/>
      <c r="J681" s="510"/>
      <c r="K681" s="510"/>
      <c r="L681" s="510"/>
      <c r="M681" s="510"/>
      <c r="N681" s="510"/>
      <c r="O681" s="510"/>
      <c r="P681" s="510"/>
      <c r="Q681" s="510"/>
      <c r="R681" s="510"/>
      <c r="S681" s="510"/>
      <c r="T681" s="510"/>
      <c r="U681" s="510"/>
    </row>
    <row r="682" ht="27.0" customHeight="1">
      <c r="A682" s="510"/>
      <c r="B682" s="510"/>
      <c r="C682" s="510"/>
      <c r="D682" s="510"/>
      <c r="E682" s="510"/>
      <c r="F682" s="510"/>
      <c r="G682" s="510"/>
      <c r="H682" s="510"/>
      <c r="I682" s="510"/>
      <c r="J682" s="510"/>
      <c r="K682" s="510"/>
      <c r="L682" s="510"/>
      <c r="M682" s="510"/>
      <c r="N682" s="510"/>
      <c r="O682" s="510"/>
      <c r="P682" s="510"/>
      <c r="Q682" s="510"/>
      <c r="R682" s="510"/>
      <c r="S682" s="510"/>
      <c r="T682" s="510"/>
      <c r="U682" s="510"/>
    </row>
    <row r="683" ht="27.0" customHeight="1">
      <c r="A683" s="510"/>
      <c r="B683" s="510"/>
      <c r="C683" s="510"/>
      <c r="D683" s="510"/>
      <c r="E683" s="510"/>
      <c r="F683" s="510"/>
      <c r="G683" s="510"/>
      <c r="H683" s="510"/>
      <c r="I683" s="510"/>
      <c r="J683" s="510"/>
      <c r="K683" s="510"/>
      <c r="L683" s="510"/>
      <c r="M683" s="510"/>
      <c r="N683" s="510"/>
      <c r="O683" s="510"/>
      <c r="P683" s="510"/>
      <c r="Q683" s="510"/>
      <c r="R683" s="510"/>
      <c r="S683" s="510"/>
      <c r="T683" s="510"/>
      <c r="U683" s="510"/>
    </row>
    <row r="684" ht="27.0" customHeight="1">
      <c r="A684" s="510"/>
      <c r="B684" s="510"/>
      <c r="C684" s="510"/>
      <c r="D684" s="510"/>
      <c r="E684" s="510"/>
      <c r="F684" s="510"/>
      <c r="G684" s="510"/>
      <c r="H684" s="510"/>
      <c r="I684" s="510"/>
      <c r="J684" s="510"/>
      <c r="K684" s="510"/>
      <c r="L684" s="510"/>
      <c r="M684" s="510"/>
      <c r="N684" s="510"/>
      <c r="O684" s="510"/>
      <c r="P684" s="510"/>
      <c r="Q684" s="510"/>
      <c r="R684" s="510"/>
      <c r="S684" s="510"/>
      <c r="T684" s="510"/>
      <c r="U684" s="510"/>
    </row>
    <row r="685" ht="27.0" customHeight="1">
      <c r="A685" s="510"/>
      <c r="B685" s="510"/>
      <c r="C685" s="510"/>
      <c r="D685" s="510"/>
      <c r="E685" s="510"/>
      <c r="F685" s="510"/>
      <c r="G685" s="510"/>
      <c r="H685" s="510"/>
      <c r="I685" s="510"/>
      <c r="J685" s="510"/>
      <c r="K685" s="510"/>
      <c r="L685" s="510"/>
      <c r="M685" s="510"/>
      <c r="N685" s="510"/>
      <c r="O685" s="510"/>
      <c r="P685" s="510"/>
      <c r="Q685" s="510"/>
      <c r="R685" s="510"/>
      <c r="S685" s="510"/>
      <c r="T685" s="510"/>
      <c r="U685" s="510"/>
    </row>
    <row r="686" ht="27.0" customHeight="1">
      <c r="A686" s="510"/>
      <c r="B686" s="510"/>
      <c r="C686" s="510"/>
      <c r="D686" s="510"/>
      <c r="E686" s="510"/>
      <c r="F686" s="510"/>
      <c r="G686" s="510"/>
      <c r="H686" s="510"/>
      <c r="I686" s="510"/>
      <c r="J686" s="510"/>
      <c r="K686" s="510"/>
      <c r="L686" s="510"/>
      <c r="M686" s="510"/>
      <c r="N686" s="510"/>
      <c r="O686" s="510"/>
      <c r="P686" s="510"/>
      <c r="Q686" s="510"/>
      <c r="R686" s="510"/>
      <c r="S686" s="510"/>
      <c r="T686" s="510"/>
      <c r="U686" s="510"/>
    </row>
    <row r="687" ht="27.0" customHeight="1">
      <c r="A687" s="510"/>
      <c r="B687" s="510"/>
      <c r="C687" s="510"/>
      <c r="D687" s="510"/>
      <c r="E687" s="510"/>
      <c r="F687" s="510"/>
      <c r="G687" s="510"/>
      <c r="H687" s="510"/>
      <c r="I687" s="510"/>
      <c r="J687" s="510"/>
      <c r="K687" s="510"/>
      <c r="L687" s="510"/>
      <c r="M687" s="510"/>
      <c r="N687" s="510"/>
      <c r="O687" s="510"/>
      <c r="P687" s="510"/>
      <c r="Q687" s="510"/>
      <c r="R687" s="510"/>
      <c r="S687" s="510"/>
      <c r="T687" s="510"/>
      <c r="U687" s="510"/>
    </row>
    <row r="688" ht="27.0" customHeight="1">
      <c r="A688" s="510"/>
      <c r="B688" s="510"/>
      <c r="C688" s="510"/>
      <c r="D688" s="510"/>
      <c r="E688" s="510"/>
      <c r="F688" s="510"/>
      <c r="G688" s="510"/>
      <c r="H688" s="510"/>
      <c r="I688" s="510"/>
      <c r="J688" s="510"/>
      <c r="K688" s="510"/>
      <c r="L688" s="510"/>
      <c r="M688" s="510"/>
      <c r="N688" s="510"/>
      <c r="O688" s="510"/>
      <c r="P688" s="510"/>
      <c r="Q688" s="510"/>
      <c r="R688" s="510"/>
      <c r="S688" s="510"/>
      <c r="T688" s="510"/>
      <c r="U688" s="510"/>
    </row>
    <row r="689" ht="27.0" customHeight="1">
      <c r="A689" s="510"/>
      <c r="B689" s="510"/>
      <c r="C689" s="510"/>
      <c r="D689" s="510"/>
      <c r="E689" s="510"/>
      <c r="F689" s="510"/>
      <c r="G689" s="510"/>
      <c r="H689" s="510"/>
      <c r="I689" s="510"/>
      <c r="J689" s="510"/>
      <c r="K689" s="510"/>
      <c r="L689" s="510"/>
      <c r="M689" s="510"/>
      <c r="N689" s="510"/>
      <c r="O689" s="510"/>
      <c r="P689" s="510"/>
      <c r="Q689" s="510"/>
      <c r="R689" s="510"/>
      <c r="S689" s="510"/>
      <c r="T689" s="510"/>
      <c r="U689" s="510"/>
    </row>
    <row r="690" ht="27.0" customHeight="1">
      <c r="A690" s="510"/>
      <c r="B690" s="510"/>
      <c r="C690" s="510"/>
      <c r="D690" s="510"/>
      <c r="E690" s="510"/>
      <c r="F690" s="510"/>
      <c r="G690" s="510"/>
      <c r="H690" s="510"/>
      <c r="I690" s="510"/>
      <c r="J690" s="510"/>
      <c r="K690" s="510"/>
      <c r="L690" s="510"/>
      <c r="M690" s="510"/>
      <c r="N690" s="510"/>
      <c r="O690" s="510"/>
      <c r="P690" s="510"/>
      <c r="Q690" s="510"/>
      <c r="R690" s="510"/>
      <c r="S690" s="510"/>
      <c r="T690" s="510"/>
      <c r="U690" s="510"/>
    </row>
    <row r="691" ht="27.0" customHeight="1">
      <c r="A691" s="510"/>
      <c r="B691" s="510"/>
      <c r="C691" s="510"/>
      <c r="D691" s="510"/>
      <c r="E691" s="510"/>
      <c r="F691" s="510"/>
      <c r="G691" s="510"/>
      <c r="H691" s="510"/>
      <c r="I691" s="510"/>
      <c r="J691" s="510"/>
      <c r="K691" s="510"/>
      <c r="L691" s="510"/>
      <c r="M691" s="510"/>
      <c r="N691" s="510"/>
      <c r="O691" s="510"/>
      <c r="P691" s="510"/>
      <c r="Q691" s="510"/>
      <c r="R691" s="510"/>
      <c r="S691" s="510"/>
      <c r="T691" s="510"/>
      <c r="U691" s="510"/>
    </row>
    <row r="692" ht="27.0" customHeight="1">
      <c r="A692" s="510"/>
      <c r="B692" s="510"/>
      <c r="C692" s="510"/>
      <c r="D692" s="510"/>
      <c r="E692" s="510"/>
      <c r="F692" s="510"/>
      <c r="G692" s="510"/>
      <c r="H692" s="510"/>
      <c r="I692" s="510"/>
      <c r="J692" s="510"/>
      <c r="K692" s="510"/>
      <c r="L692" s="510"/>
      <c r="M692" s="510"/>
      <c r="N692" s="510"/>
      <c r="O692" s="510"/>
      <c r="P692" s="510"/>
      <c r="Q692" s="510"/>
      <c r="R692" s="510"/>
      <c r="S692" s="510"/>
      <c r="T692" s="510"/>
      <c r="U692" s="510"/>
    </row>
    <row r="693" ht="27.0" customHeight="1">
      <c r="A693" s="510"/>
      <c r="B693" s="510"/>
      <c r="C693" s="510"/>
      <c r="D693" s="510"/>
      <c r="E693" s="510"/>
      <c r="F693" s="510"/>
      <c r="G693" s="510"/>
      <c r="H693" s="510"/>
      <c r="I693" s="510"/>
      <c r="J693" s="510"/>
      <c r="K693" s="510"/>
      <c r="L693" s="510"/>
      <c r="M693" s="510"/>
      <c r="N693" s="510"/>
      <c r="O693" s="510"/>
      <c r="P693" s="510"/>
      <c r="Q693" s="510"/>
      <c r="R693" s="510"/>
      <c r="S693" s="510"/>
      <c r="T693" s="510"/>
      <c r="U693" s="510"/>
    </row>
    <row r="694" ht="27.0" customHeight="1">
      <c r="A694" s="510"/>
      <c r="B694" s="510"/>
      <c r="C694" s="510"/>
      <c r="D694" s="510"/>
      <c r="E694" s="510"/>
      <c r="F694" s="510"/>
      <c r="G694" s="510"/>
      <c r="H694" s="510"/>
      <c r="I694" s="510"/>
      <c r="J694" s="510"/>
      <c r="K694" s="510"/>
      <c r="L694" s="510"/>
      <c r="M694" s="510"/>
      <c r="N694" s="510"/>
      <c r="O694" s="510"/>
      <c r="P694" s="510"/>
      <c r="Q694" s="510"/>
      <c r="R694" s="510"/>
      <c r="S694" s="510"/>
      <c r="T694" s="510"/>
      <c r="U694" s="510"/>
    </row>
    <row r="695" ht="27.0" customHeight="1">
      <c r="A695" s="510"/>
      <c r="B695" s="510"/>
      <c r="C695" s="510"/>
      <c r="D695" s="510"/>
      <c r="E695" s="510"/>
      <c r="F695" s="510"/>
      <c r="G695" s="510"/>
      <c r="H695" s="510"/>
      <c r="I695" s="510"/>
      <c r="J695" s="510"/>
      <c r="K695" s="510"/>
      <c r="L695" s="510"/>
      <c r="M695" s="510"/>
      <c r="N695" s="510"/>
      <c r="O695" s="510"/>
      <c r="P695" s="510"/>
      <c r="Q695" s="510"/>
      <c r="R695" s="510"/>
      <c r="S695" s="510"/>
      <c r="T695" s="510"/>
      <c r="U695" s="510"/>
    </row>
    <row r="696" ht="27.0" customHeight="1">
      <c r="A696" s="510"/>
      <c r="B696" s="510"/>
      <c r="C696" s="510"/>
      <c r="D696" s="510"/>
      <c r="E696" s="510"/>
      <c r="F696" s="510"/>
      <c r="G696" s="510"/>
      <c r="H696" s="510"/>
      <c r="I696" s="510"/>
      <c r="J696" s="510"/>
      <c r="K696" s="510"/>
      <c r="L696" s="510"/>
      <c r="M696" s="510"/>
      <c r="N696" s="510"/>
      <c r="O696" s="510"/>
      <c r="P696" s="510"/>
      <c r="Q696" s="510"/>
      <c r="R696" s="510"/>
      <c r="S696" s="510"/>
      <c r="T696" s="510"/>
      <c r="U696" s="510"/>
    </row>
    <row r="697" ht="27.0" customHeight="1">
      <c r="A697" s="510"/>
      <c r="B697" s="510"/>
      <c r="C697" s="510"/>
      <c r="D697" s="510"/>
      <c r="E697" s="510"/>
      <c r="F697" s="510"/>
      <c r="G697" s="510"/>
      <c r="H697" s="510"/>
      <c r="I697" s="510"/>
      <c r="J697" s="510"/>
      <c r="K697" s="510"/>
      <c r="L697" s="510"/>
      <c r="M697" s="510"/>
      <c r="N697" s="510"/>
      <c r="O697" s="510"/>
      <c r="P697" s="510"/>
      <c r="Q697" s="510"/>
      <c r="R697" s="510"/>
      <c r="S697" s="510"/>
      <c r="T697" s="510"/>
      <c r="U697" s="510"/>
    </row>
    <row r="698" ht="27.0" customHeight="1">
      <c r="A698" s="510"/>
      <c r="B698" s="510"/>
      <c r="C698" s="510"/>
      <c r="D698" s="510"/>
      <c r="E698" s="510"/>
      <c r="F698" s="510"/>
      <c r="G698" s="510"/>
      <c r="H698" s="510"/>
      <c r="I698" s="510"/>
      <c r="J698" s="510"/>
      <c r="K698" s="510"/>
      <c r="L698" s="510"/>
      <c r="M698" s="510"/>
      <c r="N698" s="510"/>
      <c r="O698" s="510"/>
      <c r="P698" s="510"/>
      <c r="Q698" s="510"/>
      <c r="R698" s="510"/>
      <c r="S698" s="510"/>
      <c r="T698" s="510"/>
      <c r="U698" s="510"/>
    </row>
    <row r="699" ht="27.0" customHeight="1">
      <c r="A699" s="510"/>
      <c r="B699" s="510"/>
      <c r="C699" s="510"/>
      <c r="D699" s="510"/>
      <c r="E699" s="510"/>
      <c r="F699" s="510"/>
      <c r="G699" s="510"/>
      <c r="H699" s="510"/>
      <c r="I699" s="510"/>
      <c r="J699" s="510"/>
      <c r="K699" s="510"/>
      <c r="L699" s="510"/>
      <c r="M699" s="510"/>
      <c r="N699" s="510"/>
      <c r="O699" s="510"/>
      <c r="P699" s="510"/>
      <c r="Q699" s="510"/>
      <c r="R699" s="510"/>
      <c r="S699" s="510"/>
      <c r="T699" s="510"/>
      <c r="U699" s="510"/>
    </row>
    <row r="700" ht="27.0" customHeight="1">
      <c r="A700" s="510"/>
      <c r="B700" s="510"/>
      <c r="C700" s="510"/>
      <c r="D700" s="510"/>
      <c r="E700" s="510"/>
      <c r="F700" s="510"/>
      <c r="G700" s="510"/>
      <c r="H700" s="510"/>
      <c r="I700" s="510"/>
      <c r="J700" s="510"/>
      <c r="K700" s="510"/>
      <c r="L700" s="510"/>
      <c r="M700" s="510"/>
      <c r="N700" s="510"/>
      <c r="O700" s="510"/>
      <c r="P700" s="510"/>
      <c r="Q700" s="510"/>
      <c r="R700" s="510"/>
      <c r="S700" s="510"/>
      <c r="T700" s="510"/>
      <c r="U700" s="510"/>
    </row>
    <row r="701" ht="27.0" customHeight="1">
      <c r="A701" s="510"/>
      <c r="B701" s="510"/>
      <c r="C701" s="510"/>
      <c r="D701" s="510"/>
      <c r="E701" s="510"/>
      <c r="F701" s="510"/>
      <c r="G701" s="510"/>
      <c r="H701" s="510"/>
      <c r="I701" s="510"/>
      <c r="J701" s="510"/>
      <c r="K701" s="510"/>
      <c r="L701" s="510"/>
      <c r="M701" s="510"/>
      <c r="N701" s="510"/>
      <c r="O701" s="510"/>
      <c r="P701" s="510"/>
      <c r="Q701" s="510"/>
      <c r="R701" s="510"/>
      <c r="S701" s="510"/>
      <c r="T701" s="510"/>
      <c r="U701" s="510"/>
    </row>
    <row r="702" ht="27.0" customHeight="1">
      <c r="A702" s="510"/>
      <c r="B702" s="510"/>
      <c r="C702" s="510"/>
      <c r="D702" s="510"/>
      <c r="E702" s="510"/>
      <c r="F702" s="510"/>
      <c r="G702" s="510"/>
      <c r="H702" s="510"/>
      <c r="I702" s="510"/>
      <c r="J702" s="510"/>
      <c r="K702" s="510"/>
      <c r="L702" s="510"/>
      <c r="M702" s="510"/>
      <c r="N702" s="510"/>
      <c r="O702" s="510"/>
      <c r="P702" s="510"/>
      <c r="Q702" s="510"/>
      <c r="R702" s="510"/>
      <c r="S702" s="510"/>
      <c r="T702" s="510"/>
      <c r="U702" s="510"/>
    </row>
    <row r="703" ht="27.0" customHeight="1">
      <c r="A703" s="510"/>
      <c r="B703" s="510"/>
      <c r="C703" s="510"/>
      <c r="D703" s="510"/>
      <c r="E703" s="510"/>
      <c r="F703" s="510"/>
      <c r="G703" s="510"/>
      <c r="H703" s="510"/>
      <c r="I703" s="510"/>
      <c r="J703" s="510"/>
      <c r="K703" s="510"/>
      <c r="L703" s="510"/>
      <c r="M703" s="510"/>
      <c r="N703" s="510"/>
      <c r="O703" s="510"/>
      <c r="P703" s="510"/>
      <c r="Q703" s="510"/>
      <c r="R703" s="510"/>
      <c r="S703" s="510"/>
      <c r="T703" s="510"/>
      <c r="U703" s="510"/>
    </row>
    <row r="704" ht="27.0" customHeight="1">
      <c r="A704" s="510"/>
      <c r="B704" s="510"/>
      <c r="C704" s="510"/>
      <c r="D704" s="510"/>
      <c r="E704" s="510"/>
      <c r="F704" s="510"/>
      <c r="G704" s="510"/>
      <c r="H704" s="510"/>
      <c r="I704" s="510"/>
      <c r="J704" s="510"/>
      <c r="K704" s="510"/>
      <c r="L704" s="510"/>
      <c r="M704" s="510"/>
      <c r="N704" s="510"/>
      <c r="O704" s="510"/>
      <c r="P704" s="510"/>
      <c r="Q704" s="510"/>
      <c r="R704" s="510"/>
      <c r="S704" s="510"/>
      <c r="T704" s="510"/>
      <c r="U704" s="510"/>
    </row>
    <row r="705" ht="27.0" customHeight="1">
      <c r="A705" s="510"/>
      <c r="B705" s="510"/>
      <c r="C705" s="510"/>
      <c r="D705" s="510"/>
      <c r="E705" s="510"/>
      <c r="F705" s="510"/>
      <c r="G705" s="510"/>
      <c r="H705" s="510"/>
      <c r="I705" s="510"/>
      <c r="J705" s="510"/>
      <c r="K705" s="510"/>
      <c r="L705" s="510"/>
      <c r="M705" s="510"/>
      <c r="N705" s="510"/>
      <c r="O705" s="510"/>
      <c r="P705" s="510"/>
      <c r="Q705" s="510"/>
      <c r="R705" s="510"/>
      <c r="S705" s="510"/>
      <c r="T705" s="510"/>
      <c r="U705" s="510"/>
    </row>
    <row r="706" ht="27.0" customHeight="1">
      <c r="A706" s="510"/>
      <c r="B706" s="510"/>
      <c r="C706" s="510"/>
      <c r="D706" s="510"/>
      <c r="E706" s="510"/>
      <c r="F706" s="510"/>
      <c r="G706" s="510"/>
      <c r="H706" s="510"/>
      <c r="I706" s="510"/>
      <c r="J706" s="510"/>
      <c r="K706" s="510"/>
      <c r="L706" s="510"/>
      <c r="M706" s="510"/>
      <c r="N706" s="510"/>
      <c r="O706" s="510"/>
      <c r="P706" s="510"/>
      <c r="Q706" s="510"/>
      <c r="R706" s="510"/>
      <c r="S706" s="510"/>
      <c r="T706" s="510"/>
      <c r="U706" s="510"/>
    </row>
    <row r="707" ht="27.0" customHeight="1">
      <c r="A707" s="510"/>
      <c r="B707" s="510"/>
      <c r="C707" s="510"/>
      <c r="D707" s="510"/>
      <c r="E707" s="510"/>
      <c r="F707" s="510"/>
      <c r="G707" s="510"/>
      <c r="H707" s="510"/>
      <c r="I707" s="510"/>
      <c r="J707" s="510"/>
      <c r="K707" s="510"/>
      <c r="L707" s="510"/>
      <c r="M707" s="510"/>
      <c r="N707" s="510"/>
      <c r="O707" s="510"/>
      <c r="P707" s="510"/>
      <c r="Q707" s="510"/>
      <c r="R707" s="510"/>
      <c r="S707" s="510"/>
      <c r="T707" s="510"/>
      <c r="U707" s="510"/>
    </row>
    <row r="708" ht="27.0" customHeight="1">
      <c r="A708" s="510"/>
      <c r="B708" s="510"/>
      <c r="C708" s="510"/>
      <c r="D708" s="510"/>
      <c r="E708" s="510"/>
      <c r="F708" s="510"/>
      <c r="G708" s="510"/>
      <c r="H708" s="510"/>
      <c r="I708" s="510"/>
      <c r="J708" s="510"/>
      <c r="K708" s="510"/>
      <c r="L708" s="510"/>
      <c r="M708" s="510"/>
      <c r="N708" s="510"/>
      <c r="O708" s="510"/>
      <c r="P708" s="510"/>
      <c r="Q708" s="510"/>
      <c r="R708" s="510"/>
      <c r="S708" s="510"/>
      <c r="T708" s="510"/>
      <c r="U708" s="510"/>
    </row>
    <row r="709" ht="27.0" customHeight="1">
      <c r="A709" s="510"/>
      <c r="B709" s="510"/>
      <c r="C709" s="510"/>
      <c r="D709" s="510"/>
      <c r="E709" s="510"/>
      <c r="F709" s="510"/>
      <c r="G709" s="510"/>
      <c r="H709" s="510"/>
      <c r="I709" s="510"/>
      <c r="J709" s="510"/>
      <c r="K709" s="510"/>
      <c r="L709" s="510"/>
      <c r="M709" s="510"/>
      <c r="N709" s="510"/>
      <c r="O709" s="510"/>
      <c r="P709" s="510"/>
      <c r="Q709" s="510"/>
      <c r="R709" s="510"/>
      <c r="S709" s="510"/>
      <c r="T709" s="510"/>
      <c r="U709" s="510"/>
    </row>
    <row r="710" ht="27.0" customHeight="1">
      <c r="A710" s="510"/>
      <c r="B710" s="510"/>
      <c r="C710" s="510"/>
      <c r="D710" s="510"/>
      <c r="E710" s="510"/>
      <c r="F710" s="510"/>
      <c r="G710" s="510"/>
      <c r="H710" s="510"/>
      <c r="I710" s="510"/>
      <c r="J710" s="510"/>
      <c r="K710" s="510"/>
      <c r="L710" s="510"/>
      <c r="M710" s="510"/>
      <c r="N710" s="510"/>
      <c r="O710" s="510"/>
      <c r="P710" s="510"/>
      <c r="Q710" s="510"/>
      <c r="R710" s="510"/>
      <c r="S710" s="510"/>
      <c r="T710" s="510"/>
      <c r="U710" s="510"/>
    </row>
    <row r="711" ht="27.0" customHeight="1">
      <c r="A711" s="510"/>
      <c r="B711" s="510"/>
      <c r="C711" s="510"/>
      <c r="D711" s="510"/>
      <c r="E711" s="510"/>
      <c r="F711" s="510"/>
      <c r="G711" s="510"/>
      <c r="H711" s="510"/>
      <c r="I711" s="510"/>
      <c r="J711" s="510"/>
      <c r="K711" s="510"/>
      <c r="L711" s="510"/>
      <c r="M711" s="510"/>
      <c r="N711" s="510"/>
      <c r="O711" s="510"/>
      <c r="P711" s="510"/>
      <c r="Q711" s="510"/>
      <c r="R711" s="510"/>
      <c r="S711" s="510"/>
      <c r="T711" s="510"/>
      <c r="U711" s="510"/>
    </row>
    <row r="712" ht="27.0" customHeight="1">
      <c r="A712" s="510"/>
      <c r="B712" s="510"/>
      <c r="C712" s="510"/>
      <c r="D712" s="510"/>
      <c r="E712" s="510"/>
      <c r="F712" s="510"/>
      <c r="G712" s="510"/>
      <c r="H712" s="510"/>
      <c r="I712" s="510"/>
      <c r="J712" s="510"/>
      <c r="K712" s="510"/>
      <c r="L712" s="510"/>
      <c r="M712" s="510"/>
      <c r="N712" s="510"/>
      <c r="O712" s="510"/>
      <c r="P712" s="510"/>
      <c r="Q712" s="510"/>
      <c r="R712" s="510"/>
      <c r="S712" s="510"/>
      <c r="T712" s="510"/>
      <c r="U712" s="510"/>
    </row>
    <row r="713" ht="27.0" customHeight="1">
      <c r="A713" s="510"/>
      <c r="B713" s="510"/>
      <c r="C713" s="510"/>
      <c r="D713" s="510"/>
      <c r="E713" s="510"/>
      <c r="F713" s="510"/>
      <c r="G713" s="510"/>
      <c r="H713" s="510"/>
      <c r="I713" s="510"/>
      <c r="J713" s="510"/>
      <c r="K713" s="510"/>
      <c r="L713" s="510"/>
      <c r="M713" s="510"/>
      <c r="N713" s="510"/>
      <c r="O713" s="510"/>
      <c r="P713" s="510"/>
      <c r="Q713" s="510"/>
      <c r="R713" s="510"/>
      <c r="S713" s="510"/>
      <c r="T713" s="510"/>
      <c r="U713" s="510"/>
    </row>
    <row r="714" ht="27.0" customHeight="1">
      <c r="A714" s="510"/>
      <c r="B714" s="510"/>
      <c r="C714" s="510"/>
      <c r="D714" s="510"/>
      <c r="E714" s="510"/>
      <c r="F714" s="510"/>
      <c r="G714" s="510"/>
      <c r="H714" s="510"/>
      <c r="I714" s="510"/>
      <c r="J714" s="510"/>
      <c r="K714" s="510"/>
      <c r="L714" s="510"/>
      <c r="M714" s="510"/>
      <c r="N714" s="510"/>
      <c r="O714" s="510"/>
      <c r="P714" s="510"/>
      <c r="Q714" s="510"/>
      <c r="R714" s="510"/>
      <c r="S714" s="510"/>
      <c r="T714" s="510"/>
      <c r="U714" s="510"/>
    </row>
    <row r="715" ht="27.0" customHeight="1">
      <c r="A715" s="510"/>
      <c r="B715" s="510"/>
      <c r="C715" s="510"/>
      <c r="D715" s="510"/>
      <c r="E715" s="510"/>
      <c r="F715" s="510"/>
      <c r="G715" s="510"/>
      <c r="H715" s="510"/>
      <c r="I715" s="510"/>
      <c r="J715" s="510"/>
      <c r="K715" s="510"/>
      <c r="L715" s="510"/>
      <c r="M715" s="510"/>
      <c r="N715" s="510"/>
      <c r="O715" s="510"/>
      <c r="P715" s="510"/>
      <c r="Q715" s="510"/>
      <c r="R715" s="510"/>
      <c r="S715" s="510"/>
      <c r="T715" s="510"/>
      <c r="U715" s="510"/>
    </row>
    <row r="716" ht="27.0" customHeight="1">
      <c r="A716" s="510"/>
      <c r="B716" s="510"/>
      <c r="C716" s="510"/>
      <c r="D716" s="510"/>
      <c r="E716" s="510"/>
      <c r="F716" s="510"/>
      <c r="G716" s="510"/>
      <c r="H716" s="510"/>
      <c r="I716" s="510"/>
      <c r="J716" s="510"/>
      <c r="K716" s="510"/>
      <c r="L716" s="510"/>
      <c r="M716" s="510"/>
      <c r="N716" s="510"/>
      <c r="O716" s="510"/>
      <c r="P716" s="510"/>
      <c r="Q716" s="510"/>
      <c r="R716" s="510"/>
      <c r="S716" s="510"/>
      <c r="T716" s="510"/>
      <c r="U716" s="510"/>
    </row>
    <row r="717" ht="27.0" customHeight="1">
      <c r="A717" s="510"/>
      <c r="B717" s="510"/>
      <c r="C717" s="510"/>
      <c r="D717" s="510"/>
      <c r="E717" s="510"/>
      <c r="F717" s="510"/>
      <c r="G717" s="510"/>
      <c r="H717" s="510"/>
      <c r="I717" s="510"/>
      <c r="J717" s="510"/>
      <c r="K717" s="510"/>
      <c r="L717" s="510"/>
      <c r="M717" s="510"/>
      <c r="N717" s="510"/>
      <c r="O717" s="510"/>
      <c r="P717" s="510"/>
      <c r="Q717" s="510"/>
      <c r="R717" s="510"/>
      <c r="S717" s="510"/>
      <c r="T717" s="510"/>
      <c r="U717" s="510"/>
    </row>
    <row r="718" ht="27.0" customHeight="1">
      <c r="A718" s="510"/>
      <c r="B718" s="510"/>
      <c r="C718" s="510"/>
      <c r="D718" s="510"/>
      <c r="E718" s="510"/>
      <c r="F718" s="510"/>
      <c r="G718" s="510"/>
      <c r="H718" s="510"/>
      <c r="I718" s="510"/>
      <c r="J718" s="510"/>
      <c r="K718" s="510"/>
      <c r="L718" s="510"/>
      <c r="M718" s="510"/>
      <c r="N718" s="510"/>
      <c r="O718" s="510"/>
      <c r="P718" s="510"/>
      <c r="Q718" s="510"/>
      <c r="R718" s="510"/>
      <c r="S718" s="510"/>
      <c r="T718" s="510"/>
      <c r="U718" s="510"/>
    </row>
    <row r="719" ht="27.0" customHeight="1">
      <c r="A719" s="510"/>
      <c r="B719" s="510"/>
      <c r="C719" s="510"/>
      <c r="D719" s="510"/>
      <c r="E719" s="510"/>
      <c r="F719" s="510"/>
      <c r="G719" s="510"/>
      <c r="H719" s="510"/>
      <c r="I719" s="510"/>
      <c r="J719" s="510"/>
      <c r="K719" s="510"/>
      <c r="L719" s="510"/>
      <c r="M719" s="510"/>
      <c r="N719" s="510"/>
      <c r="O719" s="510"/>
      <c r="P719" s="510"/>
      <c r="Q719" s="510"/>
      <c r="R719" s="510"/>
      <c r="S719" s="510"/>
      <c r="T719" s="510"/>
      <c r="U719" s="510"/>
    </row>
    <row r="720" ht="27.0" customHeight="1">
      <c r="A720" s="510"/>
      <c r="B720" s="510"/>
      <c r="C720" s="510"/>
      <c r="D720" s="510"/>
      <c r="E720" s="510"/>
      <c r="F720" s="510"/>
      <c r="G720" s="510"/>
      <c r="H720" s="510"/>
      <c r="I720" s="510"/>
      <c r="J720" s="510"/>
      <c r="K720" s="510"/>
      <c r="L720" s="510"/>
      <c r="M720" s="510"/>
      <c r="N720" s="510"/>
      <c r="O720" s="510"/>
      <c r="P720" s="510"/>
      <c r="Q720" s="510"/>
      <c r="R720" s="510"/>
      <c r="S720" s="510"/>
      <c r="T720" s="510"/>
      <c r="U720" s="510"/>
    </row>
    <row r="721" ht="27.0" customHeight="1">
      <c r="A721" s="510"/>
      <c r="B721" s="510"/>
      <c r="C721" s="510"/>
      <c r="D721" s="510"/>
      <c r="E721" s="510"/>
      <c r="F721" s="510"/>
      <c r="G721" s="510"/>
      <c r="H721" s="510"/>
      <c r="I721" s="510"/>
      <c r="J721" s="510"/>
      <c r="K721" s="510"/>
      <c r="L721" s="510"/>
      <c r="M721" s="510"/>
      <c r="N721" s="510"/>
      <c r="O721" s="510"/>
      <c r="P721" s="510"/>
      <c r="Q721" s="510"/>
      <c r="R721" s="510"/>
      <c r="S721" s="510"/>
      <c r="T721" s="510"/>
      <c r="U721" s="510"/>
    </row>
    <row r="722" ht="27.0" customHeight="1">
      <c r="A722" s="510"/>
      <c r="B722" s="510"/>
      <c r="C722" s="510"/>
      <c r="D722" s="510"/>
      <c r="E722" s="510"/>
      <c r="F722" s="510"/>
      <c r="G722" s="510"/>
      <c r="H722" s="510"/>
      <c r="I722" s="510"/>
      <c r="J722" s="510"/>
      <c r="K722" s="510"/>
      <c r="L722" s="510"/>
      <c r="M722" s="510"/>
      <c r="N722" s="510"/>
      <c r="O722" s="510"/>
      <c r="P722" s="510"/>
      <c r="Q722" s="510"/>
      <c r="R722" s="510"/>
      <c r="S722" s="510"/>
      <c r="T722" s="510"/>
      <c r="U722" s="510"/>
    </row>
    <row r="723" ht="27.0" customHeight="1">
      <c r="A723" s="510"/>
      <c r="B723" s="510"/>
      <c r="C723" s="510"/>
      <c r="D723" s="510"/>
      <c r="E723" s="510"/>
      <c r="F723" s="510"/>
      <c r="G723" s="510"/>
      <c r="H723" s="510"/>
      <c r="I723" s="510"/>
      <c r="J723" s="510"/>
      <c r="K723" s="510"/>
      <c r="L723" s="510"/>
      <c r="M723" s="510"/>
      <c r="N723" s="510"/>
      <c r="O723" s="510"/>
      <c r="P723" s="510"/>
      <c r="Q723" s="510"/>
      <c r="R723" s="510"/>
      <c r="S723" s="510"/>
      <c r="T723" s="510"/>
      <c r="U723" s="510"/>
    </row>
    <row r="724" ht="27.0" customHeight="1">
      <c r="A724" s="510"/>
      <c r="B724" s="510"/>
      <c r="C724" s="510"/>
      <c r="D724" s="510"/>
      <c r="E724" s="510"/>
      <c r="F724" s="510"/>
      <c r="G724" s="510"/>
      <c r="H724" s="510"/>
      <c r="I724" s="510"/>
      <c r="J724" s="510"/>
      <c r="K724" s="510"/>
      <c r="L724" s="510"/>
      <c r="M724" s="510"/>
      <c r="N724" s="510"/>
      <c r="O724" s="510"/>
      <c r="P724" s="510"/>
      <c r="Q724" s="510"/>
      <c r="R724" s="510"/>
      <c r="S724" s="510"/>
      <c r="T724" s="510"/>
      <c r="U724" s="510"/>
    </row>
    <row r="725" ht="27.0" customHeight="1">
      <c r="A725" s="510"/>
      <c r="B725" s="510"/>
      <c r="C725" s="510"/>
      <c r="D725" s="510"/>
      <c r="E725" s="510"/>
      <c r="F725" s="510"/>
      <c r="G725" s="510"/>
      <c r="H725" s="510"/>
      <c r="I725" s="510"/>
      <c r="J725" s="510"/>
      <c r="K725" s="510"/>
      <c r="L725" s="510"/>
      <c r="M725" s="510"/>
      <c r="N725" s="510"/>
      <c r="O725" s="510"/>
      <c r="P725" s="510"/>
      <c r="Q725" s="510"/>
      <c r="R725" s="510"/>
      <c r="S725" s="510"/>
      <c r="T725" s="510"/>
      <c r="U725" s="510"/>
    </row>
    <row r="726" ht="27.0" customHeight="1">
      <c r="A726" s="510"/>
      <c r="B726" s="510"/>
      <c r="C726" s="510"/>
      <c r="D726" s="510"/>
      <c r="E726" s="510"/>
      <c r="F726" s="510"/>
      <c r="G726" s="510"/>
      <c r="H726" s="510"/>
      <c r="I726" s="510"/>
      <c r="J726" s="510"/>
      <c r="K726" s="510"/>
      <c r="L726" s="510"/>
      <c r="M726" s="510"/>
      <c r="N726" s="510"/>
      <c r="O726" s="510"/>
      <c r="P726" s="510"/>
      <c r="Q726" s="510"/>
      <c r="R726" s="510"/>
      <c r="S726" s="510"/>
      <c r="T726" s="510"/>
      <c r="U726" s="510"/>
    </row>
    <row r="727" ht="27.0" customHeight="1">
      <c r="A727" s="510"/>
      <c r="B727" s="510"/>
      <c r="C727" s="510"/>
      <c r="D727" s="510"/>
      <c r="E727" s="510"/>
      <c r="F727" s="510"/>
      <c r="G727" s="510"/>
      <c r="H727" s="510"/>
      <c r="I727" s="510"/>
      <c r="J727" s="510"/>
      <c r="K727" s="510"/>
      <c r="L727" s="510"/>
      <c r="M727" s="510"/>
      <c r="N727" s="510"/>
      <c r="O727" s="510"/>
      <c r="P727" s="510"/>
      <c r="Q727" s="510"/>
      <c r="R727" s="510"/>
      <c r="S727" s="510"/>
      <c r="T727" s="510"/>
      <c r="U727" s="510"/>
    </row>
    <row r="728" ht="27.0" customHeight="1">
      <c r="A728" s="510"/>
      <c r="B728" s="510"/>
      <c r="C728" s="510"/>
      <c r="D728" s="510"/>
      <c r="E728" s="510"/>
      <c r="F728" s="510"/>
      <c r="G728" s="510"/>
      <c r="H728" s="510"/>
      <c r="I728" s="510"/>
      <c r="J728" s="510"/>
      <c r="K728" s="510"/>
      <c r="L728" s="510"/>
      <c r="M728" s="510"/>
      <c r="N728" s="510"/>
      <c r="O728" s="510"/>
      <c r="P728" s="510"/>
      <c r="Q728" s="510"/>
      <c r="R728" s="510"/>
      <c r="S728" s="510"/>
      <c r="T728" s="510"/>
      <c r="U728" s="510"/>
    </row>
    <row r="729" ht="27.0" customHeight="1">
      <c r="A729" s="510"/>
      <c r="B729" s="510"/>
      <c r="C729" s="510"/>
      <c r="D729" s="510"/>
      <c r="E729" s="510"/>
      <c r="F729" s="510"/>
      <c r="G729" s="510"/>
      <c r="H729" s="510"/>
      <c r="I729" s="510"/>
      <c r="J729" s="510"/>
      <c r="K729" s="510"/>
      <c r="L729" s="510"/>
      <c r="M729" s="510"/>
      <c r="N729" s="510"/>
      <c r="O729" s="510"/>
      <c r="P729" s="510"/>
      <c r="Q729" s="510"/>
      <c r="R729" s="510"/>
      <c r="S729" s="510"/>
      <c r="T729" s="510"/>
      <c r="U729" s="510"/>
    </row>
    <row r="730" ht="27.0" customHeight="1">
      <c r="A730" s="510"/>
      <c r="B730" s="510"/>
      <c r="C730" s="510"/>
      <c r="D730" s="510"/>
      <c r="E730" s="510"/>
      <c r="F730" s="510"/>
      <c r="G730" s="510"/>
      <c r="H730" s="510"/>
      <c r="I730" s="510"/>
      <c r="J730" s="510"/>
      <c r="K730" s="510"/>
      <c r="L730" s="510"/>
      <c r="M730" s="510"/>
      <c r="N730" s="510"/>
      <c r="O730" s="510"/>
      <c r="P730" s="510"/>
      <c r="Q730" s="510"/>
      <c r="R730" s="510"/>
      <c r="S730" s="510"/>
      <c r="T730" s="510"/>
      <c r="U730" s="510"/>
    </row>
    <row r="731" ht="27.0" customHeight="1">
      <c r="A731" s="510"/>
      <c r="B731" s="510"/>
      <c r="C731" s="510"/>
      <c r="D731" s="510"/>
      <c r="E731" s="510"/>
      <c r="F731" s="510"/>
      <c r="G731" s="510"/>
      <c r="H731" s="510"/>
      <c r="I731" s="510"/>
      <c r="J731" s="510"/>
      <c r="K731" s="510"/>
      <c r="L731" s="510"/>
      <c r="M731" s="510"/>
      <c r="N731" s="510"/>
      <c r="O731" s="510"/>
      <c r="P731" s="510"/>
      <c r="Q731" s="510"/>
      <c r="R731" s="510"/>
      <c r="S731" s="510"/>
      <c r="T731" s="510"/>
      <c r="U731" s="510"/>
    </row>
    <row r="732" ht="27.0" customHeight="1">
      <c r="A732" s="510"/>
      <c r="B732" s="510"/>
      <c r="C732" s="510"/>
      <c r="D732" s="510"/>
      <c r="E732" s="510"/>
      <c r="F732" s="510"/>
      <c r="G732" s="510"/>
      <c r="H732" s="510"/>
      <c r="I732" s="510"/>
      <c r="J732" s="510"/>
      <c r="K732" s="510"/>
      <c r="L732" s="510"/>
      <c r="M732" s="510"/>
      <c r="N732" s="510"/>
      <c r="O732" s="510"/>
      <c r="P732" s="510"/>
      <c r="Q732" s="510"/>
      <c r="R732" s="510"/>
      <c r="S732" s="510"/>
      <c r="T732" s="510"/>
      <c r="U732" s="510"/>
    </row>
    <row r="733" ht="27.0" customHeight="1">
      <c r="A733" s="510"/>
      <c r="B733" s="510"/>
      <c r="C733" s="510"/>
      <c r="D733" s="510"/>
      <c r="E733" s="510"/>
      <c r="F733" s="510"/>
      <c r="G733" s="510"/>
      <c r="H733" s="510"/>
      <c r="I733" s="510"/>
      <c r="J733" s="510"/>
      <c r="K733" s="510"/>
      <c r="L733" s="510"/>
      <c r="M733" s="510"/>
      <c r="N733" s="510"/>
      <c r="O733" s="510"/>
      <c r="P733" s="510"/>
      <c r="Q733" s="510"/>
      <c r="R733" s="510"/>
      <c r="S733" s="510"/>
      <c r="T733" s="510"/>
      <c r="U733" s="510"/>
    </row>
    <row r="734" ht="27.0" customHeight="1">
      <c r="A734" s="510"/>
      <c r="B734" s="510"/>
      <c r="C734" s="510"/>
      <c r="D734" s="510"/>
      <c r="E734" s="510"/>
      <c r="F734" s="510"/>
      <c r="G734" s="510"/>
      <c r="H734" s="510"/>
      <c r="I734" s="510"/>
      <c r="J734" s="510"/>
      <c r="K734" s="510"/>
      <c r="L734" s="510"/>
      <c r="M734" s="510"/>
      <c r="N734" s="510"/>
      <c r="O734" s="510"/>
      <c r="P734" s="510"/>
      <c r="Q734" s="510"/>
      <c r="R734" s="510"/>
      <c r="S734" s="510"/>
      <c r="T734" s="510"/>
      <c r="U734" s="510"/>
    </row>
    <row r="735" ht="27.0" customHeight="1">
      <c r="A735" s="510"/>
      <c r="B735" s="510"/>
      <c r="C735" s="510"/>
      <c r="D735" s="510"/>
      <c r="E735" s="510"/>
      <c r="F735" s="510"/>
      <c r="G735" s="510"/>
      <c r="H735" s="510"/>
      <c r="I735" s="510"/>
      <c r="J735" s="510"/>
      <c r="K735" s="510"/>
      <c r="L735" s="510"/>
      <c r="M735" s="510"/>
      <c r="N735" s="510"/>
      <c r="O735" s="510"/>
      <c r="P735" s="510"/>
      <c r="Q735" s="510"/>
      <c r="R735" s="510"/>
      <c r="S735" s="510"/>
      <c r="T735" s="510"/>
      <c r="U735" s="510"/>
    </row>
    <row r="736" ht="27.0" customHeight="1">
      <c r="A736" s="510"/>
      <c r="B736" s="510"/>
      <c r="C736" s="510"/>
      <c r="D736" s="510"/>
      <c r="E736" s="510"/>
      <c r="F736" s="510"/>
      <c r="G736" s="510"/>
      <c r="H736" s="510"/>
      <c r="I736" s="510"/>
      <c r="J736" s="510"/>
      <c r="K736" s="510"/>
      <c r="L736" s="510"/>
      <c r="M736" s="510"/>
      <c r="N736" s="510"/>
      <c r="O736" s="510"/>
      <c r="P736" s="510"/>
      <c r="Q736" s="510"/>
      <c r="R736" s="510"/>
      <c r="S736" s="510"/>
      <c r="T736" s="510"/>
      <c r="U736" s="510"/>
    </row>
    <row r="737" ht="27.0" customHeight="1">
      <c r="A737" s="510"/>
      <c r="B737" s="510"/>
      <c r="C737" s="510"/>
      <c r="D737" s="510"/>
      <c r="E737" s="510"/>
      <c r="F737" s="510"/>
      <c r="G737" s="510"/>
      <c r="H737" s="510"/>
      <c r="I737" s="510"/>
      <c r="J737" s="510"/>
      <c r="K737" s="510"/>
      <c r="L737" s="510"/>
      <c r="M737" s="510"/>
      <c r="N737" s="510"/>
      <c r="O737" s="510"/>
      <c r="P737" s="510"/>
      <c r="Q737" s="510"/>
      <c r="R737" s="510"/>
      <c r="S737" s="510"/>
      <c r="T737" s="510"/>
      <c r="U737" s="510"/>
    </row>
    <row r="738" ht="27.0" customHeight="1">
      <c r="A738" s="510"/>
      <c r="B738" s="510"/>
      <c r="C738" s="510"/>
      <c r="D738" s="510"/>
      <c r="E738" s="510"/>
      <c r="F738" s="510"/>
      <c r="G738" s="510"/>
      <c r="H738" s="510"/>
      <c r="I738" s="510"/>
      <c r="J738" s="510"/>
      <c r="K738" s="510"/>
      <c r="L738" s="510"/>
      <c r="M738" s="510"/>
      <c r="N738" s="510"/>
      <c r="O738" s="510"/>
      <c r="P738" s="510"/>
      <c r="Q738" s="510"/>
      <c r="R738" s="510"/>
      <c r="S738" s="510"/>
      <c r="T738" s="510"/>
      <c r="U738" s="510"/>
    </row>
    <row r="739" ht="27.0" customHeight="1">
      <c r="A739" s="510"/>
      <c r="B739" s="510"/>
      <c r="C739" s="510"/>
      <c r="D739" s="510"/>
      <c r="E739" s="510"/>
      <c r="F739" s="510"/>
      <c r="G739" s="510"/>
      <c r="H739" s="510"/>
      <c r="I739" s="510"/>
      <c r="J739" s="510"/>
      <c r="K739" s="510"/>
      <c r="L739" s="510"/>
      <c r="M739" s="510"/>
      <c r="N739" s="510"/>
      <c r="O739" s="510"/>
      <c r="P739" s="510"/>
      <c r="Q739" s="510"/>
      <c r="R739" s="510"/>
      <c r="S739" s="510"/>
      <c r="T739" s="510"/>
      <c r="U739" s="510"/>
    </row>
    <row r="740" ht="27.0" customHeight="1">
      <c r="A740" s="510"/>
      <c r="B740" s="510"/>
      <c r="C740" s="510"/>
      <c r="D740" s="510"/>
      <c r="E740" s="510"/>
      <c r="F740" s="510"/>
      <c r="G740" s="510"/>
      <c r="H740" s="510"/>
      <c r="I740" s="510"/>
      <c r="J740" s="510"/>
      <c r="K740" s="510"/>
      <c r="L740" s="510"/>
      <c r="M740" s="510"/>
      <c r="N740" s="510"/>
      <c r="O740" s="510"/>
      <c r="P740" s="510"/>
      <c r="Q740" s="510"/>
      <c r="R740" s="510"/>
      <c r="S740" s="510"/>
      <c r="T740" s="510"/>
      <c r="U740" s="510"/>
    </row>
    <row r="741" ht="27.0" customHeight="1">
      <c r="A741" s="510"/>
      <c r="B741" s="510"/>
      <c r="C741" s="510"/>
      <c r="D741" s="510"/>
      <c r="E741" s="510"/>
      <c r="F741" s="510"/>
      <c r="G741" s="510"/>
      <c r="H741" s="510"/>
      <c r="I741" s="510"/>
      <c r="J741" s="510"/>
      <c r="K741" s="510"/>
      <c r="L741" s="510"/>
      <c r="M741" s="510"/>
      <c r="N741" s="510"/>
      <c r="O741" s="510"/>
      <c r="P741" s="510"/>
      <c r="Q741" s="510"/>
      <c r="R741" s="510"/>
      <c r="S741" s="510"/>
      <c r="T741" s="510"/>
      <c r="U741" s="510"/>
    </row>
    <row r="742" ht="27.0" customHeight="1">
      <c r="A742" s="510"/>
      <c r="B742" s="510"/>
      <c r="C742" s="510"/>
      <c r="D742" s="510"/>
      <c r="E742" s="510"/>
      <c r="F742" s="510"/>
      <c r="G742" s="510"/>
      <c r="H742" s="510"/>
      <c r="I742" s="510"/>
      <c r="J742" s="510"/>
      <c r="K742" s="510"/>
      <c r="L742" s="510"/>
      <c r="M742" s="510"/>
      <c r="N742" s="510"/>
      <c r="O742" s="510"/>
      <c r="P742" s="510"/>
      <c r="Q742" s="510"/>
      <c r="R742" s="510"/>
      <c r="S742" s="510"/>
      <c r="T742" s="510"/>
      <c r="U742" s="510"/>
    </row>
    <row r="743" ht="27.0" customHeight="1">
      <c r="A743" s="510"/>
      <c r="B743" s="510"/>
      <c r="C743" s="510"/>
      <c r="D743" s="510"/>
      <c r="E743" s="510"/>
      <c r="F743" s="510"/>
      <c r="G743" s="510"/>
      <c r="H743" s="510"/>
      <c r="I743" s="510"/>
      <c r="J743" s="510"/>
      <c r="K743" s="510"/>
      <c r="L743" s="510"/>
      <c r="M743" s="510"/>
      <c r="N743" s="510"/>
      <c r="O743" s="510"/>
      <c r="P743" s="510"/>
      <c r="Q743" s="510"/>
      <c r="R743" s="510"/>
      <c r="S743" s="510"/>
      <c r="T743" s="510"/>
      <c r="U743" s="510"/>
    </row>
    <row r="744" ht="27.0" customHeight="1">
      <c r="A744" s="510"/>
      <c r="B744" s="510"/>
      <c r="C744" s="510"/>
      <c r="D744" s="510"/>
      <c r="E744" s="510"/>
      <c r="F744" s="510"/>
      <c r="G744" s="510"/>
      <c r="H744" s="510"/>
      <c r="I744" s="510"/>
      <c r="J744" s="510"/>
      <c r="K744" s="510"/>
      <c r="L744" s="510"/>
      <c r="M744" s="510"/>
      <c r="N744" s="510"/>
      <c r="O744" s="510"/>
      <c r="P744" s="510"/>
      <c r="Q744" s="510"/>
      <c r="R744" s="510"/>
      <c r="S744" s="510"/>
      <c r="T744" s="510"/>
      <c r="U744" s="510"/>
    </row>
    <row r="745" ht="27.0" customHeight="1">
      <c r="A745" s="510"/>
      <c r="B745" s="510"/>
      <c r="C745" s="510"/>
      <c r="D745" s="510"/>
      <c r="E745" s="510"/>
      <c r="F745" s="510"/>
      <c r="G745" s="510"/>
      <c r="H745" s="510"/>
      <c r="I745" s="510"/>
      <c r="J745" s="510"/>
      <c r="K745" s="510"/>
      <c r="L745" s="510"/>
      <c r="M745" s="510"/>
      <c r="N745" s="510"/>
      <c r="O745" s="510"/>
      <c r="P745" s="510"/>
      <c r="Q745" s="510"/>
      <c r="R745" s="510"/>
      <c r="S745" s="510"/>
      <c r="T745" s="510"/>
      <c r="U745" s="510"/>
    </row>
    <row r="746" ht="27.0" customHeight="1">
      <c r="A746" s="510"/>
      <c r="B746" s="510"/>
      <c r="C746" s="510"/>
      <c r="D746" s="510"/>
      <c r="E746" s="510"/>
      <c r="F746" s="510"/>
      <c r="G746" s="510"/>
      <c r="H746" s="510"/>
      <c r="I746" s="510"/>
      <c r="J746" s="510"/>
      <c r="K746" s="510"/>
      <c r="L746" s="510"/>
      <c r="M746" s="510"/>
      <c r="N746" s="510"/>
      <c r="O746" s="510"/>
      <c r="P746" s="510"/>
      <c r="Q746" s="510"/>
      <c r="R746" s="510"/>
      <c r="S746" s="510"/>
      <c r="T746" s="510"/>
      <c r="U746" s="510"/>
    </row>
    <row r="747" ht="27.0" customHeight="1">
      <c r="A747" s="510"/>
      <c r="B747" s="510"/>
      <c r="C747" s="510"/>
      <c r="D747" s="510"/>
      <c r="E747" s="510"/>
      <c r="F747" s="510"/>
      <c r="G747" s="510"/>
      <c r="H747" s="510"/>
      <c r="I747" s="510"/>
      <c r="J747" s="510"/>
      <c r="K747" s="510"/>
      <c r="L747" s="510"/>
      <c r="M747" s="510"/>
      <c r="N747" s="510"/>
      <c r="O747" s="510"/>
      <c r="P747" s="510"/>
      <c r="Q747" s="510"/>
      <c r="R747" s="510"/>
      <c r="S747" s="510"/>
      <c r="T747" s="510"/>
      <c r="U747" s="510"/>
    </row>
    <row r="748" ht="27.0" customHeight="1">
      <c r="A748" s="510"/>
      <c r="B748" s="510"/>
      <c r="C748" s="510"/>
      <c r="D748" s="510"/>
      <c r="E748" s="510"/>
      <c r="F748" s="510"/>
      <c r="G748" s="510"/>
      <c r="H748" s="510"/>
      <c r="I748" s="510"/>
      <c r="J748" s="510"/>
      <c r="K748" s="510"/>
      <c r="L748" s="510"/>
      <c r="M748" s="510"/>
      <c r="N748" s="510"/>
      <c r="O748" s="510"/>
      <c r="P748" s="510"/>
      <c r="Q748" s="510"/>
      <c r="R748" s="510"/>
      <c r="S748" s="510"/>
      <c r="T748" s="510"/>
      <c r="U748" s="510"/>
    </row>
    <row r="749" ht="27.0" customHeight="1">
      <c r="A749" s="510"/>
      <c r="B749" s="510"/>
      <c r="C749" s="510"/>
      <c r="D749" s="510"/>
      <c r="E749" s="510"/>
      <c r="F749" s="510"/>
      <c r="G749" s="510"/>
      <c r="H749" s="510"/>
      <c r="I749" s="510"/>
      <c r="J749" s="510"/>
      <c r="K749" s="510"/>
      <c r="L749" s="510"/>
      <c r="M749" s="510"/>
      <c r="N749" s="510"/>
      <c r="O749" s="510"/>
      <c r="P749" s="510"/>
      <c r="Q749" s="510"/>
      <c r="R749" s="510"/>
      <c r="S749" s="510"/>
      <c r="T749" s="510"/>
      <c r="U749" s="510"/>
    </row>
    <row r="750" ht="27.0" customHeight="1">
      <c r="A750" s="510"/>
      <c r="B750" s="510"/>
      <c r="C750" s="510"/>
      <c r="D750" s="510"/>
      <c r="E750" s="510"/>
      <c r="F750" s="510"/>
      <c r="G750" s="510"/>
      <c r="H750" s="510"/>
      <c r="I750" s="510"/>
      <c r="J750" s="510"/>
      <c r="K750" s="510"/>
      <c r="L750" s="510"/>
      <c r="M750" s="510"/>
      <c r="N750" s="510"/>
      <c r="O750" s="510"/>
      <c r="P750" s="510"/>
      <c r="Q750" s="510"/>
      <c r="R750" s="510"/>
      <c r="S750" s="510"/>
      <c r="T750" s="510"/>
      <c r="U750" s="510"/>
    </row>
    <row r="751" ht="27.0" customHeight="1">
      <c r="A751" s="510"/>
      <c r="B751" s="510"/>
      <c r="C751" s="510"/>
      <c r="D751" s="510"/>
      <c r="E751" s="510"/>
      <c r="F751" s="510"/>
      <c r="G751" s="510"/>
      <c r="H751" s="510"/>
      <c r="I751" s="510"/>
      <c r="J751" s="510"/>
      <c r="K751" s="510"/>
      <c r="L751" s="510"/>
      <c r="M751" s="510"/>
      <c r="N751" s="510"/>
      <c r="O751" s="510"/>
      <c r="P751" s="510"/>
      <c r="Q751" s="510"/>
      <c r="R751" s="510"/>
      <c r="S751" s="510"/>
      <c r="T751" s="510"/>
      <c r="U751" s="510"/>
    </row>
    <row r="752" ht="27.0" customHeight="1">
      <c r="A752" s="510"/>
      <c r="B752" s="510"/>
      <c r="C752" s="510"/>
      <c r="D752" s="510"/>
      <c r="E752" s="510"/>
      <c r="F752" s="510"/>
      <c r="G752" s="510"/>
      <c r="H752" s="510"/>
      <c r="I752" s="510"/>
      <c r="J752" s="510"/>
      <c r="K752" s="510"/>
      <c r="L752" s="510"/>
      <c r="M752" s="510"/>
      <c r="N752" s="510"/>
      <c r="O752" s="510"/>
      <c r="P752" s="510"/>
      <c r="Q752" s="510"/>
      <c r="R752" s="510"/>
      <c r="S752" s="510"/>
      <c r="T752" s="510"/>
      <c r="U752" s="510"/>
    </row>
    <row r="753" ht="27.0" customHeight="1">
      <c r="A753" s="510"/>
      <c r="B753" s="510"/>
      <c r="C753" s="510"/>
      <c r="D753" s="510"/>
      <c r="E753" s="510"/>
      <c r="F753" s="510"/>
      <c r="G753" s="510"/>
      <c r="H753" s="510"/>
      <c r="I753" s="510"/>
      <c r="J753" s="510"/>
      <c r="K753" s="510"/>
      <c r="L753" s="510"/>
      <c r="M753" s="510"/>
      <c r="N753" s="510"/>
      <c r="O753" s="510"/>
      <c r="P753" s="510"/>
      <c r="Q753" s="510"/>
      <c r="R753" s="510"/>
      <c r="S753" s="510"/>
      <c r="T753" s="510"/>
      <c r="U753" s="510"/>
    </row>
    <row r="754" ht="27.0" customHeight="1">
      <c r="A754" s="510"/>
      <c r="B754" s="510"/>
      <c r="C754" s="510"/>
      <c r="D754" s="510"/>
      <c r="E754" s="510"/>
      <c r="F754" s="510"/>
      <c r="G754" s="510"/>
      <c r="H754" s="510"/>
      <c r="I754" s="510"/>
      <c r="J754" s="510"/>
      <c r="K754" s="510"/>
      <c r="L754" s="510"/>
      <c r="M754" s="510"/>
      <c r="N754" s="510"/>
      <c r="O754" s="510"/>
      <c r="P754" s="510"/>
      <c r="Q754" s="510"/>
      <c r="R754" s="510"/>
      <c r="S754" s="510"/>
      <c r="T754" s="510"/>
      <c r="U754" s="510"/>
    </row>
    <row r="755" ht="27.0" customHeight="1">
      <c r="A755" s="510"/>
      <c r="B755" s="510"/>
      <c r="C755" s="510"/>
      <c r="D755" s="510"/>
      <c r="E755" s="510"/>
      <c r="F755" s="510"/>
      <c r="G755" s="510"/>
      <c r="H755" s="510"/>
      <c r="I755" s="510"/>
      <c r="J755" s="510"/>
      <c r="K755" s="510"/>
      <c r="L755" s="510"/>
      <c r="M755" s="510"/>
      <c r="N755" s="510"/>
      <c r="O755" s="510"/>
      <c r="P755" s="510"/>
      <c r="Q755" s="510"/>
      <c r="R755" s="510"/>
      <c r="S755" s="510"/>
      <c r="T755" s="510"/>
      <c r="U755" s="510"/>
    </row>
    <row r="756" ht="27.0" customHeight="1">
      <c r="A756" s="510"/>
      <c r="B756" s="510"/>
      <c r="C756" s="510"/>
      <c r="D756" s="510"/>
      <c r="E756" s="510"/>
      <c r="F756" s="510"/>
      <c r="G756" s="510"/>
      <c r="H756" s="510"/>
      <c r="I756" s="510"/>
      <c r="J756" s="510"/>
      <c r="K756" s="510"/>
      <c r="L756" s="510"/>
      <c r="M756" s="510"/>
      <c r="N756" s="510"/>
      <c r="O756" s="510"/>
      <c r="P756" s="510"/>
      <c r="Q756" s="510"/>
      <c r="R756" s="510"/>
      <c r="S756" s="510"/>
      <c r="T756" s="510"/>
      <c r="U756" s="510"/>
    </row>
    <row r="757" ht="27.0" customHeight="1">
      <c r="A757" s="510"/>
      <c r="B757" s="510"/>
      <c r="C757" s="510"/>
      <c r="D757" s="510"/>
      <c r="E757" s="510"/>
      <c r="F757" s="510"/>
      <c r="G757" s="510"/>
      <c r="H757" s="510"/>
      <c r="I757" s="510"/>
      <c r="J757" s="510"/>
      <c r="K757" s="510"/>
      <c r="L757" s="510"/>
      <c r="M757" s="510"/>
      <c r="N757" s="510"/>
      <c r="O757" s="510"/>
      <c r="P757" s="510"/>
      <c r="Q757" s="510"/>
      <c r="R757" s="510"/>
      <c r="S757" s="510"/>
      <c r="T757" s="510"/>
      <c r="U757" s="510"/>
    </row>
    <row r="758" ht="27.0" customHeight="1">
      <c r="A758" s="510"/>
      <c r="B758" s="510"/>
      <c r="C758" s="510"/>
      <c r="D758" s="510"/>
      <c r="E758" s="510"/>
      <c r="F758" s="510"/>
      <c r="G758" s="510"/>
      <c r="H758" s="510"/>
      <c r="I758" s="510"/>
      <c r="J758" s="510"/>
      <c r="K758" s="510"/>
      <c r="L758" s="510"/>
      <c r="M758" s="510"/>
      <c r="N758" s="510"/>
      <c r="O758" s="510"/>
      <c r="P758" s="510"/>
      <c r="Q758" s="510"/>
      <c r="R758" s="510"/>
      <c r="S758" s="510"/>
      <c r="T758" s="510"/>
      <c r="U758" s="510"/>
    </row>
    <row r="759" ht="27.0" customHeight="1">
      <c r="A759" s="510"/>
      <c r="B759" s="510"/>
      <c r="C759" s="510"/>
      <c r="D759" s="510"/>
      <c r="E759" s="510"/>
      <c r="F759" s="510"/>
      <c r="G759" s="510"/>
      <c r="H759" s="510"/>
      <c r="I759" s="510"/>
      <c r="J759" s="510"/>
      <c r="K759" s="510"/>
      <c r="L759" s="510"/>
      <c r="M759" s="510"/>
      <c r="N759" s="510"/>
      <c r="O759" s="510"/>
      <c r="P759" s="510"/>
      <c r="Q759" s="510"/>
      <c r="R759" s="510"/>
      <c r="S759" s="510"/>
      <c r="T759" s="510"/>
      <c r="U759" s="510"/>
    </row>
    <row r="760" ht="27.0" customHeight="1">
      <c r="A760" s="510"/>
      <c r="B760" s="510"/>
      <c r="C760" s="510"/>
      <c r="D760" s="510"/>
      <c r="E760" s="510"/>
      <c r="F760" s="510"/>
      <c r="G760" s="510"/>
      <c r="H760" s="510"/>
      <c r="I760" s="510"/>
      <c r="J760" s="510"/>
      <c r="K760" s="510"/>
      <c r="L760" s="510"/>
      <c r="M760" s="510"/>
      <c r="N760" s="510"/>
      <c r="O760" s="510"/>
      <c r="P760" s="510"/>
      <c r="Q760" s="510"/>
      <c r="R760" s="510"/>
      <c r="S760" s="510"/>
      <c r="T760" s="510"/>
      <c r="U760" s="510"/>
    </row>
    <row r="761" ht="27.0" customHeight="1">
      <c r="A761" s="510"/>
      <c r="B761" s="510"/>
      <c r="C761" s="510"/>
      <c r="D761" s="510"/>
      <c r="E761" s="510"/>
      <c r="F761" s="510"/>
      <c r="G761" s="510"/>
      <c r="H761" s="510"/>
      <c r="I761" s="510"/>
      <c r="J761" s="510"/>
      <c r="K761" s="510"/>
      <c r="L761" s="510"/>
      <c r="M761" s="510"/>
      <c r="N761" s="510"/>
      <c r="O761" s="510"/>
      <c r="P761" s="510"/>
      <c r="Q761" s="510"/>
      <c r="R761" s="510"/>
      <c r="S761" s="510"/>
      <c r="T761" s="510"/>
      <c r="U761" s="510"/>
    </row>
    <row r="762" ht="27.0" customHeight="1">
      <c r="A762" s="510"/>
      <c r="B762" s="510"/>
      <c r="C762" s="510"/>
      <c r="D762" s="510"/>
      <c r="E762" s="510"/>
      <c r="F762" s="510"/>
      <c r="G762" s="510"/>
      <c r="H762" s="510"/>
      <c r="I762" s="510"/>
      <c r="J762" s="510"/>
      <c r="K762" s="510"/>
      <c r="L762" s="510"/>
      <c r="M762" s="510"/>
      <c r="N762" s="510"/>
      <c r="O762" s="510"/>
      <c r="P762" s="510"/>
      <c r="Q762" s="510"/>
      <c r="R762" s="510"/>
      <c r="S762" s="510"/>
      <c r="T762" s="510"/>
      <c r="U762" s="510"/>
    </row>
    <row r="763" ht="27.0" customHeight="1">
      <c r="A763" s="510"/>
      <c r="B763" s="510"/>
      <c r="C763" s="510"/>
      <c r="D763" s="510"/>
      <c r="E763" s="510"/>
      <c r="F763" s="510"/>
      <c r="G763" s="510"/>
      <c r="H763" s="510"/>
      <c r="I763" s="510"/>
      <c r="J763" s="510"/>
      <c r="K763" s="510"/>
      <c r="L763" s="510"/>
      <c r="M763" s="510"/>
      <c r="N763" s="510"/>
      <c r="O763" s="510"/>
      <c r="P763" s="510"/>
      <c r="Q763" s="510"/>
      <c r="R763" s="510"/>
      <c r="S763" s="510"/>
      <c r="T763" s="510"/>
      <c r="U763" s="510"/>
    </row>
    <row r="764" ht="27.0" customHeight="1">
      <c r="A764" s="510"/>
      <c r="B764" s="510"/>
      <c r="C764" s="510"/>
      <c r="D764" s="510"/>
      <c r="E764" s="510"/>
      <c r="F764" s="510"/>
      <c r="G764" s="510"/>
      <c r="H764" s="510"/>
      <c r="I764" s="510"/>
      <c r="J764" s="510"/>
      <c r="K764" s="510"/>
      <c r="L764" s="510"/>
      <c r="M764" s="510"/>
      <c r="N764" s="510"/>
      <c r="O764" s="510"/>
      <c r="P764" s="510"/>
      <c r="Q764" s="510"/>
      <c r="R764" s="510"/>
      <c r="S764" s="510"/>
      <c r="T764" s="510"/>
      <c r="U764" s="510"/>
    </row>
    <row r="765" ht="27.0" customHeight="1">
      <c r="A765" s="510"/>
      <c r="B765" s="510"/>
      <c r="C765" s="510"/>
      <c r="D765" s="510"/>
      <c r="E765" s="510"/>
      <c r="F765" s="510"/>
      <c r="G765" s="510"/>
      <c r="H765" s="510"/>
      <c r="I765" s="510"/>
      <c r="J765" s="510"/>
      <c r="K765" s="510"/>
      <c r="L765" s="510"/>
      <c r="M765" s="510"/>
      <c r="N765" s="510"/>
      <c r="O765" s="510"/>
      <c r="P765" s="510"/>
      <c r="Q765" s="510"/>
      <c r="R765" s="510"/>
      <c r="S765" s="510"/>
      <c r="T765" s="510"/>
      <c r="U765" s="510"/>
    </row>
    <row r="766" ht="27.0" customHeight="1">
      <c r="A766" s="510"/>
      <c r="B766" s="510"/>
      <c r="C766" s="510"/>
      <c r="D766" s="510"/>
      <c r="E766" s="510"/>
      <c r="F766" s="510"/>
      <c r="G766" s="510"/>
      <c r="H766" s="510"/>
      <c r="I766" s="510"/>
      <c r="J766" s="510"/>
      <c r="K766" s="510"/>
      <c r="L766" s="510"/>
      <c r="M766" s="510"/>
      <c r="N766" s="510"/>
      <c r="O766" s="510"/>
      <c r="P766" s="510"/>
      <c r="Q766" s="510"/>
      <c r="R766" s="510"/>
      <c r="S766" s="510"/>
      <c r="T766" s="510"/>
      <c r="U766" s="510"/>
    </row>
    <row r="767" ht="27.0" customHeight="1">
      <c r="A767" s="510"/>
      <c r="B767" s="510"/>
      <c r="C767" s="510"/>
      <c r="D767" s="510"/>
      <c r="E767" s="510"/>
      <c r="F767" s="510"/>
      <c r="G767" s="510"/>
      <c r="H767" s="510"/>
      <c r="I767" s="510"/>
      <c r="J767" s="510"/>
      <c r="K767" s="510"/>
      <c r="L767" s="510"/>
      <c r="M767" s="510"/>
      <c r="N767" s="510"/>
      <c r="O767" s="510"/>
      <c r="P767" s="510"/>
      <c r="Q767" s="510"/>
      <c r="R767" s="510"/>
      <c r="S767" s="510"/>
      <c r="T767" s="510"/>
      <c r="U767" s="510"/>
    </row>
    <row r="768" ht="27.0" customHeight="1">
      <c r="A768" s="510"/>
      <c r="B768" s="510"/>
      <c r="C768" s="510"/>
      <c r="D768" s="510"/>
      <c r="E768" s="510"/>
      <c r="F768" s="510"/>
      <c r="G768" s="510"/>
      <c r="H768" s="510"/>
      <c r="I768" s="510"/>
      <c r="J768" s="510"/>
      <c r="K768" s="510"/>
      <c r="L768" s="510"/>
      <c r="M768" s="510"/>
      <c r="N768" s="510"/>
      <c r="O768" s="510"/>
      <c r="P768" s="510"/>
      <c r="Q768" s="510"/>
      <c r="R768" s="510"/>
      <c r="S768" s="510"/>
      <c r="T768" s="510"/>
      <c r="U768" s="510"/>
    </row>
    <row r="769" ht="27.0" customHeight="1">
      <c r="A769" s="510"/>
      <c r="B769" s="510"/>
      <c r="C769" s="510"/>
      <c r="D769" s="510"/>
      <c r="E769" s="510"/>
      <c r="F769" s="510"/>
      <c r="G769" s="510"/>
      <c r="H769" s="510"/>
      <c r="I769" s="510"/>
      <c r="J769" s="510"/>
      <c r="K769" s="510"/>
      <c r="L769" s="510"/>
      <c r="M769" s="510"/>
      <c r="N769" s="510"/>
      <c r="O769" s="510"/>
      <c r="P769" s="510"/>
      <c r="Q769" s="510"/>
      <c r="R769" s="510"/>
      <c r="S769" s="510"/>
      <c r="T769" s="510"/>
      <c r="U769" s="510"/>
    </row>
    <row r="770" ht="27.0" customHeight="1">
      <c r="A770" s="510"/>
      <c r="B770" s="510"/>
      <c r="C770" s="510"/>
      <c r="D770" s="510"/>
      <c r="E770" s="510"/>
      <c r="F770" s="510"/>
      <c r="G770" s="510"/>
      <c r="H770" s="510"/>
      <c r="I770" s="510"/>
      <c r="J770" s="510"/>
      <c r="K770" s="510"/>
      <c r="L770" s="510"/>
      <c r="M770" s="510"/>
      <c r="N770" s="510"/>
      <c r="O770" s="510"/>
      <c r="P770" s="510"/>
      <c r="Q770" s="510"/>
      <c r="R770" s="510"/>
      <c r="S770" s="510"/>
      <c r="T770" s="510"/>
      <c r="U770" s="510"/>
    </row>
    <row r="771" ht="27.0" customHeight="1">
      <c r="A771" s="510"/>
      <c r="B771" s="510"/>
      <c r="C771" s="510"/>
      <c r="D771" s="510"/>
      <c r="E771" s="510"/>
      <c r="F771" s="510"/>
      <c r="G771" s="510"/>
      <c r="H771" s="510"/>
      <c r="I771" s="510"/>
      <c r="J771" s="510"/>
      <c r="K771" s="510"/>
      <c r="L771" s="510"/>
      <c r="M771" s="510"/>
      <c r="N771" s="510"/>
      <c r="O771" s="510"/>
      <c r="P771" s="510"/>
      <c r="Q771" s="510"/>
      <c r="R771" s="510"/>
      <c r="S771" s="510"/>
      <c r="T771" s="510"/>
      <c r="U771" s="510"/>
    </row>
    <row r="772" ht="27.0" customHeight="1">
      <c r="A772" s="510"/>
      <c r="B772" s="510"/>
      <c r="C772" s="510"/>
      <c r="D772" s="510"/>
      <c r="E772" s="510"/>
      <c r="F772" s="510"/>
      <c r="G772" s="510"/>
      <c r="H772" s="510"/>
      <c r="I772" s="510"/>
      <c r="J772" s="510"/>
      <c r="K772" s="510"/>
      <c r="L772" s="510"/>
      <c r="M772" s="510"/>
      <c r="N772" s="510"/>
      <c r="O772" s="510"/>
      <c r="P772" s="510"/>
      <c r="Q772" s="510"/>
      <c r="R772" s="510"/>
      <c r="S772" s="510"/>
      <c r="T772" s="510"/>
      <c r="U772" s="510"/>
    </row>
    <row r="773" ht="27.0" customHeight="1">
      <c r="A773" s="510"/>
      <c r="B773" s="510"/>
      <c r="C773" s="510"/>
      <c r="D773" s="510"/>
      <c r="E773" s="510"/>
      <c r="F773" s="510"/>
      <c r="G773" s="510"/>
      <c r="H773" s="510"/>
      <c r="I773" s="510"/>
      <c r="J773" s="510"/>
      <c r="K773" s="510"/>
      <c r="L773" s="510"/>
      <c r="M773" s="510"/>
      <c r="N773" s="510"/>
      <c r="O773" s="510"/>
      <c r="P773" s="510"/>
      <c r="Q773" s="510"/>
      <c r="R773" s="510"/>
      <c r="S773" s="510"/>
      <c r="T773" s="510"/>
      <c r="U773" s="510"/>
    </row>
    <row r="774" ht="27.0" customHeight="1">
      <c r="A774" s="510"/>
      <c r="B774" s="510"/>
      <c r="C774" s="510"/>
      <c r="D774" s="510"/>
      <c r="E774" s="510"/>
      <c r="F774" s="510"/>
      <c r="G774" s="510"/>
      <c r="H774" s="510"/>
      <c r="I774" s="510"/>
      <c r="J774" s="510"/>
      <c r="K774" s="510"/>
      <c r="L774" s="510"/>
      <c r="M774" s="510"/>
      <c r="N774" s="510"/>
      <c r="O774" s="510"/>
      <c r="P774" s="510"/>
      <c r="Q774" s="510"/>
      <c r="R774" s="510"/>
      <c r="S774" s="510"/>
      <c r="T774" s="510"/>
      <c r="U774" s="510"/>
    </row>
    <row r="775" ht="27.0" customHeight="1">
      <c r="A775" s="510"/>
      <c r="B775" s="510"/>
      <c r="C775" s="510"/>
      <c r="D775" s="510"/>
      <c r="E775" s="510"/>
      <c r="F775" s="510"/>
      <c r="G775" s="510"/>
      <c r="H775" s="510"/>
      <c r="I775" s="510"/>
      <c r="J775" s="510"/>
      <c r="K775" s="510"/>
      <c r="L775" s="510"/>
      <c r="M775" s="510"/>
      <c r="N775" s="510"/>
      <c r="O775" s="510"/>
      <c r="P775" s="510"/>
      <c r="Q775" s="510"/>
      <c r="R775" s="510"/>
      <c r="S775" s="510"/>
      <c r="T775" s="510"/>
      <c r="U775" s="510"/>
    </row>
    <row r="776" ht="27.0" customHeight="1">
      <c r="A776" s="510"/>
      <c r="B776" s="510"/>
      <c r="C776" s="510"/>
      <c r="D776" s="510"/>
      <c r="E776" s="510"/>
      <c r="F776" s="510"/>
      <c r="G776" s="510"/>
      <c r="H776" s="510"/>
      <c r="I776" s="510"/>
      <c r="J776" s="510"/>
      <c r="K776" s="510"/>
      <c r="L776" s="510"/>
      <c r="M776" s="510"/>
      <c r="N776" s="510"/>
      <c r="O776" s="510"/>
      <c r="P776" s="510"/>
      <c r="Q776" s="510"/>
      <c r="R776" s="510"/>
      <c r="S776" s="510"/>
      <c r="T776" s="510"/>
      <c r="U776" s="510"/>
    </row>
    <row r="777" ht="27.0" customHeight="1">
      <c r="A777" s="510"/>
      <c r="B777" s="510"/>
      <c r="C777" s="510"/>
      <c r="D777" s="510"/>
      <c r="E777" s="510"/>
      <c r="F777" s="510"/>
      <c r="G777" s="510"/>
      <c r="H777" s="510"/>
      <c r="I777" s="510"/>
      <c r="J777" s="510"/>
      <c r="K777" s="510"/>
      <c r="L777" s="510"/>
      <c r="M777" s="510"/>
      <c r="N777" s="510"/>
      <c r="O777" s="510"/>
      <c r="P777" s="510"/>
      <c r="Q777" s="510"/>
      <c r="R777" s="510"/>
      <c r="S777" s="510"/>
      <c r="T777" s="510"/>
      <c r="U777" s="510"/>
    </row>
    <row r="778" ht="27.0" customHeight="1">
      <c r="A778" s="510"/>
      <c r="B778" s="510"/>
      <c r="C778" s="510"/>
      <c r="D778" s="510"/>
      <c r="E778" s="510"/>
      <c r="F778" s="510"/>
      <c r="G778" s="510"/>
      <c r="H778" s="510"/>
      <c r="I778" s="510"/>
      <c r="J778" s="510"/>
      <c r="K778" s="510"/>
      <c r="L778" s="510"/>
      <c r="M778" s="510"/>
      <c r="N778" s="510"/>
      <c r="O778" s="510"/>
      <c r="P778" s="510"/>
      <c r="Q778" s="510"/>
      <c r="R778" s="510"/>
      <c r="S778" s="510"/>
      <c r="T778" s="510"/>
      <c r="U778" s="510"/>
    </row>
    <row r="779" ht="27.0" customHeight="1">
      <c r="A779" s="510"/>
      <c r="B779" s="510"/>
      <c r="C779" s="510"/>
      <c r="D779" s="510"/>
      <c r="E779" s="510"/>
      <c r="F779" s="510"/>
      <c r="G779" s="510"/>
      <c r="H779" s="510"/>
      <c r="I779" s="510"/>
      <c r="J779" s="510"/>
      <c r="K779" s="510"/>
      <c r="L779" s="510"/>
      <c r="M779" s="510"/>
      <c r="N779" s="510"/>
      <c r="O779" s="510"/>
      <c r="P779" s="510"/>
      <c r="Q779" s="510"/>
      <c r="R779" s="510"/>
      <c r="S779" s="510"/>
      <c r="T779" s="510"/>
      <c r="U779" s="510"/>
    </row>
    <row r="780" ht="27.0" customHeight="1">
      <c r="A780" s="510"/>
      <c r="B780" s="510"/>
      <c r="C780" s="510"/>
      <c r="D780" s="510"/>
      <c r="E780" s="510"/>
      <c r="F780" s="510"/>
      <c r="G780" s="510"/>
      <c r="H780" s="510"/>
      <c r="I780" s="510"/>
      <c r="J780" s="510"/>
      <c r="K780" s="510"/>
      <c r="L780" s="510"/>
      <c r="M780" s="510"/>
      <c r="N780" s="510"/>
      <c r="O780" s="510"/>
      <c r="P780" s="510"/>
      <c r="Q780" s="510"/>
      <c r="R780" s="510"/>
      <c r="S780" s="510"/>
      <c r="T780" s="510"/>
      <c r="U780" s="510"/>
    </row>
    <row r="781" ht="27.0" customHeight="1">
      <c r="A781" s="510"/>
      <c r="B781" s="510"/>
      <c r="C781" s="510"/>
      <c r="D781" s="510"/>
      <c r="E781" s="510"/>
      <c r="F781" s="510"/>
      <c r="G781" s="510"/>
      <c r="H781" s="510"/>
      <c r="I781" s="510"/>
      <c r="J781" s="510"/>
      <c r="K781" s="510"/>
      <c r="L781" s="510"/>
      <c r="M781" s="510"/>
      <c r="N781" s="510"/>
      <c r="O781" s="510"/>
      <c r="P781" s="510"/>
      <c r="Q781" s="510"/>
      <c r="R781" s="510"/>
      <c r="S781" s="510"/>
      <c r="T781" s="510"/>
      <c r="U781" s="510"/>
    </row>
    <row r="782" ht="27.0" customHeight="1">
      <c r="A782" s="510"/>
      <c r="B782" s="510"/>
      <c r="C782" s="510"/>
      <c r="D782" s="510"/>
      <c r="E782" s="510"/>
      <c r="F782" s="510"/>
      <c r="G782" s="510"/>
      <c r="H782" s="510"/>
      <c r="I782" s="510"/>
      <c r="J782" s="510"/>
      <c r="K782" s="510"/>
      <c r="L782" s="510"/>
      <c r="M782" s="510"/>
      <c r="N782" s="510"/>
      <c r="O782" s="510"/>
      <c r="P782" s="510"/>
      <c r="Q782" s="510"/>
      <c r="R782" s="510"/>
      <c r="S782" s="510"/>
      <c r="T782" s="510"/>
      <c r="U782" s="510"/>
    </row>
    <row r="783" ht="27.0" customHeight="1">
      <c r="A783" s="510"/>
      <c r="B783" s="510"/>
      <c r="C783" s="510"/>
      <c r="D783" s="510"/>
      <c r="E783" s="510"/>
      <c r="F783" s="510"/>
      <c r="G783" s="510"/>
      <c r="H783" s="510"/>
      <c r="I783" s="510"/>
      <c r="J783" s="510"/>
      <c r="K783" s="510"/>
      <c r="L783" s="510"/>
      <c r="M783" s="510"/>
      <c r="N783" s="510"/>
      <c r="O783" s="510"/>
      <c r="P783" s="510"/>
      <c r="Q783" s="510"/>
      <c r="R783" s="510"/>
      <c r="S783" s="510"/>
      <c r="T783" s="510"/>
      <c r="U783" s="510"/>
    </row>
    <row r="784" ht="27.0" customHeight="1">
      <c r="A784" s="510"/>
      <c r="B784" s="510"/>
      <c r="C784" s="510"/>
      <c r="D784" s="510"/>
      <c r="E784" s="510"/>
      <c r="F784" s="510"/>
      <c r="G784" s="510"/>
      <c r="H784" s="510"/>
      <c r="I784" s="510"/>
      <c r="J784" s="510"/>
      <c r="K784" s="510"/>
      <c r="L784" s="510"/>
      <c r="M784" s="510"/>
      <c r="N784" s="510"/>
      <c r="O784" s="510"/>
      <c r="P784" s="510"/>
      <c r="Q784" s="510"/>
      <c r="R784" s="510"/>
      <c r="S784" s="510"/>
      <c r="T784" s="510"/>
      <c r="U784" s="510"/>
    </row>
    <row r="785" ht="27.0" customHeight="1">
      <c r="A785" s="510"/>
      <c r="B785" s="510"/>
      <c r="C785" s="510"/>
      <c r="D785" s="510"/>
      <c r="E785" s="510"/>
      <c r="F785" s="510"/>
      <c r="G785" s="510"/>
      <c r="H785" s="510"/>
      <c r="I785" s="510"/>
      <c r="J785" s="510"/>
      <c r="K785" s="510"/>
      <c r="L785" s="510"/>
      <c r="M785" s="510"/>
      <c r="N785" s="510"/>
      <c r="O785" s="510"/>
      <c r="P785" s="510"/>
      <c r="Q785" s="510"/>
      <c r="R785" s="510"/>
      <c r="S785" s="510"/>
      <c r="T785" s="510"/>
      <c r="U785" s="510"/>
    </row>
    <row r="786" ht="27.0" customHeight="1">
      <c r="A786" s="510"/>
      <c r="B786" s="510"/>
      <c r="C786" s="510"/>
      <c r="D786" s="510"/>
      <c r="E786" s="510"/>
      <c r="F786" s="510"/>
      <c r="G786" s="510"/>
      <c r="H786" s="510"/>
      <c r="I786" s="510"/>
      <c r="J786" s="510"/>
      <c r="K786" s="510"/>
      <c r="L786" s="510"/>
      <c r="M786" s="510"/>
      <c r="N786" s="510"/>
      <c r="O786" s="510"/>
      <c r="P786" s="510"/>
      <c r="Q786" s="510"/>
      <c r="R786" s="510"/>
      <c r="S786" s="510"/>
      <c r="T786" s="510"/>
      <c r="U786" s="510"/>
    </row>
    <row r="787" ht="27.0" customHeight="1">
      <c r="A787" s="510"/>
      <c r="B787" s="510"/>
      <c r="C787" s="510"/>
      <c r="D787" s="510"/>
      <c r="E787" s="510"/>
      <c r="F787" s="510"/>
      <c r="G787" s="510"/>
      <c r="H787" s="510"/>
      <c r="I787" s="510"/>
      <c r="J787" s="510"/>
      <c r="K787" s="510"/>
      <c r="L787" s="510"/>
      <c r="M787" s="510"/>
      <c r="N787" s="510"/>
      <c r="O787" s="510"/>
      <c r="P787" s="510"/>
      <c r="Q787" s="510"/>
      <c r="R787" s="510"/>
      <c r="S787" s="510"/>
      <c r="T787" s="510"/>
      <c r="U787" s="510"/>
    </row>
    <row r="788" ht="27.0" customHeight="1">
      <c r="A788" s="510"/>
      <c r="B788" s="510"/>
      <c r="C788" s="510"/>
      <c r="D788" s="510"/>
      <c r="E788" s="510"/>
      <c r="F788" s="510"/>
      <c r="G788" s="510"/>
      <c r="H788" s="510"/>
      <c r="I788" s="510"/>
      <c r="J788" s="510"/>
      <c r="K788" s="510"/>
      <c r="L788" s="510"/>
      <c r="M788" s="510"/>
      <c r="N788" s="510"/>
      <c r="O788" s="510"/>
      <c r="P788" s="510"/>
      <c r="Q788" s="510"/>
      <c r="R788" s="510"/>
      <c r="S788" s="510"/>
      <c r="T788" s="510"/>
      <c r="U788" s="510"/>
    </row>
    <row r="789" ht="27.0" customHeight="1">
      <c r="A789" s="510"/>
      <c r="B789" s="510"/>
      <c r="C789" s="510"/>
      <c r="D789" s="510"/>
      <c r="E789" s="510"/>
      <c r="F789" s="510"/>
      <c r="G789" s="510"/>
      <c r="H789" s="510"/>
      <c r="I789" s="510"/>
      <c r="J789" s="510"/>
      <c r="K789" s="510"/>
      <c r="L789" s="510"/>
      <c r="M789" s="510"/>
      <c r="N789" s="510"/>
      <c r="O789" s="510"/>
      <c r="P789" s="510"/>
      <c r="Q789" s="510"/>
      <c r="R789" s="510"/>
      <c r="S789" s="510"/>
      <c r="T789" s="510"/>
      <c r="U789" s="510"/>
    </row>
    <row r="790" ht="27.0" customHeight="1">
      <c r="A790" s="510"/>
      <c r="B790" s="510"/>
      <c r="C790" s="510"/>
      <c r="D790" s="510"/>
      <c r="E790" s="510"/>
      <c r="F790" s="510"/>
      <c r="G790" s="510"/>
      <c r="H790" s="510"/>
      <c r="I790" s="510"/>
      <c r="J790" s="510"/>
      <c r="K790" s="510"/>
      <c r="L790" s="510"/>
      <c r="M790" s="510"/>
      <c r="N790" s="510"/>
      <c r="O790" s="510"/>
      <c r="P790" s="510"/>
      <c r="Q790" s="510"/>
      <c r="R790" s="510"/>
      <c r="S790" s="510"/>
      <c r="T790" s="510"/>
      <c r="U790" s="510"/>
    </row>
    <row r="791" ht="27.0" customHeight="1">
      <c r="A791" s="510"/>
      <c r="B791" s="510"/>
      <c r="C791" s="510"/>
      <c r="D791" s="510"/>
      <c r="E791" s="510"/>
      <c r="F791" s="510"/>
      <c r="G791" s="510"/>
      <c r="H791" s="510"/>
      <c r="I791" s="510"/>
      <c r="J791" s="510"/>
      <c r="K791" s="510"/>
      <c r="L791" s="510"/>
      <c r="M791" s="510"/>
      <c r="N791" s="510"/>
      <c r="O791" s="510"/>
      <c r="P791" s="510"/>
      <c r="Q791" s="510"/>
      <c r="R791" s="510"/>
      <c r="S791" s="510"/>
      <c r="T791" s="510"/>
      <c r="U791" s="510"/>
    </row>
    <row r="792" ht="27.0" customHeight="1">
      <c r="A792" s="510"/>
      <c r="B792" s="510"/>
      <c r="C792" s="510"/>
      <c r="D792" s="510"/>
      <c r="E792" s="510"/>
      <c r="F792" s="510"/>
      <c r="G792" s="510"/>
      <c r="H792" s="510"/>
      <c r="I792" s="510"/>
      <c r="J792" s="510"/>
      <c r="K792" s="510"/>
      <c r="L792" s="510"/>
      <c r="M792" s="510"/>
      <c r="N792" s="510"/>
      <c r="O792" s="510"/>
      <c r="P792" s="510"/>
      <c r="Q792" s="510"/>
      <c r="R792" s="510"/>
      <c r="S792" s="510"/>
      <c r="T792" s="510"/>
      <c r="U792" s="510"/>
    </row>
    <row r="793" ht="27.0" customHeight="1">
      <c r="A793" s="510"/>
      <c r="B793" s="510"/>
      <c r="C793" s="510"/>
      <c r="D793" s="510"/>
      <c r="E793" s="510"/>
      <c r="F793" s="510"/>
      <c r="G793" s="510"/>
      <c r="H793" s="510"/>
      <c r="I793" s="510"/>
      <c r="J793" s="510"/>
      <c r="K793" s="510"/>
      <c r="L793" s="510"/>
      <c r="M793" s="510"/>
      <c r="N793" s="510"/>
      <c r="O793" s="510"/>
      <c r="P793" s="510"/>
      <c r="Q793" s="510"/>
      <c r="R793" s="510"/>
      <c r="S793" s="510"/>
      <c r="T793" s="510"/>
      <c r="U793" s="510"/>
    </row>
    <row r="794" ht="27.0" customHeight="1">
      <c r="A794" s="510"/>
      <c r="B794" s="510"/>
      <c r="C794" s="510"/>
      <c r="D794" s="510"/>
      <c r="E794" s="510"/>
      <c r="F794" s="510"/>
      <c r="G794" s="510"/>
      <c r="H794" s="510"/>
      <c r="I794" s="510"/>
      <c r="J794" s="510"/>
      <c r="K794" s="510"/>
      <c r="L794" s="510"/>
      <c r="M794" s="510"/>
      <c r="N794" s="510"/>
      <c r="O794" s="510"/>
      <c r="P794" s="510"/>
      <c r="Q794" s="510"/>
      <c r="R794" s="510"/>
      <c r="S794" s="510"/>
      <c r="T794" s="510"/>
      <c r="U794" s="510"/>
    </row>
    <row r="795" ht="27.0" customHeight="1">
      <c r="A795" s="510"/>
      <c r="B795" s="510"/>
      <c r="C795" s="510"/>
      <c r="D795" s="510"/>
      <c r="E795" s="510"/>
      <c r="F795" s="510"/>
      <c r="G795" s="510"/>
      <c r="H795" s="510"/>
      <c r="I795" s="510"/>
      <c r="J795" s="510"/>
      <c r="K795" s="510"/>
      <c r="L795" s="510"/>
      <c r="M795" s="510"/>
      <c r="N795" s="510"/>
      <c r="O795" s="510"/>
      <c r="P795" s="510"/>
      <c r="Q795" s="510"/>
      <c r="R795" s="510"/>
      <c r="S795" s="510"/>
      <c r="T795" s="510"/>
      <c r="U795" s="510"/>
    </row>
    <row r="796" ht="27.0" customHeight="1">
      <c r="A796" s="510"/>
      <c r="B796" s="510"/>
      <c r="C796" s="510"/>
      <c r="D796" s="510"/>
      <c r="E796" s="510"/>
      <c r="F796" s="510"/>
      <c r="G796" s="510"/>
      <c r="H796" s="510"/>
      <c r="I796" s="510"/>
      <c r="J796" s="510"/>
      <c r="K796" s="510"/>
      <c r="L796" s="510"/>
      <c r="M796" s="510"/>
      <c r="N796" s="510"/>
      <c r="O796" s="510"/>
      <c r="P796" s="510"/>
      <c r="Q796" s="510"/>
      <c r="R796" s="510"/>
      <c r="S796" s="510"/>
      <c r="T796" s="510"/>
      <c r="U796" s="510"/>
    </row>
    <row r="797" ht="27.0" customHeight="1">
      <c r="A797" s="510"/>
      <c r="B797" s="510"/>
      <c r="C797" s="510"/>
      <c r="D797" s="510"/>
      <c r="E797" s="510"/>
      <c r="F797" s="510"/>
      <c r="G797" s="510"/>
      <c r="H797" s="510"/>
      <c r="I797" s="510"/>
      <c r="J797" s="510"/>
      <c r="K797" s="510"/>
      <c r="L797" s="510"/>
      <c r="M797" s="510"/>
      <c r="N797" s="510"/>
      <c r="O797" s="510"/>
      <c r="P797" s="510"/>
      <c r="Q797" s="510"/>
      <c r="R797" s="510"/>
      <c r="S797" s="510"/>
      <c r="T797" s="510"/>
      <c r="U797" s="510"/>
    </row>
    <row r="798" ht="27.0" customHeight="1">
      <c r="A798" s="510"/>
      <c r="B798" s="510"/>
      <c r="C798" s="510"/>
      <c r="D798" s="510"/>
      <c r="E798" s="510"/>
      <c r="F798" s="510"/>
      <c r="G798" s="510"/>
      <c r="H798" s="510"/>
      <c r="I798" s="510"/>
      <c r="J798" s="510"/>
      <c r="K798" s="510"/>
      <c r="L798" s="510"/>
      <c r="M798" s="510"/>
      <c r="N798" s="510"/>
      <c r="O798" s="510"/>
      <c r="P798" s="510"/>
      <c r="Q798" s="510"/>
      <c r="R798" s="510"/>
      <c r="S798" s="510"/>
      <c r="T798" s="510"/>
      <c r="U798" s="510"/>
    </row>
    <row r="799" ht="27.0" customHeight="1">
      <c r="A799" s="510"/>
      <c r="B799" s="510"/>
      <c r="C799" s="510"/>
      <c r="D799" s="510"/>
      <c r="E799" s="510"/>
      <c r="F799" s="510"/>
      <c r="G799" s="510"/>
      <c r="H799" s="510"/>
      <c r="I799" s="510"/>
      <c r="J799" s="510"/>
      <c r="K799" s="510"/>
      <c r="L799" s="510"/>
      <c r="M799" s="510"/>
      <c r="N799" s="510"/>
      <c r="O799" s="510"/>
      <c r="P799" s="510"/>
      <c r="Q799" s="510"/>
      <c r="R799" s="510"/>
      <c r="S799" s="510"/>
      <c r="T799" s="510"/>
      <c r="U799" s="510"/>
    </row>
    <row r="800" ht="27.0" customHeight="1">
      <c r="A800" s="510"/>
      <c r="B800" s="510"/>
      <c r="C800" s="510"/>
      <c r="D800" s="510"/>
      <c r="E800" s="510"/>
      <c r="F800" s="510"/>
      <c r="G800" s="510"/>
      <c r="H800" s="510"/>
      <c r="I800" s="510"/>
      <c r="J800" s="510"/>
      <c r="K800" s="510"/>
      <c r="L800" s="510"/>
      <c r="M800" s="510"/>
      <c r="N800" s="510"/>
      <c r="O800" s="510"/>
      <c r="P800" s="510"/>
      <c r="Q800" s="510"/>
      <c r="R800" s="510"/>
      <c r="S800" s="510"/>
      <c r="T800" s="510"/>
      <c r="U800" s="510"/>
    </row>
    <row r="801" ht="27.0" customHeight="1">
      <c r="A801" s="510"/>
      <c r="B801" s="510"/>
      <c r="C801" s="510"/>
      <c r="D801" s="510"/>
      <c r="E801" s="510"/>
      <c r="F801" s="510"/>
      <c r="G801" s="510"/>
      <c r="H801" s="510"/>
      <c r="I801" s="510"/>
      <c r="J801" s="510"/>
      <c r="K801" s="510"/>
      <c r="L801" s="510"/>
      <c r="M801" s="510"/>
      <c r="N801" s="510"/>
      <c r="O801" s="510"/>
      <c r="P801" s="510"/>
      <c r="Q801" s="510"/>
      <c r="R801" s="510"/>
      <c r="S801" s="510"/>
      <c r="T801" s="510"/>
      <c r="U801" s="510"/>
    </row>
    <row r="802" ht="27.0" customHeight="1">
      <c r="A802" s="510"/>
      <c r="B802" s="510"/>
      <c r="C802" s="510"/>
      <c r="D802" s="510"/>
      <c r="E802" s="510"/>
      <c r="F802" s="510"/>
      <c r="G802" s="510"/>
      <c r="H802" s="510"/>
      <c r="I802" s="510"/>
      <c r="J802" s="510"/>
      <c r="K802" s="510"/>
      <c r="L802" s="510"/>
      <c r="M802" s="510"/>
      <c r="N802" s="510"/>
      <c r="O802" s="510"/>
      <c r="P802" s="510"/>
      <c r="Q802" s="510"/>
      <c r="R802" s="510"/>
      <c r="S802" s="510"/>
      <c r="T802" s="510"/>
      <c r="U802" s="510"/>
    </row>
    <row r="803" ht="27.0" customHeight="1">
      <c r="A803" s="510"/>
      <c r="B803" s="510"/>
      <c r="C803" s="510"/>
      <c r="D803" s="510"/>
      <c r="E803" s="510"/>
      <c r="F803" s="510"/>
      <c r="G803" s="510"/>
      <c r="H803" s="510"/>
      <c r="I803" s="510"/>
      <c r="J803" s="510"/>
      <c r="K803" s="510"/>
      <c r="L803" s="510"/>
      <c r="M803" s="510"/>
      <c r="N803" s="510"/>
      <c r="O803" s="510"/>
      <c r="P803" s="510"/>
      <c r="Q803" s="510"/>
      <c r="R803" s="510"/>
      <c r="S803" s="510"/>
      <c r="T803" s="510"/>
      <c r="U803" s="510"/>
    </row>
    <row r="804" ht="27.0" customHeight="1">
      <c r="A804" s="510"/>
      <c r="B804" s="510"/>
      <c r="C804" s="510"/>
      <c r="D804" s="510"/>
      <c r="E804" s="510"/>
      <c r="F804" s="510"/>
      <c r="G804" s="510"/>
      <c r="H804" s="510"/>
      <c r="I804" s="510"/>
      <c r="J804" s="510"/>
      <c r="K804" s="510"/>
      <c r="L804" s="510"/>
      <c r="M804" s="510"/>
      <c r="N804" s="510"/>
      <c r="O804" s="510"/>
      <c r="P804" s="510"/>
      <c r="Q804" s="510"/>
      <c r="R804" s="510"/>
      <c r="S804" s="510"/>
      <c r="T804" s="510"/>
      <c r="U804" s="510"/>
    </row>
    <row r="805" ht="27.0" customHeight="1">
      <c r="A805" s="510"/>
      <c r="B805" s="510"/>
      <c r="C805" s="510"/>
      <c r="D805" s="510"/>
      <c r="E805" s="510"/>
      <c r="F805" s="510"/>
      <c r="G805" s="510"/>
      <c r="H805" s="510"/>
      <c r="I805" s="510"/>
      <c r="J805" s="510"/>
      <c r="K805" s="510"/>
      <c r="L805" s="510"/>
      <c r="M805" s="510"/>
      <c r="N805" s="510"/>
      <c r="O805" s="510"/>
      <c r="P805" s="510"/>
      <c r="Q805" s="510"/>
      <c r="R805" s="510"/>
      <c r="S805" s="510"/>
      <c r="T805" s="510"/>
      <c r="U805" s="510"/>
    </row>
    <row r="806" ht="27.0" customHeight="1">
      <c r="A806" s="510"/>
      <c r="B806" s="510"/>
      <c r="C806" s="510"/>
      <c r="D806" s="510"/>
      <c r="E806" s="510"/>
      <c r="F806" s="510"/>
      <c r="G806" s="510"/>
      <c r="H806" s="510"/>
      <c r="I806" s="510"/>
      <c r="J806" s="510"/>
      <c r="K806" s="510"/>
      <c r="L806" s="510"/>
      <c r="M806" s="510"/>
      <c r="N806" s="510"/>
      <c r="O806" s="510"/>
      <c r="P806" s="510"/>
      <c r="Q806" s="510"/>
      <c r="R806" s="510"/>
      <c r="S806" s="510"/>
      <c r="T806" s="510"/>
      <c r="U806" s="510"/>
    </row>
    <row r="807" ht="27.0" customHeight="1">
      <c r="A807" s="510"/>
      <c r="B807" s="510"/>
      <c r="C807" s="510"/>
      <c r="D807" s="510"/>
      <c r="E807" s="510"/>
      <c r="F807" s="510"/>
      <c r="G807" s="510"/>
      <c r="H807" s="510"/>
      <c r="I807" s="510"/>
      <c r="J807" s="510"/>
      <c r="K807" s="510"/>
      <c r="L807" s="510"/>
      <c r="M807" s="510"/>
      <c r="N807" s="510"/>
      <c r="O807" s="510"/>
      <c r="P807" s="510"/>
      <c r="Q807" s="510"/>
      <c r="R807" s="510"/>
      <c r="S807" s="510"/>
      <c r="T807" s="510"/>
      <c r="U807" s="510"/>
    </row>
    <row r="808" ht="27.0" customHeight="1">
      <c r="A808" s="510"/>
      <c r="B808" s="510"/>
      <c r="C808" s="510"/>
      <c r="D808" s="510"/>
      <c r="E808" s="510"/>
      <c r="F808" s="510"/>
      <c r="G808" s="510"/>
      <c r="H808" s="510"/>
      <c r="I808" s="510"/>
      <c r="J808" s="510"/>
      <c r="K808" s="510"/>
      <c r="L808" s="510"/>
      <c r="M808" s="510"/>
      <c r="N808" s="510"/>
      <c r="O808" s="510"/>
      <c r="P808" s="510"/>
      <c r="Q808" s="510"/>
      <c r="R808" s="510"/>
      <c r="S808" s="510"/>
      <c r="T808" s="510"/>
      <c r="U808" s="510"/>
    </row>
    <row r="809" ht="27.0" customHeight="1">
      <c r="A809" s="510"/>
      <c r="B809" s="510"/>
      <c r="C809" s="510"/>
      <c r="D809" s="510"/>
      <c r="E809" s="510"/>
      <c r="F809" s="510"/>
      <c r="G809" s="510"/>
      <c r="H809" s="510"/>
      <c r="I809" s="510"/>
      <c r="J809" s="510"/>
      <c r="K809" s="510"/>
      <c r="L809" s="510"/>
      <c r="M809" s="510"/>
      <c r="N809" s="510"/>
      <c r="O809" s="510"/>
      <c r="P809" s="510"/>
      <c r="Q809" s="510"/>
      <c r="R809" s="510"/>
      <c r="S809" s="510"/>
      <c r="T809" s="510"/>
      <c r="U809" s="510"/>
    </row>
    <row r="810" ht="27.0" customHeight="1">
      <c r="A810" s="510"/>
      <c r="B810" s="510"/>
      <c r="C810" s="510"/>
      <c r="D810" s="510"/>
      <c r="E810" s="510"/>
      <c r="F810" s="510"/>
      <c r="G810" s="510"/>
      <c r="H810" s="510"/>
      <c r="I810" s="510"/>
      <c r="J810" s="510"/>
      <c r="K810" s="510"/>
      <c r="L810" s="510"/>
      <c r="M810" s="510"/>
      <c r="N810" s="510"/>
      <c r="O810" s="510"/>
      <c r="P810" s="510"/>
      <c r="Q810" s="510"/>
      <c r="R810" s="510"/>
      <c r="S810" s="510"/>
      <c r="T810" s="510"/>
      <c r="U810" s="510"/>
    </row>
    <row r="811" ht="27.0" customHeight="1">
      <c r="A811" s="510"/>
      <c r="B811" s="510"/>
      <c r="C811" s="510"/>
      <c r="D811" s="510"/>
      <c r="E811" s="510"/>
      <c r="F811" s="510"/>
      <c r="G811" s="510"/>
      <c r="H811" s="510"/>
      <c r="I811" s="510"/>
      <c r="J811" s="510"/>
      <c r="K811" s="510"/>
      <c r="L811" s="510"/>
      <c r="M811" s="510"/>
      <c r="N811" s="510"/>
      <c r="O811" s="510"/>
      <c r="P811" s="510"/>
      <c r="Q811" s="510"/>
      <c r="R811" s="510"/>
      <c r="S811" s="510"/>
      <c r="T811" s="510"/>
      <c r="U811" s="510"/>
    </row>
    <row r="812" ht="27.0" customHeight="1">
      <c r="A812" s="510"/>
      <c r="B812" s="510"/>
      <c r="C812" s="510"/>
      <c r="D812" s="510"/>
      <c r="E812" s="510"/>
      <c r="F812" s="510"/>
      <c r="G812" s="510"/>
      <c r="H812" s="510"/>
      <c r="I812" s="510"/>
      <c r="J812" s="510"/>
      <c r="K812" s="510"/>
      <c r="L812" s="510"/>
      <c r="M812" s="510"/>
      <c r="N812" s="510"/>
      <c r="O812" s="510"/>
      <c r="P812" s="510"/>
      <c r="Q812" s="510"/>
      <c r="R812" s="510"/>
      <c r="S812" s="510"/>
      <c r="T812" s="510"/>
      <c r="U812" s="510"/>
    </row>
    <row r="813" ht="27.0" customHeight="1">
      <c r="A813" s="510"/>
      <c r="B813" s="510"/>
      <c r="C813" s="510"/>
      <c r="D813" s="510"/>
      <c r="E813" s="510"/>
      <c r="F813" s="510"/>
      <c r="G813" s="510"/>
      <c r="H813" s="510"/>
      <c r="I813" s="510"/>
      <c r="J813" s="510"/>
      <c r="K813" s="510"/>
      <c r="L813" s="510"/>
      <c r="M813" s="510"/>
      <c r="N813" s="510"/>
      <c r="O813" s="510"/>
      <c r="P813" s="510"/>
      <c r="Q813" s="510"/>
      <c r="R813" s="510"/>
      <c r="S813" s="510"/>
      <c r="T813" s="510"/>
      <c r="U813" s="510"/>
    </row>
    <row r="814" ht="27.0" customHeight="1">
      <c r="A814" s="510"/>
      <c r="B814" s="510"/>
      <c r="C814" s="510"/>
      <c r="D814" s="510"/>
      <c r="E814" s="510"/>
      <c r="F814" s="510"/>
      <c r="G814" s="510"/>
      <c r="H814" s="510"/>
      <c r="I814" s="510"/>
      <c r="J814" s="510"/>
      <c r="K814" s="510"/>
      <c r="L814" s="510"/>
      <c r="M814" s="510"/>
      <c r="N814" s="510"/>
      <c r="O814" s="510"/>
      <c r="P814" s="510"/>
      <c r="Q814" s="510"/>
      <c r="R814" s="510"/>
      <c r="S814" s="510"/>
      <c r="T814" s="510"/>
      <c r="U814" s="510"/>
    </row>
    <row r="815" ht="27.0" customHeight="1">
      <c r="A815" s="510"/>
      <c r="B815" s="510"/>
      <c r="C815" s="510"/>
      <c r="D815" s="510"/>
      <c r="E815" s="510"/>
      <c r="F815" s="510"/>
      <c r="G815" s="510"/>
      <c r="H815" s="510"/>
      <c r="I815" s="510"/>
      <c r="J815" s="510"/>
      <c r="K815" s="510"/>
      <c r="L815" s="510"/>
      <c r="M815" s="510"/>
      <c r="N815" s="510"/>
      <c r="O815" s="510"/>
      <c r="P815" s="510"/>
      <c r="Q815" s="510"/>
      <c r="R815" s="510"/>
      <c r="S815" s="510"/>
      <c r="T815" s="510"/>
      <c r="U815" s="510"/>
    </row>
    <row r="816" ht="27.0" customHeight="1">
      <c r="A816" s="510"/>
      <c r="B816" s="510"/>
      <c r="C816" s="510"/>
      <c r="D816" s="510"/>
      <c r="E816" s="510"/>
      <c r="F816" s="510"/>
      <c r="G816" s="510"/>
      <c r="H816" s="510"/>
      <c r="I816" s="510"/>
      <c r="J816" s="510"/>
      <c r="K816" s="510"/>
      <c r="L816" s="510"/>
      <c r="M816" s="510"/>
      <c r="N816" s="510"/>
      <c r="O816" s="510"/>
      <c r="P816" s="510"/>
      <c r="Q816" s="510"/>
      <c r="R816" s="510"/>
      <c r="S816" s="510"/>
      <c r="T816" s="510"/>
      <c r="U816" s="510"/>
    </row>
    <row r="817" ht="27.0" customHeight="1">
      <c r="A817" s="510"/>
      <c r="B817" s="510"/>
      <c r="C817" s="510"/>
      <c r="D817" s="510"/>
      <c r="E817" s="510"/>
      <c r="F817" s="510"/>
      <c r="G817" s="510"/>
      <c r="H817" s="510"/>
      <c r="I817" s="510"/>
      <c r="J817" s="510"/>
      <c r="K817" s="510"/>
      <c r="L817" s="510"/>
      <c r="M817" s="510"/>
      <c r="N817" s="510"/>
      <c r="O817" s="510"/>
      <c r="P817" s="510"/>
      <c r="Q817" s="510"/>
      <c r="R817" s="510"/>
      <c r="S817" s="510"/>
      <c r="T817" s="510"/>
      <c r="U817" s="510"/>
    </row>
    <row r="818" ht="27.0" customHeight="1">
      <c r="A818" s="510"/>
      <c r="B818" s="510"/>
      <c r="C818" s="510"/>
      <c r="D818" s="510"/>
      <c r="E818" s="510"/>
      <c r="F818" s="510"/>
      <c r="G818" s="510"/>
      <c r="H818" s="510"/>
      <c r="I818" s="510"/>
      <c r="J818" s="510"/>
      <c r="K818" s="510"/>
      <c r="L818" s="510"/>
      <c r="M818" s="510"/>
      <c r="N818" s="510"/>
      <c r="O818" s="510"/>
      <c r="P818" s="510"/>
      <c r="Q818" s="510"/>
      <c r="R818" s="510"/>
      <c r="S818" s="510"/>
      <c r="T818" s="510"/>
      <c r="U818" s="510"/>
    </row>
    <row r="819" ht="27.0" customHeight="1">
      <c r="A819" s="510"/>
      <c r="B819" s="510"/>
      <c r="C819" s="510"/>
      <c r="D819" s="510"/>
      <c r="E819" s="510"/>
      <c r="F819" s="510"/>
      <c r="G819" s="510"/>
      <c r="H819" s="510"/>
      <c r="I819" s="510"/>
      <c r="J819" s="510"/>
      <c r="K819" s="510"/>
      <c r="L819" s="510"/>
      <c r="M819" s="510"/>
      <c r="N819" s="510"/>
      <c r="O819" s="510"/>
      <c r="P819" s="510"/>
      <c r="Q819" s="510"/>
      <c r="R819" s="510"/>
      <c r="S819" s="510"/>
      <c r="T819" s="510"/>
      <c r="U819" s="510"/>
    </row>
    <row r="820" ht="27.0" customHeight="1">
      <c r="A820" s="510"/>
      <c r="B820" s="510"/>
      <c r="C820" s="510"/>
      <c r="D820" s="510"/>
      <c r="E820" s="510"/>
      <c r="F820" s="510"/>
      <c r="G820" s="510"/>
      <c r="H820" s="510"/>
      <c r="I820" s="510"/>
      <c r="J820" s="510"/>
      <c r="K820" s="510"/>
      <c r="L820" s="510"/>
      <c r="M820" s="510"/>
      <c r="N820" s="510"/>
      <c r="O820" s="510"/>
      <c r="P820" s="510"/>
      <c r="Q820" s="510"/>
      <c r="R820" s="510"/>
      <c r="S820" s="510"/>
      <c r="T820" s="510"/>
      <c r="U820" s="510"/>
    </row>
    <row r="821" ht="27.0" customHeight="1">
      <c r="A821" s="510"/>
      <c r="B821" s="510"/>
      <c r="C821" s="510"/>
      <c r="D821" s="510"/>
      <c r="E821" s="510"/>
      <c r="F821" s="510"/>
      <c r="G821" s="510"/>
      <c r="H821" s="510"/>
      <c r="I821" s="510"/>
      <c r="J821" s="510"/>
      <c r="K821" s="510"/>
      <c r="L821" s="510"/>
      <c r="M821" s="510"/>
      <c r="N821" s="510"/>
      <c r="O821" s="510"/>
      <c r="P821" s="510"/>
      <c r="Q821" s="510"/>
      <c r="R821" s="510"/>
      <c r="S821" s="510"/>
      <c r="T821" s="510"/>
      <c r="U821" s="510"/>
    </row>
    <row r="822" ht="27.0" customHeight="1">
      <c r="A822" s="510"/>
      <c r="B822" s="510"/>
      <c r="C822" s="510"/>
      <c r="D822" s="510"/>
      <c r="E822" s="510"/>
      <c r="F822" s="510"/>
      <c r="G822" s="510"/>
      <c r="H822" s="510"/>
      <c r="I822" s="510"/>
      <c r="J822" s="510"/>
      <c r="K822" s="510"/>
      <c r="L822" s="510"/>
      <c r="M822" s="510"/>
      <c r="N822" s="510"/>
      <c r="O822" s="510"/>
      <c r="P822" s="510"/>
      <c r="Q822" s="510"/>
      <c r="R822" s="510"/>
      <c r="S822" s="510"/>
      <c r="T822" s="510"/>
      <c r="U822" s="510"/>
    </row>
    <row r="823" ht="27.0" customHeight="1">
      <c r="A823" s="510"/>
      <c r="B823" s="510"/>
      <c r="C823" s="510"/>
      <c r="D823" s="510"/>
      <c r="E823" s="510"/>
      <c r="F823" s="510"/>
      <c r="G823" s="510"/>
      <c r="H823" s="510"/>
      <c r="I823" s="510"/>
      <c r="J823" s="510"/>
      <c r="K823" s="510"/>
      <c r="L823" s="510"/>
      <c r="M823" s="510"/>
      <c r="N823" s="510"/>
      <c r="O823" s="510"/>
      <c r="P823" s="510"/>
      <c r="Q823" s="510"/>
      <c r="R823" s="510"/>
      <c r="S823" s="510"/>
      <c r="T823" s="510"/>
      <c r="U823" s="510"/>
    </row>
    <row r="824" ht="27.0" customHeight="1">
      <c r="A824" s="510"/>
      <c r="B824" s="510"/>
      <c r="C824" s="510"/>
      <c r="D824" s="510"/>
      <c r="E824" s="510"/>
      <c r="F824" s="510"/>
      <c r="G824" s="510"/>
      <c r="H824" s="510"/>
      <c r="I824" s="510"/>
      <c r="J824" s="510"/>
      <c r="K824" s="510"/>
      <c r="L824" s="510"/>
      <c r="M824" s="510"/>
      <c r="N824" s="510"/>
      <c r="O824" s="510"/>
      <c r="P824" s="510"/>
      <c r="Q824" s="510"/>
      <c r="R824" s="510"/>
      <c r="S824" s="510"/>
      <c r="T824" s="510"/>
      <c r="U824" s="510"/>
    </row>
    <row r="825" ht="27.0" customHeight="1">
      <c r="A825" s="510"/>
      <c r="B825" s="510"/>
      <c r="C825" s="510"/>
      <c r="D825" s="510"/>
      <c r="E825" s="510"/>
      <c r="F825" s="510"/>
      <c r="G825" s="510"/>
      <c r="H825" s="510"/>
      <c r="I825" s="510"/>
      <c r="J825" s="510"/>
      <c r="K825" s="510"/>
      <c r="L825" s="510"/>
      <c r="M825" s="510"/>
      <c r="N825" s="510"/>
      <c r="O825" s="510"/>
      <c r="P825" s="510"/>
      <c r="Q825" s="510"/>
      <c r="R825" s="510"/>
      <c r="S825" s="510"/>
      <c r="T825" s="510"/>
      <c r="U825" s="510"/>
    </row>
    <row r="826" ht="27.0" customHeight="1">
      <c r="A826" s="510"/>
      <c r="B826" s="510"/>
      <c r="C826" s="510"/>
      <c r="D826" s="510"/>
      <c r="E826" s="510"/>
      <c r="F826" s="510"/>
      <c r="G826" s="510"/>
      <c r="H826" s="510"/>
      <c r="I826" s="510"/>
      <c r="J826" s="510"/>
      <c r="K826" s="510"/>
      <c r="L826" s="510"/>
      <c r="M826" s="510"/>
      <c r="N826" s="510"/>
      <c r="O826" s="510"/>
      <c r="P826" s="510"/>
      <c r="Q826" s="510"/>
      <c r="R826" s="510"/>
      <c r="S826" s="510"/>
      <c r="T826" s="510"/>
      <c r="U826" s="510"/>
    </row>
    <row r="827" ht="27.0" customHeight="1">
      <c r="A827" s="510"/>
      <c r="B827" s="510"/>
      <c r="C827" s="510"/>
      <c r="D827" s="510"/>
      <c r="E827" s="510"/>
      <c r="F827" s="510"/>
      <c r="G827" s="510"/>
      <c r="H827" s="510"/>
      <c r="I827" s="510"/>
      <c r="J827" s="510"/>
      <c r="K827" s="510"/>
      <c r="L827" s="510"/>
      <c r="M827" s="510"/>
      <c r="N827" s="510"/>
      <c r="O827" s="510"/>
      <c r="P827" s="510"/>
      <c r="Q827" s="510"/>
      <c r="R827" s="510"/>
      <c r="S827" s="510"/>
      <c r="T827" s="510"/>
      <c r="U827" s="510"/>
    </row>
    <row r="828" ht="27.0" customHeight="1">
      <c r="A828" s="510"/>
      <c r="B828" s="510"/>
      <c r="C828" s="510"/>
      <c r="D828" s="510"/>
      <c r="E828" s="510"/>
      <c r="F828" s="510"/>
      <c r="G828" s="510"/>
      <c r="H828" s="510"/>
      <c r="I828" s="510"/>
      <c r="J828" s="510"/>
      <c r="K828" s="510"/>
      <c r="L828" s="510"/>
      <c r="M828" s="510"/>
      <c r="N828" s="510"/>
      <c r="O828" s="510"/>
      <c r="P828" s="510"/>
      <c r="Q828" s="510"/>
      <c r="R828" s="510"/>
      <c r="S828" s="510"/>
      <c r="T828" s="510"/>
      <c r="U828" s="510"/>
    </row>
    <row r="829" ht="27.0" customHeight="1">
      <c r="A829" s="510"/>
      <c r="B829" s="510"/>
      <c r="C829" s="510"/>
      <c r="D829" s="510"/>
      <c r="E829" s="510"/>
      <c r="F829" s="510"/>
      <c r="G829" s="510"/>
      <c r="H829" s="510"/>
      <c r="I829" s="510"/>
      <c r="J829" s="510"/>
      <c r="K829" s="510"/>
      <c r="L829" s="510"/>
      <c r="M829" s="510"/>
      <c r="N829" s="510"/>
      <c r="O829" s="510"/>
      <c r="P829" s="510"/>
      <c r="Q829" s="510"/>
      <c r="R829" s="510"/>
      <c r="S829" s="510"/>
      <c r="T829" s="510"/>
      <c r="U829" s="510"/>
    </row>
    <row r="830" ht="27.0" customHeight="1">
      <c r="A830" s="510"/>
      <c r="B830" s="510"/>
      <c r="C830" s="510"/>
      <c r="D830" s="510"/>
      <c r="E830" s="510"/>
      <c r="F830" s="510"/>
      <c r="G830" s="510"/>
      <c r="H830" s="510"/>
      <c r="I830" s="510"/>
      <c r="J830" s="510"/>
      <c r="K830" s="510"/>
      <c r="L830" s="510"/>
      <c r="M830" s="510"/>
      <c r="N830" s="510"/>
      <c r="O830" s="510"/>
      <c r="P830" s="510"/>
      <c r="Q830" s="510"/>
      <c r="R830" s="510"/>
      <c r="S830" s="510"/>
      <c r="T830" s="510"/>
      <c r="U830" s="510"/>
    </row>
    <row r="831" ht="27.0" customHeight="1">
      <c r="A831" s="510"/>
      <c r="B831" s="510"/>
      <c r="C831" s="510"/>
      <c r="D831" s="510"/>
      <c r="E831" s="510"/>
      <c r="F831" s="510"/>
      <c r="G831" s="510"/>
      <c r="H831" s="510"/>
      <c r="I831" s="510"/>
      <c r="J831" s="510"/>
      <c r="K831" s="510"/>
      <c r="L831" s="510"/>
      <c r="M831" s="510"/>
      <c r="N831" s="510"/>
      <c r="O831" s="510"/>
      <c r="P831" s="510"/>
      <c r="Q831" s="510"/>
      <c r="R831" s="510"/>
      <c r="S831" s="510"/>
      <c r="T831" s="510"/>
      <c r="U831" s="510"/>
    </row>
    <row r="832" ht="27.0" customHeight="1">
      <c r="A832" s="510"/>
      <c r="B832" s="510"/>
      <c r="C832" s="510"/>
      <c r="D832" s="510"/>
      <c r="E832" s="510"/>
      <c r="F832" s="510"/>
      <c r="G832" s="510"/>
      <c r="H832" s="510"/>
      <c r="I832" s="510"/>
      <c r="J832" s="510"/>
      <c r="K832" s="510"/>
      <c r="L832" s="510"/>
      <c r="M832" s="510"/>
      <c r="N832" s="510"/>
      <c r="O832" s="510"/>
      <c r="P832" s="510"/>
      <c r="Q832" s="510"/>
      <c r="R832" s="510"/>
      <c r="S832" s="510"/>
      <c r="T832" s="510"/>
      <c r="U832" s="510"/>
    </row>
    <row r="833" ht="27.0" customHeight="1">
      <c r="A833" s="510"/>
      <c r="B833" s="510"/>
      <c r="C833" s="510"/>
      <c r="D833" s="510"/>
      <c r="E833" s="510"/>
      <c r="F833" s="510"/>
      <c r="G833" s="510"/>
      <c r="H833" s="510"/>
      <c r="I833" s="510"/>
      <c r="J833" s="510"/>
      <c r="K833" s="510"/>
      <c r="L833" s="510"/>
      <c r="M833" s="510"/>
      <c r="N833" s="510"/>
      <c r="O833" s="510"/>
      <c r="P833" s="510"/>
      <c r="Q833" s="510"/>
      <c r="R833" s="510"/>
      <c r="S833" s="510"/>
      <c r="T833" s="510"/>
      <c r="U833" s="510"/>
    </row>
    <row r="834" ht="27.0" customHeight="1">
      <c r="A834" s="510"/>
      <c r="B834" s="510"/>
      <c r="C834" s="510"/>
      <c r="D834" s="510"/>
      <c r="E834" s="510"/>
      <c r="F834" s="510"/>
      <c r="G834" s="510"/>
      <c r="H834" s="510"/>
      <c r="I834" s="510"/>
      <c r="J834" s="510"/>
      <c r="K834" s="510"/>
      <c r="L834" s="510"/>
      <c r="M834" s="510"/>
      <c r="N834" s="510"/>
      <c r="O834" s="510"/>
      <c r="P834" s="510"/>
      <c r="Q834" s="510"/>
      <c r="R834" s="510"/>
      <c r="S834" s="510"/>
      <c r="T834" s="510"/>
      <c r="U834" s="510"/>
    </row>
    <row r="835" ht="27.0" customHeight="1">
      <c r="A835" s="510"/>
      <c r="B835" s="510"/>
      <c r="C835" s="510"/>
      <c r="D835" s="510"/>
      <c r="E835" s="510"/>
      <c r="F835" s="510"/>
      <c r="G835" s="510"/>
      <c r="H835" s="510"/>
      <c r="I835" s="510"/>
      <c r="J835" s="510"/>
      <c r="K835" s="510"/>
      <c r="L835" s="510"/>
      <c r="M835" s="510"/>
      <c r="N835" s="510"/>
      <c r="O835" s="510"/>
      <c r="P835" s="510"/>
      <c r="Q835" s="510"/>
      <c r="R835" s="510"/>
      <c r="S835" s="510"/>
      <c r="T835" s="510"/>
      <c r="U835" s="510"/>
    </row>
    <row r="836" ht="27.0" customHeight="1">
      <c r="A836" s="510"/>
      <c r="B836" s="510"/>
      <c r="C836" s="510"/>
      <c r="D836" s="510"/>
      <c r="E836" s="510"/>
      <c r="F836" s="510"/>
      <c r="G836" s="510"/>
      <c r="H836" s="510"/>
      <c r="I836" s="510"/>
      <c r="J836" s="510"/>
      <c r="K836" s="510"/>
      <c r="L836" s="510"/>
      <c r="M836" s="510"/>
      <c r="N836" s="510"/>
      <c r="O836" s="510"/>
      <c r="P836" s="510"/>
      <c r="Q836" s="510"/>
      <c r="R836" s="510"/>
      <c r="S836" s="510"/>
      <c r="T836" s="510"/>
      <c r="U836" s="510"/>
    </row>
    <row r="837" ht="27.0" customHeight="1">
      <c r="A837" s="510"/>
      <c r="B837" s="510"/>
      <c r="C837" s="510"/>
      <c r="D837" s="510"/>
      <c r="E837" s="510"/>
      <c r="F837" s="510"/>
      <c r="G837" s="510"/>
      <c r="H837" s="510"/>
      <c r="I837" s="510"/>
      <c r="J837" s="510"/>
      <c r="K837" s="510"/>
      <c r="L837" s="510"/>
      <c r="M837" s="510"/>
      <c r="N837" s="510"/>
      <c r="O837" s="510"/>
      <c r="P837" s="510"/>
      <c r="Q837" s="510"/>
      <c r="R837" s="510"/>
      <c r="S837" s="510"/>
      <c r="T837" s="510"/>
      <c r="U837" s="510"/>
    </row>
    <row r="838" ht="27.0" customHeight="1">
      <c r="A838" s="510"/>
      <c r="B838" s="510"/>
      <c r="C838" s="510"/>
      <c r="D838" s="510"/>
      <c r="E838" s="510"/>
      <c r="F838" s="510"/>
      <c r="G838" s="510"/>
      <c r="H838" s="510"/>
      <c r="I838" s="510"/>
      <c r="J838" s="510"/>
      <c r="K838" s="510"/>
      <c r="L838" s="510"/>
      <c r="M838" s="510"/>
      <c r="N838" s="510"/>
      <c r="O838" s="510"/>
      <c r="P838" s="510"/>
      <c r="Q838" s="510"/>
      <c r="R838" s="510"/>
      <c r="S838" s="510"/>
      <c r="T838" s="510"/>
      <c r="U838" s="510"/>
    </row>
    <row r="839" ht="27.0" customHeight="1">
      <c r="A839" s="510"/>
      <c r="B839" s="510"/>
      <c r="C839" s="510"/>
      <c r="D839" s="510"/>
      <c r="E839" s="510"/>
      <c r="F839" s="510"/>
      <c r="G839" s="510"/>
      <c r="H839" s="510"/>
      <c r="I839" s="510"/>
      <c r="J839" s="510"/>
      <c r="K839" s="510"/>
      <c r="L839" s="510"/>
      <c r="M839" s="510"/>
      <c r="N839" s="510"/>
      <c r="O839" s="510"/>
      <c r="P839" s="510"/>
      <c r="Q839" s="510"/>
      <c r="R839" s="510"/>
      <c r="S839" s="510"/>
      <c r="T839" s="510"/>
      <c r="U839" s="510"/>
    </row>
    <row r="840" ht="27.0" customHeight="1">
      <c r="A840" s="510"/>
      <c r="B840" s="510"/>
      <c r="C840" s="510"/>
      <c r="D840" s="510"/>
      <c r="E840" s="510"/>
      <c r="F840" s="510"/>
      <c r="G840" s="510"/>
      <c r="H840" s="510"/>
      <c r="I840" s="510"/>
      <c r="J840" s="510"/>
      <c r="K840" s="510"/>
      <c r="L840" s="510"/>
      <c r="M840" s="510"/>
      <c r="N840" s="510"/>
      <c r="O840" s="510"/>
      <c r="P840" s="510"/>
      <c r="Q840" s="510"/>
      <c r="R840" s="510"/>
      <c r="S840" s="510"/>
      <c r="T840" s="510"/>
      <c r="U840" s="510"/>
    </row>
    <row r="841" ht="27.0" customHeight="1">
      <c r="A841" s="510"/>
      <c r="B841" s="510"/>
      <c r="C841" s="510"/>
      <c r="D841" s="510"/>
      <c r="E841" s="510"/>
      <c r="F841" s="510"/>
      <c r="G841" s="510"/>
      <c r="H841" s="510"/>
      <c r="I841" s="510"/>
      <c r="J841" s="510"/>
      <c r="K841" s="510"/>
      <c r="L841" s="510"/>
      <c r="M841" s="510"/>
      <c r="N841" s="510"/>
      <c r="O841" s="510"/>
      <c r="P841" s="510"/>
      <c r="Q841" s="510"/>
      <c r="R841" s="510"/>
      <c r="S841" s="510"/>
      <c r="T841" s="510"/>
      <c r="U841" s="510"/>
    </row>
    <row r="842" ht="27.0" customHeight="1">
      <c r="A842" s="510"/>
      <c r="B842" s="510"/>
      <c r="C842" s="510"/>
      <c r="D842" s="510"/>
      <c r="E842" s="510"/>
      <c r="F842" s="510"/>
      <c r="G842" s="510"/>
      <c r="H842" s="510"/>
      <c r="I842" s="510"/>
      <c r="J842" s="510"/>
      <c r="K842" s="510"/>
      <c r="L842" s="510"/>
      <c r="M842" s="510"/>
      <c r="N842" s="510"/>
      <c r="O842" s="510"/>
      <c r="P842" s="510"/>
      <c r="Q842" s="510"/>
      <c r="R842" s="510"/>
      <c r="S842" s="510"/>
      <c r="T842" s="510"/>
      <c r="U842" s="510"/>
    </row>
    <row r="843" ht="27.0" customHeight="1">
      <c r="A843" s="510"/>
      <c r="B843" s="510"/>
      <c r="C843" s="510"/>
      <c r="D843" s="510"/>
      <c r="E843" s="510"/>
      <c r="F843" s="510"/>
      <c r="G843" s="510"/>
      <c r="H843" s="510"/>
      <c r="I843" s="510"/>
      <c r="J843" s="510"/>
      <c r="K843" s="510"/>
      <c r="L843" s="510"/>
      <c r="M843" s="510"/>
      <c r="N843" s="510"/>
      <c r="O843" s="510"/>
      <c r="P843" s="510"/>
      <c r="Q843" s="510"/>
      <c r="R843" s="510"/>
      <c r="S843" s="510"/>
      <c r="T843" s="510"/>
      <c r="U843" s="510"/>
    </row>
    <row r="844" ht="27.0" customHeight="1">
      <c r="A844" s="510"/>
      <c r="B844" s="510"/>
      <c r="C844" s="510"/>
      <c r="D844" s="510"/>
      <c r="E844" s="510"/>
      <c r="F844" s="510"/>
      <c r="G844" s="510"/>
      <c r="H844" s="510"/>
      <c r="I844" s="510"/>
      <c r="J844" s="510"/>
      <c r="K844" s="510"/>
      <c r="L844" s="510"/>
      <c r="M844" s="510"/>
      <c r="N844" s="510"/>
      <c r="O844" s="510"/>
      <c r="P844" s="510"/>
      <c r="Q844" s="510"/>
      <c r="R844" s="510"/>
      <c r="S844" s="510"/>
      <c r="T844" s="510"/>
      <c r="U844" s="510"/>
    </row>
    <row r="845" ht="27.0" customHeight="1">
      <c r="A845" s="510"/>
      <c r="B845" s="510"/>
      <c r="C845" s="510"/>
      <c r="D845" s="510"/>
      <c r="E845" s="510"/>
      <c r="F845" s="510"/>
      <c r="G845" s="510"/>
      <c r="H845" s="510"/>
      <c r="I845" s="510"/>
      <c r="J845" s="510"/>
      <c r="K845" s="510"/>
      <c r="L845" s="510"/>
      <c r="M845" s="510"/>
      <c r="N845" s="510"/>
      <c r="O845" s="510"/>
      <c r="P845" s="510"/>
      <c r="Q845" s="510"/>
      <c r="R845" s="510"/>
      <c r="S845" s="510"/>
      <c r="T845" s="510"/>
      <c r="U845" s="510"/>
    </row>
    <row r="846" ht="27.0" customHeight="1">
      <c r="A846" s="510"/>
      <c r="B846" s="510"/>
      <c r="C846" s="510"/>
      <c r="D846" s="510"/>
      <c r="E846" s="510"/>
      <c r="F846" s="510"/>
      <c r="G846" s="510"/>
      <c r="H846" s="510"/>
      <c r="I846" s="510"/>
      <c r="J846" s="510"/>
      <c r="K846" s="510"/>
      <c r="L846" s="510"/>
      <c r="M846" s="510"/>
      <c r="N846" s="510"/>
      <c r="O846" s="510"/>
      <c r="P846" s="510"/>
      <c r="Q846" s="510"/>
      <c r="R846" s="510"/>
      <c r="S846" s="510"/>
      <c r="T846" s="510"/>
      <c r="U846" s="510"/>
    </row>
    <row r="847" ht="27.0" customHeight="1">
      <c r="A847" s="510"/>
      <c r="B847" s="510"/>
      <c r="C847" s="510"/>
      <c r="D847" s="510"/>
      <c r="E847" s="510"/>
      <c r="F847" s="510"/>
      <c r="G847" s="510"/>
      <c r="H847" s="510"/>
      <c r="I847" s="510"/>
      <c r="J847" s="510"/>
      <c r="K847" s="510"/>
      <c r="L847" s="510"/>
      <c r="M847" s="510"/>
      <c r="N847" s="510"/>
      <c r="O847" s="510"/>
      <c r="P847" s="510"/>
      <c r="Q847" s="510"/>
      <c r="R847" s="510"/>
      <c r="S847" s="510"/>
      <c r="T847" s="510"/>
      <c r="U847" s="510"/>
    </row>
    <row r="848" ht="27.0" customHeight="1">
      <c r="A848" s="510"/>
      <c r="B848" s="510"/>
      <c r="C848" s="510"/>
      <c r="D848" s="510"/>
      <c r="E848" s="510"/>
      <c r="F848" s="510"/>
      <c r="G848" s="510"/>
      <c r="H848" s="510"/>
      <c r="I848" s="510"/>
      <c r="J848" s="510"/>
      <c r="K848" s="510"/>
      <c r="L848" s="510"/>
      <c r="M848" s="510"/>
      <c r="N848" s="510"/>
      <c r="O848" s="510"/>
      <c r="P848" s="510"/>
      <c r="Q848" s="510"/>
      <c r="R848" s="510"/>
      <c r="S848" s="510"/>
      <c r="T848" s="510"/>
      <c r="U848" s="510"/>
    </row>
    <row r="849" ht="27.0" customHeight="1">
      <c r="A849" s="510"/>
      <c r="B849" s="510"/>
      <c r="C849" s="510"/>
      <c r="D849" s="510"/>
      <c r="E849" s="510"/>
      <c r="F849" s="510"/>
      <c r="G849" s="510"/>
      <c r="H849" s="510"/>
      <c r="I849" s="510"/>
      <c r="J849" s="510"/>
      <c r="K849" s="510"/>
      <c r="L849" s="510"/>
      <c r="M849" s="510"/>
      <c r="N849" s="510"/>
      <c r="O849" s="510"/>
      <c r="P849" s="510"/>
      <c r="Q849" s="510"/>
      <c r="R849" s="510"/>
      <c r="S849" s="510"/>
      <c r="T849" s="510"/>
      <c r="U849" s="510"/>
    </row>
    <row r="850" ht="27.0" customHeight="1">
      <c r="A850" s="510"/>
      <c r="B850" s="510"/>
      <c r="C850" s="510"/>
      <c r="D850" s="510"/>
      <c r="E850" s="510"/>
      <c r="F850" s="510"/>
      <c r="G850" s="510"/>
      <c r="H850" s="510"/>
      <c r="I850" s="510"/>
      <c r="J850" s="510"/>
      <c r="K850" s="510"/>
      <c r="L850" s="510"/>
      <c r="M850" s="510"/>
      <c r="N850" s="510"/>
      <c r="O850" s="510"/>
      <c r="P850" s="510"/>
      <c r="Q850" s="510"/>
      <c r="R850" s="510"/>
      <c r="S850" s="510"/>
      <c r="T850" s="510"/>
      <c r="U850" s="510"/>
    </row>
    <row r="851" ht="27.0" customHeight="1">
      <c r="A851" s="510"/>
      <c r="B851" s="510"/>
      <c r="C851" s="510"/>
      <c r="D851" s="510"/>
      <c r="E851" s="510"/>
      <c r="F851" s="510"/>
      <c r="G851" s="510"/>
      <c r="H851" s="510"/>
      <c r="I851" s="510"/>
      <c r="J851" s="510"/>
      <c r="K851" s="510"/>
      <c r="L851" s="510"/>
      <c r="M851" s="510"/>
      <c r="N851" s="510"/>
      <c r="O851" s="510"/>
      <c r="P851" s="510"/>
      <c r="Q851" s="510"/>
      <c r="R851" s="510"/>
      <c r="S851" s="510"/>
      <c r="T851" s="510"/>
      <c r="U851" s="510"/>
    </row>
    <row r="852" ht="27.0" customHeight="1">
      <c r="A852" s="510"/>
      <c r="B852" s="510"/>
      <c r="C852" s="510"/>
      <c r="D852" s="510"/>
      <c r="E852" s="510"/>
      <c r="F852" s="510"/>
      <c r="G852" s="510"/>
      <c r="H852" s="510"/>
      <c r="I852" s="510"/>
      <c r="J852" s="510"/>
      <c r="K852" s="510"/>
      <c r="L852" s="510"/>
      <c r="M852" s="510"/>
      <c r="N852" s="510"/>
      <c r="O852" s="510"/>
      <c r="P852" s="510"/>
      <c r="Q852" s="510"/>
      <c r="R852" s="510"/>
      <c r="S852" s="510"/>
      <c r="T852" s="510"/>
      <c r="U852" s="510"/>
    </row>
    <row r="853" ht="27.0" customHeight="1">
      <c r="A853" s="510"/>
      <c r="B853" s="510"/>
      <c r="C853" s="510"/>
      <c r="D853" s="510"/>
      <c r="E853" s="510"/>
      <c r="F853" s="510"/>
      <c r="G853" s="510"/>
      <c r="H853" s="510"/>
      <c r="I853" s="510"/>
      <c r="J853" s="510"/>
      <c r="K853" s="510"/>
      <c r="L853" s="510"/>
      <c r="M853" s="510"/>
      <c r="N853" s="510"/>
      <c r="O853" s="510"/>
      <c r="P853" s="510"/>
      <c r="Q853" s="510"/>
      <c r="R853" s="510"/>
      <c r="S853" s="510"/>
      <c r="T853" s="510"/>
      <c r="U853" s="510"/>
    </row>
    <row r="854" ht="27.0" customHeight="1">
      <c r="A854" s="510"/>
      <c r="B854" s="510"/>
      <c r="C854" s="510"/>
      <c r="D854" s="510"/>
      <c r="E854" s="510"/>
      <c r="F854" s="510"/>
      <c r="G854" s="510"/>
      <c r="H854" s="510"/>
      <c r="I854" s="510"/>
      <c r="J854" s="510"/>
      <c r="K854" s="510"/>
      <c r="L854" s="510"/>
      <c r="M854" s="510"/>
      <c r="N854" s="510"/>
      <c r="O854" s="510"/>
      <c r="P854" s="510"/>
      <c r="Q854" s="510"/>
      <c r="R854" s="510"/>
      <c r="S854" s="510"/>
      <c r="T854" s="510"/>
      <c r="U854" s="510"/>
    </row>
    <row r="855" ht="27.0" customHeight="1">
      <c r="A855" s="510"/>
      <c r="B855" s="510"/>
      <c r="C855" s="510"/>
      <c r="D855" s="510"/>
      <c r="E855" s="510"/>
      <c r="F855" s="510"/>
      <c r="G855" s="510"/>
      <c r="H855" s="510"/>
      <c r="I855" s="510"/>
      <c r="J855" s="510"/>
      <c r="K855" s="510"/>
      <c r="L855" s="510"/>
      <c r="M855" s="510"/>
      <c r="N855" s="510"/>
      <c r="O855" s="510"/>
      <c r="P855" s="510"/>
      <c r="Q855" s="510"/>
      <c r="R855" s="510"/>
      <c r="S855" s="510"/>
      <c r="T855" s="510"/>
      <c r="U855" s="510"/>
    </row>
    <row r="856" ht="27.0" customHeight="1">
      <c r="A856" s="510"/>
      <c r="B856" s="510"/>
      <c r="C856" s="510"/>
      <c r="D856" s="510"/>
      <c r="E856" s="510"/>
      <c r="F856" s="510"/>
      <c r="G856" s="510"/>
      <c r="H856" s="510"/>
      <c r="I856" s="510"/>
      <c r="J856" s="510"/>
      <c r="K856" s="510"/>
      <c r="L856" s="510"/>
      <c r="M856" s="510"/>
      <c r="N856" s="510"/>
      <c r="O856" s="510"/>
      <c r="P856" s="510"/>
      <c r="Q856" s="510"/>
      <c r="R856" s="510"/>
      <c r="S856" s="510"/>
      <c r="T856" s="510"/>
      <c r="U856" s="510"/>
    </row>
    <row r="857" ht="27.0" customHeight="1">
      <c r="A857" s="510"/>
      <c r="B857" s="510"/>
      <c r="C857" s="510"/>
      <c r="D857" s="510"/>
      <c r="E857" s="510"/>
      <c r="F857" s="510"/>
      <c r="G857" s="510"/>
      <c r="H857" s="510"/>
      <c r="I857" s="510"/>
      <c r="J857" s="510"/>
      <c r="K857" s="510"/>
      <c r="L857" s="510"/>
      <c r="M857" s="510"/>
      <c r="N857" s="510"/>
      <c r="O857" s="510"/>
      <c r="P857" s="510"/>
      <c r="Q857" s="510"/>
      <c r="R857" s="510"/>
      <c r="S857" s="510"/>
      <c r="T857" s="510"/>
      <c r="U857" s="510"/>
    </row>
    <row r="858" ht="27.0" customHeight="1">
      <c r="A858" s="510"/>
      <c r="B858" s="510"/>
      <c r="C858" s="510"/>
      <c r="D858" s="510"/>
      <c r="E858" s="510"/>
      <c r="F858" s="510"/>
      <c r="G858" s="510"/>
      <c r="H858" s="510"/>
      <c r="I858" s="510"/>
      <c r="J858" s="510"/>
      <c r="K858" s="510"/>
      <c r="L858" s="510"/>
      <c r="M858" s="510"/>
      <c r="N858" s="510"/>
      <c r="O858" s="510"/>
      <c r="P858" s="510"/>
      <c r="Q858" s="510"/>
      <c r="R858" s="510"/>
      <c r="S858" s="510"/>
      <c r="T858" s="510"/>
      <c r="U858" s="510"/>
    </row>
    <row r="859" ht="27.0" customHeight="1">
      <c r="A859" s="510"/>
      <c r="B859" s="510"/>
      <c r="C859" s="510"/>
      <c r="D859" s="510"/>
      <c r="E859" s="510"/>
      <c r="F859" s="510"/>
      <c r="G859" s="510"/>
      <c r="H859" s="510"/>
      <c r="I859" s="510"/>
      <c r="J859" s="510"/>
      <c r="K859" s="510"/>
      <c r="L859" s="510"/>
      <c r="M859" s="510"/>
      <c r="N859" s="510"/>
      <c r="O859" s="510"/>
      <c r="P859" s="510"/>
      <c r="Q859" s="510"/>
      <c r="R859" s="510"/>
      <c r="S859" s="510"/>
      <c r="T859" s="510"/>
      <c r="U859" s="510"/>
    </row>
    <row r="860" ht="27.0" customHeight="1">
      <c r="A860" s="510"/>
      <c r="B860" s="510"/>
      <c r="C860" s="510"/>
      <c r="D860" s="510"/>
      <c r="E860" s="510"/>
      <c r="F860" s="510"/>
      <c r="G860" s="510"/>
      <c r="H860" s="510"/>
      <c r="I860" s="510"/>
      <c r="J860" s="510"/>
      <c r="K860" s="510"/>
      <c r="L860" s="510"/>
      <c r="M860" s="510"/>
      <c r="N860" s="510"/>
      <c r="O860" s="510"/>
      <c r="P860" s="510"/>
      <c r="Q860" s="510"/>
      <c r="R860" s="510"/>
      <c r="S860" s="510"/>
      <c r="T860" s="510"/>
      <c r="U860" s="510"/>
    </row>
    <row r="861" ht="27.0" customHeight="1">
      <c r="A861" s="510"/>
      <c r="B861" s="510"/>
      <c r="C861" s="510"/>
      <c r="D861" s="510"/>
      <c r="E861" s="510"/>
      <c r="F861" s="510"/>
      <c r="G861" s="510"/>
      <c r="H861" s="510"/>
      <c r="I861" s="510"/>
      <c r="J861" s="510"/>
      <c r="K861" s="510"/>
      <c r="L861" s="510"/>
      <c r="M861" s="510"/>
      <c r="N861" s="510"/>
      <c r="O861" s="510"/>
      <c r="P861" s="510"/>
      <c r="Q861" s="510"/>
      <c r="R861" s="510"/>
      <c r="S861" s="510"/>
      <c r="T861" s="510"/>
      <c r="U861" s="510"/>
    </row>
    <row r="862" ht="27.0" customHeight="1">
      <c r="A862" s="510"/>
      <c r="B862" s="510"/>
      <c r="C862" s="510"/>
      <c r="D862" s="510"/>
      <c r="E862" s="510"/>
      <c r="F862" s="510"/>
      <c r="G862" s="510"/>
      <c r="H862" s="510"/>
      <c r="I862" s="510"/>
      <c r="J862" s="510"/>
      <c r="K862" s="510"/>
      <c r="L862" s="510"/>
      <c r="M862" s="510"/>
      <c r="N862" s="510"/>
      <c r="O862" s="510"/>
      <c r="P862" s="510"/>
      <c r="Q862" s="510"/>
      <c r="R862" s="510"/>
      <c r="S862" s="510"/>
      <c r="T862" s="510"/>
      <c r="U862" s="510"/>
    </row>
    <row r="863" ht="27.0" customHeight="1">
      <c r="A863" s="510"/>
      <c r="B863" s="510"/>
      <c r="C863" s="510"/>
      <c r="D863" s="510"/>
      <c r="E863" s="510"/>
      <c r="F863" s="510"/>
      <c r="G863" s="510"/>
      <c r="H863" s="510"/>
      <c r="I863" s="510"/>
      <c r="J863" s="510"/>
      <c r="K863" s="510"/>
      <c r="L863" s="510"/>
      <c r="M863" s="510"/>
      <c r="N863" s="510"/>
      <c r="O863" s="510"/>
      <c r="P863" s="510"/>
      <c r="Q863" s="510"/>
      <c r="R863" s="510"/>
      <c r="S863" s="510"/>
      <c r="T863" s="510"/>
      <c r="U863" s="510"/>
    </row>
    <row r="864" ht="27.0" customHeight="1">
      <c r="A864" s="510"/>
      <c r="B864" s="510"/>
      <c r="C864" s="510"/>
      <c r="D864" s="510"/>
      <c r="E864" s="510"/>
      <c r="F864" s="510"/>
      <c r="G864" s="510"/>
      <c r="H864" s="510"/>
      <c r="I864" s="510"/>
      <c r="J864" s="510"/>
      <c r="K864" s="510"/>
      <c r="L864" s="510"/>
      <c r="M864" s="510"/>
      <c r="N864" s="510"/>
      <c r="O864" s="510"/>
      <c r="P864" s="510"/>
      <c r="Q864" s="510"/>
      <c r="R864" s="510"/>
      <c r="S864" s="510"/>
      <c r="T864" s="510"/>
      <c r="U864" s="510"/>
    </row>
    <row r="865" ht="27.0" customHeight="1">
      <c r="A865" s="510"/>
      <c r="B865" s="510"/>
      <c r="C865" s="510"/>
      <c r="D865" s="510"/>
      <c r="E865" s="510"/>
      <c r="F865" s="510"/>
      <c r="G865" s="510"/>
      <c r="H865" s="510"/>
      <c r="I865" s="510"/>
      <c r="J865" s="510"/>
      <c r="K865" s="510"/>
      <c r="L865" s="510"/>
      <c r="M865" s="510"/>
      <c r="N865" s="510"/>
      <c r="O865" s="510"/>
      <c r="P865" s="510"/>
      <c r="Q865" s="510"/>
      <c r="R865" s="510"/>
      <c r="S865" s="510"/>
      <c r="T865" s="510"/>
      <c r="U865" s="510"/>
    </row>
    <row r="866" ht="27.0" customHeight="1">
      <c r="A866" s="510"/>
      <c r="B866" s="510"/>
      <c r="C866" s="510"/>
      <c r="D866" s="510"/>
      <c r="E866" s="510"/>
      <c r="F866" s="510"/>
      <c r="G866" s="510"/>
      <c r="H866" s="510"/>
      <c r="I866" s="510"/>
      <c r="J866" s="510"/>
      <c r="K866" s="510"/>
      <c r="L866" s="510"/>
      <c r="M866" s="510"/>
      <c r="N866" s="510"/>
      <c r="O866" s="510"/>
      <c r="P866" s="510"/>
      <c r="Q866" s="510"/>
      <c r="R866" s="510"/>
      <c r="S866" s="510"/>
      <c r="T866" s="510"/>
      <c r="U866" s="510"/>
    </row>
    <row r="867" ht="27.0" customHeight="1">
      <c r="A867" s="510"/>
      <c r="B867" s="510"/>
      <c r="C867" s="510"/>
      <c r="D867" s="510"/>
      <c r="E867" s="510"/>
      <c r="F867" s="510"/>
      <c r="G867" s="510"/>
      <c r="H867" s="510"/>
      <c r="I867" s="510"/>
      <c r="J867" s="510"/>
      <c r="K867" s="510"/>
      <c r="L867" s="510"/>
      <c r="M867" s="510"/>
      <c r="N867" s="510"/>
      <c r="O867" s="510"/>
      <c r="P867" s="510"/>
      <c r="Q867" s="510"/>
      <c r="R867" s="510"/>
      <c r="S867" s="510"/>
      <c r="T867" s="510"/>
      <c r="U867" s="510"/>
    </row>
    <row r="868" ht="27.0" customHeight="1">
      <c r="A868" s="510"/>
      <c r="B868" s="510"/>
      <c r="C868" s="510"/>
      <c r="D868" s="510"/>
      <c r="E868" s="510"/>
      <c r="F868" s="510"/>
      <c r="G868" s="510"/>
      <c r="H868" s="510"/>
      <c r="I868" s="510"/>
      <c r="J868" s="510"/>
      <c r="K868" s="510"/>
      <c r="L868" s="510"/>
      <c r="M868" s="510"/>
      <c r="N868" s="510"/>
      <c r="O868" s="510"/>
      <c r="P868" s="510"/>
      <c r="Q868" s="510"/>
      <c r="R868" s="510"/>
      <c r="S868" s="510"/>
      <c r="T868" s="510"/>
      <c r="U868" s="510"/>
    </row>
    <row r="869" ht="27.0" customHeight="1">
      <c r="A869" s="510"/>
      <c r="B869" s="510"/>
      <c r="C869" s="510"/>
      <c r="D869" s="510"/>
      <c r="E869" s="510"/>
      <c r="F869" s="510"/>
      <c r="G869" s="510"/>
      <c r="H869" s="510"/>
      <c r="I869" s="510"/>
      <c r="J869" s="510"/>
      <c r="K869" s="510"/>
      <c r="L869" s="510"/>
      <c r="M869" s="510"/>
      <c r="N869" s="510"/>
      <c r="O869" s="510"/>
      <c r="P869" s="510"/>
      <c r="Q869" s="510"/>
      <c r="R869" s="510"/>
      <c r="S869" s="510"/>
      <c r="T869" s="510"/>
      <c r="U869" s="510"/>
    </row>
    <row r="870" ht="27.0" customHeight="1">
      <c r="A870" s="510"/>
      <c r="B870" s="510"/>
      <c r="C870" s="510"/>
      <c r="D870" s="510"/>
      <c r="E870" s="510"/>
      <c r="F870" s="510"/>
      <c r="G870" s="510"/>
      <c r="H870" s="510"/>
      <c r="I870" s="510"/>
      <c r="J870" s="510"/>
      <c r="K870" s="510"/>
      <c r="L870" s="510"/>
      <c r="M870" s="510"/>
      <c r="N870" s="510"/>
      <c r="O870" s="510"/>
      <c r="P870" s="510"/>
      <c r="Q870" s="510"/>
      <c r="R870" s="510"/>
      <c r="S870" s="510"/>
      <c r="T870" s="510"/>
      <c r="U870" s="510"/>
    </row>
    <row r="871" ht="27.0" customHeight="1">
      <c r="A871" s="510"/>
      <c r="B871" s="510"/>
      <c r="C871" s="510"/>
      <c r="D871" s="510"/>
      <c r="E871" s="510"/>
      <c r="F871" s="510"/>
      <c r="G871" s="510"/>
      <c r="H871" s="510"/>
      <c r="I871" s="510"/>
      <c r="J871" s="510"/>
      <c r="K871" s="510"/>
      <c r="L871" s="510"/>
      <c r="M871" s="510"/>
      <c r="N871" s="510"/>
      <c r="O871" s="510"/>
      <c r="P871" s="510"/>
      <c r="Q871" s="510"/>
      <c r="R871" s="510"/>
      <c r="S871" s="510"/>
      <c r="T871" s="510"/>
      <c r="U871" s="510"/>
    </row>
    <row r="872" ht="27.0" customHeight="1">
      <c r="A872" s="510"/>
      <c r="B872" s="510"/>
      <c r="C872" s="510"/>
      <c r="D872" s="510"/>
      <c r="E872" s="510"/>
      <c r="F872" s="510"/>
      <c r="G872" s="510"/>
      <c r="H872" s="510"/>
      <c r="I872" s="510"/>
      <c r="J872" s="510"/>
      <c r="K872" s="510"/>
      <c r="L872" s="510"/>
      <c r="M872" s="510"/>
      <c r="N872" s="510"/>
      <c r="O872" s="510"/>
      <c r="P872" s="510"/>
      <c r="Q872" s="510"/>
      <c r="R872" s="510"/>
      <c r="S872" s="510"/>
      <c r="T872" s="510"/>
      <c r="U872" s="510"/>
    </row>
    <row r="873" ht="27.0" customHeight="1">
      <c r="A873" s="510"/>
      <c r="B873" s="510"/>
      <c r="C873" s="510"/>
      <c r="D873" s="510"/>
      <c r="E873" s="510"/>
      <c r="F873" s="510"/>
      <c r="G873" s="510"/>
      <c r="H873" s="510"/>
      <c r="I873" s="510"/>
      <c r="J873" s="510"/>
      <c r="K873" s="510"/>
      <c r="L873" s="510"/>
      <c r="M873" s="510"/>
      <c r="N873" s="510"/>
      <c r="O873" s="510"/>
      <c r="P873" s="510"/>
      <c r="Q873" s="510"/>
      <c r="R873" s="510"/>
      <c r="S873" s="510"/>
      <c r="T873" s="510"/>
      <c r="U873" s="510"/>
    </row>
    <row r="874" ht="27.0" customHeight="1">
      <c r="A874" s="510"/>
      <c r="B874" s="510"/>
      <c r="C874" s="510"/>
      <c r="D874" s="510"/>
      <c r="E874" s="510"/>
      <c r="F874" s="510"/>
      <c r="G874" s="510"/>
      <c r="H874" s="510"/>
      <c r="I874" s="510"/>
      <c r="J874" s="510"/>
      <c r="K874" s="510"/>
      <c r="L874" s="510"/>
      <c r="M874" s="510"/>
      <c r="N874" s="510"/>
      <c r="O874" s="510"/>
      <c r="P874" s="510"/>
      <c r="Q874" s="510"/>
      <c r="R874" s="510"/>
      <c r="S874" s="510"/>
      <c r="T874" s="510"/>
      <c r="U874" s="510"/>
    </row>
    <row r="875" ht="27.0" customHeight="1">
      <c r="A875" s="510"/>
      <c r="B875" s="510"/>
      <c r="C875" s="510"/>
      <c r="D875" s="510"/>
      <c r="E875" s="510"/>
      <c r="F875" s="510"/>
      <c r="G875" s="510"/>
      <c r="H875" s="510"/>
      <c r="I875" s="510"/>
      <c r="J875" s="510"/>
      <c r="K875" s="510"/>
      <c r="L875" s="510"/>
      <c r="M875" s="510"/>
      <c r="N875" s="510"/>
      <c r="O875" s="510"/>
      <c r="P875" s="510"/>
      <c r="Q875" s="510"/>
      <c r="R875" s="510"/>
      <c r="S875" s="510"/>
      <c r="T875" s="510"/>
      <c r="U875" s="510"/>
    </row>
    <row r="876" ht="27.0" customHeight="1">
      <c r="A876" s="510"/>
      <c r="B876" s="510"/>
      <c r="C876" s="510"/>
      <c r="D876" s="510"/>
      <c r="E876" s="510"/>
      <c r="F876" s="510"/>
      <c r="G876" s="510"/>
      <c r="H876" s="510"/>
      <c r="I876" s="510"/>
      <c r="J876" s="510"/>
      <c r="K876" s="510"/>
      <c r="L876" s="510"/>
      <c r="M876" s="510"/>
      <c r="N876" s="510"/>
      <c r="O876" s="510"/>
      <c r="P876" s="510"/>
      <c r="Q876" s="510"/>
      <c r="R876" s="510"/>
      <c r="S876" s="510"/>
      <c r="T876" s="510"/>
      <c r="U876" s="510"/>
    </row>
    <row r="877" ht="27.0" customHeight="1">
      <c r="A877" s="510"/>
      <c r="B877" s="510"/>
      <c r="C877" s="510"/>
      <c r="D877" s="510"/>
      <c r="E877" s="510"/>
      <c r="F877" s="510"/>
      <c r="G877" s="510"/>
      <c r="H877" s="510"/>
      <c r="I877" s="510"/>
      <c r="J877" s="510"/>
      <c r="K877" s="510"/>
      <c r="L877" s="510"/>
      <c r="M877" s="510"/>
      <c r="N877" s="510"/>
      <c r="O877" s="510"/>
      <c r="P877" s="510"/>
      <c r="Q877" s="510"/>
      <c r="R877" s="510"/>
      <c r="S877" s="510"/>
      <c r="T877" s="510"/>
      <c r="U877" s="510"/>
    </row>
    <row r="878" ht="27.0" customHeight="1">
      <c r="A878" s="510"/>
      <c r="B878" s="510"/>
      <c r="C878" s="510"/>
      <c r="D878" s="510"/>
      <c r="E878" s="510"/>
      <c r="F878" s="510"/>
      <c r="G878" s="510"/>
      <c r="H878" s="510"/>
      <c r="I878" s="510"/>
      <c r="J878" s="510"/>
      <c r="K878" s="510"/>
      <c r="L878" s="510"/>
      <c r="M878" s="510"/>
      <c r="N878" s="510"/>
      <c r="O878" s="510"/>
      <c r="P878" s="510"/>
      <c r="Q878" s="510"/>
      <c r="R878" s="510"/>
      <c r="S878" s="510"/>
      <c r="T878" s="510"/>
      <c r="U878" s="510"/>
    </row>
    <row r="879" ht="27.0" customHeight="1">
      <c r="A879" s="510"/>
      <c r="B879" s="510"/>
      <c r="C879" s="510"/>
      <c r="D879" s="510"/>
      <c r="E879" s="510"/>
      <c r="F879" s="510"/>
      <c r="G879" s="510"/>
      <c r="H879" s="510"/>
      <c r="I879" s="510"/>
      <c r="J879" s="510"/>
      <c r="K879" s="510"/>
      <c r="L879" s="510"/>
      <c r="M879" s="510"/>
      <c r="N879" s="510"/>
      <c r="O879" s="510"/>
      <c r="P879" s="510"/>
      <c r="Q879" s="510"/>
      <c r="R879" s="510"/>
      <c r="S879" s="510"/>
      <c r="T879" s="510"/>
      <c r="U879" s="510"/>
    </row>
    <row r="880" ht="27.0" customHeight="1">
      <c r="A880" s="510"/>
      <c r="B880" s="510"/>
      <c r="C880" s="510"/>
      <c r="D880" s="510"/>
      <c r="E880" s="510"/>
      <c r="F880" s="510"/>
      <c r="G880" s="510"/>
      <c r="H880" s="510"/>
      <c r="I880" s="510"/>
      <c r="J880" s="510"/>
      <c r="K880" s="510"/>
      <c r="L880" s="510"/>
      <c r="M880" s="510"/>
      <c r="N880" s="510"/>
      <c r="O880" s="510"/>
      <c r="P880" s="510"/>
      <c r="Q880" s="510"/>
      <c r="R880" s="510"/>
      <c r="S880" s="510"/>
      <c r="T880" s="510"/>
      <c r="U880" s="510"/>
    </row>
    <row r="881" ht="27.0" customHeight="1">
      <c r="A881" s="510"/>
      <c r="B881" s="510"/>
      <c r="C881" s="510"/>
      <c r="D881" s="510"/>
      <c r="E881" s="510"/>
      <c r="F881" s="510"/>
      <c r="G881" s="510"/>
      <c r="H881" s="510"/>
      <c r="I881" s="510"/>
      <c r="J881" s="510"/>
      <c r="K881" s="510"/>
      <c r="L881" s="510"/>
      <c r="M881" s="510"/>
      <c r="N881" s="510"/>
      <c r="O881" s="510"/>
      <c r="P881" s="510"/>
      <c r="Q881" s="510"/>
      <c r="R881" s="510"/>
      <c r="S881" s="510"/>
      <c r="T881" s="510"/>
      <c r="U881" s="510"/>
    </row>
    <row r="882" ht="27.0" customHeight="1">
      <c r="A882" s="510"/>
      <c r="B882" s="510"/>
      <c r="C882" s="510"/>
      <c r="D882" s="510"/>
      <c r="E882" s="510"/>
      <c r="F882" s="510"/>
      <c r="G882" s="510"/>
      <c r="H882" s="510"/>
      <c r="I882" s="510"/>
      <c r="J882" s="510"/>
      <c r="K882" s="510"/>
      <c r="L882" s="510"/>
      <c r="M882" s="510"/>
      <c r="N882" s="510"/>
      <c r="O882" s="510"/>
      <c r="P882" s="510"/>
      <c r="Q882" s="510"/>
      <c r="R882" s="510"/>
      <c r="S882" s="510"/>
      <c r="T882" s="510"/>
      <c r="U882" s="510"/>
    </row>
    <row r="883" ht="27.0" customHeight="1">
      <c r="A883" s="510"/>
      <c r="B883" s="510"/>
      <c r="C883" s="510"/>
      <c r="D883" s="510"/>
      <c r="E883" s="510"/>
      <c r="F883" s="510"/>
      <c r="G883" s="510"/>
      <c r="H883" s="510"/>
      <c r="I883" s="510"/>
      <c r="J883" s="510"/>
      <c r="K883" s="510"/>
      <c r="L883" s="510"/>
      <c r="M883" s="510"/>
      <c r="N883" s="510"/>
      <c r="O883" s="510"/>
      <c r="P883" s="510"/>
      <c r="Q883" s="510"/>
      <c r="R883" s="510"/>
      <c r="S883" s="510"/>
      <c r="T883" s="510"/>
      <c r="U883" s="510"/>
    </row>
    <row r="884" ht="27.0" customHeight="1">
      <c r="A884" s="510"/>
      <c r="B884" s="510"/>
      <c r="C884" s="510"/>
      <c r="D884" s="510"/>
      <c r="E884" s="510"/>
      <c r="F884" s="510"/>
      <c r="G884" s="510"/>
      <c r="H884" s="510"/>
      <c r="I884" s="510"/>
      <c r="J884" s="510"/>
      <c r="K884" s="510"/>
      <c r="L884" s="510"/>
      <c r="M884" s="510"/>
      <c r="N884" s="510"/>
      <c r="O884" s="510"/>
      <c r="P884" s="510"/>
      <c r="Q884" s="510"/>
      <c r="R884" s="510"/>
      <c r="S884" s="510"/>
      <c r="T884" s="510"/>
      <c r="U884" s="510"/>
    </row>
    <row r="885" ht="27.0" customHeight="1">
      <c r="A885" s="510"/>
      <c r="B885" s="510"/>
      <c r="C885" s="510"/>
      <c r="D885" s="510"/>
      <c r="E885" s="510"/>
      <c r="F885" s="510"/>
      <c r="G885" s="510"/>
      <c r="H885" s="510"/>
      <c r="I885" s="510"/>
      <c r="J885" s="510"/>
      <c r="K885" s="510"/>
      <c r="L885" s="510"/>
      <c r="M885" s="510"/>
      <c r="N885" s="510"/>
      <c r="O885" s="510"/>
      <c r="P885" s="510"/>
      <c r="Q885" s="510"/>
      <c r="R885" s="510"/>
      <c r="S885" s="510"/>
      <c r="T885" s="510"/>
      <c r="U885" s="510"/>
    </row>
    <row r="886" ht="27.0" customHeight="1">
      <c r="A886" s="510"/>
      <c r="B886" s="510"/>
      <c r="C886" s="510"/>
      <c r="D886" s="510"/>
      <c r="E886" s="510"/>
      <c r="F886" s="510"/>
      <c r="G886" s="510"/>
      <c r="H886" s="510"/>
      <c r="I886" s="510"/>
      <c r="J886" s="510"/>
      <c r="K886" s="510"/>
      <c r="L886" s="510"/>
      <c r="M886" s="510"/>
      <c r="N886" s="510"/>
      <c r="O886" s="510"/>
      <c r="P886" s="510"/>
      <c r="Q886" s="510"/>
      <c r="R886" s="510"/>
      <c r="S886" s="510"/>
      <c r="T886" s="510"/>
      <c r="U886" s="510"/>
    </row>
    <row r="887" ht="27.0" customHeight="1">
      <c r="A887" s="510"/>
      <c r="B887" s="510"/>
      <c r="C887" s="510"/>
      <c r="D887" s="510"/>
      <c r="E887" s="510"/>
      <c r="F887" s="510"/>
      <c r="G887" s="510"/>
      <c r="H887" s="510"/>
      <c r="I887" s="510"/>
      <c r="J887" s="510"/>
      <c r="K887" s="510"/>
      <c r="L887" s="510"/>
      <c r="M887" s="510"/>
      <c r="N887" s="510"/>
      <c r="O887" s="510"/>
      <c r="P887" s="510"/>
      <c r="Q887" s="510"/>
      <c r="R887" s="510"/>
      <c r="S887" s="510"/>
      <c r="T887" s="510"/>
      <c r="U887" s="510"/>
    </row>
    <row r="888" ht="27.0" customHeight="1">
      <c r="A888" s="510"/>
      <c r="B888" s="510"/>
      <c r="C888" s="510"/>
      <c r="D888" s="510"/>
      <c r="E888" s="510"/>
      <c r="F888" s="510"/>
      <c r="G888" s="510"/>
      <c r="H888" s="510"/>
      <c r="I888" s="510"/>
      <c r="J888" s="510"/>
      <c r="K888" s="510"/>
      <c r="L888" s="510"/>
      <c r="M888" s="510"/>
      <c r="N888" s="510"/>
      <c r="O888" s="510"/>
      <c r="P888" s="510"/>
      <c r="Q888" s="510"/>
      <c r="R888" s="510"/>
      <c r="S888" s="510"/>
      <c r="T888" s="510"/>
      <c r="U888" s="510"/>
    </row>
    <row r="889" ht="27.0" customHeight="1">
      <c r="A889" s="510"/>
      <c r="B889" s="510"/>
      <c r="C889" s="510"/>
      <c r="D889" s="510"/>
      <c r="E889" s="510"/>
      <c r="F889" s="510"/>
      <c r="G889" s="510"/>
      <c r="H889" s="510"/>
      <c r="I889" s="510"/>
      <c r="J889" s="510"/>
      <c r="K889" s="510"/>
      <c r="L889" s="510"/>
      <c r="M889" s="510"/>
      <c r="N889" s="510"/>
      <c r="O889" s="510"/>
      <c r="P889" s="510"/>
      <c r="Q889" s="510"/>
      <c r="R889" s="510"/>
      <c r="S889" s="510"/>
      <c r="T889" s="510"/>
      <c r="U889" s="510"/>
    </row>
    <row r="890" ht="27.0" customHeight="1">
      <c r="A890" s="510"/>
      <c r="B890" s="510"/>
      <c r="C890" s="510"/>
      <c r="D890" s="510"/>
      <c r="E890" s="510"/>
      <c r="F890" s="510"/>
      <c r="G890" s="510"/>
      <c r="H890" s="510"/>
      <c r="I890" s="510"/>
      <c r="J890" s="510"/>
      <c r="K890" s="510"/>
      <c r="L890" s="510"/>
      <c r="M890" s="510"/>
      <c r="N890" s="510"/>
      <c r="O890" s="510"/>
      <c r="P890" s="510"/>
      <c r="Q890" s="510"/>
      <c r="R890" s="510"/>
      <c r="S890" s="510"/>
      <c r="T890" s="510"/>
      <c r="U890" s="510"/>
    </row>
    <row r="891" ht="27.0" customHeight="1">
      <c r="A891" s="510"/>
      <c r="B891" s="510"/>
      <c r="C891" s="510"/>
      <c r="D891" s="510"/>
      <c r="E891" s="510"/>
      <c r="F891" s="510"/>
      <c r="G891" s="510"/>
      <c r="H891" s="510"/>
      <c r="I891" s="510"/>
      <c r="J891" s="510"/>
      <c r="K891" s="510"/>
      <c r="L891" s="510"/>
      <c r="M891" s="510"/>
      <c r="N891" s="510"/>
      <c r="O891" s="510"/>
      <c r="P891" s="510"/>
      <c r="Q891" s="510"/>
      <c r="R891" s="510"/>
      <c r="S891" s="510"/>
      <c r="T891" s="510"/>
      <c r="U891" s="510"/>
    </row>
    <row r="892" ht="27.0" customHeight="1">
      <c r="A892" s="510"/>
      <c r="B892" s="510"/>
      <c r="C892" s="510"/>
      <c r="D892" s="510"/>
      <c r="E892" s="510"/>
      <c r="F892" s="510"/>
      <c r="G892" s="510"/>
      <c r="H892" s="510"/>
      <c r="I892" s="510"/>
      <c r="J892" s="510"/>
      <c r="K892" s="510"/>
      <c r="L892" s="510"/>
      <c r="M892" s="510"/>
      <c r="N892" s="510"/>
      <c r="O892" s="510"/>
      <c r="P892" s="510"/>
      <c r="Q892" s="510"/>
      <c r="R892" s="510"/>
      <c r="S892" s="510"/>
      <c r="T892" s="510"/>
      <c r="U892" s="510"/>
    </row>
    <row r="893" ht="27.0" customHeight="1">
      <c r="A893" s="510"/>
      <c r="B893" s="510"/>
      <c r="C893" s="510"/>
      <c r="D893" s="510"/>
      <c r="E893" s="510"/>
      <c r="F893" s="510"/>
      <c r="G893" s="510"/>
      <c r="H893" s="510"/>
      <c r="I893" s="510"/>
      <c r="J893" s="510"/>
      <c r="K893" s="510"/>
      <c r="L893" s="510"/>
      <c r="M893" s="510"/>
      <c r="N893" s="510"/>
      <c r="O893" s="510"/>
      <c r="P893" s="510"/>
      <c r="Q893" s="510"/>
      <c r="R893" s="510"/>
      <c r="S893" s="510"/>
      <c r="T893" s="510"/>
      <c r="U893" s="510"/>
    </row>
    <row r="894" ht="27.0" customHeight="1">
      <c r="A894" s="510"/>
      <c r="B894" s="510"/>
      <c r="C894" s="510"/>
      <c r="D894" s="510"/>
      <c r="E894" s="510"/>
      <c r="F894" s="510"/>
      <c r="G894" s="510"/>
      <c r="H894" s="510"/>
      <c r="I894" s="510"/>
      <c r="J894" s="510"/>
      <c r="K894" s="510"/>
      <c r="L894" s="510"/>
      <c r="M894" s="510"/>
      <c r="N894" s="510"/>
      <c r="O894" s="510"/>
      <c r="P894" s="510"/>
      <c r="Q894" s="510"/>
      <c r="R894" s="510"/>
      <c r="S894" s="510"/>
      <c r="T894" s="510"/>
      <c r="U894" s="510"/>
    </row>
    <row r="895" ht="27.0" customHeight="1">
      <c r="A895" s="510"/>
      <c r="B895" s="510"/>
      <c r="C895" s="510"/>
      <c r="D895" s="510"/>
      <c r="E895" s="510"/>
      <c r="F895" s="510"/>
      <c r="G895" s="510"/>
      <c r="H895" s="510"/>
      <c r="I895" s="510"/>
      <c r="J895" s="510"/>
      <c r="K895" s="510"/>
      <c r="L895" s="510"/>
      <c r="M895" s="510"/>
      <c r="N895" s="510"/>
      <c r="O895" s="510"/>
      <c r="P895" s="510"/>
      <c r="Q895" s="510"/>
      <c r="R895" s="510"/>
      <c r="S895" s="510"/>
      <c r="T895" s="510"/>
      <c r="U895" s="510"/>
    </row>
    <row r="896" ht="27.0" customHeight="1">
      <c r="A896" s="510"/>
      <c r="B896" s="510"/>
      <c r="C896" s="510"/>
      <c r="D896" s="510"/>
      <c r="E896" s="510"/>
      <c r="F896" s="510"/>
      <c r="G896" s="510"/>
      <c r="H896" s="510"/>
      <c r="I896" s="510"/>
      <c r="J896" s="510"/>
      <c r="K896" s="510"/>
      <c r="L896" s="510"/>
      <c r="M896" s="510"/>
      <c r="N896" s="510"/>
      <c r="O896" s="510"/>
      <c r="P896" s="510"/>
      <c r="Q896" s="510"/>
      <c r="R896" s="510"/>
      <c r="S896" s="510"/>
      <c r="T896" s="510"/>
      <c r="U896" s="510"/>
    </row>
    <row r="897" ht="27.0" customHeight="1">
      <c r="A897" s="510"/>
      <c r="B897" s="510"/>
      <c r="C897" s="510"/>
      <c r="D897" s="510"/>
      <c r="E897" s="510"/>
      <c r="F897" s="510"/>
      <c r="G897" s="510"/>
      <c r="H897" s="510"/>
      <c r="I897" s="510"/>
      <c r="J897" s="510"/>
      <c r="K897" s="510"/>
      <c r="L897" s="510"/>
      <c r="M897" s="510"/>
      <c r="N897" s="510"/>
      <c r="O897" s="510"/>
      <c r="P897" s="510"/>
      <c r="Q897" s="510"/>
      <c r="R897" s="510"/>
      <c r="S897" s="510"/>
      <c r="T897" s="510"/>
      <c r="U897" s="510"/>
    </row>
    <row r="898" ht="27.0" customHeight="1">
      <c r="A898" s="510"/>
      <c r="B898" s="510"/>
      <c r="C898" s="510"/>
      <c r="D898" s="510"/>
      <c r="E898" s="510"/>
      <c r="F898" s="510"/>
      <c r="G898" s="510"/>
      <c r="H898" s="510"/>
      <c r="I898" s="510"/>
      <c r="J898" s="510"/>
      <c r="K898" s="510"/>
      <c r="L898" s="510"/>
      <c r="M898" s="510"/>
      <c r="N898" s="510"/>
      <c r="O898" s="510"/>
      <c r="P898" s="510"/>
      <c r="Q898" s="510"/>
      <c r="R898" s="510"/>
      <c r="S898" s="510"/>
      <c r="T898" s="510"/>
      <c r="U898" s="510"/>
    </row>
    <row r="899" ht="27.0" customHeight="1">
      <c r="A899" s="510"/>
      <c r="B899" s="510"/>
      <c r="C899" s="510"/>
      <c r="D899" s="510"/>
      <c r="E899" s="510"/>
      <c r="F899" s="510"/>
      <c r="G899" s="510"/>
      <c r="H899" s="510"/>
      <c r="I899" s="510"/>
      <c r="J899" s="510"/>
      <c r="K899" s="510"/>
      <c r="L899" s="510"/>
      <c r="M899" s="510"/>
      <c r="N899" s="510"/>
      <c r="O899" s="510"/>
      <c r="P899" s="510"/>
      <c r="Q899" s="510"/>
      <c r="R899" s="510"/>
      <c r="S899" s="510"/>
      <c r="T899" s="510"/>
      <c r="U899" s="510"/>
    </row>
    <row r="900" ht="27.0" customHeight="1">
      <c r="A900" s="510"/>
      <c r="B900" s="510"/>
      <c r="C900" s="510"/>
      <c r="D900" s="510"/>
      <c r="E900" s="510"/>
      <c r="F900" s="510"/>
      <c r="G900" s="510"/>
      <c r="H900" s="510"/>
      <c r="I900" s="510"/>
      <c r="J900" s="510"/>
      <c r="K900" s="510"/>
      <c r="L900" s="510"/>
      <c r="M900" s="510"/>
      <c r="N900" s="510"/>
      <c r="O900" s="510"/>
      <c r="P900" s="510"/>
      <c r="Q900" s="510"/>
      <c r="R900" s="510"/>
      <c r="S900" s="510"/>
      <c r="T900" s="510"/>
      <c r="U900" s="510"/>
    </row>
    <row r="901" ht="27.0" customHeight="1">
      <c r="A901" s="510"/>
      <c r="B901" s="510"/>
      <c r="C901" s="510"/>
      <c r="D901" s="510"/>
      <c r="E901" s="510"/>
      <c r="F901" s="510"/>
      <c r="G901" s="510"/>
      <c r="H901" s="510"/>
      <c r="I901" s="510"/>
      <c r="J901" s="510"/>
      <c r="K901" s="510"/>
      <c r="L901" s="510"/>
      <c r="M901" s="510"/>
      <c r="N901" s="510"/>
      <c r="O901" s="510"/>
      <c r="P901" s="510"/>
      <c r="Q901" s="510"/>
      <c r="R901" s="510"/>
      <c r="S901" s="510"/>
      <c r="T901" s="510"/>
      <c r="U901" s="510"/>
    </row>
    <row r="902" ht="27.0" customHeight="1">
      <c r="A902" s="510"/>
      <c r="B902" s="510"/>
      <c r="C902" s="510"/>
      <c r="D902" s="510"/>
      <c r="E902" s="510"/>
      <c r="F902" s="510"/>
      <c r="G902" s="510"/>
      <c r="H902" s="510"/>
      <c r="I902" s="510"/>
      <c r="J902" s="510"/>
      <c r="K902" s="510"/>
      <c r="L902" s="510"/>
      <c r="M902" s="510"/>
      <c r="N902" s="510"/>
      <c r="O902" s="510"/>
      <c r="P902" s="510"/>
      <c r="Q902" s="510"/>
      <c r="R902" s="510"/>
      <c r="S902" s="510"/>
      <c r="T902" s="510"/>
      <c r="U902" s="510"/>
    </row>
    <row r="903" ht="27.0" customHeight="1">
      <c r="A903" s="510"/>
      <c r="B903" s="510"/>
      <c r="C903" s="510"/>
      <c r="D903" s="510"/>
      <c r="E903" s="510"/>
      <c r="F903" s="510"/>
      <c r="G903" s="510"/>
      <c r="H903" s="510"/>
      <c r="I903" s="510"/>
      <c r="J903" s="510"/>
      <c r="K903" s="510"/>
      <c r="L903" s="510"/>
      <c r="M903" s="510"/>
      <c r="N903" s="510"/>
      <c r="O903" s="510"/>
      <c r="P903" s="510"/>
      <c r="Q903" s="510"/>
      <c r="R903" s="510"/>
      <c r="S903" s="510"/>
      <c r="T903" s="510"/>
      <c r="U903" s="510"/>
    </row>
    <row r="904" ht="27.0" customHeight="1">
      <c r="A904" s="510"/>
      <c r="B904" s="510"/>
      <c r="C904" s="510"/>
      <c r="D904" s="510"/>
      <c r="E904" s="510"/>
      <c r="F904" s="510"/>
      <c r="G904" s="510"/>
      <c r="H904" s="510"/>
      <c r="I904" s="510"/>
      <c r="J904" s="510"/>
      <c r="K904" s="510"/>
      <c r="L904" s="510"/>
      <c r="M904" s="510"/>
      <c r="N904" s="510"/>
      <c r="O904" s="510"/>
      <c r="P904" s="510"/>
      <c r="Q904" s="510"/>
      <c r="R904" s="510"/>
      <c r="S904" s="510"/>
      <c r="T904" s="510"/>
      <c r="U904" s="510"/>
    </row>
    <row r="905" ht="27.0" customHeight="1">
      <c r="A905" s="510"/>
      <c r="B905" s="510"/>
      <c r="C905" s="510"/>
      <c r="D905" s="510"/>
      <c r="E905" s="510"/>
      <c r="F905" s="510"/>
      <c r="G905" s="510"/>
      <c r="H905" s="510"/>
      <c r="I905" s="510"/>
      <c r="J905" s="510"/>
      <c r="K905" s="510"/>
      <c r="L905" s="510"/>
      <c r="M905" s="510"/>
      <c r="N905" s="510"/>
      <c r="O905" s="510"/>
      <c r="P905" s="510"/>
      <c r="Q905" s="510"/>
      <c r="R905" s="510"/>
      <c r="S905" s="510"/>
      <c r="T905" s="510"/>
      <c r="U905" s="510"/>
    </row>
    <row r="906" ht="27.0" customHeight="1">
      <c r="A906" s="510"/>
      <c r="B906" s="510"/>
      <c r="C906" s="510"/>
      <c r="D906" s="510"/>
      <c r="E906" s="510"/>
      <c r="F906" s="510"/>
      <c r="G906" s="510"/>
      <c r="H906" s="510"/>
      <c r="I906" s="510"/>
      <c r="J906" s="510"/>
      <c r="K906" s="510"/>
      <c r="L906" s="510"/>
      <c r="M906" s="510"/>
      <c r="N906" s="510"/>
      <c r="O906" s="510"/>
      <c r="P906" s="510"/>
      <c r="Q906" s="510"/>
      <c r="R906" s="510"/>
      <c r="S906" s="510"/>
      <c r="T906" s="510"/>
      <c r="U906" s="510"/>
    </row>
    <row r="907" ht="27.0" customHeight="1">
      <c r="A907" s="510"/>
      <c r="B907" s="510"/>
      <c r="C907" s="510"/>
      <c r="D907" s="510"/>
      <c r="E907" s="510"/>
      <c r="F907" s="510"/>
      <c r="G907" s="510"/>
      <c r="H907" s="510"/>
      <c r="I907" s="510"/>
      <c r="J907" s="510"/>
      <c r="K907" s="510"/>
      <c r="L907" s="510"/>
      <c r="M907" s="510"/>
      <c r="N907" s="510"/>
      <c r="O907" s="510"/>
      <c r="P907" s="510"/>
      <c r="Q907" s="510"/>
      <c r="R907" s="510"/>
      <c r="S907" s="510"/>
      <c r="T907" s="510"/>
      <c r="U907" s="510"/>
    </row>
    <row r="908" ht="27.0" customHeight="1">
      <c r="A908" s="510"/>
      <c r="B908" s="510"/>
      <c r="C908" s="510"/>
      <c r="D908" s="510"/>
      <c r="E908" s="510"/>
      <c r="F908" s="510"/>
      <c r="G908" s="510"/>
      <c r="H908" s="510"/>
      <c r="I908" s="510"/>
      <c r="J908" s="510"/>
      <c r="K908" s="510"/>
      <c r="L908" s="510"/>
      <c r="M908" s="510"/>
      <c r="N908" s="510"/>
      <c r="O908" s="510"/>
      <c r="P908" s="510"/>
      <c r="Q908" s="510"/>
      <c r="R908" s="510"/>
      <c r="S908" s="510"/>
      <c r="T908" s="510"/>
      <c r="U908" s="510"/>
    </row>
    <row r="909" ht="27.0" customHeight="1">
      <c r="A909" s="510"/>
      <c r="B909" s="510"/>
      <c r="C909" s="510"/>
      <c r="D909" s="510"/>
      <c r="E909" s="510"/>
      <c r="F909" s="510"/>
      <c r="G909" s="510"/>
      <c r="H909" s="510"/>
      <c r="I909" s="510"/>
      <c r="J909" s="510"/>
      <c r="K909" s="510"/>
      <c r="L909" s="510"/>
      <c r="M909" s="510"/>
      <c r="N909" s="510"/>
      <c r="O909" s="510"/>
      <c r="P909" s="510"/>
      <c r="Q909" s="510"/>
      <c r="R909" s="510"/>
      <c r="S909" s="510"/>
      <c r="T909" s="510"/>
      <c r="U909" s="510"/>
    </row>
    <row r="910" ht="27.0" customHeight="1">
      <c r="A910" s="510"/>
      <c r="B910" s="510"/>
      <c r="C910" s="510"/>
      <c r="D910" s="510"/>
      <c r="E910" s="510"/>
      <c r="F910" s="510"/>
      <c r="G910" s="510"/>
      <c r="H910" s="510"/>
      <c r="I910" s="510"/>
      <c r="J910" s="510"/>
      <c r="K910" s="510"/>
      <c r="L910" s="510"/>
      <c r="M910" s="510"/>
      <c r="N910" s="510"/>
      <c r="O910" s="510"/>
      <c r="P910" s="510"/>
      <c r="Q910" s="510"/>
      <c r="R910" s="510"/>
      <c r="S910" s="510"/>
      <c r="T910" s="510"/>
      <c r="U910" s="510"/>
    </row>
    <row r="911" ht="27.0" customHeight="1">
      <c r="A911" s="510"/>
      <c r="B911" s="510"/>
      <c r="C911" s="510"/>
      <c r="D911" s="510"/>
      <c r="E911" s="510"/>
      <c r="F911" s="510"/>
      <c r="G911" s="510"/>
      <c r="H911" s="510"/>
      <c r="I911" s="510"/>
      <c r="J911" s="510"/>
      <c r="K911" s="510"/>
      <c r="L911" s="510"/>
      <c r="M911" s="510"/>
      <c r="N911" s="510"/>
      <c r="O911" s="510"/>
      <c r="P911" s="510"/>
      <c r="Q911" s="510"/>
      <c r="R911" s="510"/>
      <c r="S911" s="510"/>
      <c r="T911" s="510"/>
      <c r="U911" s="510"/>
    </row>
    <row r="912" ht="27.0" customHeight="1">
      <c r="A912" s="510"/>
      <c r="B912" s="510"/>
      <c r="C912" s="510"/>
      <c r="D912" s="510"/>
      <c r="E912" s="510"/>
      <c r="F912" s="510"/>
      <c r="G912" s="510"/>
      <c r="H912" s="510"/>
      <c r="I912" s="510"/>
      <c r="J912" s="510"/>
      <c r="K912" s="510"/>
      <c r="L912" s="510"/>
      <c r="M912" s="510"/>
      <c r="N912" s="510"/>
      <c r="O912" s="510"/>
      <c r="P912" s="510"/>
      <c r="Q912" s="510"/>
      <c r="R912" s="510"/>
      <c r="S912" s="510"/>
      <c r="T912" s="510"/>
      <c r="U912" s="510"/>
    </row>
    <row r="913" ht="27.0" customHeight="1">
      <c r="A913" s="510"/>
      <c r="B913" s="510"/>
      <c r="C913" s="510"/>
      <c r="D913" s="510"/>
      <c r="E913" s="510"/>
      <c r="F913" s="510"/>
      <c r="G913" s="510"/>
      <c r="H913" s="510"/>
      <c r="I913" s="510"/>
      <c r="J913" s="510"/>
      <c r="K913" s="510"/>
      <c r="L913" s="510"/>
      <c r="M913" s="510"/>
      <c r="N913" s="510"/>
      <c r="O913" s="510"/>
      <c r="P913" s="510"/>
      <c r="Q913" s="510"/>
      <c r="R913" s="510"/>
      <c r="S913" s="510"/>
      <c r="T913" s="510"/>
      <c r="U913" s="510"/>
    </row>
    <row r="914" ht="27.0" customHeight="1">
      <c r="A914" s="510"/>
      <c r="B914" s="510"/>
      <c r="C914" s="510"/>
      <c r="D914" s="510"/>
      <c r="E914" s="510"/>
      <c r="F914" s="510"/>
      <c r="G914" s="510"/>
      <c r="H914" s="510"/>
      <c r="I914" s="510"/>
      <c r="J914" s="510"/>
      <c r="K914" s="510"/>
      <c r="L914" s="510"/>
      <c r="M914" s="510"/>
      <c r="N914" s="510"/>
      <c r="O914" s="510"/>
      <c r="P914" s="510"/>
      <c r="Q914" s="510"/>
      <c r="R914" s="510"/>
      <c r="S914" s="510"/>
      <c r="T914" s="510"/>
      <c r="U914" s="510"/>
    </row>
    <row r="915" ht="27.0" customHeight="1">
      <c r="A915" s="510"/>
      <c r="B915" s="510"/>
      <c r="C915" s="510"/>
      <c r="D915" s="510"/>
      <c r="E915" s="510"/>
      <c r="F915" s="510"/>
      <c r="G915" s="510"/>
      <c r="H915" s="510"/>
      <c r="I915" s="510"/>
      <c r="J915" s="510"/>
      <c r="K915" s="510"/>
      <c r="L915" s="510"/>
      <c r="M915" s="510"/>
      <c r="N915" s="510"/>
      <c r="O915" s="510"/>
      <c r="P915" s="510"/>
      <c r="Q915" s="510"/>
      <c r="R915" s="510"/>
      <c r="S915" s="510"/>
      <c r="T915" s="510"/>
      <c r="U915" s="510"/>
    </row>
    <row r="916" ht="27.0" customHeight="1">
      <c r="A916" s="510"/>
      <c r="B916" s="510"/>
      <c r="C916" s="510"/>
      <c r="D916" s="510"/>
      <c r="E916" s="510"/>
      <c r="F916" s="510"/>
      <c r="G916" s="510"/>
      <c r="H916" s="510"/>
      <c r="I916" s="510"/>
      <c r="J916" s="510"/>
      <c r="K916" s="510"/>
      <c r="L916" s="510"/>
      <c r="M916" s="510"/>
      <c r="N916" s="510"/>
      <c r="O916" s="510"/>
      <c r="P916" s="510"/>
      <c r="Q916" s="510"/>
      <c r="R916" s="510"/>
      <c r="S916" s="510"/>
      <c r="T916" s="510"/>
      <c r="U916" s="510"/>
    </row>
    <row r="917" ht="27.0" customHeight="1">
      <c r="A917" s="510"/>
      <c r="B917" s="510"/>
      <c r="C917" s="510"/>
      <c r="D917" s="510"/>
      <c r="E917" s="510"/>
      <c r="F917" s="510"/>
      <c r="G917" s="510"/>
      <c r="H917" s="510"/>
      <c r="I917" s="510"/>
      <c r="J917" s="510"/>
      <c r="K917" s="510"/>
      <c r="L917" s="510"/>
      <c r="M917" s="510"/>
      <c r="N917" s="510"/>
      <c r="O917" s="510"/>
      <c r="P917" s="510"/>
      <c r="Q917" s="510"/>
      <c r="R917" s="510"/>
      <c r="S917" s="510"/>
      <c r="T917" s="510"/>
      <c r="U917" s="510"/>
    </row>
    <row r="918" ht="27.0" customHeight="1">
      <c r="A918" s="510"/>
      <c r="B918" s="510"/>
      <c r="C918" s="510"/>
      <c r="D918" s="510"/>
      <c r="E918" s="510"/>
      <c r="F918" s="510"/>
      <c r="G918" s="510"/>
      <c r="H918" s="510"/>
      <c r="I918" s="510"/>
      <c r="J918" s="510"/>
      <c r="K918" s="510"/>
      <c r="L918" s="510"/>
      <c r="M918" s="510"/>
      <c r="N918" s="510"/>
      <c r="O918" s="510"/>
      <c r="P918" s="510"/>
      <c r="Q918" s="510"/>
      <c r="R918" s="510"/>
      <c r="S918" s="510"/>
      <c r="T918" s="510"/>
      <c r="U918" s="510"/>
    </row>
    <row r="919" ht="27.0" customHeight="1">
      <c r="A919" s="510"/>
      <c r="B919" s="510"/>
      <c r="C919" s="510"/>
      <c r="D919" s="510"/>
      <c r="E919" s="510"/>
      <c r="F919" s="510"/>
      <c r="G919" s="510"/>
      <c r="H919" s="510"/>
      <c r="I919" s="510"/>
      <c r="J919" s="510"/>
      <c r="K919" s="510"/>
      <c r="L919" s="510"/>
      <c r="M919" s="510"/>
      <c r="N919" s="510"/>
      <c r="O919" s="510"/>
      <c r="P919" s="510"/>
      <c r="Q919" s="510"/>
      <c r="R919" s="510"/>
      <c r="S919" s="510"/>
      <c r="T919" s="510"/>
      <c r="U919" s="510"/>
    </row>
    <row r="920" ht="27.0" customHeight="1">
      <c r="A920" s="510"/>
      <c r="B920" s="510"/>
      <c r="C920" s="510"/>
      <c r="D920" s="510"/>
      <c r="E920" s="510"/>
      <c r="F920" s="510"/>
      <c r="G920" s="510"/>
      <c r="H920" s="510"/>
      <c r="I920" s="510"/>
      <c r="J920" s="510"/>
      <c r="K920" s="510"/>
      <c r="L920" s="510"/>
      <c r="M920" s="510"/>
      <c r="N920" s="510"/>
      <c r="O920" s="510"/>
      <c r="P920" s="510"/>
      <c r="Q920" s="510"/>
      <c r="R920" s="510"/>
      <c r="S920" s="510"/>
      <c r="T920" s="510"/>
      <c r="U920" s="510"/>
    </row>
    <row r="921" ht="27.0" customHeight="1">
      <c r="A921" s="510"/>
      <c r="B921" s="510"/>
      <c r="C921" s="510"/>
      <c r="D921" s="510"/>
      <c r="E921" s="510"/>
      <c r="F921" s="510"/>
      <c r="G921" s="510"/>
      <c r="H921" s="510"/>
      <c r="I921" s="510"/>
      <c r="J921" s="510"/>
      <c r="K921" s="510"/>
      <c r="L921" s="510"/>
      <c r="M921" s="510"/>
      <c r="N921" s="510"/>
      <c r="O921" s="510"/>
      <c r="P921" s="510"/>
      <c r="Q921" s="510"/>
      <c r="R921" s="510"/>
      <c r="S921" s="510"/>
      <c r="T921" s="510"/>
      <c r="U921" s="510"/>
    </row>
    <row r="922" ht="27.0" customHeight="1">
      <c r="A922" s="510"/>
      <c r="B922" s="510"/>
      <c r="C922" s="510"/>
      <c r="D922" s="510"/>
      <c r="E922" s="510"/>
      <c r="F922" s="510"/>
      <c r="G922" s="510"/>
      <c r="H922" s="510"/>
      <c r="I922" s="510"/>
      <c r="J922" s="510"/>
      <c r="K922" s="510"/>
      <c r="L922" s="510"/>
      <c r="M922" s="510"/>
      <c r="N922" s="510"/>
      <c r="O922" s="510"/>
      <c r="P922" s="510"/>
      <c r="Q922" s="510"/>
      <c r="R922" s="510"/>
      <c r="S922" s="510"/>
      <c r="T922" s="510"/>
      <c r="U922" s="510"/>
    </row>
    <row r="923" ht="27.0" customHeight="1">
      <c r="A923" s="510"/>
      <c r="B923" s="510"/>
      <c r="C923" s="510"/>
      <c r="D923" s="510"/>
      <c r="E923" s="510"/>
      <c r="F923" s="510"/>
      <c r="G923" s="510"/>
      <c r="H923" s="510"/>
      <c r="I923" s="510"/>
      <c r="J923" s="510"/>
      <c r="K923" s="510"/>
      <c r="L923" s="510"/>
      <c r="M923" s="510"/>
      <c r="N923" s="510"/>
      <c r="O923" s="510"/>
      <c r="P923" s="510"/>
      <c r="Q923" s="510"/>
      <c r="R923" s="510"/>
      <c r="S923" s="510"/>
      <c r="T923" s="510"/>
      <c r="U923" s="510"/>
    </row>
    <row r="924" ht="27.0" customHeight="1">
      <c r="A924" s="510"/>
      <c r="B924" s="510"/>
      <c r="C924" s="510"/>
      <c r="D924" s="510"/>
      <c r="E924" s="510"/>
      <c r="F924" s="510"/>
      <c r="G924" s="510"/>
      <c r="H924" s="510"/>
      <c r="I924" s="510"/>
      <c r="J924" s="510"/>
      <c r="K924" s="510"/>
      <c r="L924" s="510"/>
      <c r="M924" s="510"/>
      <c r="N924" s="510"/>
      <c r="O924" s="510"/>
      <c r="P924" s="510"/>
      <c r="Q924" s="510"/>
      <c r="R924" s="510"/>
      <c r="S924" s="510"/>
      <c r="T924" s="510"/>
      <c r="U924" s="510"/>
    </row>
    <row r="925" ht="27.0" customHeight="1">
      <c r="A925" s="510"/>
      <c r="B925" s="510"/>
      <c r="C925" s="510"/>
      <c r="D925" s="510"/>
      <c r="E925" s="510"/>
      <c r="F925" s="510"/>
      <c r="G925" s="510"/>
      <c r="H925" s="510"/>
      <c r="I925" s="510"/>
      <c r="J925" s="510"/>
      <c r="K925" s="510"/>
      <c r="L925" s="510"/>
      <c r="M925" s="510"/>
      <c r="N925" s="510"/>
      <c r="O925" s="510"/>
      <c r="P925" s="510"/>
      <c r="Q925" s="510"/>
      <c r="R925" s="510"/>
      <c r="S925" s="510"/>
      <c r="T925" s="510"/>
      <c r="U925" s="510"/>
    </row>
    <row r="926" ht="27.0" customHeight="1">
      <c r="A926" s="510"/>
      <c r="B926" s="510"/>
      <c r="C926" s="510"/>
      <c r="D926" s="510"/>
      <c r="E926" s="510"/>
      <c r="F926" s="510"/>
      <c r="G926" s="510"/>
      <c r="H926" s="510"/>
      <c r="I926" s="510"/>
      <c r="J926" s="510"/>
      <c r="K926" s="510"/>
      <c r="L926" s="510"/>
      <c r="M926" s="510"/>
      <c r="N926" s="510"/>
      <c r="O926" s="510"/>
      <c r="P926" s="510"/>
      <c r="Q926" s="510"/>
      <c r="R926" s="510"/>
      <c r="S926" s="510"/>
      <c r="T926" s="510"/>
      <c r="U926" s="510"/>
    </row>
    <row r="927" ht="27.0" customHeight="1">
      <c r="A927" s="510"/>
      <c r="B927" s="510"/>
      <c r="C927" s="510"/>
      <c r="D927" s="510"/>
      <c r="E927" s="510"/>
      <c r="F927" s="510"/>
      <c r="G927" s="510"/>
      <c r="H927" s="510"/>
      <c r="I927" s="510"/>
      <c r="J927" s="510"/>
      <c r="K927" s="510"/>
      <c r="L927" s="510"/>
      <c r="M927" s="510"/>
      <c r="N927" s="510"/>
      <c r="O927" s="510"/>
      <c r="P927" s="510"/>
      <c r="Q927" s="510"/>
      <c r="R927" s="510"/>
      <c r="S927" s="510"/>
      <c r="T927" s="510"/>
      <c r="U927" s="510"/>
    </row>
    <row r="928" ht="27.0" customHeight="1">
      <c r="A928" s="510"/>
      <c r="B928" s="510"/>
      <c r="C928" s="510"/>
      <c r="D928" s="510"/>
      <c r="E928" s="510"/>
      <c r="F928" s="510"/>
      <c r="G928" s="510"/>
      <c r="H928" s="510"/>
      <c r="I928" s="510"/>
      <c r="J928" s="510"/>
      <c r="K928" s="510"/>
      <c r="L928" s="510"/>
      <c r="M928" s="510"/>
      <c r="N928" s="510"/>
      <c r="O928" s="510"/>
      <c r="P928" s="510"/>
      <c r="Q928" s="510"/>
      <c r="R928" s="510"/>
      <c r="S928" s="510"/>
      <c r="T928" s="510"/>
      <c r="U928" s="510"/>
    </row>
    <row r="929" ht="27.0" customHeight="1">
      <c r="A929" s="510"/>
      <c r="B929" s="510"/>
      <c r="C929" s="510"/>
      <c r="D929" s="510"/>
      <c r="E929" s="510"/>
      <c r="F929" s="510"/>
      <c r="G929" s="510"/>
      <c r="H929" s="510"/>
      <c r="I929" s="510"/>
      <c r="J929" s="510"/>
      <c r="K929" s="510"/>
      <c r="L929" s="510"/>
      <c r="M929" s="510"/>
      <c r="N929" s="510"/>
      <c r="O929" s="510"/>
      <c r="P929" s="510"/>
      <c r="Q929" s="510"/>
      <c r="R929" s="510"/>
      <c r="S929" s="510"/>
      <c r="T929" s="510"/>
      <c r="U929" s="510"/>
    </row>
    <row r="930" ht="27.0" customHeight="1">
      <c r="A930" s="510"/>
      <c r="B930" s="510"/>
      <c r="C930" s="510"/>
      <c r="D930" s="510"/>
      <c r="E930" s="510"/>
      <c r="F930" s="510"/>
      <c r="G930" s="510"/>
      <c r="H930" s="510"/>
      <c r="I930" s="510"/>
      <c r="J930" s="510"/>
      <c r="K930" s="510"/>
      <c r="L930" s="510"/>
      <c r="M930" s="510"/>
      <c r="N930" s="510"/>
      <c r="O930" s="510"/>
      <c r="P930" s="510"/>
      <c r="Q930" s="510"/>
      <c r="R930" s="510"/>
      <c r="S930" s="510"/>
      <c r="T930" s="510"/>
      <c r="U930" s="510"/>
    </row>
    <row r="931" ht="27.0" customHeight="1">
      <c r="A931" s="510"/>
      <c r="B931" s="510"/>
      <c r="C931" s="510"/>
      <c r="D931" s="510"/>
      <c r="E931" s="510"/>
      <c r="F931" s="510"/>
      <c r="G931" s="510"/>
      <c r="H931" s="510"/>
      <c r="I931" s="510"/>
      <c r="J931" s="510"/>
      <c r="K931" s="510"/>
      <c r="L931" s="510"/>
      <c r="M931" s="510"/>
      <c r="N931" s="510"/>
      <c r="O931" s="510"/>
      <c r="P931" s="510"/>
      <c r="Q931" s="510"/>
      <c r="R931" s="510"/>
      <c r="S931" s="510"/>
      <c r="T931" s="510"/>
      <c r="U931" s="510"/>
    </row>
    <row r="932" ht="27.0" customHeight="1">
      <c r="A932" s="510"/>
      <c r="B932" s="510"/>
      <c r="C932" s="510"/>
      <c r="D932" s="510"/>
      <c r="E932" s="510"/>
      <c r="F932" s="510"/>
      <c r="G932" s="510"/>
      <c r="H932" s="510"/>
      <c r="I932" s="510"/>
      <c r="J932" s="510"/>
      <c r="K932" s="510"/>
      <c r="L932" s="510"/>
      <c r="M932" s="510"/>
      <c r="N932" s="510"/>
      <c r="O932" s="510"/>
      <c r="P932" s="510"/>
      <c r="Q932" s="510"/>
      <c r="R932" s="510"/>
      <c r="S932" s="510"/>
      <c r="T932" s="510"/>
      <c r="U932" s="510"/>
    </row>
    <row r="933" ht="27.0" customHeight="1">
      <c r="A933" s="510"/>
      <c r="B933" s="510"/>
      <c r="C933" s="510"/>
      <c r="D933" s="510"/>
      <c r="E933" s="510"/>
      <c r="F933" s="510"/>
      <c r="G933" s="510"/>
      <c r="H933" s="510"/>
      <c r="I933" s="510"/>
      <c r="J933" s="510"/>
      <c r="K933" s="510"/>
      <c r="L933" s="510"/>
      <c r="M933" s="510"/>
      <c r="N933" s="510"/>
      <c r="O933" s="510"/>
      <c r="P933" s="510"/>
      <c r="Q933" s="510"/>
      <c r="R933" s="510"/>
      <c r="S933" s="510"/>
      <c r="T933" s="510"/>
      <c r="U933" s="510"/>
    </row>
    <row r="934" ht="27.0" customHeight="1">
      <c r="A934" s="510"/>
      <c r="B934" s="510"/>
      <c r="C934" s="510"/>
      <c r="D934" s="510"/>
      <c r="E934" s="510"/>
      <c r="F934" s="510"/>
      <c r="G934" s="510"/>
      <c r="H934" s="510"/>
      <c r="I934" s="510"/>
      <c r="J934" s="510"/>
      <c r="K934" s="510"/>
      <c r="L934" s="510"/>
      <c r="M934" s="510"/>
      <c r="N934" s="510"/>
      <c r="O934" s="510"/>
      <c r="P934" s="510"/>
      <c r="Q934" s="510"/>
      <c r="R934" s="510"/>
      <c r="S934" s="510"/>
      <c r="T934" s="510"/>
      <c r="U934" s="510"/>
    </row>
    <row r="935" ht="27.0" customHeight="1">
      <c r="A935" s="510"/>
      <c r="B935" s="510"/>
      <c r="C935" s="510"/>
      <c r="D935" s="510"/>
      <c r="E935" s="510"/>
      <c r="F935" s="510"/>
      <c r="G935" s="510"/>
      <c r="H935" s="510"/>
      <c r="I935" s="510"/>
      <c r="J935" s="510"/>
      <c r="K935" s="510"/>
      <c r="L935" s="510"/>
      <c r="M935" s="510"/>
      <c r="N935" s="510"/>
      <c r="O935" s="510"/>
      <c r="P935" s="510"/>
      <c r="Q935" s="510"/>
      <c r="R935" s="510"/>
      <c r="S935" s="510"/>
      <c r="T935" s="510"/>
      <c r="U935" s="510"/>
    </row>
    <row r="936" ht="27.0" customHeight="1">
      <c r="A936" s="510"/>
      <c r="B936" s="510"/>
      <c r="C936" s="510"/>
      <c r="D936" s="510"/>
      <c r="E936" s="510"/>
      <c r="F936" s="510"/>
      <c r="G936" s="510"/>
      <c r="H936" s="510"/>
      <c r="I936" s="510"/>
      <c r="J936" s="510"/>
      <c r="K936" s="510"/>
      <c r="L936" s="510"/>
      <c r="M936" s="510"/>
      <c r="N936" s="510"/>
      <c r="O936" s="510"/>
      <c r="P936" s="510"/>
      <c r="Q936" s="510"/>
      <c r="R936" s="510"/>
      <c r="S936" s="510"/>
      <c r="T936" s="510"/>
      <c r="U936" s="510"/>
    </row>
    <row r="937" ht="27.0" customHeight="1">
      <c r="A937" s="510"/>
      <c r="B937" s="510"/>
      <c r="C937" s="510"/>
      <c r="D937" s="510"/>
      <c r="E937" s="510"/>
      <c r="F937" s="510"/>
      <c r="G937" s="510"/>
      <c r="H937" s="510"/>
      <c r="I937" s="510"/>
      <c r="J937" s="510"/>
      <c r="K937" s="510"/>
      <c r="L937" s="510"/>
      <c r="M937" s="510"/>
      <c r="N937" s="510"/>
      <c r="O937" s="510"/>
      <c r="P937" s="510"/>
      <c r="Q937" s="510"/>
      <c r="R937" s="510"/>
      <c r="S937" s="510"/>
      <c r="T937" s="510"/>
      <c r="U937" s="510"/>
    </row>
    <row r="938" ht="27.0" customHeight="1">
      <c r="A938" s="510"/>
      <c r="B938" s="510"/>
      <c r="C938" s="510"/>
      <c r="D938" s="510"/>
      <c r="E938" s="510"/>
      <c r="F938" s="510"/>
      <c r="G938" s="510"/>
      <c r="H938" s="510"/>
      <c r="I938" s="510"/>
      <c r="J938" s="510"/>
      <c r="K938" s="510"/>
      <c r="L938" s="510"/>
      <c r="M938" s="510"/>
      <c r="N938" s="510"/>
      <c r="O938" s="510"/>
      <c r="P938" s="510"/>
      <c r="Q938" s="510"/>
      <c r="R938" s="510"/>
      <c r="S938" s="510"/>
      <c r="T938" s="510"/>
      <c r="U938" s="510"/>
    </row>
    <row r="939" ht="27.0" customHeight="1">
      <c r="A939" s="510"/>
      <c r="B939" s="510"/>
      <c r="C939" s="510"/>
      <c r="D939" s="510"/>
      <c r="E939" s="510"/>
      <c r="F939" s="510"/>
      <c r="G939" s="510"/>
      <c r="H939" s="510"/>
      <c r="I939" s="510"/>
      <c r="J939" s="510"/>
      <c r="K939" s="510"/>
      <c r="L939" s="510"/>
      <c r="M939" s="510"/>
      <c r="N939" s="510"/>
      <c r="O939" s="510"/>
      <c r="P939" s="510"/>
      <c r="Q939" s="510"/>
      <c r="R939" s="510"/>
      <c r="S939" s="510"/>
      <c r="T939" s="510"/>
      <c r="U939" s="510"/>
    </row>
    <row r="940" ht="27.0" customHeight="1">
      <c r="A940" s="510"/>
      <c r="B940" s="510"/>
      <c r="C940" s="510"/>
      <c r="D940" s="510"/>
      <c r="E940" s="510"/>
      <c r="F940" s="510"/>
      <c r="G940" s="510"/>
      <c r="H940" s="510"/>
      <c r="I940" s="510"/>
      <c r="J940" s="510"/>
      <c r="K940" s="510"/>
      <c r="L940" s="510"/>
      <c r="M940" s="510"/>
      <c r="N940" s="510"/>
      <c r="O940" s="510"/>
      <c r="P940" s="510"/>
      <c r="Q940" s="510"/>
      <c r="R940" s="510"/>
      <c r="S940" s="510"/>
      <c r="T940" s="510"/>
      <c r="U940" s="510"/>
    </row>
    <row r="941" ht="27.0" customHeight="1">
      <c r="A941" s="510"/>
      <c r="B941" s="510"/>
      <c r="C941" s="510"/>
      <c r="D941" s="510"/>
      <c r="E941" s="510"/>
      <c r="F941" s="510"/>
      <c r="G941" s="510"/>
      <c r="H941" s="510"/>
      <c r="I941" s="510"/>
      <c r="J941" s="510"/>
      <c r="K941" s="510"/>
      <c r="L941" s="510"/>
      <c r="M941" s="510"/>
      <c r="N941" s="510"/>
      <c r="O941" s="510"/>
      <c r="P941" s="510"/>
      <c r="Q941" s="510"/>
      <c r="R941" s="510"/>
      <c r="S941" s="510"/>
      <c r="T941" s="510"/>
      <c r="U941" s="510"/>
    </row>
    <row r="942" ht="27.0" customHeight="1">
      <c r="A942" s="510"/>
      <c r="B942" s="510"/>
      <c r="C942" s="510"/>
      <c r="D942" s="510"/>
      <c r="E942" s="510"/>
      <c r="F942" s="510"/>
      <c r="G942" s="510"/>
      <c r="H942" s="510"/>
      <c r="I942" s="510"/>
      <c r="J942" s="510"/>
      <c r="K942" s="510"/>
      <c r="L942" s="510"/>
      <c r="M942" s="510"/>
      <c r="N942" s="510"/>
      <c r="O942" s="510"/>
      <c r="P942" s="510"/>
      <c r="Q942" s="510"/>
      <c r="R942" s="510"/>
      <c r="S942" s="510"/>
      <c r="T942" s="510"/>
      <c r="U942" s="510"/>
    </row>
    <row r="943" ht="27.0" customHeight="1">
      <c r="A943" s="510"/>
      <c r="B943" s="510"/>
      <c r="C943" s="510"/>
      <c r="D943" s="510"/>
      <c r="E943" s="510"/>
      <c r="F943" s="510"/>
      <c r="G943" s="510"/>
      <c r="H943" s="510"/>
      <c r="I943" s="510"/>
      <c r="J943" s="510"/>
      <c r="K943" s="510"/>
      <c r="L943" s="510"/>
      <c r="M943" s="510"/>
      <c r="N943" s="510"/>
      <c r="O943" s="510"/>
      <c r="P943" s="510"/>
      <c r="Q943" s="510"/>
      <c r="R943" s="510"/>
      <c r="S943" s="510"/>
      <c r="T943" s="510"/>
      <c r="U943" s="510"/>
    </row>
    <row r="944" ht="27.0" customHeight="1">
      <c r="A944" s="510"/>
      <c r="B944" s="510"/>
      <c r="C944" s="510"/>
      <c r="D944" s="510"/>
      <c r="E944" s="510"/>
      <c r="F944" s="510"/>
      <c r="G944" s="510"/>
      <c r="H944" s="510"/>
      <c r="I944" s="510"/>
      <c r="J944" s="510"/>
      <c r="K944" s="510"/>
      <c r="L944" s="510"/>
      <c r="M944" s="510"/>
      <c r="N944" s="510"/>
      <c r="O944" s="510"/>
      <c r="P944" s="510"/>
      <c r="Q944" s="510"/>
      <c r="R944" s="510"/>
      <c r="S944" s="510"/>
      <c r="T944" s="510"/>
      <c r="U944" s="510"/>
    </row>
    <row r="945" ht="27.0" customHeight="1">
      <c r="A945" s="510"/>
      <c r="B945" s="510"/>
      <c r="C945" s="510"/>
      <c r="D945" s="510"/>
      <c r="E945" s="510"/>
      <c r="F945" s="510"/>
      <c r="G945" s="510"/>
      <c r="H945" s="510"/>
      <c r="I945" s="510"/>
      <c r="J945" s="510"/>
      <c r="K945" s="510"/>
      <c r="L945" s="510"/>
      <c r="M945" s="510"/>
      <c r="N945" s="510"/>
      <c r="O945" s="510"/>
      <c r="P945" s="510"/>
      <c r="Q945" s="510"/>
      <c r="R945" s="510"/>
      <c r="S945" s="510"/>
      <c r="T945" s="510"/>
      <c r="U945" s="510"/>
    </row>
    <row r="946" ht="27.0" customHeight="1">
      <c r="A946" s="510"/>
      <c r="B946" s="510"/>
      <c r="C946" s="510"/>
      <c r="D946" s="510"/>
      <c r="E946" s="510"/>
      <c r="F946" s="510"/>
      <c r="G946" s="510"/>
      <c r="H946" s="510"/>
      <c r="I946" s="510"/>
      <c r="J946" s="510"/>
      <c r="K946" s="510"/>
      <c r="L946" s="510"/>
      <c r="M946" s="510"/>
      <c r="N946" s="510"/>
      <c r="O946" s="510"/>
      <c r="P946" s="510"/>
      <c r="Q946" s="510"/>
      <c r="R946" s="510"/>
      <c r="S946" s="510"/>
      <c r="T946" s="510"/>
      <c r="U946" s="510"/>
    </row>
    <row r="947" ht="27.0" customHeight="1">
      <c r="A947" s="510"/>
      <c r="B947" s="510"/>
      <c r="C947" s="510"/>
      <c r="D947" s="510"/>
      <c r="E947" s="510"/>
      <c r="F947" s="510"/>
      <c r="G947" s="510"/>
      <c r="H947" s="510"/>
      <c r="I947" s="510"/>
      <c r="J947" s="510"/>
      <c r="K947" s="510"/>
      <c r="L947" s="510"/>
      <c r="M947" s="510"/>
      <c r="N947" s="510"/>
      <c r="O947" s="510"/>
      <c r="P947" s="510"/>
      <c r="Q947" s="510"/>
      <c r="R947" s="510"/>
      <c r="S947" s="510"/>
      <c r="T947" s="510"/>
      <c r="U947" s="510"/>
    </row>
    <row r="948" ht="27.0" customHeight="1">
      <c r="A948" s="510"/>
      <c r="B948" s="510"/>
      <c r="C948" s="510"/>
      <c r="D948" s="510"/>
      <c r="E948" s="510"/>
      <c r="F948" s="510"/>
      <c r="G948" s="510"/>
      <c r="H948" s="510"/>
      <c r="I948" s="510"/>
      <c r="J948" s="510"/>
      <c r="K948" s="510"/>
      <c r="L948" s="510"/>
      <c r="M948" s="510"/>
      <c r="N948" s="510"/>
      <c r="O948" s="510"/>
      <c r="P948" s="510"/>
      <c r="Q948" s="510"/>
      <c r="R948" s="510"/>
      <c r="S948" s="510"/>
      <c r="T948" s="510"/>
      <c r="U948" s="510"/>
    </row>
    <row r="949" ht="27.0" customHeight="1">
      <c r="A949" s="510"/>
      <c r="B949" s="510"/>
      <c r="C949" s="510"/>
      <c r="D949" s="510"/>
      <c r="E949" s="510"/>
      <c r="F949" s="510"/>
      <c r="G949" s="510"/>
      <c r="H949" s="510"/>
      <c r="I949" s="510"/>
      <c r="J949" s="510"/>
      <c r="K949" s="510"/>
      <c r="L949" s="510"/>
      <c r="M949" s="510"/>
      <c r="N949" s="510"/>
      <c r="O949" s="510"/>
      <c r="P949" s="510"/>
      <c r="Q949" s="510"/>
      <c r="R949" s="510"/>
      <c r="S949" s="510"/>
      <c r="T949" s="510"/>
      <c r="U949" s="510"/>
    </row>
    <row r="950" ht="27.0" customHeight="1">
      <c r="A950" s="510"/>
      <c r="B950" s="510"/>
      <c r="C950" s="510"/>
      <c r="D950" s="510"/>
      <c r="E950" s="510"/>
      <c r="F950" s="510"/>
      <c r="G950" s="510"/>
      <c r="H950" s="510"/>
      <c r="I950" s="510"/>
      <c r="J950" s="510"/>
      <c r="K950" s="510"/>
      <c r="L950" s="510"/>
      <c r="M950" s="510"/>
      <c r="N950" s="510"/>
      <c r="O950" s="510"/>
      <c r="P950" s="510"/>
      <c r="Q950" s="510"/>
      <c r="R950" s="510"/>
      <c r="S950" s="510"/>
      <c r="T950" s="510"/>
      <c r="U950" s="510"/>
    </row>
    <row r="951" ht="27.0" customHeight="1">
      <c r="A951" s="510"/>
      <c r="B951" s="510"/>
      <c r="C951" s="510"/>
      <c r="D951" s="510"/>
      <c r="E951" s="510"/>
      <c r="F951" s="510"/>
      <c r="G951" s="510"/>
      <c r="H951" s="510"/>
      <c r="I951" s="510"/>
      <c r="J951" s="510"/>
      <c r="K951" s="510"/>
      <c r="L951" s="510"/>
      <c r="M951" s="510"/>
      <c r="N951" s="510"/>
      <c r="O951" s="510"/>
      <c r="P951" s="510"/>
      <c r="Q951" s="510"/>
      <c r="R951" s="510"/>
      <c r="S951" s="510"/>
      <c r="T951" s="510"/>
      <c r="U951" s="510"/>
    </row>
    <row r="952" ht="27.0" customHeight="1">
      <c r="A952" s="510"/>
      <c r="B952" s="510"/>
      <c r="C952" s="510"/>
      <c r="D952" s="510"/>
      <c r="E952" s="510"/>
      <c r="F952" s="510"/>
      <c r="G952" s="510"/>
      <c r="H952" s="510"/>
      <c r="I952" s="510"/>
      <c r="J952" s="510"/>
      <c r="K952" s="510"/>
      <c r="L952" s="510"/>
      <c r="M952" s="510"/>
      <c r="N952" s="510"/>
      <c r="O952" s="510"/>
      <c r="P952" s="510"/>
      <c r="Q952" s="510"/>
      <c r="R952" s="510"/>
      <c r="S952" s="510"/>
      <c r="T952" s="510"/>
      <c r="U952" s="510"/>
    </row>
    <row r="953" ht="27.0" customHeight="1">
      <c r="A953" s="510"/>
      <c r="B953" s="510"/>
      <c r="C953" s="510"/>
      <c r="D953" s="510"/>
      <c r="E953" s="510"/>
      <c r="F953" s="510"/>
      <c r="G953" s="510"/>
      <c r="H953" s="510"/>
      <c r="I953" s="510"/>
      <c r="J953" s="510"/>
      <c r="K953" s="510"/>
      <c r="L953" s="510"/>
      <c r="M953" s="510"/>
      <c r="N953" s="510"/>
      <c r="O953" s="510"/>
      <c r="P953" s="510"/>
      <c r="Q953" s="510"/>
      <c r="R953" s="510"/>
      <c r="S953" s="510"/>
      <c r="T953" s="510"/>
      <c r="U953" s="510"/>
    </row>
    <row r="954" ht="27.0" customHeight="1">
      <c r="A954" s="510"/>
      <c r="B954" s="510"/>
      <c r="C954" s="510"/>
      <c r="D954" s="510"/>
      <c r="E954" s="510"/>
      <c r="F954" s="510"/>
      <c r="G954" s="510"/>
      <c r="H954" s="510"/>
      <c r="I954" s="510"/>
      <c r="J954" s="510"/>
      <c r="K954" s="510"/>
      <c r="L954" s="510"/>
      <c r="M954" s="510"/>
      <c r="N954" s="510"/>
      <c r="O954" s="510"/>
      <c r="P954" s="510"/>
      <c r="Q954" s="510"/>
      <c r="R954" s="510"/>
      <c r="S954" s="510"/>
      <c r="T954" s="510"/>
      <c r="U954" s="510"/>
    </row>
    <row r="955" ht="27.0" customHeight="1">
      <c r="A955" s="510"/>
      <c r="B955" s="510"/>
      <c r="C955" s="510"/>
      <c r="D955" s="510"/>
      <c r="E955" s="510"/>
      <c r="F955" s="510"/>
      <c r="G955" s="510"/>
      <c r="H955" s="510"/>
      <c r="I955" s="510"/>
      <c r="J955" s="510"/>
      <c r="K955" s="510"/>
      <c r="L955" s="510"/>
      <c r="M955" s="510"/>
      <c r="N955" s="510"/>
      <c r="O955" s="510"/>
      <c r="P955" s="510"/>
      <c r="Q955" s="510"/>
      <c r="R955" s="510"/>
      <c r="S955" s="510"/>
      <c r="T955" s="510"/>
      <c r="U955" s="510"/>
    </row>
    <row r="956" ht="27.0" customHeight="1">
      <c r="A956" s="510"/>
      <c r="B956" s="510"/>
      <c r="C956" s="510"/>
      <c r="D956" s="510"/>
      <c r="E956" s="510"/>
      <c r="F956" s="510"/>
      <c r="G956" s="510"/>
      <c r="H956" s="510"/>
      <c r="I956" s="510"/>
      <c r="J956" s="510"/>
      <c r="K956" s="510"/>
      <c r="L956" s="510"/>
      <c r="M956" s="510"/>
      <c r="N956" s="510"/>
      <c r="O956" s="510"/>
      <c r="P956" s="510"/>
      <c r="Q956" s="510"/>
      <c r="R956" s="510"/>
      <c r="S956" s="510"/>
      <c r="T956" s="510"/>
      <c r="U956" s="510"/>
    </row>
    <row r="957" ht="27.0" customHeight="1">
      <c r="A957" s="510"/>
      <c r="B957" s="510"/>
      <c r="C957" s="510"/>
      <c r="D957" s="510"/>
      <c r="E957" s="510"/>
      <c r="F957" s="510"/>
      <c r="G957" s="510"/>
      <c r="H957" s="510"/>
      <c r="I957" s="510"/>
      <c r="J957" s="510"/>
      <c r="K957" s="510"/>
      <c r="L957" s="510"/>
      <c r="M957" s="510"/>
      <c r="N957" s="510"/>
      <c r="O957" s="510"/>
      <c r="P957" s="510"/>
      <c r="Q957" s="510"/>
      <c r="R957" s="510"/>
      <c r="S957" s="510"/>
      <c r="T957" s="510"/>
      <c r="U957" s="510"/>
    </row>
    <row r="958" ht="27.0" customHeight="1">
      <c r="A958" s="510"/>
      <c r="B958" s="510"/>
      <c r="C958" s="510"/>
      <c r="D958" s="510"/>
      <c r="E958" s="510"/>
      <c r="F958" s="510"/>
      <c r="G958" s="510"/>
      <c r="H958" s="510"/>
      <c r="I958" s="510"/>
      <c r="J958" s="510"/>
      <c r="K958" s="510"/>
      <c r="L958" s="510"/>
      <c r="M958" s="510"/>
      <c r="N958" s="510"/>
      <c r="O958" s="510"/>
      <c r="P958" s="510"/>
      <c r="Q958" s="510"/>
      <c r="R958" s="510"/>
      <c r="S958" s="510"/>
      <c r="T958" s="510"/>
      <c r="U958" s="510"/>
    </row>
    <row r="959" ht="27.0" customHeight="1">
      <c r="A959" s="510"/>
      <c r="B959" s="510"/>
      <c r="C959" s="510"/>
      <c r="D959" s="510"/>
      <c r="E959" s="510"/>
      <c r="F959" s="510"/>
      <c r="G959" s="510"/>
      <c r="H959" s="510"/>
      <c r="I959" s="510"/>
      <c r="J959" s="510"/>
      <c r="K959" s="510"/>
      <c r="L959" s="510"/>
      <c r="M959" s="510"/>
      <c r="N959" s="510"/>
      <c r="O959" s="510"/>
      <c r="P959" s="510"/>
      <c r="Q959" s="510"/>
      <c r="R959" s="510"/>
      <c r="S959" s="510"/>
      <c r="T959" s="510"/>
      <c r="U959" s="510"/>
    </row>
    <row r="960" ht="27.0" customHeight="1">
      <c r="A960" s="510"/>
      <c r="B960" s="510"/>
      <c r="C960" s="510"/>
      <c r="D960" s="510"/>
      <c r="E960" s="510"/>
      <c r="F960" s="510"/>
      <c r="G960" s="510"/>
      <c r="H960" s="510"/>
      <c r="I960" s="510"/>
      <c r="J960" s="510"/>
      <c r="K960" s="510"/>
      <c r="L960" s="510"/>
      <c r="M960" s="510"/>
      <c r="N960" s="510"/>
      <c r="O960" s="510"/>
      <c r="P960" s="510"/>
      <c r="Q960" s="510"/>
      <c r="R960" s="510"/>
      <c r="S960" s="510"/>
      <c r="T960" s="510"/>
      <c r="U960" s="510"/>
    </row>
    <row r="961" ht="27.0" customHeight="1">
      <c r="A961" s="510"/>
      <c r="B961" s="510"/>
      <c r="C961" s="510"/>
      <c r="D961" s="510"/>
      <c r="E961" s="510"/>
      <c r="F961" s="510"/>
      <c r="G961" s="510"/>
      <c r="H961" s="510"/>
      <c r="I961" s="510"/>
      <c r="J961" s="510"/>
      <c r="K961" s="510"/>
      <c r="L961" s="510"/>
      <c r="M961" s="510"/>
      <c r="N961" s="510"/>
      <c r="O961" s="510"/>
      <c r="P961" s="510"/>
      <c r="Q961" s="510"/>
      <c r="R961" s="510"/>
      <c r="S961" s="510"/>
      <c r="T961" s="510"/>
      <c r="U961" s="510"/>
    </row>
    <row r="962" ht="27.0" customHeight="1">
      <c r="A962" s="510"/>
      <c r="B962" s="510"/>
      <c r="C962" s="510"/>
      <c r="D962" s="510"/>
      <c r="E962" s="510"/>
      <c r="F962" s="510"/>
      <c r="G962" s="510"/>
      <c r="H962" s="510"/>
      <c r="I962" s="510"/>
      <c r="J962" s="510"/>
      <c r="K962" s="510"/>
      <c r="L962" s="510"/>
      <c r="M962" s="510"/>
      <c r="N962" s="510"/>
      <c r="O962" s="510"/>
      <c r="P962" s="510"/>
      <c r="Q962" s="510"/>
      <c r="R962" s="510"/>
      <c r="S962" s="510"/>
      <c r="T962" s="510"/>
      <c r="U962" s="510"/>
    </row>
    <row r="963" ht="27.0" customHeight="1">
      <c r="A963" s="510"/>
      <c r="B963" s="510"/>
      <c r="C963" s="510"/>
      <c r="D963" s="510"/>
      <c r="E963" s="510"/>
      <c r="F963" s="510"/>
      <c r="G963" s="510"/>
      <c r="H963" s="510"/>
      <c r="I963" s="510"/>
      <c r="J963" s="510"/>
      <c r="K963" s="510"/>
      <c r="L963" s="510"/>
      <c r="M963" s="510"/>
      <c r="N963" s="510"/>
      <c r="O963" s="510"/>
      <c r="P963" s="510"/>
      <c r="Q963" s="510"/>
      <c r="R963" s="510"/>
      <c r="S963" s="510"/>
      <c r="T963" s="510"/>
      <c r="U963" s="510"/>
    </row>
    <row r="964" ht="27.0" customHeight="1">
      <c r="A964" s="510"/>
      <c r="B964" s="510"/>
      <c r="C964" s="510"/>
      <c r="D964" s="510"/>
      <c r="E964" s="510"/>
      <c r="F964" s="510"/>
      <c r="G964" s="510"/>
      <c r="H964" s="510"/>
      <c r="I964" s="510"/>
      <c r="J964" s="510"/>
      <c r="K964" s="510"/>
      <c r="L964" s="510"/>
      <c r="M964" s="510"/>
      <c r="N964" s="510"/>
      <c r="O964" s="510"/>
      <c r="P964" s="510"/>
      <c r="Q964" s="510"/>
      <c r="R964" s="510"/>
      <c r="S964" s="510"/>
      <c r="T964" s="510"/>
      <c r="U964" s="510"/>
    </row>
    <row r="965" ht="27.0" customHeight="1">
      <c r="A965" s="510"/>
      <c r="B965" s="510"/>
      <c r="C965" s="510"/>
      <c r="D965" s="510"/>
      <c r="E965" s="510"/>
      <c r="F965" s="510"/>
      <c r="G965" s="510"/>
      <c r="H965" s="510"/>
      <c r="I965" s="510"/>
      <c r="J965" s="510"/>
      <c r="K965" s="510"/>
      <c r="L965" s="510"/>
      <c r="M965" s="510"/>
      <c r="N965" s="510"/>
      <c r="O965" s="510"/>
      <c r="P965" s="510"/>
      <c r="Q965" s="510"/>
      <c r="R965" s="510"/>
      <c r="S965" s="510"/>
      <c r="T965" s="510"/>
      <c r="U965" s="510"/>
    </row>
    <row r="966" ht="27.0" customHeight="1">
      <c r="A966" s="510"/>
      <c r="B966" s="510"/>
      <c r="C966" s="510"/>
      <c r="D966" s="510"/>
      <c r="E966" s="510"/>
      <c r="F966" s="510"/>
      <c r="G966" s="510"/>
      <c r="H966" s="510"/>
      <c r="I966" s="510"/>
      <c r="J966" s="510"/>
      <c r="K966" s="510"/>
      <c r="L966" s="510"/>
      <c r="M966" s="510"/>
      <c r="N966" s="510"/>
      <c r="O966" s="510"/>
      <c r="P966" s="510"/>
      <c r="Q966" s="510"/>
      <c r="R966" s="510"/>
      <c r="S966" s="510"/>
      <c r="T966" s="510"/>
      <c r="U966" s="510"/>
    </row>
    <row r="967" ht="27.0" customHeight="1">
      <c r="A967" s="510"/>
      <c r="B967" s="510"/>
      <c r="C967" s="510"/>
      <c r="D967" s="510"/>
      <c r="E967" s="510"/>
      <c r="F967" s="510"/>
      <c r="G967" s="510"/>
      <c r="H967" s="510"/>
      <c r="I967" s="510"/>
      <c r="J967" s="510"/>
      <c r="K967" s="510"/>
      <c r="L967" s="510"/>
      <c r="M967" s="510"/>
      <c r="N967" s="510"/>
      <c r="O967" s="510"/>
      <c r="P967" s="510"/>
      <c r="Q967" s="510"/>
      <c r="R967" s="510"/>
      <c r="S967" s="510"/>
      <c r="T967" s="510"/>
      <c r="U967" s="510"/>
    </row>
    <row r="968" ht="27.0" customHeight="1">
      <c r="A968" s="510"/>
      <c r="B968" s="510"/>
      <c r="C968" s="510"/>
      <c r="D968" s="510"/>
      <c r="E968" s="510"/>
      <c r="F968" s="510"/>
      <c r="G968" s="510"/>
      <c r="H968" s="510"/>
      <c r="I968" s="510"/>
      <c r="J968" s="510"/>
      <c r="K968" s="510"/>
      <c r="L968" s="510"/>
      <c r="M968" s="510"/>
      <c r="N968" s="510"/>
      <c r="O968" s="510"/>
      <c r="P968" s="510"/>
      <c r="Q968" s="510"/>
      <c r="R968" s="510"/>
      <c r="S968" s="510"/>
      <c r="T968" s="510"/>
      <c r="U968" s="510"/>
    </row>
    <row r="969" ht="27.0" customHeight="1">
      <c r="A969" s="510"/>
      <c r="B969" s="510"/>
      <c r="C969" s="510"/>
      <c r="D969" s="510"/>
      <c r="E969" s="510"/>
      <c r="F969" s="510"/>
      <c r="G969" s="510"/>
      <c r="H969" s="510"/>
      <c r="I969" s="510"/>
      <c r="J969" s="510"/>
      <c r="K969" s="510"/>
      <c r="L969" s="510"/>
      <c r="M969" s="510"/>
      <c r="N969" s="510"/>
      <c r="O969" s="510"/>
      <c r="P969" s="510"/>
      <c r="Q969" s="510"/>
      <c r="R969" s="510"/>
      <c r="S969" s="510"/>
      <c r="T969" s="510"/>
      <c r="U969" s="510"/>
    </row>
    <row r="970" ht="27.0" customHeight="1">
      <c r="A970" s="510"/>
      <c r="B970" s="510"/>
      <c r="C970" s="510"/>
      <c r="D970" s="510"/>
      <c r="E970" s="510"/>
      <c r="F970" s="510"/>
      <c r="G970" s="510"/>
      <c r="H970" s="510"/>
      <c r="I970" s="510"/>
      <c r="J970" s="510"/>
      <c r="K970" s="510"/>
      <c r="L970" s="510"/>
      <c r="M970" s="510"/>
      <c r="N970" s="510"/>
      <c r="O970" s="510"/>
      <c r="P970" s="510"/>
      <c r="Q970" s="510"/>
      <c r="R970" s="510"/>
      <c r="S970" s="510"/>
      <c r="T970" s="510"/>
      <c r="U970" s="510"/>
    </row>
    <row r="971" ht="27.0" customHeight="1">
      <c r="A971" s="510"/>
      <c r="B971" s="510"/>
      <c r="C971" s="510"/>
      <c r="D971" s="510"/>
      <c r="E971" s="510"/>
      <c r="F971" s="510"/>
      <c r="G971" s="510"/>
      <c r="H971" s="510"/>
      <c r="I971" s="510"/>
      <c r="J971" s="510"/>
      <c r="K971" s="510"/>
      <c r="L971" s="510"/>
      <c r="M971" s="510"/>
      <c r="N971" s="510"/>
      <c r="O971" s="510"/>
      <c r="P971" s="510"/>
      <c r="Q971" s="510"/>
      <c r="R971" s="510"/>
      <c r="S971" s="510"/>
      <c r="T971" s="510"/>
      <c r="U971" s="510"/>
    </row>
    <row r="972" ht="27.0" customHeight="1">
      <c r="A972" s="510"/>
      <c r="B972" s="510"/>
      <c r="C972" s="510"/>
      <c r="D972" s="510"/>
      <c r="E972" s="510"/>
      <c r="F972" s="510"/>
      <c r="G972" s="510"/>
      <c r="H972" s="510"/>
      <c r="I972" s="510"/>
      <c r="J972" s="510"/>
      <c r="K972" s="510"/>
      <c r="L972" s="510"/>
      <c r="M972" s="510"/>
      <c r="N972" s="510"/>
      <c r="O972" s="510"/>
      <c r="P972" s="510"/>
      <c r="Q972" s="510"/>
      <c r="R972" s="510"/>
      <c r="S972" s="510"/>
      <c r="T972" s="510"/>
      <c r="U972" s="510"/>
    </row>
    <row r="973" ht="27.0" customHeight="1">
      <c r="A973" s="510"/>
      <c r="B973" s="510"/>
      <c r="C973" s="510"/>
      <c r="D973" s="510"/>
      <c r="E973" s="510"/>
      <c r="F973" s="510"/>
      <c r="G973" s="510"/>
      <c r="H973" s="510"/>
      <c r="I973" s="510"/>
      <c r="J973" s="510"/>
      <c r="K973" s="510"/>
      <c r="L973" s="510"/>
      <c r="M973" s="510"/>
      <c r="N973" s="510"/>
      <c r="O973" s="510"/>
      <c r="P973" s="510"/>
      <c r="Q973" s="510"/>
      <c r="R973" s="510"/>
      <c r="S973" s="510"/>
      <c r="T973" s="510"/>
      <c r="U973" s="510"/>
    </row>
    <row r="974" ht="27.0" customHeight="1">
      <c r="A974" s="510"/>
      <c r="B974" s="510"/>
      <c r="C974" s="510"/>
      <c r="D974" s="510"/>
      <c r="E974" s="510"/>
      <c r="F974" s="510"/>
      <c r="G974" s="510"/>
      <c r="H974" s="510"/>
      <c r="I974" s="510"/>
      <c r="J974" s="510"/>
      <c r="K974" s="510"/>
      <c r="L974" s="510"/>
      <c r="M974" s="510"/>
      <c r="N974" s="510"/>
      <c r="O974" s="510"/>
      <c r="P974" s="510"/>
      <c r="Q974" s="510"/>
      <c r="R974" s="510"/>
      <c r="S974" s="510"/>
      <c r="T974" s="510"/>
      <c r="U974" s="510"/>
    </row>
    <row r="975" ht="27.0" customHeight="1">
      <c r="A975" s="510"/>
      <c r="B975" s="510"/>
      <c r="C975" s="510"/>
      <c r="D975" s="510"/>
      <c r="E975" s="510"/>
      <c r="F975" s="510"/>
      <c r="G975" s="510"/>
      <c r="H975" s="510"/>
      <c r="I975" s="510"/>
      <c r="J975" s="510"/>
      <c r="K975" s="510"/>
      <c r="L975" s="510"/>
      <c r="M975" s="510"/>
      <c r="N975" s="510"/>
      <c r="O975" s="510"/>
      <c r="P975" s="510"/>
      <c r="Q975" s="510"/>
      <c r="R975" s="510"/>
      <c r="S975" s="510"/>
      <c r="T975" s="510"/>
      <c r="U975" s="510"/>
    </row>
    <row r="976" ht="27.0" customHeight="1">
      <c r="A976" s="510"/>
      <c r="B976" s="510"/>
      <c r="C976" s="510"/>
      <c r="D976" s="510"/>
      <c r="E976" s="510"/>
      <c r="F976" s="510"/>
      <c r="G976" s="510"/>
      <c r="H976" s="510"/>
      <c r="I976" s="510"/>
      <c r="J976" s="510"/>
      <c r="K976" s="510"/>
      <c r="L976" s="510"/>
      <c r="M976" s="510"/>
      <c r="N976" s="510"/>
      <c r="O976" s="510"/>
      <c r="P976" s="510"/>
      <c r="Q976" s="510"/>
      <c r="R976" s="510"/>
      <c r="S976" s="510"/>
      <c r="T976" s="510"/>
      <c r="U976" s="510"/>
    </row>
    <row r="977" ht="27.0" customHeight="1">
      <c r="A977" s="510"/>
      <c r="B977" s="510"/>
      <c r="C977" s="510"/>
      <c r="D977" s="510"/>
      <c r="E977" s="510"/>
      <c r="F977" s="510"/>
      <c r="G977" s="510"/>
      <c r="H977" s="510"/>
      <c r="I977" s="510"/>
      <c r="J977" s="510"/>
      <c r="K977" s="510"/>
      <c r="L977" s="510"/>
      <c r="M977" s="510"/>
      <c r="N977" s="510"/>
      <c r="O977" s="510"/>
      <c r="P977" s="510"/>
      <c r="Q977" s="510"/>
      <c r="R977" s="510"/>
      <c r="S977" s="510"/>
      <c r="T977" s="510"/>
      <c r="U977" s="510"/>
    </row>
    <row r="978" ht="27.0" customHeight="1">
      <c r="A978" s="510"/>
      <c r="B978" s="510"/>
      <c r="C978" s="510"/>
      <c r="D978" s="510"/>
      <c r="E978" s="510"/>
      <c r="F978" s="510"/>
      <c r="G978" s="510"/>
      <c r="H978" s="510"/>
      <c r="I978" s="510"/>
      <c r="J978" s="510"/>
      <c r="K978" s="510"/>
      <c r="L978" s="510"/>
      <c r="M978" s="510"/>
      <c r="N978" s="510"/>
      <c r="O978" s="510"/>
      <c r="P978" s="510"/>
      <c r="Q978" s="510"/>
      <c r="R978" s="510"/>
      <c r="S978" s="510"/>
      <c r="T978" s="510"/>
      <c r="U978" s="510"/>
    </row>
    <row r="979" ht="27.0" customHeight="1">
      <c r="A979" s="510"/>
      <c r="B979" s="510"/>
      <c r="C979" s="510"/>
      <c r="D979" s="510"/>
      <c r="E979" s="510"/>
      <c r="F979" s="510"/>
      <c r="G979" s="510"/>
      <c r="H979" s="510"/>
      <c r="I979" s="510"/>
      <c r="J979" s="510"/>
      <c r="K979" s="510"/>
      <c r="L979" s="510"/>
      <c r="M979" s="510"/>
      <c r="N979" s="510"/>
      <c r="O979" s="510"/>
      <c r="P979" s="510"/>
      <c r="Q979" s="510"/>
      <c r="R979" s="510"/>
      <c r="S979" s="510"/>
      <c r="T979" s="510"/>
      <c r="U979" s="510"/>
    </row>
    <row r="980" ht="27.0" customHeight="1">
      <c r="A980" s="510"/>
      <c r="B980" s="510"/>
      <c r="C980" s="510"/>
      <c r="D980" s="510"/>
      <c r="E980" s="510"/>
      <c r="F980" s="510"/>
      <c r="G980" s="510"/>
      <c r="H980" s="510"/>
      <c r="I980" s="510"/>
      <c r="J980" s="510"/>
      <c r="K980" s="510"/>
      <c r="L980" s="510"/>
      <c r="M980" s="510"/>
      <c r="N980" s="510"/>
      <c r="O980" s="510"/>
      <c r="P980" s="510"/>
      <c r="Q980" s="510"/>
      <c r="R980" s="510"/>
      <c r="S980" s="510"/>
      <c r="T980" s="510"/>
      <c r="U980" s="510"/>
    </row>
    <row r="981" ht="27.0" customHeight="1">
      <c r="A981" s="510"/>
      <c r="B981" s="510"/>
      <c r="C981" s="510"/>
      <c r="D981" s="510"/>
      <c r="E981" s="510"/>
      <c r="F981" s="510"/>
      <c r="G981" s="510"/>
      <c r="H981" s="510"/>
      <c r="I981" s="510"/>
      <c r="J981" s="510"/>
      <c r="K981" s="510"/>
      <c r="L981" s="510"/>
      <c r="M981" s="510"/>
      <c r="N981" s="510"/>
      <c r="O981" s="510"/>
      <c r="P981" s="510"/>
      <c r="Q981" s="510"/>
      <c r="R981" s="510"/>
      <c r="S981" s="510"/>
      <c r="T981" s="510"/>
      <c r="U981" s="510"/>
    </row>
    <row r="982" ht="27.0" customHeight="1">
      <c r="A982" s="510"/>
      <c r="B982" s="510"/>
      <c r="C982" s="510"/>
      <c r="D982" s="510"/>
      <c r="E982" s="510"/>
      <c r="F982" s="510"/>
      <c r="G982" s="510"/>
      <c r="H982" s="510"/>
      <c r="I982" s="510"/>
      <c r="J982" s="510"/>
      <c r="K982" s="510"/>
      <c r="L982" s="510"/>
      <c r="M982" s="510"/>
      <c r="N982" s="510"/>
      <c r="O982" s="510"/>
      <c r="P982" s="510"/>
      <c r="Q982" s="510"/>
      <c r="R982" s="510"/>
      <c r="S982" s="510"/>
      <c r="T982" s="510"/>
      <c r="U982" s="510"/>
    </row>
    <row r="983" ht="27.0" customHeight="1">
      <c r="A983" s="510"/>
      <c r="B983" s="510"/>
      <c r="C983" s="510"/>
      <c r="D983" s="510"/>
      <c r="E983" s="510"/>
      <c r="F983" s="510"/>
      <c r="G983" s="510"/>
      <c r="H983" s="510"/>
      <c r="I983" s="510"/>
      <c r="J983" s="510"/>
      <c r="K983" s="510"/>
      <c r="L983" s="510"/>
      <c r="M983" s="510"/>
      <c r="N983" s="510"/>
      <c r="O983" s="510"/>
      <c r="P983" s="510"/>
      <c r="Q983" s="510"/>
      <c r="R983" s="510"/>
      <c r="S983" s="510"/>
      <c r="T983" s="510"/>
      <c r="U983" s="510"/>
    </row>
    <row r="984" ht="27.0" customHeight="1">
      <c r="A984" s="510"/>
      <c r="B984" s="510"/>
      <c r="C984" s="510"/>
      <c r="D984" s="510"/>
      <c r="E984" s="510"/>
      <c r="F984" s="510"/>
      <c r="G984" s="510"/>
      <c r="H984" s="510"/>
      <c r="I984" s="510"/>
      <c r="J984" s="510"/>
      <c r="K984" s="510"/>
      <c r="L984" s="510"/>
      <c r="M984" s="510"/>
      <c r="N984" s="510"/>
      <c r="O984" s="510"/>
      <c r="P984" s="510"/>
      <c r="Q984" s="510"/>
      <c r="R984" s="510"/>
      <c r="S984" s="510"/>
      <c r="T984" s="510"/>
      <c r="U984" s="510"/>
    </row>
    <row r="985" ht="27.0" customHeight="1">
      <c r="A985" s="510"/>
      <c r="B985" s="510"/>
      <c r="C985" s="510"/>
      <c r="D985" s="510"/>
      <c r="E985" s="510"/>
      <c r="F985" s="510"/>
      <c r="G985" s="510"/>
      <c r="H985" s="510"/>
      <c r="I985" s="510"/>
      <c r="J985" s="510"/>
      <c r="K985" s="510"/>
      <c r="L985" s="510"/>
      <c r="M985" s="510"/>
      <c r="N985" s="510"/>
      <c r="O985" s="510"/>
      <c r="P985" s="510"/>
      <c r="Q985" s="510"/>
      <c r="R985" s="510"/>
      <c r="S985" s="510"/>
      <c r="T985" s="510"/>
      <c r="U985" s="510"/>
    </row>
    <row r="986" ht="27.0" customHeight="1">
      <c r="A986" s="510"/>
      <c r="B986" s="510"/>
      <c r="C986" s="510"/>
      <c r="D986" s="510"/>
      <c r="E986" s="510"/>
      <c r="F986" s="510"/>
      <c r="G986" s="510"/>
      <c r="H986" s="510"/>
      <c r="I986" s="510"/>
      <c r="J986" s="510"/>
      <c r="K986" s="510"/>
      <c r="L986" s="510"/>
      <c r="M986" s="510"/>
      <c r="N986" s="510"/>
      <c r="O986" s="510"/>
      <c r="P986" s="510"/>
      <c r="Q986" s="510"/>
      <c r="R986" s="510"/>
      <c r="S986" s="510"/>
      <c r="T986" s="510"/>
      <c r="U986" s="510"/>
    </row>
    <row r="987" ht="27.0" customHeight="1">
      <c r="A987" s="510"/>
      <c r="B987" s="510"/>
      <c r="C987" s="510"/>
      <c r="D987" s="510"/>
      <c r="E987" s="510"/>
      <c r="F987" s="510"/>
      <c r="G987" s="510"/>
      <c r="H987" s="510"/>
      <c r="I987" s="510"/>
      <c r="J987" s="510"/>
      <c r="K987" s="510"/>
      <c r="L987" s="510"/>
      <c r="M987" s="510"/>
      <c r="N987" s="510"/>
      <c r="O987" s="510"/>
      <c r="P987" s="510"/>
      <c r="Q987" s="510"/>
      <c r="R987" s="510"/>
      <c r="S987" s="510"/>
      <c r="T987" s="510"/>
      <c r="U987" s="510"/>
    </row>
    <row r="988" ht="27.0" customHeight="1">
      <c r="A988" s="510"/>
      <c r="B988" s="510"/>
      <c r="C988" s="510"/>
      <c r="D988" s="510"/>
      <c r="E988" s="510"/>
      <c r="F988" s="510"/>
      <c r="G988" s="510"/>
      <c r="H988" s="510"/>
      <c r="I988" s="510"/>
      <c r="J988" s="510"/>
      <c r="K988" s="510"/>
      <c r="L988" s="510"/>
      <c r="M988" s="510"/>
      <c r="N988" s="510"/>
      <c r="O988" s="510"/>
      <c r="P988" s="510"/>
      <c r="Q988" s="510"/>
      <c r="R988" s="510"/>
      <c r="S988" s="510"/>
      <c r="T988" s="510"/>
      <c r="U988" s="510"/>
    </row>
    <row r="989" ht="27.0" customHeight="1">
      <c r="A989" s="510"/>
      <c r="B989" s="510"/>
      <c r="C989" s="510"/>
      <c r="D989" s="510"/>
      <c r="E989" s="510"/>
      <c r="F989" s="510"/>
      <c r="G989" s="510"/>
      <c r="H989" s="510"/>
      <c r="I989" s="510"/>
      <c r="J989" s="510"/>
      <c r="K989" s="510"/>
      <c r="L989" s="510"/>
      <c r="M989" s="510"/>
      <c r="N989" s="510"/>
      <c r="O989" s="510"/>
      <c r="P989" s="510"/>
      <c r="Q989" s="510"/>
      <c r="R989" s="510"/>
      <c r="S989" s="510"/>
      <c r="T989" s="510"/>
      <c r="U989" s="510"/>
    </row>
    <row r="990" ht="27.0" customHeight="1">
      <c r="A990" s="510"/>
      <c r="B990" s="510"/>
      <c r="C990" s="510"/>
      <c r="D990" s="510"/>
      <c r="E990" s="510"/>
      <c r="F990" s="510"/>
      <c r="G990" s="510"/>
      <c r="H990" s="510"/>
      <c r="I990" s="510"/>
      <c r="J990" s="510"/>
      <c r="K990" s="510"/>
      <c r="L990" s="510"/>
      <c r="M990" s="510"/>
      <c r="N990" s="510"/>
      <c r="O990" s="510"/>
      <c r="P990" s="510"/>
      <c r="Q990" s="510"/>
      <c r="R990" s="510"/>
      <c r="S990" s="510"/>
      <c r="T990" s="510"/>
      <c r="U990" s="510"/>
    </row>
    <row r="991" ht="27.0" customHeight="1">
      <c r="A991" s="510"/>
      <c r="B991" s="510"/>
      <c r="C991" s="510"/>
      <c r="D991" s="510"/>
      <c r="E991" s="510"/>
      <c r="F991" s="510"/>
      <c r="G991" s="510"/>
      <c r="H991" s="510"/>
      <c r="I991" s="510"/>
      <c r="J991" s="510"/>
      <c r="K991" s="510"/>
      <c r="L991" s="510"/>
      <c r="M991" s="510"/>
      <c r="N991" s="510"/>
      <c r="O991" s="510"/>
      <c r="P991" s="510"/>
      <c r="Q991" s="510"/>
      <c r="R991" s="510"/>
      <c r="S991" s="510"/>
      <c r="T991" s="510"/>
      <c r="U991" s="510"/>
    </row>
    <row r="992" ht="27.0" customHeight="1">
      <c r="A992" s="510"/>
      <c r="B992" s="510"/>
      <c r="C992" s="510"/>
      <c r="D992" s="510"/>
      <c r="E992" s="510"/>
      <c r="F992" s="510"/>
      <c r="G992" s="510"/>
      <c r="H992" s="510"/>
      <c r="I992" s="510"/>
      <c r="J992" s="510"/>
      <c r="K992" s="510"/>
      <c r="L992" s="510"/>
      <c r="M992" s="510"/>
      <c r="N992" s="510"/>
      <c r="O992" s="510"/>
      <c r="P992" s="510"/>
      <c r="Q992" s="510"/>
      <c r="R992" s="510"/>
      <c r="S992" s="510"/>
      <c r="T992" s="510"/>
      <c r="U992" s="510"/>
    </row>
    <row r="993" ht="27.0" customHeight="1">
      <c r="A993" s="510"/>
      <c r="B993" s="510"/>
      <c r="C993" s="510"/>
      <c r="D993" s="510"/>
      <c r="E993" s="510"/>
      <c r="F993" s="510"/>
      <c r="G993" s="510"/>
      <c r="H993" s="510"/>
      <c r="I993" s="510"/>
      <c r="J993" s="510"/>
      <c r="K993" s="510"/>
      <c r="L993" s="510"/>
      <c r="M993" s="510"/>
      <c r="N993" s="510"/>
      <c r="O993" s="510"/>
      <c r="P993" s="510"/>
      <c r="Q993" s="510"/>
      <c r="R993" s="510"/>
      <c r="S993" s="510"/>
      <c r="T993" s="510"/>
      <c r="U993" s="510"/>
    </row>
    <row r="994" ht="27.0" customHeight="1">
      <c r="A994" s="510"/>
      <c r="B994" s="510"/>
      <c r="C994" s="510"/>
      <c r="D994" s="510"/>
      <c r="E994" s="510"/>
      <c r="F994" s="510"/>
      <c r="G994" s="510"/>
      <c r="H994" s="510"/>
      <c r="I994" s="510"/>
      <c r="J994" s="510"/>
      <c r="K994" s="510"/>
      <c r="L994" s="510"/>
      <c r="M994" s="510"/>
      <c r="N994" s="510"/>
      <c r="O994" s="510"/>
      <c r="P994" s="510"/>
      <c r="Q994" s="510"/>
      <c r="R994" s="510"/>
      <c r="S994" s="510"/>
      <c r="T994" s="510"/>
      <c r="U994" s="510"/>
    </row>
    <row r="995" ht="27.0" customHeight="1">
      <c r="A995" s="510"/>
      <c r="B995" s="510"/>
      <c r="C995" s="510"/>
      <c r="D995" s="510"/>
      <c r="E995" s="510"/>
      <c r="F995" s="510"/>
      <c r="G995" s="510"/>
      <c r="H995" s="510"/>
      <c r="I995" s="510"/>
      <c r="J995" s="510"/>
      <c r="K995" s="510"/>
      <c r="L995" s="510"/>
      <c r="M995" s="510"/>
      <c r="N995" s="510"/>
      <c r="O995" s="510"/>
      <c r="P995" s="510"/>
      <c r="Q995" s="510"/>
      <c r="R995" s="510"/>
      <c r="S995" s="510"/>
      <c r="T995" s="510"/>
      <c r="U995" s="510"/>
    </row>
    <row r="996" ht="27.0" customHeight="1">
      <c r="A996" s="510"/>
      <c r="B996" s="510"/>
      <c r="C996" s="510"/>
      <c r="D996" s="510"/>
      <c r="E996" s="510"/>
      <c r="F996" s="510"/>
      <c r="G996" s="510"/>
      <c r="H996" s="510"/>
      <c r="I996" s="510"/>
      <c r="J996" s="510"/>
      <c r="K996" s="510"/>
      <c r="L996" s="510"/>
      <c r="M996" s="510"/>
      <c r="N996" s="510"/>
      <c r="O996" s="510"/>
      <c r="P996" s="510"/>
      <c r="Q996" s="510"/>
      <c r="R996" s="510"/>
      <c r="S996" s="510"/>
      <c r="T996" s="510"/>
      <c r="U996" s="510"/>
    </row>
    <row r="997" ht="27.0" customHeight="1">
      <c r="A997" s="510"/>
      <c r="B997" s="510"/>
      <c r="C997" s="510"/>
      <c r="D997" s="510"/>
      <c r="E997" s="510"/>
      <c r="F997" s="510"/>
      <c r="G997" s="510"/>
      <c r="H997" s="510"/>
      <c r="I997" s="510"/>
      <c r="J997" s="510"/>
      <c r="K997" s="510"/>
      <c r="L997" s="510"/>
      <c r="M997" s="510"/>
      <c r="N997" s="510"/>
      <c r="O997" s="510"/>
      <c r="P997" s="510"/>
      <c r="Q997" s="510"/>
      <c r="R997" s="510"/>
      <c r="S997" s="510"/>
      <c r="T997" s="510"/>
      <c r="U997" s="510"/>
    </row>
    <row r="998" ht="27.0" customHeight="1">
      <c r="A998" s="510"/>
      <c r="B998" s="510"/>
      <c r="C998" s="510"/>
      <c r="D998" s="510"/>
      <c r="E998" s="510"/>
      <c r="F998" s="510"/>
      <c r="G998" s="510"/>
      <c r="H998" s="510"/>
      <c r="I998" s="510"/>
      <c r="J998" s="510"/>
      <c r="K998" s="510"/>
      <c r="L998" s="510"/>
      <c r="M998" s="510"/>
      <c r="N998" s="510"/>
      <c r="O998" s="510"/>
      <c r="P998" s="510"/>
      <c r="Q998" s="510"/>
      <c r="R998" s="510"/>
      <c r="S998" s="510"/>
      <c r="T998" s="510"/>
      <c r="U998" s="510"/>
    </row>
    <row r="999" ht="27.0" customHeight="1">
      <c r="A999" s="510"/>
      <c r="B999" s="510"/>
      <c r="C999" s="510"/>
      <c r="D999" s="510"/>
      <c r="E999" s="510"/>
      <c r="F999" s="510"/>
      <c r="G999" s="510"/>
      <c r="H999" s="510"/>
      <c r="I999" s="510"/>
      <c r="J999" s="510"/>
      <c r="K999" s="510"/>
      <c r="L999" s="510"/>
      <c r="M999" s="510"/>
      <c r="N999" s="510"/>
      <c r="O999" s="510"/>
      <c r="P999" s="510"/>
      <c r="Q999" s="510"/>
      <c r="R999" s="510"/>
      <c r="S999" s="510"/>
      <c r="T999" s="510"/>
      <c r="U999" s="510"/>
    </row>
    <row r="1000" ht="27.0" customHeight="1">
      <c r="A1000" s="510"/>
      <c r="B1000" s="510"/>
      <c r="C1000" s="510"/>
      <c r="D1000" s="510"/>
      <c r="E1000" s="510"/>
      <c r="F1000" s="510"/>
      <c r="G1000" s="510"/>
      <c r="H1000" s="510"/>
      <c r="I1000" s="510"/>
      <c r="J1000" s="510"/>
      <c r="K1000" s="510"/>
      <c r="L1000" s="510"/>
      <c r="M1000" s="510"/>
      <c r="N1000" s="510"/>
      <c r="O1000" s="510"/>
      <c r="P1000" s="510"/>
      <c r="Q1000" s="510"/>
      <c r="R1000" s="510"/>
      <c r="S1000" s="510"/>
      <c r="T1000" s="510"/>
      <c r="U1000" s="510"/>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sheetData>
    <row r="1">
      <c r="A1" s="537" t="s">
        <v>27</v>
      </c>
      <c r="B1" s="3"/>
      <c r="C1" s="3"/>
      <c r="D1" s="3"/>
      <c r="E1" s="3"/>
      <c r="F1" s="3"/>
      <c r="G1" s="3"/>
      <c r="H1" s="538"/>
      <c r="I1" s="538"/>
      <c r="J1" s="538"/>
      <c r="K1" s="538"/>
      <c r="L1" s="538"/>
      <c r="M1" s="3"/>
      <c r="N1" s="3"/>
      <c r="O1" s="3"/>
      <c r="P1" s="3"/>
      <c r="Q1" s="3"/>
      <c r="R1" s="3"/>
      <c r="S1" s="3"/>
      <c r="T1" s="3"/>
    </row>
    <row r="2">
      <c r="A2" s="3"/>
      <c r="B2" s="539"/>
      <c r="C2" s="3"/>
      <c r="D2" s="3"/>
      <c r="E2" s="3"/>
      <c r="F2" s="3"/>
      <c r="G2" s="3"/>
      <c r="H2" s="538"/>
      <c r="I2" s="538"/>
      <c r="J2" s="538"/>
      <c r="K2" s="538"/>
      <c r="L2" s="538"/>
      <c r="M2" s="3"/>
      <c r="N2" s="3"/>
      <c r="O2" s="3"/>
      <c r="P2" s="3"/>
      <c r="Q2" s="3"/>
      <c r="R2" s="3"/>
      <c r="S2" s="3"/>
      <c r="T2" s="3"/>
    </row>
    <row r="3">
      <c r="A3" s="3"/>
      <c r="B3" s="539"/>
      <c r="C3" s="3"/>
      <c r="D3" s="3"/>
      <c r="E3" s="3"/>
      <c r="F3" s="3"/>
      <c r="G3" s="3"/>
      <c r="H3" s="538"/>
      <c r="I3" s="538"/>
      <c r="J3" s="538"/>
      <c r="K3" s="538"/>
      <c r="L3" s="538"/>
      <c r="M3" s="3"/>
      <c r="N3" s="3"/>
      <c r="O3" s="3"/>
      <c r="P3" s="3"/>
      <c r="Q3" s="3"/>
      <c r="R3" s="3"/>
      <c r="S3" s="3"/>
      <c r="T3" s="3"/>
    </row>
    <row r="4">
      <c r="A4" s="3"/>
      <c r="B4" s="539"/>
      <c r="C4" s="3"/>
      <c r="D4" s="3"/>
      <c r="E4" s="3"/>
      <c r="F4" s="3"/>
      <c r="G4" s="3"/>
      <c r="H4" s="538"/>
      <c r="I4" s="538"/>
      <c r="J4" s="538"/>
      <c r="K4" s="538"/>
      <c r="L4" s="538"/>
      <c r="M4" s="3"/>
      <c r="N4" s="3"/>
      <c r="O4" s="3"/>
      <c r="P4" s="3"/>
      <c r="Q4" s="3"/>
      <c r="R4" s="3"/>
      <c r="S4" s="3"/>
      <c r="T4" s="3"/>
    </row>
    <row r="5">
      <c r="A5" s="3"/>
      <c r="B5" s="539"/>
      <c r="C5" s="3"/>
      <c r="D5" s="3"/>
      <c r="E5" s="3"/>
      <c r="F5" s="3"/>
      <c r="G5" s="3"/>
      <c r="H5" s="538"/>
      <c r="I5" s="538"/>
      <c r="J5" s="538"/>
      <c r="K5" s="538"/>
      <c r="L5" s="538"/>
      <c r="M5" s="3"/>
      <c r="N5" s="3"/>
      <c r="O5" s="3"/>
      <c r="P5" s="3"/>
      <c r="Q5" s="3"/>
      <c r="R5" s="3"/>
      <c r="S5" s="3"/>
      <c r="T5" s="3"/>
    </row>
    <row r="6">
      <c r="A6" s="3"/>
      <c r="B6" s="539"/>
      <c r="C6" s="3"/>
      <c r="D6" s="3"/>
      <c r="E6" s="3"/>
      <c r="F6" s="3"/>
      <c r="G6" s="3"/>
      <c r="H6" s="538"/>
      <c r="I6" s="538"/>
      <c r="J6" s="538"/>
      <c r="K6" s="538"/>
      <c r="L6" s="538"/>
      <c r="M6" s="3"/>
      <c r="N6" s="3"/>
      <c r="O6" s="3"/>
      <c r="P6" s="3"/>
      <c r="Q6" s="3"/>
      <c r="R6" s="3"/>
      <c r="S6" s="3"/>
      <c r="T6" s="3"/>
    </row>
    <row r="7">
      <c r="A7" s="3"/>
      <c r="B7" s="539"/>
      <c r="C7" s="3"/>
      <c r="D7" s="3"/>
      <c r="E7" s="3"/>
      <c r="F7" s="3"/>
      <c r="G7" s="3"/>
      <c r="H7" s="538"/>
      <c r="I7" s="538"/>
      <c r="J7" s="538"/>
      <c r="K7" s="538"/>
      <c r="L7" s="538"/>
      <c r="M7" s="3"/>
      <c r="N7" s="3"/>
      <c r="O7" s="3"/>
      <c r="P7" s="3"/>
      <c r="Q7" s="3"/>
      <c r="R7" s="3"/>
      <c r="S7" s="3"/>
      <c r="T7" s="3"/>
    </row>
    <row r="8">
      <c r="A8" s="3"/>
      <c r="B8" s="539"/>
      <c r="C8" s="3"/>
      <c r="D8" s="3"/>
      <c r="E8" s="3"/>
      <c r="F8" s="3"/>
      <c r="G8" s="3"/>
      <c r="H8" s="538"/>
      <c r="I8" s="538"/>
      <c r="J8" s="538"/>
      <c r="K8" s="538"/>
      <c r="L8" s="538"/>
      <c r="M8" s="3"/>
      <c r="N8" s="3"/>
      <c r="O8" s="3"/>
      <c r="P8" s="3"/>
      <c r="Q8" s="3"/>
      <c r="R8" s="3"/>
      <c r="S8" s="3"/>
      <c r="T8" s="3"/>
    </row>
    <row r="9">
      <c r="A9" s="3"/>
      <c r="B9" s="539"/>
      <c r="C9" s="3"/>
      <c r="D9" s="3"/>
      <c r="E9" s="3"/>
      <c r="F9" s="3"/>
      <c r="G9" s="3"/>
      <c r="H9" s="538"/>
      <c r="I9" s="538"/>
      <c r="J9" s="538"/>
      <c r="K9" s="538"/>
      <c r="L9" s="538"/>
      <c r="M9" s="3"/>
      <c r="N9" s="3"/>
      <c r="O9" s="3"/>
      <c r="P9" s="3"/>
      <c r="Q9" s="3"/>
      <c r="R9" s="3"/>
      <c r="S9" s="3"/>
      <c r="T9" s="3"/>
    </row>
    <row r="10">
      <c r="A10" s="3"/>
      <c r="B10" s="539"/>
      <c r="C10" s="3"/>
      <c r="D10" s="3"/>
      <c r="E10" s="3"/>
      <c r="F10" s="3"/>
      <c r="G10" s="3"/>
      <c r="H10" s="538"/>
      <c r="I10" s="538"/>
      <c r="J10" s="538"/>
      <c r="K10" s="538"/>
      <c r="L10" s="538"/>
      <c r="M10" s="3"/>
      <c r="N10" s="3"/>
      <c r="O10" s="3"/>
      <c r="P10" s="3"/>
      <c r="Q10" s="3"/>
      <c r="R10" s="3"/>
      <c r="S10" s="3"/>
      <c r="T10" s="3"/>
    </row>
    <row r="11">
      <c r="A11" s="3"/>
      <c r="B11" s="539"/>
      <c r="C11" s="3"/>
      <c r="D11" s="3"/>
      <c r="E11" s="3"/>
      <c r="F11" s="3"/>
      <c r="G11" s="3"/>
      <c r="H11" s="538"/>
      <c r="I11" s="538"/>
      <c r="J11" s="538"/>
      <c r="K11" s="538"/>
      <c r="L11" s="538"/>
      <c r="M11" s="3"/>
      <c r="N11" s="3"/>
      <c r="O11" s="3"/>
      <c r="P11" s="3"/>
      <c r="Q11" s="3"/>
      <c r="R11" s="3"/>
      <c r="S11" s="3"/>
      <c r="T11" s="3"/>
    </row>
    <row r="12">
      <c r="A12" s="3"/>
      <c r="B12" s="539"/>
      <c r="C12" s="3"/>
      <c r="D12" s="3"/>
      <c r="E12" s="3"/>
      <c r="F12" s="3"/>
      <c r="G12" s="3"/>
      <c r="H12" s="538"/>
      <c r="I12" s="538"/>
      <c r="J12" s="538"/>
      <c r="K12" s="538"/>
      <c r="L12" s="538"/>
      <c r="M12" s="3"/>
      <c r="N12" s="3"/>
      <c r="O12" s="3"/>
      <c r="P12" s="3"/>
      <c r="Q12" s="3"/>
      <c r="R12" s="3"/>
      <c r="S12" s="3"/>
      <c r="T12" s="3"/>
    </row>
    <row r="13">
      <c r="A13" s="3"/>
      <c r="B13" s="539"/>
      <c r="C13" s="3"/>
      <c r="D13" s="3"/>
      <c r="E13" s="3"/>
      <c r="F13" s="3"/>
      <c r="G13" s="3"/>
      <c r="H13" s="538"/>
      <c r="I13" s="538"/>
      <c r="J13" s="538"/>
      <c r="K13" s="538"/>
      <c r="L13" s="538"/>
      <c r="M13" s="3"/>
      <c r="N13" s="3"/>
      <c r="O13" s="3"/>
      <c r="P13" s="3"/>
      <c r="Q13" s="3"/>
      <c r="R13" s="3"/>
      <c r="S13" s="3"/>
      <c r="T13" s="3"/>
    </row>
    <row r="14">
      <c r="A14" s="3"/>
      <c r="B14" s="539"/>
      <c r="C14" s="3"/>
      <c r="D14" s="3"/>
      <c r="E14" s="3"/>
      <c r="F14" s="3"/>
      <c r="G14" s="3"/>
      <c r="H14" s="538"/>
      <c r="I14" s="538"/>
      <c r="J14" s="538"/>
      <c r="K14" s="538"/>
      <c r="L14" s="538"/>
      <c r="M14" s="3"/>
      <c r="N14" s="3"/>
      <c r="O14" s="3"/>
      <c r="P14" s="3"/>
      <c r="Q14" s="3"/>
      <c r="R14" s="3"/>
      <c r="S14" s="3"/>
      <c r="T14" s="3"/>
    </row>
    <row r="15">
      <c r="A15" s="3"/>
      <c r="B15" s="539"/>
      <c r="C15" s="3"/>
      <c r="D15" s="3"/>
      <c r="E15" s="3"/>
      <c r="F15" s="3"/>
      <c r="G15" s="3"/>
      <c r="H15" s="538"/>
      <c r="I15" s="538"/>
      <c r="J15" s="538"/>
      <c r="K15" s="538"/>
      <c r="L15" s="538"/>
      <c r="M15" s="3"/>
      <c r="N15" s="3"/>
      <c r="O15" s="3"/>
      <c r="P15" s="3"/>
      <c r="Q15" s="3"/>
      <c r="R15" s="3"/>
      <c r="S15" s="3"/>
      <c r="T15" s="3"/>
    </row>
    <row r="16">
      <c r="A16" s="3"/>
      <c r="B16" s="539"/>
      <c r="C16" s="3"/>
      <c r="D16" s="3"/>
      <c r="E16" s="3"/>
      <c r="F16" s="3"/>
      <c r="G16" s="3"/>
      <c r="H16" s="538"/>
      <c r="I16" s="538"/>
      <c r="J16" s="538"/>
      <c r="K16" s="538"/>
      <c r="L16" s="538"/>
      <c r="M16" s="3"/>
      <c r="N16" s="3"/>
      <c r="O16" s="3"/>
      <c r="P16" s="3"/>
      <c r="Q16" s="3"/>
      <c r="R16" s="3"/>
      <c r="S16" s="3"/>
      <c r="T16" s="3"/>
    </row>
    <row r="17">
      <c r="A17" s="3"/>
      <c r="B17" s="539"/>
      <c r="C17" s="3"/>
      <c r="D17" s="3"/>
      <c r="E17" s="3"/>
      <c r="F17" s="3"/>
      <c r="G17" s="3"/>
      <c r="H17" s="538"/>
      <c r="I17" s="538"/>
      <c r="J17" s="538"/>
      <c r="K17" s="538"/>
      <c r="L17" s="538"/>
      <c r="M17" s="3"/>
      <c r="N17" s="3"/>
      <c r="O17" s="3"/>
      <c r="P17" s="3"/>
      <c r="Q17" s="3"/>
      <c r="R17" s="3"/>
      <c r="S17" s="3"/>
      <c r="T17" s="3"/>
    </row>
    <row r="18">
      <c r="A18" s="3"/>
      <c r="B18" s="539"/>
      <c r="C18" s="3"/>
      <c r="D18" s="3"/>
      <c r="E18" s="3"/>
      <c r="F18" s="3"/>
      <c r="G18" s="3"/>
      <c r="H18" s="538"/>
      <c r="I18" s="538"/>
      <c r="J18" s="538"/>
      <c r="K18" s="538"/>
      <c r="L18" s="538"/>
      <c r="M18" s="3"/>
      <c r="N18" s="3"/>
      <c r="O18" s="3"/>
      <c r="P18" s="3"/>
      <c r="Q18" s="3"/>
      <c r="R18" s="3"/>
      <c r="S18" s="3"/>
      <c r="T18" s="3"/>
    </row>
    <row r="19">
      <c r="A19" s="3"/>
      <c r="B19" s="539"/>
      <c r="C19" s="3"/>
      <c r="D19" s="3"/>
      <c r="E19" s="3"/>
      <c r="F19" s="3"/>
      <c r="G19" s="3"/>
      <c r="H19" s="538"/>
      <c r="I19" s="538"/>
      <c r="J19" s="538"/>
      <c r="K19" s="538"/>
      <c r="L19" s="538"/>
      <c r="M19" s="3"/>
      <c r="N19" s="3"/>
      <c r="O19" s="3"/>
      <c r="P19" s="3"/>
      <c r="Q19" s="3"/>
      <c r="R19" s="3"/>
      <c r="S19" s="3"/>
      <c r="T19" s="3"/>
    </row>
    <row r="20">
      <c r="A20" s="3"/>
      <c r="B20" s="539"/>
      <c r="C20" s="3"/>
      <c r="D20" s="3"/>
      <c r="E20" s="3"/>
      <c r="F20" s="3"/>
      <c r="G20" s="3"/>
      <c r="H20" s="538"/>
      <c r="I20" s="538"/>
      <c r="J20" s="538"/>
      <c r="K20" s="538"/>
      <c r="L20" s="538"/>
      <c r="M20" s="3"/>
      <c r="N20" s="3"/>
      <c r="O20" s="3"/>
      <c r="P20" s="3"/>
      <c r="Q20" s="3"/>
      <c r="R20" s="3"/>
      <c r="S20" s="3"/>
      <c r="T20" s="3"/>
    </row>
    <row r="21">
      <c r="A21" s="3"/>
      <c r="B21" s="539"/>
      <c r="C21" s="3"/>
      <c r="D21" s="3"/>
      <c r="E21" s="3"/>
      <c r="F21" s="3"/>
      <c r="G21" s="3"/>
      <c r="H21" s="538"/>
      <c r="I21" s="538"/>
      <c r="J21" s="538"/>
      <c r="K21" s="538"/>
      <c r="L21" s="538"/>
      <c r="M21" s="3"/>
      <c r="N21" s="3"/>
      <c r="O21" s="3"/>
      <c r="P21" s="3"/>
      <c r="Q21" s="3"/>
      <c r="R21" s="3"/>
      <c r="S21" s="3"/>
      <c r="T21" s="3"/>
    </row>
    <row r="22">
      <c r="A22" s="3"/>
      <c r="B22" s="539"/>
      <c r="C22" s="3"/>
      <c r="D22" s="3"/>
      <c r="E22" s="3"/>
      <c r="F22" s="3"/>
      <c r="G22" s="3"/>
      <c r="H22" s="538"/>
      <c r="I22" s="538"/>
      <c r="J22" s="538"/>
      <c r="K22" s="538"/>
      <c r="L22" s="538"/>
      <c r="M22" s="3"/>
      <c r="N22" s="3"/>
      <c r="O22" s="3"/>
      <c r="P22" s="3"/>
      <c r="Q22" s="3"/>
      <c r="R22" s="3"/>
      <c r="S22" s="3"/>
      <c r="T22" s="3"/>
    </row>
    <row r="23">
      <c r="A23" s="3"/>
      <c r="B23" s="539"/>
      <c r="C23" s="3"/>
      <c r="D23" s="3"/>
      <c r="E23" s="3"/>
      <c r="F23" s="3"/>
      <c r="G23" s="3"/>
      <c r="H23" s="538"/>
      <c r="I23" s="538"/>
      <c r="J23" s="538"/>
      <c r="K23" s="538"/>
      <c r="L23" s="538"/>
      <c r="M23" s="3"/>
      <c r="N23" s="3"/>
      <c r="O23" s="3"/>
      <c r="P23" s="3"/>
      <c r="Q23" s="3"/>
      <c r="R23" s="3"/>
      <c r="S23" s="3"/>
      <c r="T23" s="3"/>
    </row>
    <row r="24">
      <c r="A24" s="3"/>
      <c r="B24" s="539"/>
      <c r="C24" s="3"/>
      <c r="D24" s="3"/>
      <c r="E24" s="3"/>
      <c r="F24" s="3"/>
      <c r="G24" s="3"/>
      <c r="H24" s="538"/>
      <c r="I24" s="538"/>
      <c r="J24" s="538"/>
      <c r="K24" s="538"/>
      <c r="L24" s="538"/>
      <c r="M24" s="3"/>
      <c r="N24" s="3"/>
      <c r="O24" s="3"/>
      <c r="P24" s="3"/>
      <c r="Q24" s="3"/>
      <c r="R24" s="3"/>
      <c r="S24" s="3"/>
      <c r="T24" s="3"/>
    </row>
    <row r="25">
      <c r="A25" s="3"/>
      <c r="B25" s="539"/>
      <c r="C25" s="3"/>
      <c r="D25" s="3"/>
      <c r="E25" s="3"/>
      <c r="F25" s="3"/>
      <c r="G25" s="3"/>
      <c r="H25" s="538"/>
      <c r="I25" s="538"/>
      <c r="J25" s="538"/>
      <c r="K25" s="538"/>
      <c r="L25" s="538"/>
      <c r="M25" s="3"/>
      <c r="N25" s="3"/>
      <c r="O25" s="3"/>
      <c r="P25" s="3"/>
      <c r="Q25" s="3"/>
      <c r="R25" s="3"/>
      <c r="S25" s="3"/>
      <c r="T25" s="3"/>
    </row>
    <row r="26">
      <c r="A26" s="3"/>
      <c r="B26" s="539"/>
      <c r="C26" s="3"/>
      <c r="D26" s="3"/>
      <c r="E26" s="3"/>
      <c r="F26" s="3"/>
      <c r="G26" s="3"/>
      <c r="H26" s="538"/>
      <c r="I26" s="538"/>
      <c r="J26" s="538"/>
      <c r="K26" s="538"/>
      <c r="L26" s="538"/>
      <c r="M26" s="3"/>
      <c r="N26" s="3"/>
      <c r="O26" s="3"/>
      <c r="P26" s="3"/>
      <c r="Q26" s="3"/>
      <c r="R26" s="3"/>
      <c r="S26" s="3"/>
      <c r="T26" s="3"/>
    </row>
    <row r="27">
      <c r="A27" s="3"/>
      <c r="B27" s="539"/>
      <c r="C27" s="3"/>
      <c r="D27" s="3"/>
      <c r="E27" s="3"/>
      <c r="F27" s="3"/>
      <c r="G27" s="3"/>
      <c r="H27" s="538"/>
      <c r="I27" s="538"/>
      <c r="J27" s="538"/>
      <c r="K27" s="538"/>
      <c r="L27" s="538"/>
      <c r="M27" s="3"/>
      <c r="N27" s="3"/>
      <c r="O27" s="3"/>
      <c r="P27" s="3"/>
      <c r="Q27" s="3"/>
      <c r="R27" s="3"/>
      <c r="S27" s="3"/>
      <c r="T27" s="3"/>
    </row>
    <row r="28">
      <c r="A28" s="3"/>
      <c r="B28" s="539"/>
      <c r="C28" s="3"/>
      <c r="D28" s="3"/>
      <c r="E28" s="3"/>
      <c r="F28" s="3"/>
      <c r="G28" s="3"/>
      <c r="H28" s="538"/>
      <c r="I28" s="538"/>
      <c r="J28" s="538"/>
      <c r="K28" s="538"/>
      <c r="L28" s="538"/>
      <c r="M28" s="3"/>
      <c r="N28" s="3"/>
      <c r="O28" s="3"/>
      <c r="P28" s="3"/>
      <c r="Q28" s="3"/>
      <c r="R28" s="3"/>
      <c r="S28" s="3"/>
      <c r="T28" s="3"/>
    </row>
    <row r="29">
      <c r="A29" s="3"/>
      <c r="B29" s="539"/>
      <c r="C29" s="3"/>
      <c r="D29" s="3"/>
      <c r="E29" s="3"/>
      <c r="F29" s="3"/>
      <c r="G29" s="3"/>
      <c r="H29" s="538"/>
      <c r="I29" s="538"/>
      <c r="J29" s="538"/>
      <c r="K29" s="538"/>
      <c r="L29" s="538"/>
      <c r="M29" s="3"/>
      <c r="N29" s="3"/>
      <c r="O29" s="3"/>
      <c r="P29" s="3"/>
      <c r="Q29" s="3"/>
      <c r="R29" s="3"/>
      <c r="S29" s="3"/>
      <c r="T29" s="3"/>
    </row>
    <row r="30">
      <c r="A30" s="3"/>
      <c r="B30" s="539"/>
      <c r="C30" s="3"/>
      <c r="D30" s="3"/>
      <c r="E30" s="3"/>
      <c r="F30" s="3"/>
      <c r="G30" s="3"/>
      <c r="H30" s="538"/>
      <c r="I30" s="538"/>
      <c r="J30" s="538"/>
      <c r="K30" s="538"/>
      <c r="L30" s="538"/>
      <c r="M30" s="3"/>
      <c r="N30" s="3"/>
      <c r="O30" s="3"/>
      <c r="P30" s="3"/>
      <c r="Q30" s="3"/>
      <c r="R30" s="3"/>
      <c r="S30" s="3"/>
      <c r="T30" s="3"/>
    </row>
    <row r="31">
      <c r="A31" s="3"/>
      <c r="B31" s="539"/>
      <c r="C31" s="3"/>
      <c r="D31" s="3"/>
      <c r="E31" s="3"/>
      <c r="F31" s="3"/>
      <c r="G31" s="3"/>
      <c r="H31" s="538"/>
      <c r="I31" s="538"/>
      <c r="J31" s="538"/>
      <c r="K31" s="538"/>
      <c r="L31" s="538"/>
      <c r="M31" s="3"/>
      <c r="N31" s="3"/>
      <c r="O31" s="3"/>
      <c r="P31" s="3"/>
      <c r="Q31" s="3"/>
      <c r="R31" s="3"/>
      <c r="S31" s="3"/>
      <c r="T31" s="3"/>
    </row>
    <row r="32">
      <c r="A32" s="3"/>
      <c r="B32" s="539"/>
      <c r="C32" s="3"/>
      <c r="D32" s="3"/>
      <c r="E32" s="3"/>
      <c r="F32" s="3"/>
      <c r="G32" s="3"/>
      <c r="H32" s="538"/>
      <c r="I32" s="538"/>
      <c r="J32" s="538"/>
      <c r="K32" s="538"/>
      <c r="L32" s="538"/>
      <c r="M32" s="3"/>
      <c r="N32" s="3"/>
      <c r="O32" s="3"/>
      <c r="P32" s="3"/>
      <c r="Q32" s="3"/>
      <c r="R32" s="3"/>
      <c r="S32" s="3"/>
      <c r="T32" s="3"/>
    </row>
    <row r="33">
      <c r="A33" s="3"/>
      <c r="B33" s="539"/>
      <c r="C33" s="3"/>
      <c r="D33" s="3"/>
      <c r="E33" s="3"/>
      <c r="F33" s="3"/>
      <c r="G33" s="3"/>
      <c r="H33" s="538"/>
      <c r="I33" s="538"/>
      <c r="J33" s="538"/>
      <c r="K33" s="538"/>
      <c r="L33" s="538"/>
      <c r="M33" s="3"/>
      <c r="N33" s="3"/>
      <c r="O33" s="3"/>
      <c r="P33" s="3"/>
      <c r="Q33" s="3"/>
      <c r="R33" s="3"/>
      <c r="S33" s="3"/>
      <c r="T33" s="3"/>
    </row>
    <row r="34">
      <c r="A34" s="3"/>
      <c r="B34" s="539"/>
      <c r="C34" s="3"/>
      <c r="D34" s="3"/>
      <c r="E34" s="3"/>
      <c r="F34" s="3"/>
      <c r="G34" s="3"/>
      <c r="H34" s="538"/>
      <c r="I34" s="538"/>
      <c r="J34" s="538"/>
      <c r="K34" s="538"/>
      <c r="L34" s="538"/>
      <c r="M34" s="3"/>
      <c r="N34" s="3"/>
      <c r="O34" s="3"/>
      <c r="P34" s="3"/>
      <c r="Q34" s="3"/>
      <c r="R34" s="3"/>
      <c r="S34" s="3"/>
      <c r="T34" s="3"/>
    </row>
    <row r="35">
      <c r="A35" s="3"/>
      <c r="B35" s="539"/>
      <c r="C35" s="3"/>
      <c r="D35" s="3"/>
      <c r="E35" s="3"/>
      <c r="F35" s="3"/>
      <c r="G35" s="3"/>
      <c r="H35" s="538"/>
      <c r="I35" s="538"/>
      <c r="J35" s="538"/>
      <c r="K35" s="538"/>
      <c r="L35" s="538"/>
      <c r="M35" s="3"/>
      <c r="N35" s="3"/>
      <c r="O35" s="3"/>
      <c r="P35" s="3"/>
      <c r="Q35" s="3"/>
      <c r="R35" s="3"/>
      <c r="S35" s="3"/>
      <c r="T35" s="3"/>
    </row>
    <row r="36">
      <c r="A36" s="3"/>
      <c r="B36" s="539"/>
      <c r="C36" s="3"/>
      <c r="D36" s="3"/>
      <c r="E36" s="3"/>
      <c r="F36" s="3"/>
      <c r="G36" s="3"/>
      <c r="H36" s="538"/>
      <c r="I36" s="538"/>
      <c r="J36" s="538"/>
      <c r="K36" s="538"/>
      <c r="L36" s="538"/>
      <c r="M36" s="3"/>
      <c r="N36" s="3"/>
      <c r="O36" s="3"/>
      <c r="P36" s="3"/>
      <c r="Q36" s="3"/>
      <c r="R36" s="3"/>
      <c r="S36" s="3"/>
      <c r="T36" s="3"/>
    </row>
    <row r="37">
      <c r="A37" s="3"/>
      <c r="B37" s="539"/>
      <c r="C37" s="3"/>
      <c r="D37" s="3"/>
      <c r="E37" s="3"/>
      <c r="F37" s="3"/>
      <c r="G37" s="3"/>
      <c r="H37" s="538"/>
      <c r="I37" s="538"/>
      <c r="J37" s="538"/>
      <c r="K37" s="538"/>
      <c r="L37" s="538"/>
      <c r="M37" s="3"/>
      <c r="N37" s="3"/>
      <c r="O37" s="3"/>
      <c r="P37" s="3"/>
      <c r="Q37" s="3"/>
      <c r="R37" s="3"/>
      <c r="S37" s="3"/>
      <c r="T37" s="3"/>
    </row>
    <row r="38">
      <c r="A38" s="3"/>
      <c r="B38" s="539"/>
      <c r="C38" s="3"/>
      <c r="D38" s="3"/>
      <c r="E38" s="3"/>
      <c r="F38" s="3"/>
      <c r="G38" s="3"/>
      <c r="H38" s="538"/>
      <c r="I38" s="538"/>
      <c r="J38" s="538"/>
      <c r="K38" s="538"/>
      <c r="L38" s="538"/>
      <c r="M38" s="3"/>
      <c r="N38" s="3"/>
      <c r="O38" s="3"/>
      <c r="P38" s="3"/>
      <c r="Q38" s="3"/>
      <c r="R38" s="3"/>
      <c r="S38" s="3"/>
      <c r="T38" s="3"/>
    </row>
    <row r="39">
      <c r="A39" s="3"/>
      <c r="B39" s="539"/>
      <c r="C39" s="3"/>
      <c r="D39" s="3"/>
      <c r="E39" s="3"/>
      <c r="F39" s="3"/>
      <c r="G39" s="3"/>
      <c r="H39" s="538"/>
      <c r="I39" s="538"/>
      <c r="J39" s="538"/>
      <c r="K39" s="538"/>
      <c r="L39" s="538"/>
      <c r="M39" s="3"/>
      <c r="N39" s="3"/>
      <c r="O39" s="3"/>
      <c r="P39" s="3"/>
      <c r="Q39" s="3"/>
      <c r="R39" s="3"/>
      <c r="S39" s="3"/>
      <c r="T39" s="3"/>
    </row>
    <row r="40">
      <c r="A40" s="3"/>
      <c r="B40" s="539"/>
      <c r="C40" s="3"/>
      <c r="D40" s="3"/>
      <c r="E40" s="3"/>
      <c r="F40" s="3"/>
      <c r="G40" s="3"/>
      <c r="H40" s="538"/>
      <c r="I40" s="538"/>
      <c r="J40" s="538"/>
      <c r="K40" s="538"/>
      <c r="L40" s="538"/>
      <c r="M40" s="3"/>
      <c r="N40" s="3"/>
      <c r="O40" s="3"/>
      <c r="P40" s="3"/>
      <c r="Q40" s="3"/>
      <c r="R40" s="3"/>
      <c r="S40" s="3"/>
      <c r="T40" s="3"/>
    </row>
    <row r="41">
      <c r="A41" s="3"/>
      <c r="B41" s="539"/>
      <c r="C41" s="3"/>
      <c r="D41" s="3"/>
      <c r="E41" s="3"/>
      <c r="F41" s="3"/>
      <c r="G41" s="3"/>
      <c r="H41" s="538"/>
      <c r="I41" s="538"/>
      <c r="J41" s="538"/>
      <c r="K41" s="538"/>
      <c r="L41" s="538"/>
      <c r="M41" s="3"/>
      <c r="N41" s="3"/>
      <c r="O41" s="3"/>
      <c r="P41" s="3"/>
      <c r="Q41" s="3"/>
      <c r="R41" s="3"/>
      <c r="S41" s="3"/>
      <c r="T41" s="3"/>
    </row>
    <row r="42">
      <c r="A42" s="3"/>
      <c r="B42" s="539"/>
      <c r="C42" s="3"/>
      <c r="D42" s="3"/>
      <c r="E42" s="3"/>
      <c r="F42" s="3"/>
      <c r="G42" s="3"/>
      <c r="H42" s="538"/>
      <c r="I42" s="538"/>
      <c r="J42" s="538"/>
      <c r="K42" s="538"/>
      <c r="L42" s="538"/>
      <c r="M42" s="3"/>
      <c r="N42" s="3"/>
      <c r="O42" s="3"/>
      <c r="P42" s="3"/>
      <c r="Q42" s="3"/>
      <c r="R42" s="3"/>
      <c r="S42" s="3"/>
      <c r="T42" s="3"/>
    </row>
    <row r="43">
      <c r="A43" s="3"/>
      <c r="B43" s="539"/>
      <c r="C43" s="3"/>
      <c r="D43" s="3"/>
      <c r="E43" s="3"/>
      <c r="F43" s="3"/>
      <c r="G43" s="3"/>
      <c r="H43" s="538"/>
      <c r="I43" s="538"/>
      <c r="J43" s="538"/>
      <c r="K43" s="538"/>
      <c r="L43" s="538"/>
      <c r="M43" s="3"/>
      <c r="N43" s="3"/>
      <c r="O43" s="3"/>
      <c r="P43" s="3"/>
      <c r="Q43" s="3"/>
      <c r="R43" s="3"/>
      <c r="S43" s="3"/>
      <c r="T43" s="3"/>
    </row>
    <row r="44">
      <c r="A44" s="3"/>
      <c r="B44" s="539"/>
      <c r="C44" s="3"/>
      <c r="D44" s="3"/>
      <c r="E44" s="3"/>
      <c r="F44" s="3"/>
      <c r="G44" s="3"/>
      <c r="H44" s="538"/>
      <c r="I44" s="538"/>
      <c r="J44" s="538"/>
      <c r="K44" s="538"/>
      <c r="L44" s="538"/>
      <c r="M44" s="3"/>
      <c r="N44" s="3"/>
      <c r="O44" s="3"/>
      <c r="P44" s="3"/>
      <c r="Q44" s="3"/>
      <c r="R44" s="3"/>
      <c r="S44" s="3"/>
      <c r="T44" s="3"/>
    </row>
    <row r="45">
      <c r="A45" s="3"/>
      <c r="B45" s="539"/>
      <c r="C45" s="3"/>
      <c r="D45" s="3"/>
      <c r="E45" s="3"/>
      <c r="F45" s="3"/>
      <c r="G45" s="3"/>
      <c r="H45" s="538"/>
      <c r="I45" s="538"/>
      <c r="J45" s="538"/>
      <c r="K45" s="538"/>
      <c r="L45" s="538"/>
      <c r="M45" s="3"/>
      <c r="N45" s="3"/>
      <c r="O45" s="3"/>
      <c r="P45" s="3"/>
      <c r="Q45" s="3"/>
      <c r="R45" s="3"/>
      <c r="S45" s="3"/>
      <c r="T45" s="3"/>
    </row>
    <row r="46">
      <c r="A46" s="3"/>
      <c r="B46" s="539"/>
      <c r="C46" s="3"/>
      <c r="D46" s="3"/>
      <c r="E46" s="3"/>
      <c r="F46" s="3"/>
      <c r="G46" s="3"/>
      <c r="H46" s="538"/>
      <c r="I46" s="538"/>
      <c r="J46" s="538"/>
      <c r="K46" s="538"/>
      <c r="L46" s="538"/>
      <c r="M46" s="3"/>
      <c r="N46" s="3"/>
      <c r="O46" s="3"/>
      <c r="P46" s="3"/>
      <c r="Q46" s="3"/>
      <c r="R46" s="3"/>
      <c r="S46" s="3"/>
      <c r="T46" s="3"/>
    </row>
    <row r="47">
      <c r="A47" s="3"/>
      <c r="B47" s="539"/>
      <c r="C47" s="3"/>
      <c r="D47" s="3"/>
      <c r="E47" s="3"/>
      <c r="F47" s="3"/>
      <c r="G47" s="3"/>
      <c r="H47" s="538"/>
      <c r="I47" s="538"/>
      <c r="J47" s="538"/>
      <c r="K47" s="538"/>
      <c r="L47" s="538"/>
      <c r="M47" s="3"/>
      <c r="N47" s="3"/>
      <c r="O47" s="3"/>
      <c r="P47" s="3"/>
      <c r="Q47" s="3"/>
      <c r="R47" s="3"/>
      <c r="S47" s="3"/>
      <c r="T47" s="3"/>
    </row>
    <row r="48">
      <c r="A48" s="3"/>
      <c r="B48" s="539"/>
      <c r="C48" s="3"/>
      <c r="D48" s="3"/>
      <c r="E48" s="3"/>
      <c r="F48" s="3"/>
      <c r="G48" s="3"/>
      <c r="H48" s="538"/>
      <c r="I48" s="538"/>
      <c r="J48" s="538"/>
      <c r="K48" s="538"/>
      <c r="L48" s="538"/>
      <c r="M48" s="3"/>
      <c r="N48" s="3"/>
      <c r="O48" s="3"/>
      <c r="P48" s="3"/>
      <c r="Q48" s="3"/>
      <c r="R48" s="3"/>
      <c r="S48" s="3"/>
      <c r="T48" s="3"/>
    </row>
    <row r="49">
      <c r="A49" s="3"/>
      <c r="B49" s="539"/>
      <c r="C49" s="3"/>
      <c r="D49" s="3"/>
      <c r="E49" s="3"/>
      <c r="F49" s="3"/>
      <c r="G49" s="3"/>
      <c r="H49" s="538"/>
      <c r="I49" s="538"/>
      <c r="J49" s="538"/>
      <c r="K49" s="538"/>
      <c r="L49" s="538"/>
      <c r="M49" s="3"/>
      <c r="N49" s="3"/>
      <c r="O49" s="3"/>
      <c r="P49" s="3"/>
      <c r="Q49" s="3"/>
      <c r="R49" s="3"/>
      <c r="S49" s="3"/>
      <c r="T49" s="3"/>
    </row>
    <row r="50">
      <c r="A50" s="3"/>
      <c r="B50" s="539"/>
      <c r="C50" s="3"/>
      <c r="D50" s="3"/>
      <c r="E50" s="3"/>
      <c r="F50" s="3"/>
      <c r="G50" s="3"/>
      <c r="H50" s="538"/>
      <c r="I50" s="538"/>
      <c r="J50" s="538"/>
      <c r="K50" s="538"/>
      <c r="L50" s="538"/>
      <c r="M50" s="3"/>
      <c r="N50" s="3"/>
      <c r="O50" s="3"/>
      <c r="P50" s="3"/>
      <c r="Q50" s="3"/>
      <c r="R50" s="3"/>
      <c r="S50" s="3"/>
      <c r="T50" s="3"/>
    </row>
    <row r="51">
      <c r="A51" s="3"/>
      <c r="B51" s="539"/>
      <c r="C51" s="3"/>
      <c r="D51" s="3"/>
      <c r="E51" s="3"/>
      <c r="F51" s="3"/>
      <c r="G51" s="3"/>
      <c r="H51" s="538"/>
      <c r="I51" s="538"/>
      <c r="J51" s="538"/>
      <c r="K51" s="538"/>
      <c r="L51" s="538"/>
      <c r="M51" s="3"/>
      <c r="N51" s="3"/>
      <c r="O51" s="3"/>
      <c r="P51" s="3"/>
      <c r="Q51" s="3"/>
      <c r="R51" s="3"/>
      <c r="S51" s="3"/>
      <c r="T51" s="3"/>
    </row>
    <row r="52">
      <c r="A52" s="3"/>
      <c r="B52" s="539"/>
      <c r="C52" s="3"/>
      <c r="D52" s="3"/>
      <c r="E52" s="3"/>
      <c r="F52" s="3"/>
      <c r="G52" s="3"/>
      <c r="H52" s="538"/>
      <c r="I52" s="538"/>
      <c r="J52" s="538"/>
      <c r="K52" s="538"/>
      <c r="L52" s="538"/>
      <c r="M52" s="3"/>
      <c r="N52" s="3"/>
      <c r="O52" s="3"/>
      <c r="P52" s="3"/>
      <c r="Q52" s="3"/>
      <c r="R52" s="3"/>
      <c r="S52" s="3"/>
      <c r="T52" s="3"/>
    </row>
    <row r="53">
      <c r="A53" s="3"/>
      <c r="B53" s="539"/>
      <c r="C53" s="3"/>
      <c r="D53" s="3"/>
      <c r="E53" s="3"/>
      <c r="F53" s="3"/>
      <c r="G53" s="3"/>
      <c r="H53" s="538"/>
      <c r="I53" s="538"/>
      <c r="J53" s="538"/>
      <c r="K53" s="538"/>
      <c r="L53" s="538"/>
      <c r="M53" s="3"/>
      <c r="N53" s="3"/>
      <c r="O53" s="3"/>
      <c r="P53" s="3"/>
      <c r="Q53" s="3"/>
      <c r="R53" s="3"/>
      <c r="S53" s="3"/>
      <c r="T53" s="3"/>
    </row>
    <row r="54">
      <c r="A54" s="3"/>
      <c r="B54" s="539"/>
      <c r="C54" s="3"/>
      <c r="D54" s="3"/>
      <c r="E54" s="3"/>
      <c r="F54" s="3"/>
      <c r="G54" s="3"/>
      <c r="H54" s="538"/>
      <c r="I54" s="538"/>
      <c r="J54" s="538"/>
      <c r="K54" s="538"/>
      <c r="L54" s="538"/>
      <c r="M54" s="3"/>
      <c r="N54" s="3"/>
      <c r="O54" s="3"/>
      <c r="P54" s="3"/>
      <c r="Q54" s="3"/>
      <c r="R54" s="3"/>
      <c r="S54" s="3"/>
      <c r="T54" s="3"/>
    </row>
    <row r="55">
      <c r="A55" s="3"/>
      <c r="B55" s="539"/>
      <c r="C55" s="3"/>
      <c r="D55" s="3"/>
      <c r="E55" s="3"/>
      <c r="F55" s="3"/>
      <c r="G55" s="3"/>
      <c r="H55" s="538"/>
      <c r="I55" s="538"/>
      <c r="J55" s="538"/>
      <c r="K55" s="538"/>
      <c r="L55" s="538"/>
      <c r="M55" s="3"/>
      <c r="N55" s="3"/>
      <c r="O55" s="3"/>
      <c r="P55" s="3"/>
      <c r="Q55" s="3"/>
      <c r="R55" s="3"/>
      <c r="S55" s="3"/>
      <c r="T55" s="3"/>
    </row>
    <row r="56">
      <c r="A56" s="3"/>
      <c r="B56" s="539"/>
      <c r="C56" s="3"/>
      <c r="D56" s="3"/>
      <c r="E56" s="3"/>
      <c r="F56" s="3"/>
      <c r="G56" s="3"/>
      <c r="H56" s="538"/>
      <c r="I56" s="538"/>
      <c r="J56" s="538"/>
      <c r="K56" s="538"/>
      <c r="L56" s="538"/>
      <c r="M56" s="3"/>
      <c r="N56" s="3"/>
      <c r="O56" s="3"/>
      <c r="P56" s="3"/>
      <c r="Q56" s="3"/>
      <c r="R56" s="3"/>
      <c r="S56" s="3"/>
      <c r="T56" s="3"/>
    </row>
    <row r="57">
      <c r="A57" s="3"/>
      <c r="B57" s="539"/>
      <c r="C57" s="3"/>
      <c r="D57" s="3"/>
      <c r="E57" s="3"/>
      <c r="F57" s="3"/>
      <c r="G57" s="3"/>
      <c r="H57" s="538"/>
      <c r="I57" s="538"/>
      <c r="J57" s="538"/>
      <c r="K57" s="538"/>
      <c r="L57" s="538"/>
      <c r="M57" s="3"/>
      <c r="N57" s="3"/>
      <c r="O57" s="3"/>
      <c r="P57" s="3"/>
      <c r="Q57" s="3"/>
      <c r="R57" s="3"/>
      <c r="S57" s="3"/>
      <c r="T57" s="3"/>
    </row>
    <row r="58">
      <c r="A58" s="3"/>
      <c r="B58" s="539"/>
      <c r="C58" s="3"/>
      <c r="D58" s="3"/>
      <c r="E58" s="3"/>
      <c r="F58" s="3"/>
      <c r="G58" s="3"/>
      <c r="H58" s="538"/>
      <c r="I58" s="538"/>
      <c r="J58" s="538"/>
      <c r="K58" s="538"/>
      <c r="L58" s="538"/>
      <c r="M58" s="3"/>
      <c r="N58" s="3"/>
      <c r="O58" s="3"/>
      <c r="P58" s="3"/>
      <c r="Q58" s="3"/>
      <c r="R58" s="3"/>
      <c r="S58" s="3"/>
      <c r="T58" s="3"/>
    </row>
    <row r="59">
      <c r="A59" s="3"/>
      <c r="B59" s="539"/>
      <c r="C59" s="3"/>
      <c r="D59" s="3"/>
      <c r="E59" s="3"/>
      <c r="F59" s="3"/>
      <c r="G59" s="3"/>
      <c r="H59" s="538"/>
      <c r="I59" s="538"/>
      <c r="J59" s="538"/>
      <c r="K59" s="538"/>
      <c r="L59" s="538"/>
      <c r="M59" s="3"/>
      <c r="N59" s="3"/>
      <c r="O59" s="3"/>
      <c r="P59" s="3"/>
      <c r="Q59" s="3"/>
      <c r="R59" s="3"/>
      <c r="S59" s="3"/>
      <c r="T59" s="3"/>
    </row>
    <row r="60">
      <c r="A60" s="3"/>
      <c r="B60" s="539"/>
      <c r="C60" s="3"/>
      <c r="D60" s="3"/>
      <c r="E60" s="3"/>
      <c r="F60" s="3"/>
      <c r="G60" s="3"/>
      <c r="H60" s="538"/>
      <c r="I60" s="538"/>
      <c r="J60" s="538"/>
      <c r="K60" s="538"/>
      <c r="L60" s="538"/>
      <c r="M60" s="3"/>
      <c r="N60" s="3"/>
      <c r="O60" s="3"/>
      <c r="P60" s="3"/>
      <c r="Q60" s="3"/>
      <c r="R60" s="3"/>
      <c r="S60" s="3"/>
      <c r="T60" s="3"/>
    </row>
    <row r="61">
      <c r="A61" s="3"/>
      <c r="B61" s="539"/>
      <c r="C61" s="3"/>
      <c r="D61" s="3"/>
      <c r="E61" s="3"/>
      <c r="F61" s="3"/>
      <c r="G61" s="3"/>
      <c r="H61" s="538"/>
      <c r="I61" s="538"/>
      <c r="J61" s="538"/>
      <c r="K61" s="538"/>
      <c r="L61" s="538"/>
      <c r="M61" s="3"/>
      <c r="N61" s="3"/>
      <c r="O61" s="3"/>
      <c r="P61" s="3"/>
      <c r="Q61" s="3"/>
      <c r="R61" s="3"/>
      <c r="S61" s="3"/>
      <c r="T61" s="3"/>
    </row>
    <row r="62">
      <c r="A62" s="3"/>
      <c r="B62" s="539"/>
      <c r="C62" s="3"/>
      <c r="D62" s="3"/>
      <c r="E62" s="3"/>
      <c r="F62" s="3"/>
      <c r="G62" s="3"/>
      <c r="H62" s="538"/>
      <c r="I62" s="538"/>
      <c r="J62" s="538"/>
      <c r="K62" s="538"/>
      <c r="L62" s="538"/>
      <c r="M62" s="3"/>
      <c r="N62" s="3"/>
      <c r="O62" s="3"/>
      <c r="P62" s="3"/>
      <c r="Q62" s="3"/>
      <c r="R62" s="3"/>
      <c r="S62" s="3"/>
      <c r="T62" s="3"/>
    </row>
    <row r="63">
      <c r="A63" s="3"/>
      <c r="B63" s="539"/>
      <c r="C63" s="3"/>
      <c r="D63" s="3"/>
      <c r="E63" s="3"/>
      <c r="F63" s="3"/>
      <c r="G63" s="3"/>
      <c r="H63" s="538"/>
      <c r="I63" s="538"/>
      <c r="J63" s="538"/>
      <c r="K63" s="538"/>
      <c r="L63" s="538"/>
      <c r="M63" s="3"/>
      <c r="N63" s="3"/>
      <c r="O63" s="3"/>
      <c r="P63" s="3"/>
      <c r="Q63" s="3"/>
      <c r="R63" s="3"/>
      <c r="S63" s="3"/>
      <c r="T63" s="3"/>
    </row>
    <row r="64">
      <c r="A64" s="3"/>
      <c r="B64" s="539"/>
      <c r="C64" s="3"/>
      <c r="D64" s="3"/>
      <c r="E64" s="3"/>
      <c r="F64" s="3"/>
      <c r="G64" s="3"/>
      <c r="H64" s="538"/>
      <c r="I64" s="538"/>
      <c r="J64" s="538"/>
      <c r="K64" s="538"/>
      <c r="L64" s="538"/>
      <c r="M64" s="3"/>
      <c r="N64" s="3"/>
      <c r="O64" s="3"/>
      <c r="P64" s="3"/>
      <c r="Q64" s="3"/>
      <c r="R64" s="3"/>
      <c r="S64" s="3"/>
      <c r="T64" s="3"/>
    </row>
    <row r="65">
      <c r="A65" s="3"/>
      <c r="B65" s="539"/>
      <c r="C65" s="3"/>
      <c r="D65" s="3"/>
      <c r="E65" s="3"/>
      <c r="F65" s="3"/>
      <c r="G65" s="3"/>
      <c r="H65" s="538"/>
      <c r="I65" s="538"/>
      <c r="J65" s="538"/>
      <c r="K65" s="538"/>
      <c r="L65" s="538"/>
      <c r="M65" s="3"/>
      <c r="N65" s="3"/>
      <c r="O65" s="3"/>
      <c r="P65" s="3"/>
      <c r="Q65" s="3"/>
      <c r="R65" s="3"/>
      <c r="S65" s="3"/>
      <c r="T65" s="3"/>
    </row>
    <row r="66">
      <c r="A66" s="3"/>
      <c r="B66" s="539"/>
      <c r="C66" s="3"/>
      <c r="D66" s="3"/>
      <c r="E66" s="3"/>
      <c r="F66" s="3"/>
      <c r="G66" s="3"/>
      <c r="H66" s="538"/>
      <c r="I66" s="538"/>
      <c r="J66" s="538"/>
      <c r="K66" s="538"/>
      <c r="L66" s="538"/>
      <c r="M66" s="3"/>
      <c r="N66" s="3"/>
      <c r="O66" s="3"/>
      <c r="P66" s="3"/>
      <c r="Q66" s="3"/>
      <c r="R66" s="3"/>
      <c r="S66" s="3"/>
      <c r="T66" s="3"/>
    </row>
    <row r="67">
      <c r="A67" s="3"/>
      <c r="B67" s="539"/>
      <c r="C67" s="3"/>
      <c r="D67" s="3"/>
      <c r="E67" s="3"/>
      <c r="F67" s="3"/>
      <c r="G67" s="3"/>
      <c r="H67" s="538"/>
      <c r="I67" s="538"/>
      <c r="J67" s="538"/>
      <c r="K67" s="538"/>
      <c r="L67" s="538"/>
      <c r="M67" s="3"/>
      <c r="N67" s="3"/>
      <c r="O67" s="3"/>
      <c r="P67" s="3"/>
      <c r="Q67" s="3"/>
      <c r="R67" s="3"/>
      <c r="S67" s="3"/>
      <c r="T67" s="3"/>
    </row>
    <row r="68">
      <c r="A68" s="3"/>
      <c r="B68" s="539"/>
      <c r="C68" s="3"/>
      <c r="D68" s="3"/>
      <c r="E68" s="3"/>
      <c r="F68" s="3"/>
      <c r="G68" s="3"/>
      <c r="H68" s="538"/>
      <c r="I68" s="538"/>
      <c r="J68" s="538"/>
      <c r="K68" s="538"/>
      <c r="L68" s="538"/>
      <c r="M68" s="3"/>
      <c r="N68" s="3"/>
      <c r="O68" s="3"/>
      <c r="P68" s="3"/>
      <c r="Q68" s="3"/>
      <c r="R68" s="3"/>
      <c r="S68" s="3"/>
      <c r="T68" s="3"/>
    </row>
    <row r="69">
      <c r="A69" s="3"/>
      <c r="B69" s="539"/>
      <c r="C69" s="3"/>
      <c r="D69" s="3"/>
      <c r="E69" s="3"/>
      <c r="F69" s="3"/>
      <c r="G69" s="3"/>
      <c r="H69" s="538"/>
      <c r="I69" s="538"/>
      <c r="J69" s="538"/>
      <c r="K69" s="538"/>
      <c r="L69" s="538"/>
      <c r="M69" s="3"/>
      <c r="N69" s="3"/>
      <c r="O69" s="3"/>
      <c r="P69" s="3"/>
      <c r="Q69" s="3"/>
      <c r="R69" s="3"/>
      <c r="S69" s="3"/>
      <c r="T69" s="3"/>
    </row>
    <row r="70">
      <c r="A70" s="3"/>
      <c r="B70" s="539"/>
      <c r="C70" s="3"/>
      <c r="D70" s="3"/>
      <c r="E70" s="3"/>
      <c r="F70" s="3"/>
      <c r="G70" s="3"/>
      <c r="H70" s="538"/>
      <c r="I70" s="538"/>
      <c r="J70" s="538"/>
      <c r="K70" s="538"/>
      <c r="L70" s="538"/>
      <c r="M70" s="3"/>
      <c r="N70" s="3"/>
      <c r="O70" s="3"/>
      <c r="P70" s="3"/>
      <c r="Q70" s="3"/>
      <c r="R70" s="3"/>
      <c r="S70" s="3"/>
      <c r="T70" s="3"/>
    </row>
    <row r="71">
      <c r="A71" s="3"/>
      <c r="B71" s="539"/>
      <c r="C71" s="3"/>
      <c r="D71" s="3"/>
      <c r="E71" s="3"/>
      <c r="F71" s="3"/>
      <c r="G71" s="3"/>
      <c r="H71" s="538"/>
      <c r="I71" s="538"/>
      <c r="J71" s="538"/>
      <c r="K71" s="538"/>
      <c r="L71" s="538"/>
      <c r="M71" s="3"/>
      <c r="N71" s="3"/>
      <c r="O71" s="3"/>
      <c r="P71" s="3"/>
      <c r="Q71" s="3"/>
      <c r="R71" s="3"/>
      <c r="S71" s="3"/>
      <c r="T71" s="3"/>
    </row>
    <row r="72">
      <c r="A72" s="3"/>
      <c r="B72" s="539"/>
      <c r="C72" s="3"/>
      <c r="D72" s="3"/>
      <c r="E72" s="3"/>
      <c r="F72" s="3"/>
      <c r="G72" s="3"/>
      <c r="H72" s="538"/>
      <c r="I72" s="538"/>
      <c r="J72" s="538"/>
      <c r="K72" s="538"/>
      <c r="L72" s="538"/>
      <c r="M72" s="3"/>
      <c r="N72" s="3"/>
      <c r="O72" s="3"/>
      <c r="P72" s="3"/>
      <c r="Q72" s="3"/>
      <c r="R72" s="3"/>
      <c r="S72" s="3"/>
      <c r="T72" s="3"/>
    </row>
    <row r="73">
      <c r="A73" s="3"/>
      <c r="B73" s="539"/>
      <c r="C73" s="3"/>
      <c r="D73" s="3"/>
      <c r="E73" s="3"/>
      <c r="F73" s="3"/>
      <c r="G73" s="3"/>
      <c r="H73" s="538"/>
      <c r="I73" s="538"/>
      <c r="J73" s="538"/>
      <c r="K73" s="538"/>
      <c r="L73" s="538"/>
      <c r="M73" s="3"/>
      <c r="N73" s="3"/>
      <c r="O73" s="3"/>
      <c r="P73" s="3"/>
      <c r="Q73" s="3"/>
      <c r="R73" s="3"/>
      <c r="S73" s="3"/>
      <c r="T73" s="3"/>
    </row>
    <row r="74">
      <c r="A74" s="3"/>
      <c r="B74" s="539"/>
      <c r="C74" s="3"/>
      <c r="D74" s="3"/>
      <c r="E74" s="3"/>
      <c r="F74" s="3"/>
      <c r="G74" s="3"/>
      <c r="H74" s="538"/>
      <c r="I74" s="538"/>
      <c r="J74" s="538"/>
      <c r="K74" s="538"/>
      <c r="L74" s="538"/>
      <c r="M74" s="3"/>
      <c r="N74" s="3"/>
      <c r="O74" s="3"/>
      <c r="P74" s="3"/>
      <c r="Q74" s="3"/>
      <c r="R74" s="3"/>
      <c r="S74" s="3"/>
      <c r="T74" s="3"/>
    </row>
    <row r="75">
      <c r="A75" s="3"/>
      <c r="B75" s="539"/>
      <c r="C75" s="3"/>
      <c r="D75" s="3"/>
      <c r="E75" s="3"/>
      <c r="F75" s="3"/>
      <c r="G75" s="3"/>
      <c r="H75" s="538"/>
      <c r="I75" s="538"/>
      <c r="J75" s="538"/>
      <c r="K75" s="538"/>
      <c r="L75" s="538"/>
      <c r="M75" s="3"/>
      <c r="N75" s="3"/>
      <c r="O75" s="3"/>
      <c r="P75" s="3"/>
      <c r="Q75" s="3"/>
      <c r="R75" s="3"/>
      <c r="S75" s="3"/>
      <c r="T75" s="3"/>
    </row>
    <row r="76">
      <c r="A76" s="3"/>
      <c r="B76" s="539"/>
      <c r="C76" s="3"/>
      <c r="D76" s="3"/>
      <c r="E76" s="3"/>
      <c r="F76" s="3"/>
      <c r="G76" s="3"/>
      <c r="H76" s="538"/>
      <c r="I76" s="538"/>
      <c r="J76" s="538"/>
      <c r="K76" s="538"/>
      <c r="L76" s="538"/>
      <c r="M76" s="3"/>
      <c r="N76" s="3"/>
      <c r="O76" s="3"/>
      <c r="P76" s="3"/>
      <c r="Q76" s="3"/>
      <c r="R76" s="3"/>
      <c r="S76" s="3"/>
      <c r="T76" s="3"/>
    </row>
    <row r="77">
      <c r="A77" s="3"/>
      <c r="B77" s="539"/>
      <c r="C77" s="3"/>
      <c r="D77" s="3"/>
      <c r="E77" s="3"/>
      <c r="F77" s="3"/>
      <c r="G77" s="3"/>
      <c r="H77" s="538"/>
      <c r="I77" s="538"/>
      <c r="J77" s="538"/>
      <c r="K77" s="538"/>
      <c r="L77" s="538"/>
      <c r="M77" s="3"/>
      <c r="N77" s="3"/>
      <c r="O77" s="3"/>
      <c r="P77" s="3"/>
      <c r="Q77" s="3"/>
      <c r="R77" s="3"/>
      <c r="S77" s="3"/>
      <c r="T77" s="3"/>
    </row>
    <row r="78">
      <c r="A78" s="3"/>
      <c r="B78" s="539"/>
      <c r="C78" s="3"/>
      <c r="D78" s="3"/>
      <c r="E78" s="3"/>
      <c r="F78" s="3"/>
      <c r="G78" s="3"/>
      <c r="H78" s="538"/>
      <c r="I78" s="538"/>
      <c r="J78" s="538"/>
      <c r="K78" s="538"/>
      <c r="L78" s="538"/>
      <c r="M78" s="3"/>
      <c r="N78" s="3"/>
      <c r="O78" s="3"/>
      <c r="P78" s="3"/>
      <c r="Q78" s="3"/>
      <c r="R78" s="3"/>
      <c r="S78" s="3"/>
      <c r="T78" s="3"/>
    </row>
    <row r="79">
      <c r="A79" s="3"/>
      <c r="B79" s="539"/>
      <c r="C79" s="3"/>
      <c r="D79" s="3"/>
      <c r="E79" s="3"/>
      <c r="F79" s="3"/>
      <c r="G79" s="3"/>
      <c r="H79" s="538"/>
      <c r="I79" s="538"/>
      <c r="J79" s="538"/>
      <c r="K79" s="538"/>
      <c r="L79" s="538"/>
      <c r="M79" s="3"/>
      <c r="N79" s="3"/>
      <c r="O79" s="3"/>
      <c r="P79" s="3"/>
      <c r="Q79" s="3"/>
      <c r="R79" s="3"/>
      <c r="S79" s="3"/>
      <c r="T79" s="3"/>
    </row>
    <row r="80">
      <c r="A80" s="3"/>
      <c r="B80" s="539"/>
      <c r="C80" s="3"/>
      <c r="D80" s="3"/>
      <c r="E80" s="3"/>
      <c r="F80" s="3"/>
      <c r="G80" s="3"/>
      <c r="H80" s="538"/>
      <c r="I80" s="538"/>
      <c r="J80" s="538"/>
      <c r="K80" s="538"/>
      <c r="L80" s="538"/>
      <c r="M80" s="3"/>
      <c r="N80" s="3"/>
      <c r="O80" s="3"/>
      <c r="P80" s="3"/>
      <c r="Q80" s="3"/>
      <c r="R80" s="3"/>
      <c r="S80" s="3"/>
      <c r="T80" s="3"/>
    </row>
    <row r="81">
      <c r="A81" s="3"/>
      <c r="B81" s="539"/>
      <c r="C81" s="3"/>
      <c r="D81" s="3"/>
      <c r="E81" s="3"/>
      <c r="F81" s="3"/>
      <c r="G81" s="3"/>
      <c r="H81" s="538"/>
      <c r="I81" s="538"/>
      <c r="J81" s="538"/>
      <c r="K81" s="538"/>
      <c r="L81" s="538"/>
      <c r="M81" s="3"/>
      <c r="N81" s="3"/>
      <c r="O81" s="3"/>
      <c r="P81" s="3"/>
      <c r="Q81" s="3"/>
      <c r="R81" s="3"/>
      <c r="S81" s="3"/>
      <c r="T81" s="3"/>
    </row>
    <row r="82">
      <c r="A82" s="3"/>
      <c r="B82" s="539"/>
      <c r="C82" s="3"/>
      <c r="D82" s="3"/>
      <c r="E82" s="3"/>
      <c r="F82" s="3"/>
      <c r="G82" s="3"/>
      <c r="H82" s="538"/>
      <c r="I82" s="538"/>
      <c r="J82" s="538"/>
      <c r="K82" s="538"/>
      <c r="L82" s="538"/>
      <c r="M82" s="3"/>
      <c r="N82" s="3"/>
      <c r="O82" s="3"/>
      <c r="P82" s="3"/>
      <c r="Q82" s="3"/>
      <c r="R82" s="3"/>
      <c r="S82" s="3"/>
      <c r="T82" s="3"/>
    </row>
    <row r="83">
      <c r="A83" s="3"/>
      <c r="B83" s="539"/>
      <c r="C83" s="3"/>
      <c r="D83" s="3"/>
      <c r="E83" s="3"/>
      <c r="F83" s="3"/>
      <c r="G83" s="3"/>
      <c r="H83" s="538"/>
      <c r="I83" s="538"/>
      <c r="J83" s="538"/>
      <c r="K83" s="538"/>
      <c r="L83" s="538"/>
      <c r="M83" s="3"/>
      <c r="N83" s="3"/>
      <c r="O83" s="3"/>
      <c r="P83" s="3"/>
      <c r="Q83" s="3"/>
      <c r="R83" s="3"/>
      <c r="S83" s="3"/>
      <c r="T83" s="3"/>
    </row>
    <row r="84">
      <c r="A84" s="3"/>
      <c r="B84" s="539"/>
      <c r="C84" s="3"/>
      <c r="D84" s="3"/>
      <c r="E84" s="3"/>
      <c r="F84" s="3"/>
      <c r="G84" s="3"/>
      <c r="H84" s="538"/>
      <c r="I84" s="538"/>
      <c r="J84" s="538"/>
      <c r="K84" s="538"/>
      <c r="L84" s="538"/>
      <c r="M84" s="3"/>
      <c r="N84" s="3"/>
      <c r="O84" s="3"/>
      <c r="P84" s="3"/>
      <c r="Q84" s="3"/>
      <c r="R84" s="3"/>
      <c r="S84" s="3"/>
      <c r="T84" s="3"/>
    </row>
    <row r="85">
      <c r="A85" s="3"/>
      <c r="B85" s="539"/>
      <c r="C85" s="3"/>
      <c r="D85" s="3"/>
      <c r="E85" s="3"/>
      <c r="F85" s="3"/>
      <c r="G85" s="3"/>
      <c r="H85" s="538"/>
      <c r="I85" s="538"/>
      <c r="J85" s="538"/>
      <c r="K85" s="538"/>
      <c r="L85" s="538"/>
      <c r="M85" s="3"/>
      <c r="N85" s="3"/>
      <c r="O85" s="3"/>
      <c r="P85" s="3"/>
      <c r="Q85" s="3"/>
      <c r="R85" s="3"/>
      <c r="S85" s="3"/>
      <c r="T85" s="3"/>
    </row>
    <row r="86">
      <c r="A86" s="3"/>
      <c r="B86" s="539"/>
      <c r="C86" s="3"/>
      <c r="D86" s="3"/>
      <c r="E86" s="3"/>
      <c r="F86" s="3"/>
      <c r="G86" s="3"/>
      <c r="H86" s="538"/>
      <c r="I86" s="538"/>
      <c r="J86" s="538"/>
      <c r="K86" s="538"/>
      <c r="L86" s="538"/>
      <c r="M86" s="3"/>
      <c r="N86" s="3"/>
      <c r="O86" s="3"/>
      <c r="P86" s="3"/>
      <c r="Q86" s="3"/>
      <c r="R86" s="3"/>
      <c r="S86" s="3"/>
      <c r="T86" s="3"/>
    </row>
    <row r="87">
      <c r="A87" s="3"/>
      <c r="B87" s="539"/>
      <c r="C87" s="3"/>
      <c r="D87" s="3"/>
      <c r="E87" s="3"/>
      <c r="F87" s="3"/>
      <c r="G87" s="3"/>
      <c r="H87" s="538"/>
      <c r="I87" s="538"/>
      <c r="J87" s="538"/>
      <c r="K87" s="538"/>
      <c r="L87" s="538"/>
      <c r="M87" s="3"/>
      <c r="N87" s="3"/>
      <c r="O87" s="3"/>
      <c r="P87" s="3"/>
      <c r="Q87" s="3"/>
      <c r="R87" s="3"/>
      <c r="S87" s="3"/>
      <c r="T87" s="3"/>
    </row>
    <row r="88">
      <c r="A88" s="3"/>
      <c r="B88" s="539"/>
      <c r="C88" s="3"/>
      <c r="D88" s="3"/>
      <c r="E88" s="3"/>
      <c r="F88" s="3"/>
      <c r="G88" s="3"/>
      <c r="H88" s="538"/>
      <c r="I88" s="538"/>
      <c r="J88" s="538"/>
      <c r="K88" s="538"/>
      <c r="L88" s="538"/>
      <c r="M88" s="3"/>
      <c r="N88" s="3"/>
      <c r="O88" s="3"/>
      <c r="P88" s="3"/>
      <c r="Q88" s="3"/>
      <c r="R88" s="3"/>
      <c r="S88" s="3"/>
      <c r="T88" s="3"/>
    </row>
    <row r="89">
      <c r="A89" s="3"/>
      <c r="B89" s="539"/>
      <c r="C89" s="3"/>
      <c r="D89" s="3"/>
      <c r="E89" s="3"/>
      <c r="F89" s="3"/>
      <c r="G89" s="3"/>
      <c r="H89" s="538"/>
      <c r="I89" s="538"/>
      <c r="J89" s="538"/>
      <c r="K89" s="538"/>
      <c r="L89" s="538"/>
      <c r="M89" s="3"/>
      <c r="N89" s="3"/>
      <c r="O89" s="3"/>
      <c r="P89" s="3"/>
      <c r="Q89" s="3"/>
      <c r="R89" s="3"/>
      <c r="S89" s="3"/>
      <c r="T89" s="3"/>
    </row>
    <row r="90">
      <c r="A90" s="3"/>
      <c r="B90" s="539"/>
      <c r="C90" s="3"/>
      <c r="D90" s="3"/>
      <c r="E90" s="3"/>
      <c r="F90" s="3"/>
      <c r="G90" s="3"/>
      <c r="H90" s="538"/>
      <c r="I90" s="538"/>
      <c r="J90" s="538"/>
      <c r="K90" s="538"/>
      <c r="L90" s="538"/>
      <c r="M90" s="3"/>
      <c r="N90" s="3"/>
      <c r="O90" s="3"/>
      <c r="P90" s="3"/>
      <c r="Q90" s="3"/>
      <c r="R90" s="3"/>
      <c r="S90" s="3"/>
      <c r="T90" s="3"/>
    </row>
    <row r="91">
      <c r="A91" s="3"/>
      <c r="B91" s="539"/>
      <c r="C91" s="3"/>
      <c r="D91" s="3"/>
      <c r="E91" s="3"/>
      <c r="F91" s="3"/>
      <c r="G91" s="3"/>
      <c r="H91" s="538"/>
      <c r="I91" s="538"/>
      <c r="J91" s="538"/>
      <c r="K91" s="538"/>
      <c r="L91" s="538"/>
      <c r="M91" s="3"/>
      <c r="N91" s="3"/>
      <c r="O91" s="3"/>
      <c r="P91" s="3"/>
      <c r="Q91" s="3"/>
      <c r="R91" s="3"/>
      <c r="S91" s="3"/>
      <c r="T91" s="3"/>
    </row>
    <row r="92">
      <c r="A92" s="3"/>
      <c r="B92" s="539"/>
      <c r="C92" s="3"/>
      <c r="D92" s="3"/>
      <c r="E92" s="3"/>
      <c r="F92" s="3"/>
      <c r="G92" s="3"/>
      <c r="H92" s="538"/>
      <c r="I92" s="538"/>
      <c r="J92" s="538"/>
      <c r="K92" s="538"/>
      <c r="L92" s="538"/>
      <c r="M92" s="3"/>
      <c r="N92" s="3"/>
      <c r="O92" s="3"/>
      <c r="P92" s="3"/>
      <c r="Q92" s="3"/>
      <c r="R92" s="3"/>
      <c r="S92" s="3"/>
      <c r="T92" s="3"/>
    </row>
    <row r="93">
      <c r="A93" s="3"/>
      <c r="B93" s="539"/>
      <c r="C93" s="3"/>
      <c r="D93" s="3"/>
      <c r="E93" s="3"/>
      <c r="F93" s="3"/>
      <c r="G93" s="3"/>
      <c r="H93" s="538"/>
      <c r="I93" s="538"/>
      <c r="J93" s="538"/>
      <c r="K93" s="538"/>
      <c r="L93" s="538"/>
      <c r="M93" s="3"/>
      <c r="N93" s="3"/>
      <c r="O93" s="3"/>
      <c r="P93" s="3"/>
      <c r="Q93" s="3"/>
      <c r="R93" s="3"/>
      <c r="S93" s="3"/>
      <c r="T93" s="3"/>
    </row>
    <row r="94">
      <c r="A94" s="3"/>
      <c r="B94" s="539"/>
      <c r="C94" s="3"/>
      <c r="D94" s="3"/>
      <c r="E94" s="3"/>
      <c r="F94" s="3"/>
      <c r="G94" s="3"/>
      <c r="H94" s="538"/>
      <c r="I94" s="538"/>
      <c r="J94" s="538"/>
      <c r="K94" s="538"/>
      <c r="L94" s="538"/>
      <c r="M94" s="3"/>
      <c r="N94" s="3"/>
      <c r="O94" s="3"/>
      <c r="P94" s="3"/>
      <c r="Q94" s="3"/>
      <c r="R94" s="3"/>
      <c r="S94" s="3"/>
      <c r="T94" s="3"/>
    </row>
    <row r="95">
      <c r="A95" s="3"/>
      <c r="B95" s="539"/>
      <c r="C95" s="3"/>
      <c r="D95" s="3"/>
      <c r="E95" s="3"/>
      <c r="F95" s="3"/>
      <c r="G95" s="3"/>
      <c r="H95" s="538"/>
      <c r="I95" s="538"/>
      <c r="J95" s="538"/>
      <c r="K95" s="538"/>
      <c r="L95" s="538"/>
      <c r="M95" s="3"/>
      <c r="N95" s="3"/>
      <c r="O95" s="3"/>
      <c r="P95" s="3"/>
      <c r="Q95" s="3"/>
      <c r="R95" s="3"/>
      <c r="S95" s="3"/>
      <c r="T95" s="3"/>
    </row>
    <row r="96">
      <c r="A96" s="3"/>
      <c r="B96" s="539"/>
      <c r="C96" s="3"/>
      <c r="D96" s="3"/>
      <c r="E96" s="3"/>
      <c r="F96" s="3"/>
      <c r="G96" s="3"/>
      <c r="H96" s="538"/>
      <c r="I96" s="538"/>
      <c r="J96" s="538"/>
      <c r="K96" s="538"/>
      <c r="L96" s="538"/>
      <c r="M96" s="3"/>
      <c r="N96" s="3"/>
      <c r="O96" s="3"/>
      <c r="P96" s="3"/>
      <c r="Q96" s="3"/>
      <c r="R96" s="3"/>
      <c r="S96" s="3"/>
      <c r="T96" s="3"/>
    </row>
    <row r="97">
      <c r="A97" s="3"/>
      <c r="B97" s="539"/>
      <c r="C97" s="3"/>
      <c r="D97" s="3"/>
      <c r="E97" s="3"/>
      <c r="F97" s="3"/>
      <c r="G97" s="3"/>
      <c r="H97" s="538"/>
      <c r="I97" s="538"/>
      <c r="J97" s="538"/>
      <c r="K97" s="538"/>
      <c r="L97" s="538"/>
      <c r="M97" s="3"/>
      <c r="N97" s="3"/>
      <c r="O97" s="3"/>
      <c r="P97" s="3"/>
      <c r="Q97" s="3"/>
      <c r="R97" s="3"/>
      <c r="S97" s="3"/>
      <c r="T97" s="3"/>
    </row>
    <row r="98">
      <c r="A98" s="3"/>
      <c r="B98" s="539"/>
      <c r="C98" s="3"/>
      <c r="D98" s="3"/>
      <c r="E98" s="3"/>
      <c r="F98" s="3"/>
      <c r="G98" s="3"/>
      <c r="H98" s="538"/>
      <c r="I98" s="538"/>
      <c r="J98" s="538"/>
      <c r="K98" s="538"/>
      <c r="L98" s="538"/>
      <c r="M98" s="3"/>
      <c r="N98" s="3"/>
      <c r="O98" s="3"/>
      <c r="P98" s="3"/>
      <c r="Q98" s="3"/>
      <c r="R98" s="3"/>
      <c r="S98" s="3"/>
      <c r="T98" s="3"/>
    </row>
    <row r="99">
      <c r="A99" s="3"/>
      <c r="B99" s="539"/>
      <c r="C99" s="3"/>
      <c r="D99" s="3"/>
      <c r="E99" s="3"/>
      <c r="F99" s="3"/>
      <c r="G99" s="3"/>
      <c r="H99" s="538"/>
      <c r="I99" s="538"/>
      <c r="J99" s="538"/>
      <c r="K99" s="538"/>
      <c r="L99" s="538"/>
      <c r="M99" s="3"/>
      <c r="N99" s="3"/>
      <c r="O99" s="3"/>
      <c r="P99" s="3"/>
      <c r="Q99" s="3"/>
      <c r="R99" s="3"/>
      <c r="S99" s="3"/>
      <c r="T99" s="3"/>
    </row>
    <row r="100">
      <c r="A100" s="3"/>
      <c r="B100" s="539"/>
      <c r="C100" s="3"/>
      <c r="D100" s="3"/>
      <c r="E100" s="3"/>
      <c r="F100" s="3"/>
      <c r="G100" s="3"/>
      <c r="H100" s="538"/>
      <c r="I100" s="538"/>
      <c r="J100" s="538"/>
      <c r="K100" s="538"/>
      <c r="L100" s="538"/>
      <c r="M100" s="3"/>
      <c r="N100" s="3"/>
      <c r="O100" s="3"/>
      <c r="P100" s="3"/>
      <c r="Q100" s="3"/>
      <c r="R100" s="3"/>
      <c r="S100" s="3"/>
      <c r="T100" s="3"/>
    </row>
    <row r="101">
      <c r="A101" s="3"/>
      <c r="B101" s="539"/>
      <c r="C101" s="3"/>
      <c r="D101" s="3"/>
      <c r="E101" s="3"/>
      <c r="F101" s="3"/>
      <c r="G101" s="3"/>
      <c r="H101" s="538"/>
      <c r="I101" s="538"/>
      <c r="J101" s="538"/>
      <c r="K101" s="538"/>
      <c r="L101" s="538"/>
      <c r="M101" s="3"/>
      <c r="N101" s="3"/>
      <c r="O101" s="3"/>
      <c r="P101" s="3"/>
      <c r="Q101" s="3"/>
      <c r="R101" s="3"/>
      <c r="S101" s="3"/>
      <c r="T101" s="3"/>
    </row>
    <row r="102">
      <c r="A102" s="3"/>
      <c r="B102" s="539"/>
      <c r="C102" s="3"/>
      <c r="D102" s="3"/>
      <c r="E102" s="3"/>
      <c r="F102" s="3"/>
      <c r="G102" s="3"/>
      <c r="H102" s="538"/>
      <c r="I102" s="538"/>
      <c r="J102" s="538"/>
      <c r="K102" s="538"/>
      <c r="L102" s="538"/>
      <c r="M102" s="3"/>
      <c r="N102" s="3"/>
      <c r="O102" s="3"/>
      <c r="P102" s="3"/>
      <c r="Q102" s="3"/>
      <c r="R102" s="3"/>
      <c r="S102" s="3"/>
      <c r="T102" s="3"/>
    </row>
    <row r="103">
      <c r="A103" s="3"/>
      <c r="B103" s="539"/>
      <c r="C103" s="3"/>
      <c r="D103" s="3"/>
      <c r="E103" s="3"/>
      <c r="F103" s="3"/>
      <c r="G103" s="3"/>
      <c r="H103" s="538"/>
      <c r="I103" s="538"/>
      <c r="J103" s="538"/>
      <c r="K103" s="538"/>
      <c r="L103" s="538"/>
      <c r="M103" s="3"/>
      <c r="N103" s="3"/>
      <c r="O103" s="3"/>
      <c r="P103" s="3"/>
      <c r="Q103" s="3"/>
      <c r="R103" s="3"/>
      <c r="S103" s="3"/>
      <c r="T103" s="3"/>
    </row>
    <row r="104">
      <c r="A104" s="3"/>
      <c r="B104" s="539"/>
      <c r="C104" s="3"/>
      <c r="D104" s="3"/>
      <c r="E104" s="3"/>
      <c r="F104" s="3"/>
      <c r="G104" s="3"/>
      <c r="H104" s="538"/>
      <c r="I104" s="538"/>
      <c r="J104" s="538"/>
      <c r="K104" s="538"/>
      <c r="L104" s="538"/>
      <c r="M104" s="3"/>
      <c r="N104" s="3"/>
      <c r="O104" s="3"/>
      <c r="P104" s="3"/>
      <c r="Q104" s="3"/>
      <c r="R104" s="3"/>
      <c r="S104" s="3"/>
      <c r="T104" s="3"/>
    </row>
    <row r="105">
      <c r="A105" s="3"/>
      <c r="B105" s="539"/>
      <c r="C105" s="3"/>
      <c r="D105" s="3"/>
      <c r="E105" s="3"/>
      <c r="F105" s="3"/>
      <c r="G105" s="3"/>
      <c r="H105" s="538"/>
      <c r="I105" s="538"/>
      <c r="J105" s="538"/>
      <c r="K105" s="538"/>
      <c r="L105" s="538"/>
      <c r="M105" s="3"/>
      <c r="N105" s="3"/>
      <c r="O105" s="3"/>
      <c r="P105" s="3"/>
      <c r="Q105" s="3"/>
      <c r="R105" s="3"/>
      <c r="S105" s="3"/>
      <c r="T105" s="3"/>
    </row>
    <row r="106">
      <c r="A106" s="3"/>
      <c r="B106" s="539"/>
      <c r="C106" s="3"/>
      <c r="D106" s="3"/>
      <c r="E106" s="3"/>
      <c r="F106" s="3"/>
      <c r="G106" s="3"/>
      <c r="H106" s="538"/>
      <c r="I106" s="538"/>
      <c r="J106" s="538"/>
      <c r="K106" s="538"/>
      <c r="L106" s="538"/>
      <c r="M106" s="3"/>
      <c r="N106" s="3"/>
      <c r="O106" s="3"/>
      <c r="P106" s="3"/>
      <c r="Q106" s="3"/>
      <c r="R106" s="3"/>
      <c r="S106" s="3"/>
      <c r="T106" s="3"/>
    </row>
    <row r="107">
      <c r="A107" s="3"/>
      <c r="B107" s="539"/>
      <c r="C107" s="3"/>
      <c r="D107" s="3"/>
      <c r="E107" s="3"/>
      <c r="F107" s="3"/>
      <c r="G107" s="3"/>
      <c r="H107" s="538"/>
      <c r="I107" s="538"/>
      <c r="J107" s="538"/>
      <c r="K107" s="538"/>
      <c r="L107" s="538"/>
      <c r="M107" s="3"/>
      <c r="N107" s="3"/>
      <c r="O107" s="3"/>
      <c r="P107" s="3"/>
      <c r="Q107" s="3"/>
      <c r="R107" s="3"/>
      <c r="S107" s="3"/>
      <c r="T107" s="3"/>
    </row>
    <row r="108">
      <c r="A108" s="3"/>
      <c r="B108" s="539"/>
      <c r="C108" s="3"/>
      <c r="D108" s="3"/>
      <c r="E108" s="3"/>
      <c r="F108" s="3"/>
      <c r="G108" s="3"/>
      <c r="H108" s="538"/>
      <c r="I108" s="538"/>
      <c r="J108" s="538"/>
      <c r="K108" s="538"/>
      <c r="L108" s="538"/>
      <c r="M108" s="3"/>
      <c r="N108" s="3"/>
      <c r="O108" s="3"/>
      <c r="P108" s="3"/>
      <c r="Q108" s="3"/>
      <c r="R108" s="3"/>
      <c r="S108" s="3"/>
      <c r="T108" s="3"/>
    </row>
    <row r="109">
      <c r="A109" s="3"/>
      <c r="B109" s="539"/>
      <c r="C109" s="3"/>
      <c r="D109" s="3"/>
      <c r="E109" s="3"/>
      <c r="F109" s="3"/>
      <c r="G109" s="3"/>
      <c r="H109" s="538"/>
      <c r="I109" s="538"/>
      <c r="J109" s="538"/>
      <c r="K109" s="538"/>
      <c r="L109" s="538"/>
      <c r="M109" s="3"/>
      <c r="N109" s="3"/>
      <c r="O109" s="3"/>
      <c r="P109" s="3"/>
      <c r="Q109" s="3"/>
      <c r="R109" s="3"/>
      <c r="S109" s="3"/>
      <c r="T109" s="3"/>
    </row>
    <row r="110">
      <c r="A110" s="3"/>
      <c r="B110" s="539"/>
      <c r="C110" s="3"/>
      <c r="D110" s="3"/>
      <c r="E110" s="3"/>
      <c r="F110" s="3"/>
      <c r="G110" s="3"/>
      <c r="H110" s="538"/>
      <c r="I110" s="538"/>
      <c r="J110" s="538"/>
      <c r="K110" s="538"/>
      <c r="L110" s="538"/>
      <c r="M110" s="3"/>
      <c r="N110" s="3"/>
      <c r="O110" s="3"/>
      <c r="P110" s="3"/>
      <c r="Q110" s="3"/>
      <c r="R110" s="3"/>
      <c r="S110" s="3"/>
      <c r="T110" s="3"/>
    </row>
    <row r="111">
      <c r="A111" s="3"/>
      <c r="B111" s="539"/>
      <c r="C111" s="3"/>
      <c r="D111" s="3"/>
      <c r="E111" s="3"/>
      <c r="F111" s="3"/>
      <c r="G111" s="3"/>
      <c r="H111" s="538"/>
      <c r="I111" s="538"/>
      <c r="J111" s="538"/>
      <c r="K111" s="538"/>
      <c r="L111" s="538"/>
      <c r="M111" s="3"/>
      <c r="N111" s="3"/>
      <c r="O111" s="3"/>
      <c r="P111" s="3"/>
      <c r="Q111" s="3"/>
      <c r="R111" s="3"/>
      <c r="S111" s="3"/>
      <c r="T111" s="3"/>
    </row>
    <row r="112">
      <c r="A112" s="3"/>
      <c r="B112" s="539"/>
      <c r="C112" s="3"/>
      <c r="D112" s="3"/>
      <c r="E112" s="3"/>
      <c r="F112" s="3"/>
      <c r="G112" s="3"/>
      <c r="H112" s="538"/>
      <c r="I112" s="538"/>
      <c r="J112" s="538"/>
      <c r="K112" s="538"/>
      <c r="L112" s="538"/>
      <c r="M112" s="3"/>
      <c r="N112" s="3"/>
      <c r="O112" s="3"/>
      <c r="P112" s="3"/>
      <c r="Q112" s="3"/>
      <c r="R112" s="3"/>
      <c r="S112" s="3"/>
      <c r="T112" s="3"/>
    </row>
    <row r="113">
      <c r="A113" s="3"/>
      <c r="B113" s="539"/>
      <c r="C113" s="3"/>
      <c r="D113" s="3"/>
      <c r="E113" s="3"/>
      <c r="F113" s="3"/>
      <c r="G113" s="3"/>
      <c r="H113" s="538"/>
      <c r="I113" s="538"/>
      <c r="J113" s="538"/>
      <c r="K113" s="538"/>
      <c r="L113" s="538"/>
      <c r="M113" s="3"/>
      <c r="N113" s="3"/>
      <c r="O113" s="3"/>
      <c r="P113" s="3"/>
      <c r="Q113" s="3"/>
      <c r="R113" s="3"/>
      <c r="S113" s="3"/>
      <c r="T113" s="3"/>
    </row>
    <row r="114">
      <c r="A114" s="3"/>
      <c r="B114" s="539"/>
      <c r="C114" s="3"/>
      <c r="D114" s="3"/>
      <c r="E114" s="3"/>
      <c r="F114" s="3"/>
      <c r="G114" s="3"/>
      <c r="H114" s="538"/>
      <c r="I114" s="538"/>
      <c r="J114" s="538"/>
      <c r="K114" s="538"/>
      <c r="L114" s="538"/>
      <c r="M114" s="3"/>
      <c r="N114" s="3"/>
      <c r="O114" s="3"/>
      <c r="P114" s="3"/>
      <c r="Q114" s="3"/>
      <c r="R114" s="3"/>
      <c r="S114" s="3"/>
      <c r="T114" s="3"/>
    </row>
    <row r="115">
      <c r="A115" s="3"/>
      <c r="B115" s="539"/>
      <c r="C115" s="3"/>
      <c r="D115" s="3"/>
      <c r="E115" s="3"/>
      <c r="F115" s="3"/>
      <c r="G115" s="3"/>
      <c r="H115" s="538"/>
      <c r="I115" s="538"/>
      <c r="J115" s="538"/>
      <c r="K115" s="538"/>
      <c r="L115" s="538"/>
      <c r="M115" s="3"/>
      <c r="N115" s="3"/>
      <c r="O115" s="3"/>
      <c r="P115" s="3"/>
      <c r="Q115" s="3"/>
      <c r="R115" s="3"/>
      <c r="S115" s="3"/>
      <c r="T115" s="3"/>
    </row>
    <row r="116">
      <c r="A116" s="3"/>
      <c r="B116" s="539"/>
      <c r="C116" s="3"/>
      <c r="D116" s="3"/>
      <c r="E116" s="3"/>
      <c r="F116" s="3"/>
      <c r="G116" s="3"/>
      <c r="H116" s="538"/>
      <c r="I116" s="538"/>
      <c r="J116" s="538"/>
      <c r="K116" s="538"/>
      <c r="L116" s="538"/>
      <c r="M116" s="3"/>
      <c r="N116" s="3"/>
      <c r="O116" s="3"/>
      <c r="P116" s="3"/>
      <c r="Q116" s="3"/>
      <c r="R116" s="3"/>
      <c r="S116" s="3"/>
      <c r="T116" s="3"/>
    </row>
    <row r="117">
      <c r="A117" s="3"/>
      <c r="B117" s="539"/>
      <c r="C117" s="3"/>
      <c r="D117" s="3"/>
      <c r="E117" s="3"/>
      <c r="F117" s="3"/>
      <c r="G117" s="3"/>
      <c r="H117" s="538"/>
      <c r="I117" s="538"/>
      <c r="J117" s="538"/>
      <c r="K117" s="538"/>
      <c r="L117" s="538"/>
      <c r="M117" s="3"/>
      <c r="N117" s="3"/>
      <c r="O117" s="3"/>
      <c r="P117" s="3"/>
      <c r="Q117" s="3"/>
      <c r="R117" s="3"/>
      <c r="S117" s="3"/>
      <c r="T117" s="3"/>
    </row>
    <row r="118">
      <c r="A118" s="3"/>
      <c r="B118" s="539"/>
      <c r="C118" s="3"/>
      <c r="D118" s="3"/>
      <c r="E118" s="3"/>
      <c r="F118" s="3"/>
      <c r="G118" s="3"/>
      <c r="H118" s="538"/>
      <c r="I118" s="538"/>
      <c r="J118" s="538"/>
      <c r="K118" s="538"/>
      <c r="L118" s="538"/>
      <c r="M118" s="3"/>
      <c r="N118" s="3"/>
      <c r="O118" s="3"/>
      <c r="P118" s="3"/>
      <c r="Q118" s="3"/>
      <c r="R118" s="3"/>
      <c r="S118" s="3"/>
      <c r="T118" s="3"/>
    </row>
    <row r="119">
      <c r="A119" s="3"/>
      <c r="B119" s="539"/>
      <c r="C119" s="3"/>
      <c r="D119" s="3"/>
      <c r="E119" s="3"/>
      <c r="F119" s="3"/>
      <c r="G119" s="3"/>
      <c r="H119" s="538"/>
      <c r="I119" s="538"/>
      <c r="J119" s="538"/>
      <c r="K119" s="538"/>
      <c r="L119" s="538"/>
      <c r="M119" s="3"/>
      <c r="N119" s="3"/>
      <c r="O119" s="3"/>
      <c r="P119" s="3"/>
      <c r="Q119" s="3"/>
      <c r="R119" s="3"/>
      <c r="S119" s="3"/>
      <c r="T119" s="3"/>
    </row>
    <row r="120">
      <c r="A120" s="3"/>
      <c r="B120" s="539"/>
      <c r="C120" s="3"/>
      <c r="D120" s="3"/>
      <c r="E120" s="3"/>
      <c r="F120" s="3"/>
      <c r="G120" s="3"/>
      <c r="H120" s="538"/>
      <c r="I120" s="538"/>
      <c r="J120" s="538"/>
      <c r="K120" s="538"/>
      <c r="L120" s="538"/>
      <c r="M120" s="3"/>
      <c r="N120" s="3"/>
      <c r="O120" s="3"/>
      <c r="P120" s="3"/>
      <c r="Q120" s="3"/>
      <c r="R120" s="3"/>
      <c r="S120" s="3"/>
      <c r="T120" s="3"/>
    </row>
    <row r="121">
      <c r="A121" s="3"/>
      <c r="B121" s="539"/>
      <c r="C121" s="3"/>
      <c r="D121" s="3"/>
      <c r="E121" s="3"/>
      <c r="F121" s="3"/>
      <c r="G121" s="3"/>
      <c r="H121" s="538"/>
      <c r="I121" s="538"/>
      <c r="J121" s="538"/>
      <c r="K121" s="538"/>
      <c r="L121" s="538"/>
      <c r="M121" s="3"/>
      <c r="N121" s="3"/>
      <c r="O121" s="3"/>
      <c r="P121" s="3"/>
      <c r="Q121" s="3"/>
      <c r="R121" s="3"/>
      <c r="S121" s="3"/>
      <c r="T121" s="3"/>
    </row>
    <row r="122">
      <c r="A122" s="3"/>
      <c r="B122" s="539"/>
      <c r="C122" s="3"/>
      <c r="D122" s="3"/>
      <c r="E122" s="3"/>
      <c r="F122" s="3"/>
      <c r="G122" s="3"/>
      <c r="H122" s="538"/>
      <c r="I122" s="538"/>
      <c r="J122" s="538"/>
      <c r="K122" s="538"/>
      <c r="L122" s="538"/>
      <c r="M122" s="3"/>
      <c r="N122" s="3"/>
      <c r="O122" s="3"/>
      <c r="P122" s="3"/>
      <c r="Q122" s="3"/>
      <c r="R122" s="3"/>
      <c r="S122" s="3"/>
      <c r="T122" s="3"/>
    </row>
    <row r="123">
      <c r="A123" s="3"/>
      <c r="B123" s="539"/>
      <c r="C123" s="3"/>
      <c r="D123" s="3"/>
      <c r="E123" s="3"/>
      <c r="F123" s="3"/>
      <c r="G123" s="3"/>
      <c r="H123" s="538"/>
      <c r="I123" s="538"/>
      <c r="J123" s="538"/>
      <c r="K123" s="538"/>
      <c r="L123" s="538"/>
      <c r="M123" s="3"/>
      <c r="N123" s="3"/>
      <c r="O123" s="3"/>
      <c r="P123" s="3"/>
      <c r="Q123" s="3"/>
      <c r="R123" s="3"/>
      <c r="S123" s="3"/>
      <c r="T123" s="3"/>
    </row>
    <row r="124">
      <c r="A124" s="3"/>
      <c r="B124" s="539"/>
      <c r="C124" s="3"/>
      <c r="D124" s="3"/>
      <c r="E124" s="3"/>
      <c r="F124" s="3"/>
      <c r="G124" s="3"/>
      <c r="H124" s="538"/>
      <c r="I124" s="538"/>
      <c r="J124" s="538"/>
      <c r="K124" s="538"/>
      <c r="L124" s="538"/>
      <c r="M124" s="3"/>
      <c r="N124" s="3"/>
      <c r="O124" s="3"/>
      <c r="P124" s="3"/>
      <c r="Q124" s="3"/>
      <c r="R124" s="3"/>
      <c r="S124" s="3"/>
      <c r="T124" s="3"/>
    </row>
    <row r="125">
      <c r="A125" s="3"/>
      <c r="B125" s="539"/>
      <c r="C125" s="3"/>
      <c r="D125" s="3"/>
      <c r="E125" s="3"/>
      <c r="F125" s="3"/>
      <c r="G125" s="3"/>
      <c r="H125" s="538"/>
      <c r="I125" s="538"/>
      <c r="J125" s="538"/>
      <c r="K125" s="538"/>
      <c r="L125" s="538"/>
      <c r="M125" s="3"/>
      <c r="N125" s="3"/>
      <c r="O125" s="3"/>
      <c r="P125" s="3"/>
      <c r="Q125" s="3"/>
      <c r="R125" s="3"/>
      <c r="S125" s="3"/>
      <c r="T125" s="3"/>
    </row>
    <row r="126">
      <c r="A126" s="3"/>
      <c r="B126" s="539"/>
      <c r="C126" s="3"/>
      <c r="D126" s="3"/>
      <c r="E126" s="3"/>
      <c r="F126" s="3"/>
      <c r="G126" s="3"/>
      <c r="H126" s="538"/>
      <c r="I126" s="538"/>
      <c r="J126" s="538"/>
      <c r="K126" s="538"/>
      <c r="L126" s="538"/>
      <c r="M126" s="3"/>
      <c r="N126" s="3"/>
      <c r="O126" s="3"/>
      <c r="P126" s="3"/>
      <c r="Q126" s="3"/>
      <c r="R126" s="3"/>
      <c r="S126" s="3"/>
      <c r="T126" s="3"/>
    </row>
    <row r="127">
      <c r="A127" s="3"/>
      <c r="B127" s="539"/>
      <c r="C127" s="3"/>
      <c r="D127" s="3"/>
      <c r="E127" s="3"/>
      <c r="F127" s="3"/>
      <c r="G127" s="3"/>
      <c r="H127" s="538"/>
      <c r="I127" s="538"/>
      <c r="J127" s="538"/>
      <c r="K127" s="538"/>
      <c r="L127" s="538"/>
      <c r="M127" s="3"/>
      <c r="N127" s="3"/>
      <c r="O127" s="3"/>
      <c r="P127" s="3"/>
      <c r="Q127" s="3"/>
      <c r="R127" s="3"/>
      <c r="S127" s="3"/>
      <c r="T127" s="3"/>
    </row>
    <row r="128">
      <c r="A128" s="3"/>
      <c r="B128" s="539"/>
      <c r="C128" s="3"/>
      <c r="D128" s="3"/>
      <c r="E128" s="3"/>
      <c r="F128" s="3"/>
      <c r="G128" s="3"/>
      <c r="H128" s="538"/>
      <c r="I128" s="538"/>
      <c r="J128" s="538"/>
      <c r="K128" s="538"/>
      <c r="L128" s="538"/>
      <c r="M128" s="3"/>
      <c r="N128" s="3"/>
      <c r="O128" s="3"/>
      <c r="P128" s="3"/>
      <c r="Q128" s="3"/>
      <c r="R128" s="3"/>
      <c r="S128" s="3"/>
      <c r="T128" s="3"/>
    </row>
    <row r="129">
      <c r="A129" s="3"/>
      <c r="B129" s="539"/>
      <c r="C129" s="3"/>
      <c r="D129" s="3"/>
      <c r="E129" s="3"/>
      <c r="F129" s="3"/>
      <c r="G129" s="3"/>
      <c r="H129" s="538"/>
      <c r="I129" s="538"/>
      <c r="J129" s="538"/>
      <c r="K129" s="538"/>
      <c r="L129" s="538"/>
      <c r="M129" s="3"/>
      <c r="N129" s="3"/>
      <c r="O129" s="3"/>
      <c r="P129" s="3"/>
      <c r="Q129" s="3"/>
      <c r="R129" s="3"/>
      <c r="S129" s="3"/>
      <c r="T129" s="3"/>
    </row>
    <row r="130">
      <c r="A130" s="3"/>
      <c r="B130" s="539"/>
      <c r="C130" s="3"/>
      <c r="D130" s="3"/>
      <c r="E130" s="3"/>
      <c r="F130" s="3"/>
      <c r="G130" s="3"/>
      <c r="H130" s="538"/>
      <c r="I130" s="538"/>
      <c r="J130" s="538"/>
      <c r="K130" s="538"/>
      <c r="L130" s="538"/>
      <c r="M130" s="3"/>
      <c r="N130" s="3"/>
      <c r="O130" s="3"/>
      <c r="P130" s="3"/>
      <c r="Q130" s="3"/>
      <c r="R130" s="3"/>
      <c r="S130" s="3"/>
      <c r="T130" s="3"/>
    </row>
    <row r="131">
      <c r="A131" s="3"/>
      <c r="B131" s="539"/>
      <c r="C131" s="3"/>
      <c r="D131" s="3"/>
      <c r="E131" s="3"/>
      <c r="F131" s="3"/>
      <c r="G131" s="3"/>
      <c r="H131" s="538"/>
      <c r="I131" s="538"/>
      <c r="J131" s="538"/>
      <c r="K131" s="538"/>
      <c r="L131" s="538"/>
      <c r="M131" s="3"/>
      <c r="N131" s="3"/>
      <c r="O131" s="3"/>
      <c r="P131" s="3"/>
      <c r="Q131" s="3"/>
      <c r="R131" s="3"/>
      <c r="S131" s="3"/>
      <c r="T131" s="3"/>
    </row>
    <row r="132">
      <c r="A132" s="3"/>
      <c r="B132" s="539"/>
      <c r="C132" s="3"/>
      <c r="D132" s="3"/>
      <c r="E132" s="3"/>
      <c r="F132" s="3"/>
      <c r="G132" s="3"/>
      <c r="H132" s="538"/>
      <c r="I132" s="538"/>
      <c r="J132" s="538"/>
      <c r="K132" s="538"/>
      <c r="L132" s="538"/>
      <c r="M132" s="3"/>
      <c r="N132" s="3"/>
      <c r="O132" s="3"/>
      <c r="P132" s="3"/>
      <c r="Q132" s="3"/>
      <c r="R132" s="3"/>
      <c r="S132" s="3"/>
      <c r="T132" s="3"/>
    </row>
    <row r="133">
      <c r="A133" s="3"/>
      <c r="B133" s="539"/>
      <c r="C133" s="3"/>
      <c r="D133" s="3"/>
      <c r="E133" s="3"/>
      <c r="F133" s="3"/>
      <c r="G133" s="3"/>
      <c r="H133" s="538"/>
      <c r="I133" s="538"/>
      <c r="J133" s="538"/>
      <c r="K133" s="538"/>
      <c r="L133" s="538"/>
      <c r="M133" s="3"/>
      <c r="N133" s="3"/>
      <c r="O133" s="3"/>
      <c r="P133" s="3"/>
      <c r="Q133" s="3"/>
      <c r="R133" s="3"/>
      <c r="S133" s="3"/>
      <c r="T133" s="3"/>
    </row>
    <row r="134">
      <c r="A134" s="3"/>
      <c r="B134" s="539"/>
      <c r="C134" s="3"/>
      <c r="D134" s="3"/>
      <c r="E134" s="3"/>
      <c r="F134" s="3"/>
      <c r="G134" s="3"/>
      <c r="H134" s="538"/>
      <c r="I134" s="538"/>
      <c r="J134" s="538"/>
      <c r="K134" s="538"/>
      <c r="L134" s="538"/>
      <c r="M134" s="3"/>
      <c r="N134" s="3"/>
      <c r="O134" s="3"/>
      <c r="P134" s="3"/>
      <c r="Q134" s="3"/>
      <c r="R134" s="3"/>
      <c r="S134" s="3"/>
      <c r="T134" s="3"/>
    </row>
    <row r="135">
      <c r="A135" s="3"/>
      <c r="B135" s="539"/>
      <c r="C135" s="3"/>
      <c r="D135" s="3"/>
      <c r="E135" s="3"/>
      <c r="F135" s="3"/>
      <c r="G135" s="3"/>
      <c r="H135" s="538"/>
      <c r="I135" s="538"/>
      <c r="J135" s="538"/>
      <c r="K135" s="538"/>
      <c r="L135" s="538"/>
      <c r="M135" s="3"/>
      <c r="N135" s="3"/>
      <c r="O135" s="3"/>
      <c r="P135" s="3"/>
      <c r="Q135" s="3"/>
      <c r="R135" s="3"/>
      <c r="S135" s="3"/>
      <c r="T135" s="3"/>
    </row>
    <row r="136">
      <c r="A136" s="3"/>
      <c r="B136" s="539"/>
      <c r="C136" s="3"/>
      <c r="D136" s="3"/>
      <c r="E136" s="3"/>
      <c r="F136" s="3"/>
      <c r="G136" s="3"/>
      <c r="H136" s="538"/>
      <c r="I136" s="538"/>
      <c r="J136" s="538"/>
      <c r="K136" s="538"/>
      <c r="L136" s="538"/>
      <c r="M136" s="3"/>
      <c r="N136" s="3"/>
      <c r="O136" s="3"/>
      <c r="P136" s="3"/>
      <c r="Q136" s="3"/>
      <c r="R136" s="3"/>
      <c r="S136" s="3"/>
      <c r="T136" s="3"/>
    </row>
    <row r="137">
      <c r="A137" s="3"/>
      <c r="B137" s="539"/>
      <c r="C137" s="3"/>
      <c r="D137" s="3"/>
      <c r="E137" s="3"/>
      <c r="F137" s="3"/>
      <c r="G137" s="3"/>
      <c r="H137" s="538"/>
      <c r="I137" s="538"/>
      <c r="J137" s="538"/>
      <c r="K137" s="538"/>
      <c r="L137" s="538"/>
      <c r="M137" s="3"/>
      <c r="N137" s="3"/>
      <c r="O137" s="3"/>
      <c r="P137" s="3"/>
      <c r="Q137" s="3"/>
      <c r="R137" s="3"/>
      <c r="S137" s="3"/>
      <c r="T137" s="3"/>
    </row>
    <row r="138">
      <c r="A138" s="3"/>
      <c r="B138" s="539"/>
      <c r="C138" s="3"/>
      <c r="D138" s="3"/>
      <c r="E138" s="3"/>
      <c r="F138" s="3"/>
      <c r="G138" s="3"/>
      <c r="H138" s="538"/>
      <c r="I138" s="538"/>
      <c r="J138" s="538"/>
      <c r="K138" s="538"/>
      <c r="L138" s="538"/>
      <c r="M138" s="3"/>
      <c r="N138" s="3"/>
      <c r="O138" s="3"/>
      <c r="P138" s="3"/>
      <c r="Q138" s="3"/>
      <c r="R138" s="3"/>
      <c r="S138" s="3"/>
      <c r="T138" s="3"/>
    </row>
    <row r="139">
      <c r="A139" s="3"/>
      <c r="B139" s="539"/>
      <c r="C139" s="3"/>
      <c r="D139" s="3"/>
      <c r="E139" s="3"/>
      <c r="F139" s="3"/>
      <c r="G139" s="3"/>
      <c r="H139" s="538"/>
      <c r="I139" s="538"/>
      <c r="J139" s="538"/>
      <c r="K139" s="538"/>
      <c r="L139" s="538"/>
      <c r="M139" s="3"/>
      <c r="N139" s="3"/>
      <c r="O139" s="3"/>
      <c r="P139" s="3"/>
      <c r="Q139" s="3"/>
      <c r="R139" s="3"/>
      <c r="S139" s="3"/>
      <c r="T139" s="3"/>
    </row>
    <row r="140">
      <c r="A140" s="3"/>
      <c r="B140" s="539"/>
      <c r="C140" s="3"/>
      <c r="D140" s="3"/>
      <c r="E140" s="3"/>
      <c r="F140" s="3"/>
      <c r="G140" s="3"/>
      <c r="H140" s="538"/>
      <c r="I140" s="538"/>
      <c r="J140" s="538"/>
      <c r="K140" s="538"/>
      <c r="L140" s="538"/>
      <c r="M140" s="3"/>
      <c r="N140" s="3"/>
      <c r="O140" s="3"/>
      <c r="P140" s="3"/>
      <c r="Q140" s="3"/>
      <c r="R140" s="3"/>
      <c r="S140" s="3"/>
      <c r="T140" s="3"/>
    </row>
    <row r="141">
      <c r="A141" s="3"/>
      <c r="B141" s="539"/>
      <c r="C141" s="3"/>
      <c r="D141" s="3"/>
      <c r="E141" s="3"/>
      <c r="F141" s="3"/>
      <c r="G141" s="3"/>
      <c r="H141" s="538"/>
      <c r="I141" s="538"/>
      <c r="J141" s="538"/>
      <c r="K141" s="538"/>
      <c r="L141" s="538"/>
      <c r="M141" s="3"/>
      <c r="N141" s="3"/>
      <c r="O141" s="3"/>
      <c r="P141" s="3"/>
      <c r="Q141" s="3"/>
      <c r="R141" s="3"/>
      <c r="S141" s="3"/>
      <c r="T141" s="3"/>
    </row>
    <row r="142">
      <c r="A142" s="3"/>
      <c r="B142" s="539"/>
      <c r="C142" s="3"/>
      <c r="D142" s="3"/>
      <c r="E142" s="3"/>
      <c r="F142" s="3"/>
      <c r="G142" s="3"/>
      <c r="H142" s="538"/>
      <c r="I142" s="538"/>
      <c r="J142" s="538"/>
      <c r="K142" s="538"/>
      <c r="L142" s="538"/>
      <c r="M142" s="3"/>
      <c r="N142" s="3"/>
      <c r="O142" s="3"/>
      <c r="P142" s="3"/>
      <c r="Q142" s="3"/>
      <c r="R142" s="3"/>
      <c r="S142" s="3"/>
      <c r="T142" s="3"/>
    </row>
    <row r="143">
      <c r="A143" s="3"/>
      <c r="B143" s="539"/>
      <c r="C143" s="3"/>
      <c r="D143" s="3"/>
      <c r="E143" s="3"/>
      <c r="F143" s="3"/>
      <c r="G143" s="3"/>
      <c r="H143" s="538"/>
      <c r="I143" s="538"/>
      <c r="J143" s="538"/>
      <c r="K143" s="538"/>
      <c r="L143" s="538"/>
      <c r="M143" s="3"/>
      <c r="N143" s="3"/>
      <c r="O143" s="3"/>
      <c r="P143" s="3"/>
      <c r="Q143" s="3"/>
      <c r="R143" s="3"/>
      <c r="S143" s="3"/>
      <c r="T143" s="3"/>
    </row>
    <row r="144">
      <c r="A144" s="3"/>
      <c r="B144" s="539"/>
      <c r="C144" s="3"/>
      <c r="D144" s="3"/>
      <c r="E144" s="3"/>
      <c r="F144" s="3"/>
      <c r="G144" s="3"/>
      <c r="H144" s="538"/>
      <c r="I144" s="538"/>
      <c r="J144" s="538"/>
      <c r="K144" s="538"/>
      <c r="L144" s="538"/>
      <c r="M144" s="3"/>
      <c r="N144" s="3"/>
      <c r="O144" s="3"/>
      <c r="P144" s="3"/>
      <c r="Q144" s="3"/>
      <c r="R144" s="3"/>
      <c r="S144" s="3"/>
      <c r="T144" s="3"/>
    </row>
    <row r="145">
      <c r="A145" s="3"/>
      <c r="B145" s="539"/>
      <c r="C145" s="3"/>
      <c r="D145" s="3"/>
      <c r="E145" s="3"/>
      <c r="F145" s="3"/>
      <c r="G145" s="3"/>
      <c r="H145" s="538"/>
      <c r="I145" s="538"/>
      <c r="J145" s="538"/>
      <c r="K145" s="538"/>
      <c r="L145" s="538"/>
      <c r="M145" s="3"/>
      <c r="N145" s="3"/>
      <c r="O145" s="3"/>
      <c r="P145" s="3"/>
      <c r="Q145" s="3"/>
      <c r="R145" s="3"/>
      <c r="S145" s="3"/>
      <c r="T145" s="3"/>
    </row>
    <row r="146">
      <c r="A146" s="3"/>
      <c r="B146" s="539"/>
      <c r="C146" s="3"/>
      <c r="D146" s="3"/>
      <c r="E146" s="3"/>
      <c r="F146" s="3"/>
      <c r="G146" s="3"/>
      <c r="H146" s="538"/>
      <c r="I146" s="538"/>
      <c r="J146" s="538"/>
      <c r="K146" s="538"/>
      <c r="L146" s="538"/>
      <c r="M146" s="3"/>
      <c r="N146" s="3"/>
      <c r="O146" s="3"/>
      <c r="P146" s="3"/>
      <c r="Q146" s="3"/>
      <c r="R146" s="3"/>
      <c r="S146" s="3"/>
      <c r="T146" s="3"/>
    </row>
    <row r="147">
      <c r="A147" s="3"/>
      <c r="B147" s="539"/>
      <c r="C147" s="3"/>
      <c r="D147" s="3"/>
      <c r="E147" s="3"/>
      <c r="F147" s="3"/>
      <c r="G147" s="3"/>
      <c r="H147" s="538"/>
      <c r="I147" s="538"/>
      <c r="J147" s="538"/>
      <c r="K147" s="538"/>
      <c r="L147" s="538"/>
      <c r="M147" s="3"/>
      <c r="N147" s="3"/>
      <c r="O147" s="3"/>
      <c r="P147" s="3"/>
      <c r="Q147" s="3"/>
      <c r="R147" s="3"/>
      <c r="S147" s="3"/>
      <c r="T147" s="3"/>
    </row>
    <row r="148">
      <c r="A148" s="3"/>
      <c r="B148" s="539"/>
      <c r="C148" s="3"/>
      <c r="D148" s="3"/>
      <c r="E148" s="3"/>
      <c r="F148" s="3"/>
      <c r="G148" s="3"/>
      <c r="H148" s="538"/>
      <c r="I148" s="538"/>
      <c r="J148" s="538"/>
      <c r="K148" s="538"/>
      <c r="L148" s="538"/>
      <c r="M148" s="3"/>
      <c r="N148" s="3"/>
      <c r="O148" s="3"/>
      <c r="P148" s="3"/>
      <c r="Q148" s="3"/>
      <c r="R148" s="3"/>
      <c r="S148" s="3"/>
      <c r="T148" s="3"/>
    </row>
    <row r="149">
      <c r="A149" s="3"/>
      <c r="B149" s="539"/>
      <c r="C149" s="3"/>
      <c r="D149" s="3"/>
      <c r="E149" s="3"/>
      <c r="F149" s="3"/>
      <c r="G149" s="3"/>
      <c r="H149" s="538"/>
      <c r="I149" s="538"/>
      <c r="J149" s="538"/>
      <c r="K149" s="538"/>
      <c r="L149" s="538"/>
      <c r="M149" s="3"/>
      <c r="N149" s="3"/>
      <c r="O149" s="3"/>
      <c r="P149" s="3"/>
      <c r="Q149" s="3"/>
      <c r="R149" s="3"/>
      <c r="S149" s="3"/>
      <c r="T149" s="3"/>
    </row>
    <row r="150">
      <c r="A150" s="3"/>
      <c r="B150" s="539"/>
      <c r="C150" s="3"/>
      <c r="D150" s="3"/>
      <c r="E150" s="3"/>
      <c r="F150" s="3"/>
      <c r="G150" s="3"/>
      <c r="H150" s="538"/>
      <c r="I150" s="538"/>
      <c r="J150" s="538"/>
      <c r="K150" s="538"/>
      <c r="L150" s="538"/>
      <c r="M150" s="3"/>
      <c r="N150" s="3"/>
      <c r="O150" s="3"/>
      <c r="P150" s="3"/>
      <c r="Q150" s="3"/>
      <c r="R150" s="3"/>
      <c r="S150" s="3"/>
      <c r="T150" s="3"/>
    </row>
    <row r="151">
      <c r="A151" s="3"/>
      <c r="B151" s="539"/>
      <c r="C151" s="3"/>
      <c r="D151" s="3"/>
      <c r="E151" s="3"/>
      <c r="F151" s="3"/>
      <c r="G151" s="3"/>
      <c r="H151" s="538"/>
      <c r="I151" s="538"/>
      <c r="J151" s="538"/>
      <c r="K151" s="538"/>
      <c r="L151" s="538"/>
      <c r="M151" s="3"/>
      <c r="N151" s="3"/>
      <c r="O151" s="3"/>
      <c r="P151" s="3"/>
      <c r="Q151" s="3"/>
      <c r="R151" s="3"/>
      <c r="S151" s="3"/>
      <c r="T151" s="3"/>
    </row>
    <row r="152">
      <c r="A152" s="3"/>
      <c r="B152" s="539"/>
      <c r="C152" s="3"/>
      <c r="D152" s="3"/>
      <c r="E152" s="3"/>
      <c r="F152" s="3"/>
      <c r="G152" s="3"/>
      <c r="H152" s="538"/>
      <c r="I152" s="538"/>
      <c r="J152" s="538"/>
      <c r="K152" s="538"/>
      <c r="L152" s="538"/>
      <c r="M152" s="3"/>
      <c r="N152" s="3"/>
      <c r="O152" s="3"/>
      <c r="P152" s="3"/>
      <c r="Q152" s="3"/>
      <c r="R152" s="3"/>
      <c r="S152" s="3"/>
      <c r="T152" s="3"/>
    </row>
    <row r="153">
      <c r="A153" s="3"/>
      <c r="B153" s="539"/>
      <c r="C153" s="3"/>
      <c r="D153" s="3"/>
      <c r="E153" s="3"/>
      <c r="F153" s="3"/>
      <c r="G153" s="3"/>
      <c r="H153" s="538"/>
      <c r="I153" s="538"/>
      <c r="J153" s="538"/>
      <c r="K153" s="538"/>
      <c r="L153" s="538"/>
      <c r="M153" s="3"/>
      <c r="N153" s="3"/>
      <c r="O153" s="3"/>
      <c r="P153" s="3"/>
      <c r="Q153" s="3"/>
      <c r="R153" s="3"/>
      <c r="S153" s="3"/>
      <c r="T153" s="3"/>
    </row>
    <row r="154">
      <c r="A154" s="3"/>
      <c r="B154" s="539"/>
      <c r="C154" s="3"/>
      <c r="D154" s="3"/>
      <c r="E154" s="3"/>
      <c r="F154" s="3"/>
      <c r="G154" s="3"/>
      <c r="H154" s="538"/>
      <c r="I154" s="538"/>
      <c r="J154" s="538"/>
      <c r="K154" s="538"/>
      <c r="L154" s="538"/>
      <c r="M154" s="3"/>
      <c r="N154" s="3"/>
      <c r="O154" s="3"/>
      <c r="P154" s="3"/>
      <c r="Q154" s="3"/>
      <c r="R154" s="3"/>
      <c r="S154" s="3"/>
      <c r="T154" s="3"/>
    </row>
    <row r="155">
      <c r="A155" s="3"/>
      <c r="B155" s="539"/>
      <c r="C155" s="3"/>
      <c r="D155" s="3"/>
      <c r="E155" s="3"/>
      <c r="F155" s="3"/>
      <c r="G155" s="3"/>
      <c r="H155" s="538"/>
      <c r="I155" s="538"/>
      <c r="J155" s="538"/>
      <c r="K155" s="538"/>
      <c r="L155" s="538"/>
      <c r="M155" s="3"/>
      <c r="N155" s="3"/>
      <c r="O155" s="3"/>
      <c r="P155" s="3"/>
      <c r="Q155" s="3"/>
      <c r="R155" s="3"/>
      <c r="S155" s="3"/>
      <c r="T155" s="3"/>
    </row>
    <row r="156">
      <c r="A156" s="3"/>
      <c r="B156" s="539"/>
      <c r="C156" s="3"/>
      <c r="D156" s="3"/>
      <c r="E156" s="3"/>
      <c r="F156" s="3"/>
      <c r="G156" s="3"/>
      <c r="H156" s="538"/>
      <c r="I156" s="538"/>
      <c r="J156" s="538"/>
      <c r="K156" s="538"/>
      <c r="L156" s="538"/>
      <c r="M156" s="3"/>
      <c r="N156" s="3"/>
      <c r="O156" s="3"/>
      <c r="P156" s="3"/>
      <c r="Q156" s="3"/>
      <c r="R156" s="3"/>
      <c r="S156" s="3"/>
      <c r="T156" s="3"/>
    </row>
    <row r="157">
      <c r="A157" s="3"/>
      <c r="B157" s="539"/>
      <c r="C157" s="3"/>
      <c r="D157" s="3"/>
      <c r="E157" s="3"/>
      <c r="F157" s="3"/>
      <c r="G157" s="3"/>
      <c r="H157" s="538"/>
      <c r="I157" s="538"/>
      <c r="J157" s="538"/>
      <c r="K157" s="538"/>
      <c r="L157" s="538"/>
      <c r="M157" s="3"/>
      <c r="N157" s="3"/>
      <c r="O157" s="3"/>
      <c r="P157" s="3"/>
      <c r="Q157" s="3"/>
      <c r="R157" s="3"/>
      <c r="S157" s="3"/>
      <c r="T157" s="3"/>
    </row>
    <row r="158">
      <c r="A158" s="3"/>
      <c r="B158" s="539"/>
      <c r="C158" s="3"/>
      <c r="D158" s="3"/>
      <c r="E158" s="3"/>
      <c r="F158" s="3"/>
      <c r="G158" s="3"/>
      <c r="H158" s="538"/>
      <c r="I158" s="538"/>
      <c r="J158" s="538"/>
      <c r="K158" s="538"/>
      <c r="L158" s="538"/>
      <c r="M158" s="3"/>
      <c r="N158" s="3"/>
      <c r="O158" s="3"/>
      <c r="P158" s="3"/>
      <c r="Q158" s="3"/>
      <c r="R158" s="3"/>
      <c r="S158" s="3"/>
      <c r="T158" s="3"/>
    </row>
    <row r="159">
      <c r="A159" s="3"/>
      <c r="B159" s="539"/>
      <c r="C159" s="3"/>
      <c r="D159" s="3"/>
      <c r="E159" s="3"/>
      <c r="F159" s="3"/>
      <c r="G159" s="3"/>
      <c r="H159" s="538"/>
      <c r="I159" s="538"/>
      <c r="J159" s="538"/>
      <c r="K159" s="538"/>
      <c r="L159" s="538"/>
      <c r="M159" s="3"/>
      <c r="N159" s="3"/>
      <c r="O159" s="3"/>
      <c r="P159" s="3"/>
      <c r="Q159" s="3"/>
      <c r="R159" s="3"/>
      <c r="S159" s="3"/>
      <c r="T159" s="3"/>
    </row>
    <row r="160">
      <c r="A160" s="3"/>
      <c r="B160" s="539"/>
      <c r="C160" s="3"/>
      <c r="D160" s="3"/>
      <c r="E160" s="3"/>
      <c r="F160" s="3"/>
      <c r="G160" s="3"/>
      <c r="H160" s="538"/>
      <c r="I160" s="538"/>
      <c r="J160" s="538"/>
      <c r="K160" s="538"/>
      <c r="L160" s="538"/>
      <c r="M160" s="3"/>
      <c r="N160" s="3"/>
      <c r="O160" s="3"/>
      <c r="P160" s="3"/>
      <c r="Q160" s="3"/>
      <c r="R160" s="3"/>
      <c r="S160" s="3"/>
      <c r="T160" s="3"/>
    </row>
    <row r="161">
      <c r="A161" s="3"/>
      <c r="B161" s="539"/>
      <c r="C161" s="3"/>
      <c r="D161" s="3"/>
      <c r="E161" s="3"/>
      <c r="F161" s="3"/>
      <c r="G161" s="3"/>
      <c r="H161" s="538"/>
      <c r="I161" s="538"/>
      <c r="J161" s="538"/>
      <c r="K161" s="538"/>
      <c r="L161" s="538"/>
      <c r="M161" s="3"/>
      <c r="N161" s="3"/>
      <c r="O161" s="3"/>
      <c r="P161" s="3"/>
      <c r="Q161" s="3"/>
      <c r="R161" s="3"/>
      <c r="S161" s="3"/>
      <c r="T161" s="3"/>
    </row>
    <row r="162">
      <c r="A162" s="3"/>
      <c r="B162" s="539"/>
      <c r="C162" s="3"/>
      <c r="D162" s="3"/>
      <c r="E162" s="3"/>
      <c r="F162" s="3"/>
      <c r="G162" s="3"/>
      <c r="H162" s="538"/>
      <c r="I162" s="538"/>
      <c r="J162" s="538"/>
      <c r="K162" s="538"/>
      <c r="L162" s="538"/>
      <c r="M162" s="3"/>
      <c r="N162" s="3"/>
      <c r="O162" s="3"/>
      <c r="P162" s="3"/>
      <c r="Q162" s="3"/>
      <c r="R162" s="3"/>
      <c r="S162" s="3"/>
      <c r="T162" s="3"/>
    </row>
    <row r="163">
      <c r="A163" s="3"/>
      <c r="B163" s="539"/>
      <c r="C163" s="3"/>
      <c r="D163" s="3"/>
      <c r="E163" s="3"/>
      <c r="F163" s="3"/>
      <c r="G163" s="3"/>
      <c r="H163" s="538"/>
      <c r="I163" s="538"/>
      <c r="J163" s="538"/>
      <c r="K163" s="538"/>
      <c r="L163" s="538"/>
      <c r="M163" s="3"/>
      <c r="N163" s="3"/>
      <c r="O163" s="3"/>
      <c r="P163" s="3"/>
      <c r="Q163" s="3"/>
      <c r="R163" s="3"/>
      <c r="S163" s="3"/>
      <c r="T163" s="3"/>
    </row>
    <row r="164">
      <c r="A164" s="3"/>
      <c r="B164" s="539"/>
      <c r="C164" s="3"/>
      <c r="D164" s="3"/>
      <c r="E164" s="3"/>
      <c r="F164" s="3"/>
      <c r="G164" s="3"/>
      <c r="H164" s="538"/>
      <c r="I164" s="538"/>
      <c r="J164" s="538"/>
      <c r="K164" s="538"/>
      <c r="L164" s="538"/>
      <c r="M164" s="3"/>
      <c r="N164" s="3"/>
      <c r="O164" s="3"/>
      <c r="P164" s="3"/>
      <c r="Q164" s="3"/>
      <c r="R164" s="3"/>
      <c r="S164" s="3"/>
      <c r="T164" s="3"/>
    </row>
    <row r="165">
      <c r="A165" s="3"/>
      <c r="B165" s="539"/>
      <c r="C165" s="3"/>
      <c r="D165" s="3"/>
      <c r="E165" s="3"/>
      <c r="F165" s="3"/>
      <c r="G165" s="3"/>
      <c r="H165" s="538"/>
      <c r="I165" s="538"/>
      <c r="J165" s="538"/>
      <c r="K165" s="538"/>
      <c r="L165" s="538"/>
      <c r="M165" s="3"/>
      <c r="N165" s="3"/>
      <c r="O165" s="3"/>
      <c r="P165" s="3"/>
      <c r="Q165" s="3"/>
      <c r="R165" s="3"/>
      <c r="S165" s="3"/>
      <c r="T165" s="3"/>
    </row>
    <row r="166">
      <c r="A166" s="3"/>
      <c r="B166" s="539"/>
      <c r="C166" s="3"/>
      <c r="D166" s="3"/>
      <c r="E166" s="3"/>
      <c r="F166" s="3"/>
      <c r="G166" s="3"/>
      <c r="H166" s="538"/>
      <c r="I166" s="538"/>
      <c r="J166" s="538"/>
      <c r="K166" s="538"/>
      <c r="L166" s="538"/>
      <c r="M166" s="3"/>
      <c r="N166" s="3"/>
      <c r="O166" s="3"/>
      <c r="P166" s="3"/>
      <c r="Q166" s="3"/>
      <c r="R166" s="3"/>
      <c r="S166" s="3"/>
      <c r="T166" s="3"/>
    </row>
    <row r="167">
      <c r="A167" s="3"/>
      <c r="B167" s="539"/>
      <c r="C167" s="3"/>
      <c r="D167" s="3"/>
      <c r="E167" s="3"/>
      <c r="F167" s="3"/>
      <c r="G167" s="3"/>
      <c r="H167" s="538"/>
      <c r="I167" s="538"/>
      <c r="J167" s="538"/>
      <c r="K167" s="538"/>
      <c r="L167" s="538"/>
      <c r="M167" s="3"/>
      <c r="N167" s="3"/>
      <c r="O167" s="3"/>
      <c r="P167" s="3"/>
      <c r="Q167" s="3"/>
      <c r="R167" s="3"/>
      <c r="S167" s="3"/>
      <c r="T167" s="3"/>
    </row>
    <row r="168">
      <c r="A168" s="3"/>
      <c r="B168" s="539"/>
      <c r="C168" s="3"/>
      <c r="D168" s="3"/>
      <c r="E168" s="3"/>
      <c r="F168" s="3"/>
      <c r="G168" s="3"/>
      <c r="H168" s="538"/>
      <c r="I168" s="538"/>
      <c r="J168" s="538"/>
      <c r="K168" s="538"/>
      <c r="L168" s="538"/>
      <c r="M168" s="3"/>
      <c r="N168" s="3"/>
      <c r="O168" s="3"/>
      <c r="P168" s="3"/>
      <c r="Q168" s="3"/>
      <c r="R168" s="3"/>
      <c r="S168" s="3"/>
      <c r="T168" s="3"/>
    </row>
    <row r="169">
      <c r="A169" s="3"/>
      <c r="B169" s="541"/>
      <c r="C169" s="3"/>
      <c r="D169" s="3"/>
      <c r="E169" s="3"/>
      <c r="F169" s="3"/>
      <c r="G169" s="3"/>
      <c r="H169" s="538"/>
      <c r="I169" s="538"/>
      <c r="J169" s="538"/>
      <c r="K169" s="538"/>
      <c r="L169" s="538"/>
      <c r="M169" s="3"/>
      <c r="N169" s="3"/>
      <c r="O169" s="3"/>
      <c r="P169" s="3"/>
      <c r="Q169" s="3"/>
      <c r="R169" s="3"/>
      <c r="S169" s="3"/>
      <c r="T169" s="3"/>
    </row>
    <row r="170">
      <c r="A170" s="3"/>
      <c r="B170" s="541"/>
      <c r="C170" s="3"/>
      <c r="D170" s="3"/>
      <c r="E170" s="3"/>
      <c r="F170" s="3"/>
      <c r="G170" s="3"/>
      <c r="H170" s="538"/>
      <c r="I170" s="538"/>
      <c r="J170" s="538"/>
      <c r="K170" s="538"/>
      <c r="L170" s="538"/>
      <c r="M170" s="3"/>
      <c r="N170" s="3"/>
      <c r="O170" s="3"/>
      <c r="P170" s="3"/>
      <c r="Q170" s="3"/>
      <c r="R170" s="3"/>
      <c r="S170" s="3"/>
      <c r="T170" s="3"/>
    </row>
    <row r="171">
      <c r="A171" s="3"/>
      <c r="B171" s="541"/>
      <c r="C171" s="3"/>
      <c r="D171" s="3"/>
      <c r="E171" s="3"/>
      <c r="F171" s="3"/>
      <c r="G171" s="3"/>
      <c r="H171" s="538"/>
      <c r="I171" s="538"/>
      <c r="J171" s="538"/>
      <c r="K171" s="538"/>
      <c r="L171" s="538"/>
      <c r="M171" s="3"/>
      <c r="N171" s="3"/>
      <c r="O171" s="3"/>
      <c r="P171" s="3"/>
      <c r="Q171" s="3"/>
      <c r="R171" s="3"/>
      <c r="S171" s="3"/>
      <c r="T171" s="3"/>
    </row>
    <row r="172">
      <c r="A172" s="3"/>
      <c r="B172" s="541"/>
      <c r="C172" s="3"/>
      <c r="D172" s="3"/>
      <c r="E172" s="3"/>
      <c r="F172" s="3"/>
      <c r="G172" s="3"/>
      <c r="H172" s="538"/>
      <c r="I172" s="538"/>
      <c r="J172" s="538"/>
      <c r="K172" s="538"/>
      <c r="L172" s="538"/>
      <c r="M172" s="3"/>
      <c r="N172" s="3"/>
      <c r="O172" s="3"/>
      <c r="P172" s="3"/>
      <c r="Q172" s="3"/>
      <c r="R172" s="3"/>
      <c r="S172" s="3"/>
      <c r="T172" s="3"/>
    </row>
    <row r="173">
      <c r="A173" s="3"/>
      <c r="B173" s="541"/>
      <c r="C173" s="3"/>
      <c r="D173" s="3"/>
      <c r="E173" s="3"/>
      <c r="F173" s="3"/>
      <c r="G173" s="3"/>
      <c r="H173" s="538"/>
      <c r="I173" s="538"/>
      <c r="J173" s="538"/>
      <c r="K173" s="538"/>
      <c r="L173" s="538"/>
      <c r="M173" s="3"/>
      <c r="N173" s="3"/>
      <c r="O173" s="3"/>
      <c r="P173" s="3"/>
      <c r="Q173" s="3"/>
      <c r="R173" s="3"/>
      <c r="S173" s="3"/>
      <c r="T173" s="3"/>
    </row>
    <row r="174">
      <c r="A174" s="3"/>
      <c r="B174" s="541"/>
      <c r="C174" s="3"/>
      <c r="D174" s="3"/>
      <c r="E174" s="3"/>
      <c r="F174" s="3"/>
      <c r="G174" s="3"/>
      <c r="H174" s="538"/>
      <c r="I174" s="538"/>
      <c r="J174" s="538"/>
      <c r="K174" s="538"/>
      <c r="L174" s="538"/>
      <c r="M174" s="3"/>
      <c r="N174" s="3"/>
      <c r="O174" s="3"/>
      <c r="P174" s="3"/>
      <c r="Q174" s="3"/>
      <c r="R174" s="3"/>
      <c r="S174" s="3"/>
      <c r="T174" s="3"/>
    </row>
    <row r="175">
      <c r="A175" s="3"/>
      <c r="B175" s="541"/>
      <c r="C175" s="3"/>
      <c r="D175" s="3"/>
      <c r="E175" s="3"/>
      <c r="F175" s="3"/>
      <c r="G175" s="3"/>
      <c r="H175" s="538"/>
      <c r="I175" s="538"/>
      <c r="J175" s="538"/>
      <c r="K175" s="538"/>
      <c r="L175" s="538"/>
      <c r="M175" s="3"/>
      <c r="N175" s="3"/>
      <c r="O175" s="3"/>
      <c r="P175" s="3"/>
      <c r="Q175" s="3"/>
      <c r="R175" s="3"/>
      <c r="S175" s="3"/>
      <c r="T175" s="3"/>
    </row>
    <row r="176">
      <c r="A176" s="3"/>
      <c r="B176" s="541"/>
      <c r="C176" s="3"/>
      <c r="D176" s="3"/>
      <c r="E176" s="3"/>
      <c r="F176" s="3"/>
      <c r="G176" s="3"/>
      <c r="H176" s="538"/>
      <c r="I176" s="538"/>
      <c r="J176" s="538"/>
      <c r="K176" s="538"/>
      <c r="L176" s="538"/>
      <c r="M176" s="3"/>
      <c r="N176" s="3"/>
      <c r="O176" s="3"/>
      <c r="P176" s="3"/>
      <c r="Q176" s="3"/>
      <c r="R176" s="3"/>
      <c r="S176" s="3"/>
      <c r="T176" s="3"/>
    </row>
    <row r="177">
      <c r="A177" s="3"/>
      <c r="B177" s="541"/>
      <c r="C177" s="3"/>
      <c r="D177" s="3"/>
      <c r="E177" s="3"/>
      <c r="F177" s="3"/>
      <c r="G177" s="3"/>
      <c r="H177" s="538"/>
      <c r="I177" s="538"/>
      <c r="J177" s="538"/>
      <c r="K177" s="538"/>
      <c r="L177" s="538"/>
      <c r="M177" s="3"/>
      <c r="N177" s="3"/>
      <c r="O177" s="3"/>
      <c r="P177" s="3"/>
      <c r="Q177" s="3"/>
      <c r="R177" s="3"/>
      <c r="S177" s="3"/>
      <c r="T177" s="3"/>
    </row>
    <row r="178">
      <c r="A178" s="3"/>
      <c r="B178" s="541"/>
      <c r="C178" s="3"/>
      <c r="D178" s="3"/>
      <c r="E178" s="3"/>
      <c r="F178" s="3"/>
      <c r="G178" s="3"/>
      <c r="H178" s="538"/>
      <c r="I178" s="538"/>
      <c r="J178" s="538"/>
      <c r="K178" s="538"/>
      <c r="L178" s="538"/>
      <c r="M178" s="3"/>
      <c r="N178" s="3"/>
      <c r="O178" s="3"/>
      <c r="P178" s="3"/>
      <c r="Q178" s="3"/>
      <c r="R178" s="3"/>
      <c r="S178" s="3"/>
      <c r="T178" s="3"/>
    </row>
    <row r="179">
      <c r="A179" s="3"/>
      <c r="B179" s="541"/>
      <c r="C179" s="3"/>
      <c r="D179" s="3"/>
      <c r="E179" s="3"/>
      <c r="F179" s="3"/>
      <c r="G179" s="3"/>
      <c r="H179" s="538"/>
      <c r="I179" s="538"/>
      <c r="J179" s="538"/>
      <c r="K179" s="538"/>
      <c r="L179" s="538"/>
      <c r="M179" s="3"/>
      <c r="N179" s="3"/>
      <c r="O179" s="3"/>
      <c r="P179" s="3"/>
      <c r="Q179" s="3"/>
      <c r="R179" s="3"/>
      <c r="S179" s="3"/>
      <c r="T179" s="3"/>
    </row>
    <row r="180">
      <c r="A180" s="3"/>
      <c r="B180" s="541"/>
      <c r="C180" s="3"/>
      <c r="D180" s="3"/>
      <c r="E180" s="3"/>
      <c r="F180" s="3"/>
      <c r="G180" s="3"/>
      <c r="H180" s="538"/>
      <c r="I180" s="538"/>
      <c r="J180" s="538"/>
      <c r="K180" s="538"/>
      <c r="L180" s="538"/>
      <c r="M180" s="3"/>
      <c r="N180" s="3"/>
      <c r="O180" s="3"/>
      <c r="P180" s="3"/>
      <c r="Q180" s="3"/>
      <c r="R180" s="3"/>
      <c r="S180" s="3"/>
      <c r="T180" s="3"/>
    </row>
    <row r="181">
      <c r="A181" s="3"/>
      <c r="B181" s="541"/>
      <c r="C181" s="3"/>
      <c r="D181" s="3"/>
      <c r="E181" s="3"/>
      <c r="F181" s="3"/>
      <c r="G181" s="3"/>
      <c r="H181" s="538"/>
      <c r="I181" s="538"/>
      <c r="J181" s="538"/>
      <c r="K181" s="538"/>
      <c r="L181" s="538"/>
      <c r="M181" s="3"/>
      <c r="N181" s="3"/>
      <c r="O181" s="3"/>
      <c r="P181" s="3"/>
      <c r="Q181" s="3"/>
      <c r="R181" s="3"/>
      <c r="S181" s="3"/>
      <c r="T181" s="3"/>
    </row>
    <row r="182">
      <c r="A182" s="3"/>
      <c r="B182" s="541"/>
      <c r="C182" s="3"/>
      <c r="D182" s="3"/>
      <c r="E182" s="3"/>
      <c r="F182" s="3"/>
      <c r="G182" s="3"/>
      <c r="H182" s="538"/>
      <c r="I182" s="538"/>
      <c r="J182" s="538"/>
      <c r="K182" s="538"/>
      <c r="L182" s="538"/>
      <c r="M182" s="3"/>
      <c r="N182" s="3"/>
      <c r="O182" s="3"/>
      <c r="P182" s="3"/>
      <c r="Q182" s="3"/>
      <c r="R182" s="3"/>
      <c r="S182" s="3"/>
      <c r="T182" s="3"/>
    </row>
    <row r="183">
      <c r="A183" s="3"/>
      <c r="B183" s="541"/>
      <c r="C183" s="3"/>
      <c r="D183" s="3"/>
      <c r="E183" s="3"/>
      <c r="F183" s="3"/>
      <c r="G183" s="3"/>
      <c r="H183" s="538"/>
      <c r="I183" s="538"/>
      <c r="J183" s="538"/>
      <c r="K183" s="538"/>
      <c r="L183" s="538"/>
      <c r="M183" s="3"/>
      <c r="N183" s="3"/>
      <c r="O183" s="3"/>
      <c r="P183" s="3"/>
      <c r="Q183" s="3"/>
      <c r="R183" s="3"/>
      <c r="S183" s="3"/>
      <c r="T183" s="3"/>
    </row>
    <row r="184">
      <c r="A184" s="3"/>
      <c r="B184" s="541"/>
      <c r="C184" s="3"/>
      <c r="D184" s="3"/>
      <c r="E184" s="3"/>
      <c r="F184" s="3"/>
      <c r="G184" s="3"/>
      <c r="H184" s="538"/>
      <c r="I184" s="538"/>
      <c r="J184" s="538"/>
      <c r="K184" s="538"/>
      <c r="L184" s="538"/>
      <c r="M184" s="3"/>
      <c r="N184" s="3"/>
      <c r="O184" s="3"/>
      <c r="P184" s="3"/>
      <c r="Q184" s="3"/>
      <c r="R184" s="3"/>
      <c r="S184" s="3"/>
      <c r="T184" s="3"/>
    </row>
    <row r="185">
      <c r="A185" s="3"/>
      <c r="B185" s="541"/>
      <c r="C185" s="3"/>
      <c r="D185" s="3"/>
      <c r="E185" s="3"/>
      <c r="F185" s="3"/>
      <c r="G185" s="3"/>
      <c r="H185" s="538"/>
      <c r="I185" s="538"/>
      <c r="J185" s="538"/>
      <c r="K185" s="538"/>
      <c r="L185" s="538"/>
      <c r="M185" s="3"/>
      <c r="N185" s="3"/>
      <c r="O185" s="3"/>
      <c r="P185" s="3"/>
      <c r="Q185" s="3"/>
      <c r="R185" s="3"/>
      <c r="S185" s="3"/>
      <c r="T185" s="3"/>
    </row>
    <row r="186">
      <c r="A186" s="3"/>
      <c r="B186" s="541"/>
      <c r="C186" s="3"/>
      <c r="D186" s="3"/>
      <c r="E186" s="3"/>
      <c r="F186" s="3"/>
      <c r="G186" s="3"/>
      <c r="H186" s="538"/>
      <c r="I186" s="538"/>
      <c r="J186" s="538"/>
      <c r="K186" s="538"/>
      <c r="L186" s="538"/>
      <c r="M186" s="3"/>
      <c r="N186" s="3"/>
      <c r="O186" s="3"/>
      <c r="P186" s="3"/>
      <c r="Q186" s="3"/>
      <c r="R186" s="3"/>
      <c r="S186" s="3"/>
      <c r="T186" s="3"/>
    </row>
    <row r="187">
      <c r="A187" s="3"/>
      <c r="B187" s="541"/>
      <c r="C187" s="3"/>
      <c r="D187" s="3"/>
      <c r="E187" s="3"/>
      <c r="F187" s="3"/>
      <c r="G187" s="3"/>
      <c r="H187" s="538"/>
      <c r="I187" s="538"/>
      <c r="J187" s="538"/>
      <c r="K187" s="538"/>
      <c r="L187" s="538"/>
      <c r="M187" s="3"/>
      <c r="N187" s="3"/>
      <c r="O187" s="3"/>
      <c r="P187" s="3"/>
      <c r="Q187" s="3"/>
      <c r="R187" s="3"/>
      <c r="S187" s="3"/>
      <c r="T187" s="3"/>
    </row>
    <row r="188">
      <c r="A188" s="3"/>
      <c r="B188" s="541"/>
      <c r="C188" s="3"/>
      <c r="D188" s="3"/>
      <c r="E188" s="3"/>
      <c r="F188" s="3"/>
      <c r="G188" s="3"/>
      <c r="H188" s="538"/>
      <c r="I188" s="538"/>
      <c r="J188" s="538"/>
      <c r="K188" s="538"/>
      <c r="L188" s="538"/>
      <c r="M188" s="3"/>
      <c r="N188" s="3"/>
      <c r="O188" s="3"/>
      <c r="P188" s="3"/>
      <c r="Q188" s="3"/>
      <c r="R188" s="3"/>
      <c r="S188" s="3"/>
      <c r="T188" s="3"/>
    </row>
    <row r="189">
      <c r="A189" s="3"/>
      <c r="B189" s="541"/>
      <c r="C189" s="3"/>
      <c r="D189" s="3"/>
      <c r="E189" s="3"/>
      <c r="F189" s="3"/>
      <c r="G189" s="3"/>
      <c r="H189" s="538"/>
      <c r="I189" s="538"/>
      <c r="J189" s="538"/>
      <c r="K189" s="538"/>
      <c r="L189" s="538"/>
      <c r="M189" s="3"/>
      <c r="N189" s="3"/>
      <c r="O189" s="3"/>
      <c r="P189" s="3"/>
      <c r="Q189" s="3"/>
      <c r="R189" s="3"/>
      <c r="S189" s="3"/>
      <c r="T189" s="3"/>
    </row>
    <row r="190">
      <c r="A190" s="3"/>
      <c r="B190" s="541"/>
      <c r="C190" s="3"/>
      <c r="D190" s="3"/>
      <c r="E190" s="3"/>
      <c r="F190" s="3"/>
      <c r="G190" s="3"/>
      <c r="H190" s="538"/>
      <c r="I190" s="538"/>
      <c r="J190" s="538"/>
      <c r="K190" s="538"/>
      <c r="L190" s="538"/>
      <c r="M190" s="3"/>
      <c r="N190" s="3"/>
      <c r="O190" s="3"/>
      <c r="P190" s="3"/>
      <c r="Q190" s="3"/>
      <c r="R190" s="3"/>
      <c r="S190" s="3"/>
      <c r="T190" s="3"/>
    </row>
    <row r="191">
      <c r="A191" s="3"/>
      <c r="B191" s="541"/>
      <c r="C191" s="3"/>
      <c r="D191" s="3"/>
      <c r="E191" s="3"/>
      <c r="F191" s="3"/>
      <c r="G191" s="3"/>
      <c r="H191" s="538"/>
      <c r="I191" s="538"/>
      <c r="J191" s="538"/>
      <c r="K191" s="538"/>
      <c r="L191" s="538"/>
      <c r="M191" s="3"/>
      <c r="N191" s="3"/>
      <c r="O191" s="3"/>
      <c r="P191" s="3"/>
      <c r="Q191" s="3"/>
      <c r="R191" s="3"/>
      <c r="S191" s="3"/>
      <c r="T191" s="3"/>
    </row>
    <row r="192">
      <c r="A192" s="3"/>
      <c r="B192" s="541"/>
      <c r="C192" s="3"/>
      <c r="D192" s="3"/>
      <c r="E192" s="3"/>
      <c r="F192" s="3"/>
      <c r="G192" s="3"/>
      <c r="H192" s="538"/>
      <c r="I192" s="538"/>
      <c r="J192" s="538"/>
      <c r="K192" s="538"/>
      <c r="L192" s="538"/>
      <c r="M192" s="3"/>
      <c r="N192" s="3"/>
      <c r="O192" s="3"/>
      <c r="P192" s="3"/>
      <c r="Q192" s="3"/>
      <c r="R192" s="3"/>
      <c r="S192" s="3"/>
      <c r="T192" s="3"/>
    </row>
    <row r="193">
      <c r="A193" s="3"/>
      <c r="B193" s="541"/>
      <c r="C193" s="3"/>
      <c r="D193" s="3"/>
      <c r="E193" s="3"/>
      <c r="F193" s="3"/>
      <c r="G193" s="3"/>
      <c r="H193" s="538"/>
      <c r="I193" s="538"/>
      <c r="J193" s="538"/>
      <c r="K193" s="538"/>
      <c r="L193" s="538"/>
      <c r="M193" s="3"/>
      <c r="N193" s="3"/>
      <c r="O193" s="3"/>
      <c r="P193" s="3"/>
      <c r="Q193" s="3"/>
      <c r="R193" s="3"/>
      <c r="S193" s="3"/>
      <c r="T193" s="3"/>
    </row>
    <row r="194">
      <c r="A194" s="3"/>
      <c r="B194" s="541"/>
      <c r="C194" s="3"/>
      <c r="D194" s="3"/>
      <c r="E194" s="3"/>
      <c r="F194" s="3"/>
      <c r="G194" s="3"/>
      <c r="H194" s="538"/>
      <c r="I194" s="538"/>
      <c r="J194" s="538"/>
      <c r="K194" s="538"/>
      <c r="L194" s="538"/>
      <c r="M194" s="3"/>
      <c r="N194" s="3"/>
      <c r="O194" s="3"/>
      <c r="P194" s="3"/>
      <c r="Q194" s="3"/>
      <c r="R194" s="3"/>
      <c r="S194" s="3"/>
      <c r="T194" s="3"/>
    </row>
    <row r="195">
      <c r="A195" s="3"/>
      <c r="B195" s="541"/>
      <c r="C195" s="3"/>
      <c r="D195" s="3"/>
      <c r="E195" s="3"/>
      <c r="F195" s="3"/>
      <c r="G195" s="3"/>
      <c r="H195" s="538"/>
      <c r="I195" s="538"/>
      <c r="J195" s="538"/>
      <c r="K195" s="538"/>
      <c r="L195" s="538"/>
      <c r="M195" s="3"/>
      <c r="N195" s="3"/>
      <c r="O195" s="3"/>
      <c r="P195" s="3"/>
      <c r="Q195" s="3"/>
      <c r="R195" s="3"/>
      <c r="S195" s="3"/>
      <c r="T195" s="3"/>
    </row>
    <row r="196">
      <c r="A196" s="3"/>
      <c r="B196" s="541"/>
      <c r="C196" s="3"/>
      <c r="D196" s="3"/>
      <c r="E196" s="3"/>
      <c r="F196" s="3"/>
      <c r="G196" s="3"/>
      <c r="H196" s="538"/>
      <c r="I196" s="538"/>
      <c r="J196" s="538"/>
      <c r="K196" s="538"/>
      <c r="L196" s="538"/>
      <c r="M196" s="3"/>
      <c r="N196" s="3"/>
      <c r="O196" s="3"/>
      <c r="P196" s="3"/>
      <c r="Q196" s="3"/>
      <c r="R196" s="3"/>
      <c r="S196" s="3"/>
      <c r="T196" s="3"/>
    </row>
    <row r="197">
      <c r="A197" s="3"/>
      <c r="B197" s="541"/>
      <c r="C197" s="3"/>
      <c r="D197" s="3"/>
      <c r="E197" s="3"/>
      <c r="F197" s="3"/>
      <c r="G197" s="3"/>
      <c r="H197" s="538"/>
      <c r="I197" s="538"/>
      <c r="J197" s="538"/>
      <c r="K197" s="538"/>
      <c r="L197" s="538"/>
      <c r="M197" s="3"/>
      <c r="N197" s="3"/>
      <c r="O197" s="3"/>
      <c r="P197" s="3"/>
      <c r="Q197" s="3"/>
      <c r="R197" s="3"/>
      <c r="S197" s="3"/>
      <c r="T197" s="3"/>
    </row>
    <row r="198">
      <c r="A198" s="3"/>
      <c r="B198" s="541"/>
      <c r="C198" s="3"/>
      <c r="D198" s="3"/>
      <c r="E198" s="3"/>
      <c r="F198" s="3"/>
      <c r="G198" s="3"/>
      <c r="H198" s="538"/>
      <c r="I198" s="538"/>
      <c r="J198" s="538"/>
      <c r="K198" s="538"/>
      <c r="L198" s="538"/>
      <c r="M198" s="3"/>
      <c r="N198" s="3"/>
      <c r="O198" s="3"/>
      <c r="P198" s="3"/>
      <c r="Q198" s="3"/>
      <c r="R198" s="3"/>
      <c r="S198" s="3"/>
      <c r="T198" s="3"/>
    </row>
    <row r="199">
      <c r="A199" s="3"/>
      <c r="B199" s="541"/>
      <c r="C199" s="3"/>
      <c r="D199" s="3"/>
      <c r="E199" s="3"/>
      <c r="F199" s="3"/>
      <c r="G199" s="3"/>
      <c r="H199" s="538"/>
      <c r="I199" s="538"/>
      <c r="J199" s="538"/>
      <c r="K199" s="538"/>
      <c r="L199" s="538"/>
      <c r="M199" s="3"/>
      <c r="N199" s="3"/>
      <c r="O199" s="3"/>
      <c r="P199" s="3"/>
      <c r="Q199" s="3"/>
      <c r="R199" s="3"/>
      <c r="S199" s="3"/>
      <c r="T199" s="3"/>
    </row>
    <row r="200">
      <c r="A200" s="3"/>
      <c r="B200" s="541"/>
      <c r="C200" s="3"/>
      <c r="D200" s="3"/>
      <c r="E200" s="3"/>
      <c r="F200" s="3"/>
      <c r="G200" s="3"/>
      <c r="H200" s="538"/>
      <c r="I200" s="538"/>
      <c r="J200" s="538"/>
      <c r="K200" s="538"/>
      <c r="L200" s="538"/>
      <c r="M200" s="3"/>
      <c r="N200" s="3"/>
      <c r="O200" s="3"/>
      <c r="P200" s="3"/>
      <c r="Q200" s="3"/>
      <c r="R200" s="3"/>
      <c r="S200" s="3"/>
      <c r="T200" s="3"/>
    </row>
    <row r="201">
      <c r="A201" s="3"/>
      <c r="B201" s="541"/>
      <c r="C201" s="3"/>
      <c r="D201" s="3"/>
      <c r="E201" s="3"/>
      <c r="F201" s="3"/>
      <c r="G201" s="3"/>
      <c r="H201" s="538"/>
      <c r="I201" s="538"/>
      <c r="J201" s="538"/>
      <c r="K201" s="538"/>
      <c r="L201" s="538"/>
      <c r="M201" s="3"/>
      <c r="N201" s="3"/>
      <c r="O201" s="3"/>
      <c r="P201" s="3"/>
      <c r="Q201" s="3"/>
      <c r="R201" s="3"/>
      <c r="S201" s="3"/>
      <c r="T201" s="3"/>
    </row>
    <row r="202">
      <c r="A202" s="3"/>
      <c r="B202" s="541"/>
      <c r="C202" s="3"/>
      <c r="D202" s="3"/>
      <c r="E202" s="3"/>
      <c r="F202" s="3"/>
      <c r="G202" s="3"/>
      <c r="H202" s="538"/>
      <c r="I202" s="538"/>
      <c r="J202" s="538"/>
      <c r="K202" s="538"/>
      <c r="L202" s="538"/>
      <c r="M202" s="3"/>
      <c r="N202" s="3"/>
      <c r="O202" s="3"/>
      <c r="P202" s="3"/>
      <c r="Q202" s="3"/>
      <c r="R202" s="3"/>
      <c r="S202" s="3"/>
      <c r="T202" s="3"/>
    </row>
    <row r="203">
      <c r="A203" s="3"/>
      <c r="B203" s="541"/>
      <c r="C203" s="3"/>
      <c r="D203" s="3"/>
      <c r="E203" s="3"/>
      <c r="F203" s="3"/>
      <c r="G203" s="3"/>
      <c r="H203" s="538"/>
      <c r="I203" s="538"/>
      <c r="J203" s="538"/>
      <c r="K203" s="538"/>
      <c r="L203" s="538"/>
      <c r="M203" s="3"/>
      <c r="N203" s="3"/>
      <c r="O203" s="3"/>
      <c r="P203" s="3"/>
      <c r="Q203" s="3"/>
      <c r="R203" s="3"/>
      <c r="S203" s="3"/>
      <c r="T203" s="3"/>
    </row>
    <row r="204">
      <c r="A204" s="3"/>
      <c r="B204" s="541"/>
      <c r="C204" s="3"/>
      <c r="D204" s="3"/>
      <c r="E204" s="3"/>
      <c r="F204" s="3"/>
      <c r="G204" s="3"/>
      <c r="H204" s="538"/>
      <c r="I204" s="538"/>
      <c r="J204" s="538"/>
      <c r="K204" s="538"/>
      <c r="L204" s="538"/>
      <c r="M204" s="3"/>
      <c r="N204" s="3"/>
      <c r="O204" s="3"/>
      <c r="P204" s="3"/>
      <c r="Q204" s="3"/>
      <c r="R204" s="3"/>
      <c r="S204" s="3"/>
      <c r="T204" s="3"/>
    </row>
    <row r="205">
      <c r="A205" s="3"/>
      <c r="B205" s="541"/>
      <c r="C205" s="3"/>
      <c r="D205" s="3"/>
      <c r="E205" s="3"/>
      <c r="F205" s="3"/>
      <c r="G205" s="3"/>
      <c r="H205" s="538"/>
      <c r="I205" s="538"/>
      <c r="J205" s="538"/>
      <c r="K205" s="538"/>
      <c r="L205" s="538"/>
      <c r="M205" s="3"/>
      <c r="N205" s="3"/>
      <c r="O205" s="3"/>
      <c r="P205" s="3"/>
      <c r="Q205" s="3"/>
      <c r="R205" s="3"/>
      <c r="S205" s="3"/>
      <c r="T205" s="3"/>
    </row>
    <row r="206">
      <c r="A206" s="3"/>
      <c r="B206" s="541"/>
      <c r="C206" s="3"/>
      <c r="D206" s="3"/>
      <c r="E206" s="3"/>
      <c r="F206" s="3"/>
      <c r="G206" s="3"/>
      <c r="H206" s="538"/>
      <c r="I206" s="538"/>
      <c r="J206" s="538"/>
      <c r="K206" s="538"/>
      <c r="L206" s="538"/>
      <c r="M206" s="3"/>
      <c r="N206" s="3"/>
      <c r="O206" s="3"/>
      <c r="P206" s="3"/>
      <c r="Q206" s="3"/>
      <c r="R206" s="3"/>
      <c r="S206" s="3"/>
      <c r="T206" s="3"/>
    </row>
    <row r="207">
      <c r="A207" s="3"/>
      <c r="B207" s="541"/>
      <c r="C207" s="3"/>
      <c r="D207" s="3"/>
      <c r="E207" s="3"/>
      <c r="F207" s="3"/>
      <c r="G207" s="3"/>
      <c r="H207" s="538"/>
      <c r="I207" s="538"/>
      <c r="J207" s="538"/>
      <c r="K207" s="538"/>
      <c r="L207" s="538"/>
      <c r="M207" s="3"/>
      <c r="N207" s="3"/>
      <c r="O207" s="3"/>
      <c r="P207" s="3"/>
      <c r="Q207" s="3"/>
      <c r="R207" s="3"/>
      <c r="S207" s="3"/>
      <c r="T207" s="3"/>
    </row>
    <row r="208">
      <c r="A208" s="3"/>
      <c r="B208" s="541"/>
      <c r="C208" s="3"/>
      <c r="D208" s="3"/>
      <c r="E208" s="3"/>
      <c r="F208" s="3"/>
      <c r="G208" s="3"/>
      <c r="H208" s="538"/>
      <c r="I208" s="538"/>
      <c r="J208" s="538"/>
      <c r="K208" s="538"/>
      <c r="L208" s="538"/>
      <c r="M208" s="3"/>
      <c r="N208" s="3"/>
      <c r="O208" s="3"/>
      <c r="P208" s="3"/>
      <c r="Q208" s="3"/>
      <c r="R208" s="3"/>
      <c r="S208" s="3"/>
      <c r="T208" s="3"/>
    </row>
    <row r="209">
      <c r="A209" s="3"/>
      <c r="B209" s="541"/>
      <c r="C209" s="3"/>
      <c r="D209" s="3"/>
      <c r="E209" s="3"/>
      <c r="F209" s="3"/>
      <c r="G209" s="3"/>
      <c r="H209" s="538"/>
      <c r="I209" s="538"/>
      <c r="J209" s="538"/>
      <c r="K209" s="538"/>
      <c r="L209" s="538"/>
      <c r="M209" s="3"/>
      <c r="N209" s="3"/>
      <c r="O209" s="3"/>
      <c r="P209" s="3"/>
      <c r="Q209" s="3"/>
      <c r="R209" s="3"/>
      <c r="S209" s="3"/>
      <c r="T209" s="3"/>
    </row>
    <row r="210">
      <c r="A210" s="3"/>
      <c r="B210" s="541"/>
      <c r="C210" s="3"/>
      <c r="D210" s="3"/>
      <c r="E210" s="3"/>
      <c r="F210" s="3"/>
      <c r="G210" s="3"/>
      <c r="H210" s="538"/>
      <c r="I210" s="538"/>
      <c r="J210" s="538"/>
      <c r="K210" s="538"/>
      <c r="L210" s="538"/>
      <c r="M210" s="3"/>
      <c r="N210" s="3"/>
      <c r="O210" s="3"/>
      <c r="P210" s="3"/>
      <c r="Q210" s="3"/>
      <c r="R210" s="3"/>
      <c r="S210" s="3"/>
      <c r="T210" s="3"/>
    </row>
    <row r="211">
      <c r="A211" s="3"/>
      <c r="B211" s="541"/>
      <c r="C211" s="3"/>
      <c r="D211" s="3"/>
      <c r="E211" s="3"/>
      <c r="F211" s="3"/>
      <c r="G211" s="3"/>
      <c r="H211" s="538"/>
      <c r="I211" s="538"/>
      <c r="J211" s="538"/>
      <c r="K211" s="538"/>
      <c r="L211" s="538"/>
      <c r="M211" s="3"/>
      <c r="N211" s="3"/>
      <c r="O211" s="3"/>
      <c r="P211" s="3"/>
      <c r="Q211" s="3"/>
      <c r="R211" s="3"/>
      <c r="S211" s="3"/>
      <c r="T211" s="3"/>
    </row>
    <row r="212">
      <c r="A212" s="3"/>
      <c r="B212" s="541"/>
      <c r="C212" s="3"/>
      <c r="D212" s="3"/>
      <c r="E212" s="3"/>
      <c r="F212" s="3"/>
      <c r="G212" s="3"/>
      <c r="H212" s="538"/>
      <c r="I212" s="538"/>
      <c r="J212" s="538"/>
      <c r="K212" s="538"/>
      <c r="L212" s="538"/>
      <c r="M212" s="3"/>
      <c r="N212" s="3"/>
      <c r="O212" s="3"/>
      <c r="P212" s="3"/>
      <c r="Q212" s="3"/>
      <c r="R212" s="3"/>
      <c r="S212" s="3"/>
      <c r="T212" s="3"/>
    </row>
    <row r="213">
      <c r="A213" s="3"/>
      <c r="B213" s="541"/>
      <c r="C213" s="3"/>
      <c r="D213" s="3"/>
      <c r="E213" s="3"/>
      <c r="F213" s="3"/>
      <c r="G213" s="3"/>
      <c r="H213" s="538"/>
      <c r="I213" s="538"/>
      <c r="J213" s="538"/>
      <c r="K213" s="538"/>
      <c r="L213" s="538"/>
      <c r="M213" s="3"/>
      <c r="N213" s="3"/>
      <c r="O213" s="3"/>
      <c r="P213" s="3"/>
      <c r="Q213" s="3"/>
      <c r="R213" s="3"/>
      <c r="S213" s="3"/>
      <c r="T213" s="3"/>
    </row>
    <row r="214">
      <c r="A214" s="3"/>
      <c r="B214" s="541"/>
      <c r="C214" s="3"/>
      <c r="D214" s="3"/>
      <c r="E214" s="3"/>
      <c r="F214" s="3"/>
      <c r="G214" s="3"/>
      <c r="H214" s="538"/>
      <c r="I214" s="538"/>
      <c r="J214" s="538"/>
      <c r="K214" s="538"/>
      <c r="L214" s="538"/>
      <c r="M214" s="3"/>
      <c r="N214" s="3"/>
      <c r="O214" s="3"/>
      <c r="P214" s="3"/>
      <c r="Q214" s="3"/>
      <c r="R214" s="3"/>
      <c r="S214" s="3"/>
      <c r="T214" s="3"/>
    </row>
    <row r="215">
      <c r="A215" s="3"/>
      <c r="B215" s="541"/>
      <c r="C215" s="3"/>
      <c r="D215" s="3"/>
      <c r="E215" s="3"/>
      <c r="F215" s="3"/>
      <c r="G215" s="3"/>
      <c r="H215" s="538"/>
      <c r="I215" s="538"/>
      <c r="J215" s="538"/>
      <c r="K215" s="538"/>
      <c r="L215" s="538"/>
      <c r="M215" s="3"/>
      <c r="N215" s="3"/>
      <c r="O215" s="3"/>
      <c r="P215" s="3"/>
      <c r="Q215" s="3"/>
      <c r="R215" s="3"/>
      <c r="S215" s="3"/>
      <c r="T215" s="3"/>
    </row>
    <row r="216">
      <c r="A216" s="3"/>
      <c r="B216" s="541"/>
      <c r="C216" s="3"/>
      <c r="D216" s="3"/>
      <c r="E216" s="3"/>
      <c r="F216" s="3"/>
      <c r="G216" s="3"/>
      <c r="H216" s="538"/>
      <c r="I216" s="538"/>
      <c r="J216" s="538"/>
      <c r="K216" s="538"/>
      <c r="L216" s="538"/>
      <c r="M216" s="3"/>
      <c r="N216" s="3"/>
      <c r="O216" s="3"/>
      <c r="P216" s="3"/>
      <c r="Q216" s="3"/>
      <c r="R216" s="3"/>
      <c r="S216" s="3"/>
      <c r="T216" s="3"/>
    </row>
    <row r="217">
      <c r="A217" s="3"/>
      <c r="B217" s="541"/>
      <c r="C217" s="3"/>
      <c r="D217" s="3"/>
      <c r="E217" s="3"/>
      <c r="F217" s="3"/>
      <c r="G217" s="3"/>
      <c r="H217" s="538"/>
      <c r="I217" s="538"/>
      <c r="J217" s="538"/>
      <c r="K217" s="538"/>
      <c r="L217" s="538"/>
      <c r="M217" s="3"/>
      <c r="N217" s="3"/>
      <c r="O217" s="3"/>
      <c r="P217" s="3"/>
      <c r="Q217" s="3"/>
      <c r="R217" s="3"/>
      <c r="S217" s="3"/>
      <c r="T217" s="3"/>
    </row>
    <row r="218">
      <c r="A218" s="3"/>
      <c r="B218" s="541"/>
      <c r="C218" s="3"/>
      <c r="D218" s="3"/>
      <c r="E218" s="3"/>
      <c r="F218" s="3"/>
      <c r="G218" s="3"/>
      <c r="H218" s="538"/>
      <c r="I218" s="538"/>
      <c r="J218" s="538"/>
      <c r="K218" s="538"/>
      <c r="L218" s="538"/>
      <c r="M218" s="3"/>
      <c r="N218" s="3"/>
      <c r="O218" s="3"/>
      <c r="P218" s="3"/>
      <c r="Q218" s="3"/>
      <c r="R218" s="3"/>
      <c r="S218" s="3"/>
      <c r="T218" s="3"/>
    </row>
    <row r="219">
      <c r="A219" s="3"/>
      <c r="B219" s="541"/>
      <c r="C219" s="3"/>
      <c r="D219" s="3"/>
      <c r="E219" s="3"/>
      <c r="F219" s="3"/>
      <c r="G219" s="3"/>
      <c r="H219" s="538"/>
      <c r="I219" s="538"/>
      <c r="J219" s="538"/>
      <c r="K219" s="538"/>
      <c r="L219" s="538"/>
      <c r="M219" s="3"/>
      <c r="N219" s="3"/>
      <c r="O219" s="3"/>
      <c r="P219" s="3"/>
      <c r="Q219" s="3"/>
      <c r="R219" s="3"/>
      <c r="S219" s="3"/>
      <c r="T219" s="3"/>
    </row>
    <row r="220">
      <c r="A220" s="3"/>
      <c r="B220" s="541"/>
      <c r="C220" s="3"/>
      <c r="D220" s="3"/>
      <c r="E220" s="3"/>
      <c r="F220" s="3"/>
      <c r="G220" s="3"/>
      <c r="H220" s="538"/>
      <c r="I220" s="538"/>
      <c r="J220" s="538"/>
      <c r="K220" s="538"/>
      <c r="L220" s="538"/>
      <c r="M220" s="3"/>
      <c r="N220" s="3"/>
      <c r="O220" s="3"/>
      <c r="P220" s="3"/>
      <c r="Q220" s="3"/>
      <c r="R220" s="3"/>
      <c r="S220" s="3"/>
      <c r="T220" s="3"/>
    </row>
    <row r="221">
      <c r="A221" s="3"/>
      <c r="B221" s="541"/>
      <c r="C221" s="3"/>
      <c r="D221" s="3"/>
      <c r="E221" s="3"/>
      <c r="F221" s="3"/>
      <c r="G221" s="3"/>
      <c r="H221" s="538"/>
      <c r="I221" s="538"/>
      <c r="J221" s="538"/>
      <c r="K221" s="538"/>
      <c r="L221" s="538"/>
      <c r="M221" s="3"/>
      <c r="N221" s="3"/>
      <c r="O221" s="3"/>
      <c r="P221" s="3"/>
      <c r="Q221" s="3"/>
      <c r="R221" s="3"/>
      <c r="S221" s="3"/>
      <c r="T221" s="3"/>
    </row>
    <row r="222">
      <c r="A222" s="3"/>
      <c r="B222" s="541"/>
      <c r="C222" s="3"/>
      <c r="D222" s="3"/>
      <c r="E222" s="3"/>
      <c r="F222" s="3"/>
      <c r="G222" s="3"/>
      <c r="H222" s="538"/>
      <c r="I222" s="538"/>
      <c r="J222" s="538"/>
      <c r="K222" s="538"/>
      <c r="L222" s="538"/>
      <c r="M222" s="3"/>
      <c r="N222" s="3"/>
      <c r="O222" s="3"/>
      <c r="P222" s="3"/>
      <c r="Q222" s="3"/>
      <c r="R222" s="3"/>
      <c r="S222" s="3"/>
      <c r="T222" s="3"/>
    </row>
    <row r="223">
      <c r="A223" s="3"/>
      <c r="B223" s="541"/>
      <c r="C223" s="3"/>
      <c r="D223" s="3"/>
      <c r="E223" s="3"/>
      <c r="F223" s="3"/>
      <c r="G223" s="3"/>
      <c r="H223" s="538"/>
      <c r="I223" s="538"/>
      <c r="J223" s="538"/>
      <c r="K223" s="538"/>
      <c r="L223" s="538"/>
      <c r="M223" s="3"/>
      <c r="N223" s="3"/>
      <c r="O223" s="3"/>
      <c r="P223" s="3"/>
      <c r="Q223" s="3"/>
      <c r="R223" s="3"/>
      <c r="S223" s="3"/>
      <c r="T223" s="3"/>
    </row>
    <row r="224">
      <c r="A224" s="3"/>
      <c r="B224" s="541"/>
      <c r="C224" s="3"/>
      <c r="D224" s="3"/>
      <c r="E224" s="3"/>
      <c r="F224" s="3"/>
      <c r="G224" s="3"/>
      <c r="H224" s="538"/>
      <c r="I224" s="538"/>
      <c r="J224" s="538"/>
      <c r="K224" s="538"/>
      <c r="L224" s="538"/>
      <c r="M224" s="3"/>
      <c r="N224" s="3"/>
      <c r="O224" s="3"/>
      <c r="P224" s="3"/>
      <c r="Q224" s="3"/>
      <c r="R224" s="3"/>
      <c r="S224" s="3"/>
      <c r="T224" s="3"/>
    </row>
    <row r="225">
      <c r="A225" s="3"/>
      <c r="B225" s="541"/>
      <c r="C225" s="3"/>
      <c r="D225" s="3"/>
      <c r="E225" s="3"/>
      <c r="F225" s="3"/>
      <c r="G225" s="3"/>
      <c r="H225" s="538"/>
      <c r="I225" s="538"/>
      <c r="J225" s="538"/>
      <c r="K225" s="538"/>
      <c r="L225" s="538"/>
      <c r="M225" s="3"/>
      <c r="N225" s="3"/>
      <c r="O225" s="3"/>
      <c r="P225" s="3"/>
      <c r="Q225" s="3"/>
      <c r="R225" s="3"/>
      <c r="S225" s="3"/>
      <c r="T225" s="3"/>
    </row>
    <row r="226">
      <c r="A226" s="3"/>
      <c r="B226" s="541"/>
      <c r="C226" s="3"/>
      <c r="D226" s="3"/>
      <c r="E226" s="3"/>
      <c r="F226" s="3"/>
      <c r="G226" s="3"/>
      <c r="H226" s="538"/>
      <c r="I226" s="538"/>
      <c r="J226" s="538"/>
      <c r="K226" s="538"/>
      <c r="L226" s="538"/>
      <c r="M226" s="3"/>
      <c r="N226" s="3"/>
      <c r="O226" s="3"/>
      <c r="P226" s="3"/>
      <c r="Q226" s="3"/>
      <c r="R226" s="3"/>
      <c r="S226" s="3"/>
      <c r="T226" s="3"/>
    </row>
    <row r="227">
      <c r="A227" s="3"/>
      <c r="B227" s="541"/>
      <c r="C227" s="3"/>
      <c r="D227" s="3"/>
      <c r="E227" s="3"/>
      <c r="F227" s="3"/>
      <c r="G227" s="3"/>
      <c r="H227" s="538"/>
      <c r="I227" s="538"/>
      <c r="J227" s="538"/>
      <c r="K227" s="538"/>
      <c r="L227" s="538"/>
      <c r="M227" s="3"/>
      <c r="N227" s="3"/>
      <c r="O227" s="3"/>
      <c r="P227" s="3"/>
      <c r="Q227" s="3"/>
      <c r="R227" s="3"/>
      <c r="S227" s="3"/>
      <c r="T227" s="3"/>
    </row>
    <row r="228">
      <c r="A228" s="3"/>
      <c r="B228" s="541"/>
      <c r="C228" s="3"/>
      <c r="D228" s="3"/>
      <c r="E228" s="3"/>
      <c r="F228" s="3"/>
      <c r="G228" s="3"/>
      <c r="H228" s="538"/>
      <c r="I228" s="538"/>
      <c r="J228" s="538"/>
      <c r="K228" s="538"/>
      <c r="L228" s="538"/>
      <c r="M228" s="3"/>
      <c r="N228" s="3"/>
      <c r="O228" s="3"/>
      <c r="P228" s="3"/>
      <c r="Q228" s="3"/>
      <c r="R228" s="3"/>
      <c r="S228" s="3"/>
      <c r="T228" s="3"/>
    </row>
    <row r="229">
      <c r="A229" s="3"/>
      <c r="B229" s="541"/>
      <c r="C229" s="3"/>
      <c r="D229" s="3"/>
      <c r="E229" s="3"/>
      <c r="F229" s="3"/>
      <c r="G229" s="3"/>
      <c r="H229" s="538"/>
      <c r="I229" s="538"/>
      <c r="J229" s="538"/>
      <c r="K229" s="538"/>
      <c r="L229" s="538"/>
      <c r="M229" s="3"/>
      <c r="N229" s="3"/>
      <c r="O229" s="3"/>
      <c r="P229" s="3"/>
      <c r="Q229" s="3"/>
      <c r="R229" s="3"/>
      <c r="S229" s="3"/>
      <c r="T229" s="3"/>
    </row>
    <row r="230">
      <c r="A230" s="3"/>
      <c r="B230" s="541"/>
      <c r="C230" s="3"/>
      <c r="D230" s="3"/>
      <c r="E230" s="3"/>
      <c r="F230" s="3"/>
      <c r="G230" s="3"/>
      <c r="H230" s="538"/>
      <c r="I230" s="538"/>
      <c r="J230" s="538"/>
      <c r="K230" s="538"/>
      <c r="L230" s="538"/>
      <c r="M230" s="3"/>
      <c r="N230" s="3"/>
      <c r="O230" s="3"/>
      <c r="P230" s="3"/>
      <c r="Q230" s="3"/>
      <c r="R230" s="3"/>
      <c r="S230" s="3"/>
      <c r="T230" s="3"/>
    </row>
    <row r="231">
      <c r="A231" s="3"/>
      <c r="B231" s="541"/>
      <c r="C231" s="3"/>
      <c r="D231" s="3"/>
      <c r="E231" s="3"/>
      <c r="F231" s="3"/>
      <c r="G231" s="3"/>
      <c r="H231" s="538"/>
      <c r="I231" s="538"/>
      <c r="J231" s="538"/>
      <c r="K231" s="538"/>
      <c r="L231" s="538"/>
      <c r="M231" s="3"/>
      <c r="N231" s="3"/>
      <c r="O231" s="3"/>
      <c r="P231" s="3"/>
      <c r="Q231" s="3"/>
      <c r="R231" s="3"/>
      <c r="S231" s="3"/>
      <c r="T231" s="3"/>
    </row>
    <row r="232">
      <c r="A232" s="3"/>
      <c r="B232" s="541"/>
      <c r="C232" s="3"/>
      <c r="D232" s="3"/>
      <c r="E232" s="3"/>
      <c r="F232" s="3"/>
      <c r="G232" s="3"/>
      <c r="H232" s="538"/>
      <c r="I232" s="538"/>
      <c r="J232" s="538"/>
      <c r="K232" s="538"/>
      <c r="L232" s="538"/>
      <c r="M232" s="3"/>
      <c r="N232" s="3"/>
      <c r="O232" s="3"/>
      <c r="P232" s="3"/>
      <c r="Q232" s="3"/>
      <c r="R232" s="3"/>
      <c r="S232" s="3"/>
      <c r="T232" s="3"/>
    </row>
    <row r="233">
      <c r="A233" s="3"/>
      <c r="B233" s="541"/>
      <c r="C233" s="3"/>
      <c r="D233" s="3"/>
      <c r="E233" s="3"/>
      <c r="F233" s="3"/>
      <c r="G233" s="3"/>
      <c r="H233" s="538"/>
      <c r="I233" s="538"/>
      <c r="J233" s="538"/>
      <c r="K233" s="538"/>
      <c r="L233" s="538"/>
      <c r="M233" s="3"/>
      <c r="N233" s="3"/>
      <c r="O233" s="3"/>
      <c r="P233" s="3"/>
      <c r="Q233" s="3"/>
      <c r="R233" s="3"/>
      <c r="S233" s="3"/>
      <c r="T233" s="3"/>
    </row>
    <row r="234">
      <c r="A234" s="3"/>
      <c r="B234" s="541"/>
      <c r="C234" s="3"/>
      <c r="D234" s="3"/>
      <c r="E234" s="3"/>
      <c r="F234" s="3"/>
      <c r="G234" s="3"/>
      <c r="H234" s="538"/>
      <c r="I234" s="538"/>
      <c r="J234" s="538"/>
      <c r="K234" s="538"/>
      <c r="L234" s="538"/>
      <c r="M234" s="3"/>
      <c r="N234" s="3"/>
      <c r="O234" s="3"/>
      <c r="P234" s="3"/>
      <c r="Q234" s="3"/>
      <c r="R234" s="3"/>
      <c r="S234" s="3"/>
      <c r="T234" s="3"/>
    </row>
    <row r="235">
      <c r="A235" s="3"/>
      <c r="B235" s="541"/>
      <c r="C235" s="3"/>
      <c r="D235" s="3"/>
      <c r="E235" s="3"/>
      <c r="F235" s="3"/>
      <c r="G235" s="3"/>
      <c r="H235" s="538"/>
      <c r="I235" s="538"/>
      <c r="J235" s="538"/>
      <c r="K235" s="538"/>
      <c r="L235" s="538"/>
      <c r="M235" s="3"/>
      <c r="N235" s="3"/>
      <c r="O235" s="3"/>
      <c r="P235" s="3"/>
      <c r="Q235" s="3"/>
      <c r="R235" s="3"/>
      <c r="S235" s="3"/>
      <c r="T235" s="3"/>
    </row>
    <row r="236">
      <c r="A236" s="3"/>
      <c r="B236" s="541"/>
      <c r="C236" s="3"/>
      <c r="D236" s="3"/>
      <c r="E236" s="3"/>
      <c r="F236" s="3"/>
      <c r="G236" s="3"/>
      <c r="H236" s="538"/>
      <c r="I236" s="538"/>
      <c r="J236" s="538"/>
      <c r="K236" s="538"/>
      <c r="L236" s="538"/>
      <c r="M236" s="3"/>
      <c r="N236" s="3"/>
      <c r="O236" s="3"/>
      <c r="P236" s="3"/>
      <c r="Q236" s="3"/>
      <c r="R236" s="3"/>
      <c r="S236" s="3"/>
      <c r="T236" s="3"/>
    </row>
    <row r="237">
      <c r="A237" s="3"/>
      <c r="B237" s="541"/>
      <c r="C237" s="3"/>
      <c r="D237" s="3"/>
      <c r="E237" s="3"/>
      <c r="F237" s="3"/>
      <c r="G237" s="3"/>
      <c r="H237" s="538"/>
      <c r="I237" s="538"/>
      <c r="J237" s="538"/>
      <c r="K237" s="538"/>
      <c r="L237" s="538"/>
      <c r="M237" s="3"/>
      <c r="N237" s="3"/>
      <c r="O237" s="3"/>
      <c r="P237" s="3"/>
      <c r="Q237" s="3"/>
      <c r="R237" s="3"/>
      <c r="S237" s="3"/>
      <c r="T237" s="3"/>
    </row>
    <row r="238">
      <c r="A238" s="3"/>
      <c r="B238" s="541"/>
      <c r="C238" s="3"/>
      <c r="D238" s="3"/>
      <c r="E238" s="3"/>
      <c r="F238" s="3"/>
      <c r="G238" s="3"/>
      <c r="H238" s="538"/>
      <c r="I238" s="538"/>
      <c r="J238" s="538"/>
      <c r="K238" s="538"/>
      <c r="L238" s="538"/>
      <c r="M238" s="3"/>
      <c r="N238" s="3"/>
      <c r="O238" s="3"/>
      <c r="P238" s="3"/>
      <c r="Q238" s="3"/>
      <c r="R238" s="3"/>
      <c r="S238" s="3"/>
      <c r="T238" s="3"/>
    </row>
    <row r="239">
      <c r="A239" s="3"/>
      <c r="B239" s="541"/>
      <c r="C239" s="3"/>
      <c r="D239" s="3"/>
      <c r="E239" s="3"/>
      <c r="F239" s="3"/>
      <c r="G239" s="3"/>
      <c r="H239" s="538"/>
      <c r="I239" s="538"/>
      <c r="J239" s="538"/>
      <c r="K239" s="538"/>
      <c r="L239" s="538"/>
      <c r="M239" s="3"/>
      <c r="N239" s="3"/>
      <c r="O239" s="3"/>
      <c r="P239" s="3"/>
      <c r="Q239" s="3"/>
      <c r="R239" s="3"/>
      <c r="S239" s="3"/>
      <c r="T239" s="3"/>
    </row>
    <row r="240">
      <c r="A240" s="3"/>
      <c r="B240" s="541"/>
      <c r="C240" s="3"/>
      <c r="D240" s="3"/>
      <c r="E240" s="3"/>
      <c r="F240" s="3"/>
      <c r="G240" s="3"/>
      <c r="H240" s="538"/>
      <c r="I240" s="538"/>
      <c r="J240" s="538"/>
      <c r="K240" s="538"/>
      <c r="L240" s="538"/>
      <c r="M240" s="3"/>
      <c r="N240" s="3"/>
      <c r="O240" s="3"/>
      <c r="P240" s="3"/>
      <c r="Q240" s="3"/>
      <c r="R240" s="3"/>
      <c r="S240" s="3"/>
      <c r="T240" s="3"/>
    </row>
    <row r="241">
      <c r="A241" s="3"/>
      <c r="B241" s="541"/>
      <c r="C241" s="3"/>
      <c r="D241" s="3"/>
      <c r="E241" s="3"/>
      <c r="F241" s="3"/>
      <c r="G241" s="3"/>
      <c r="H241" s="538"/>
      <c r="I241" s="538"/>
      <c r="J241" s="538"/>
      <c r="K241" s="538"/>
      <c r="L241" s="538"/>
      <c r="M241" s="3"/>
      <c r="N241" s="3"/>
      <c r="O241" s="3"/>
      <c r="P241" s="3"/>
      <c r="Q241" s="3"/>
      <c r="R241" s="3"/>
      <c r="S241" s="3"/>
      <c r="T241" s="3"/>
    </row>
    <row r="242">
      <c r="A242" s="3"/>
      <c r="B242" s="541"/>
      <c r="C242" s="3"/>
      <c r="D242" s="3"/>
      <c r="E242" s="3"/>
      <c r="F242" s="3"/>
      <c r="G242" s="3"/>
      <c r="H242" s="538"/>
      <c r="I242" s="538"/>
      <c r="J242" s="538"/>
      <c r="K242" s="538"/>
      <c r="L242" s="538"/>
      <c r="M242" s="3"/>
      <c r="N242" s="3"/>
      <c r="O242" s="3"/>
      <c r="P242" s="3"/>
      <c r="Q242" s="3"/>
      <c r="R242" s="3"/>
      <c r="S242" s="3"/>
      <c r="T242" s="3"/>
    </row>
    <row r="243">
      <c r="A243" s="3"/>
      <c r="B243" s="541"/>
      <c r="C243" s="3"/>
      <c r="D243" s="3"/>
      <c r="E243" s="3"/>
      <c r="F243" s="3"/>
      <c r="G243" s="3"/>
      <c r="H243" s="538"/>
      <c r="I243" s="538"/>
      <c r="J243" s="538"/>
      <c r="K243" s="538"/>
      <c r="L243" s="538"/>
      <c r="M243" s="3"/>
      <c r="N243" s="3"/>
      <c r="O243" s="3"/>
      <c r="P243" s="3"/>
      <c r="Q243" s="3"/>
      <c r="R243" s="3"/>
      <c r="S243" s="3"/>
      <c r="T243" s="3"/>
    </row>
    <row r="244">
      <c r="A244" s="3"/>
      <c r="B244" s="541"/>
      <c r="C244" s="3"/>
      <c r="D244" s="3"/>
      <c r="E244" s="3"/>
      <c r="F244" s="3"/>
      <c r="G244" s="3"/>
      <c r="H244" s="538"/>
      <c r="I244" s="538"/>
      <c r="J244" s="538"/>
      <c r="K244" s="538"/>
      <c r="L244" s="538"/>
      <c r="M244" s="3"/>
      <c r="N244" s="3"/>
      <c r="O244" s="3"/>
      <c r="P244" s="3"/>
      <c r="Q244" s="3"/>
      <c r="R244" s="3"/>
      <c r="S244" s="3"/>
      <c r="T244" s="3"/>
    </row>
    <row r="245">
      <c r="A245" s="3"/>
      <c r="B245" s="539"/>
      <c r="C245" s="3"/>
      <c r="D245" s="3"/>
      <c r="E245" s="3"/>
      <c r="F245" s="3"/>
      <c r="G245" s="3"/>
      <c r="H245" s="538"/>
      <c r="I245" s="538"/>
      <c r="J245" s="538"/>
      <c r="K245" s="538"/>
      <c r="L245" s="538"/>
      <c r="M245" s="3"/>
      <c r="N245" s="3"/>
      <c r="O245" s="3"/>
      <c r="P245" s="3"/>
      <c r="Q245" s="3"/>
      <c r="R245" s="3"/>
      <c r="S245" s="3"/>
      <c r="T245" s="3"/>
    </row>
    <row r="246">
      <c r="A246" s="3"/>
      <c r="B246" s="539"/>
      <c r="C246" s="3"/>
      <c r="D246" s="3"/>
      <c r="E246" s="3"/>
      <c r="F246" s="3"/>
      <c r="G246" s="3"/>
      <c r="H246" s="538"/>
      <c r="I246" s="538"/>
      <c r="J246" s="538"/>
      <c r="K246" s="538"/>
      <c r="L246" s="538"/>
      <c r="M246" s="3"/>
      <c r="N246" s="3"/>
      <c r="O246" s="3"/>
      <c r="P246" s="3"/>
      <c r="Q246" s="3"/>
      <c r="R246" s="3"/>
      <c r="S246" s="3"/>
      <c r="T246" s="3"/>
    </row>
    <row r="247">
      <c r="A247" s="3"/>
      <c r="B247" s="539"/>
      <c r="C247" s="3"/>
      <c r="D247" s="3"/>
      <c r="E247" s="3"/>
      <c r="F247" s="3"/>
      <c r="G247" s="3"/>
      <c r="H247" s="538"/>
      <c r="I247" s="538"/>
      <c r="J247" s="538"/>
      <c r="K247" s="538"/>
      <c r="L247" s="538"/>
      <c r="M247" s="3"/>
      <c r="N247" s="3"/>
      <c r="O247" s="3"/>
      <c r="P247" s="3"/>
      <c r="Q247" s="3"/>
      <c r="R247" s="3"/>
      <c r="S247" s="3"/>
      <c r="T247" s="3"/>
    </row>
    <row r="248">
      <c r="A248" s="3"/>
      <c r="B248" s="539"/>
      <c r="C248" s="3"/>
      <c r="D248" s="3"/>
      <c r="E248" s="3"/>
      <c r="F248" s="3"/>
      <c r="G248" s="3"/>
      <c r="H248" s="538"/>
      <c r="I248" s="538"/>
      <c r="J248" s="538"/>
      <c r="K248" s="538"/>
      <c r="L248" s="538"/>
      <c r="M248" s="3"/>
      <c r="N248" s="3"/>
      <c r="O248" s="3"/>
      <c r="P248" s="3"/>
      <c r="Q248" s="3"/>
      <c r="R248" s="3"/>
      <c r="S248" s="3"/>
      <c r="T248" s="3"/>
    </row>
    <row r="249">
      <c r="A249" s="3"/>
      <c r="B249" s="539"/>
      <c r="C249" s="3"/>
      <c r="D249" s="3"/>
      <c r="E249" s="3"/>
      <c r="F249" s="3"/>
      <c r="G249" s="3"/>
      <c r="H249" s="538"/>
      <c r="I249" s="538"/>
      <c r="J249" s="538"/>
      <c r="K249" s="538"/>
      <c r="L249" s="538"/>
      <c r="M249" s="3"/>
      <c r="N249" s="3"/>
      <c r="O249" s="3"/>
      <c r="P249" s="3"/>
      <c r="Q249" s="3"/>
      <c r="R249" s="3"/>
      <c r="S249" s="3"/>
      <c r="T249" s="3"/>
    </row>
    <row r="250">
      <c r="A250" s="3"/>
      <c r="B250" s="539"/>
      <c r="C250" s="3"/>
      <c r="D250" s="3"/>
      <c r="E250" s="3"/>
      <c r="F250" s="3"/>
      <c r="G250" s="3"/>
      <c r="H250" s="538"/>
      <c r="I250" s="538"/>
      <c r="J250" s="538"/>
      <c r="K250" s="538"/>
      <c r="L250" s="538"/>
      <c r="M250" s="3"/>
      <c r="N250" s="3"/>
      <c r="O250" s="3"/>
      <c r="P250" s="3"/>
      <c r="Q250" s="3"/>
      <c r="R250" s="3"/>
      <c r="S250" s="3"/>
      <c r="T250" s="3"/>
    </row>
    <row r="251">
      <c r="A251" s="3"/>
      <c r="B251" s="539"/>
      <c r="C251" s="3"/>
      <c r="D251" s="3"/>
      <c r="E251" s="3"/>
      <c r="F251" s="3"/>
      <c r="G251" s="3"/>
      <c r="H251" s="538"/>
      <c r="I251" s="538"/>
      <c r="J251" s="538"/>
      <c r="K251" s="538"/>
      <c r="L251" s="538"/>
      <c r="M251" s="3"/>
      <c r="N251" s="3"/>
      <c r="O251" s="3"/>
      <c r="P251" s="3"/>
      <c r="Q251" s="3"/>
      <c r="R251" s="3"/>
      <c r="S251" s="3"/>
      <c r="T251" s="3"/>
    </row>
    <row r="252">
      <c r="A252" s="3"/>
      <c r="B252" s="539"/>
      <c r="C252" s="3"/>
      <c r="D252" s="3"/>
      <c r="E252" s="3"/>
      <c r="F252" s="3"/>
      <c r="G252" s="3"/>
      <c r="H252" s="538"/>
      <c r="I252" s="538"/>
      <c r="J252" s="538"/>
      <c r="K252" s="538"/>
      <c r="L252" s="538"/>
      <c r="M252" s="3"/>
      <c r="N252" s="3"/>
      <c r="O252" s="3"/>
      <c r="P252" s="3"/>
      <c r="Q252" s="3"/>
      <c r="R252" s="3"/>
      <c r="S252" s="3"/>
      <c r="T252" s="3"/>
    </row>
    <row r="253">
      <c r="A253" s="3"/>
      <c r="B253" s="539"/>
      <c r="C253" s="3"/>
      <c r="D253" s="3"/>
      <c r="E253" s="3"/>
      <c r="F253" s="3"/>
      <c r="G253" s="3"/>
      <c r="H253" s="538"/>
      <c r="I253" s="538"/>
      <c r="J253" s="538"/>
      <c r="K253" s="538"/>
      <c r="L253" s="538"/>
      <c r="M253" s="3"/>
      <c r="N253" s="3"/>
      <c r="O253" s="3"/>
      <c r="P253" s="3"/>
      <c r="Q253" s="3"/>
      <c r="R253" s="3"/>
      <c r="S253" s="3"/>
      <c r="T253" s="3"/>
    </row>
    <row r="254">
      <c r="A254" s="3"/>
      <c r="B254" s="539"/>
      <c r="C254" s="3"/>
      <c r="D254" s="3"/>
      <c r="E254" s="3"/>
      <c r="F254" s="3"/>
      <c r="G254" s="3"/>
      <c r="H254" s="538"/>
      <c r="I254" s="538"/>
      <c r="J254" s="538"/>
      <c r="K254" s="538"/>
      <c r="L254" s="538"/>
      <c r="M254" s="3"/>
      <c r="N254" s="3"/>
      <c r="O254" s="3"/>
      <c r="P254" s="3"/>
      <c r="Q254" s="3"/>
      <c r="R254" s="3"/>
      <c r="S254" s="3"/>
      <c r="T254" s="3"/>
    </row>
    <row r="255">
      <c r="A255" s="3"/>
      <c r="B255" s="539"/>
      <c r="C255" s="3"/>
      <c r="D255" s="3"/>
      <c r="E255" s="3"/>
      <c r="F255" s="3"/>
      <c r="G255" s="3"/>
      <c r="H255" s="538"/>
      <c r="I255" s="538"/>
      <c r="J255" s="538"/>
      <c r="K255" s="538"/>
      <c r="L255" s="538"/>
      <c r="M255" s="3"/>
      <c r="N255" s="3"/>
      <c r="O255" s="3"/>
      <c r="P255" s="3"/>
      <c r="Q255" s="3"/>
      <c r="R255" s="3"/>
      <c r="S255" s="3"/>
      <c r="T255" s="3"/>
    </row>
    <row r="256">
      <c r="A256" s="3"/>
      <c r="B256" s="539"/>
      <c r="C256" s="3"/>
      <c r="D256" s="3"/>
      <c r="E256" s="3"/>
      <c r="F256" s="3"/>
      <c r="G256" s="3"/>
      <c r="H256" s="538"/>
      <c r="I256" s="538"/>
      <c r="J256" s="538"/>
      <c r="K256" s="538"/>
      <c r="L256" s="538"/>
      <c r="M256" s="3"/>
      <c r="N256" s="3"/>
      <c r="O256" s="3"/>
      <c r="P256" s="3"/>
      <c r="Q256" s="3"/>
      <c r="R256" s="3"/>
      <c r="S256" s="3"/>
      <c r="T256" s="3"/>
    </row>
    <row r="257">
      <c r="A257" s="3"/>
      <c r="B257" s="539"/>
      <c r="C257" s="3"/>
      <c r="D257" s="3"/>
      <c r="E257" s="3"/>
      <c r="F257" s="3"/>
      <c r="G257" s="3"/>
      <c r="H257" s="538"/>
      <c r="I257" s="538"/>
      <c r="J257" s="538"/>
      <c r="K257" s="538"/>
      <c r="L257" s="538"/>
      <c r="M257" s="3"/>
      <c r="N257" s="3"/>
      <c r="O257" s="3"/>
      <c r="P257" s="3"/>
      <c r="Q257" s="3"/>
      <c r="R257" s="3"/>
      <c r="S257" s="3"/>
      <c r="T257" s="3"/>
    </row>
    <row r="258">
      <c r="A258" s="3"/>
      <c r="B258" s="539"/>
      <c r="C258" s="3"/>
      <c r="D258" s="3"/>
      <c r="E258" s="3"/>
      <c r="F258" s="3"/>
      <c r="G258" s="3"/>
      <c r="H258" s="538"/>
      <c r="I258" s="538"/>
      <c r="J258" s="538"/>
      <c r="K258" s="538"/>
      <c r="L258" s="538"/>
      <c r="M258" s="3"/>
      <c r="N258" s="3"/>
      <c r="O258" s="3"/>
      <c r="P258" s="3"/>
      <c r="Q258" s="3"/>
      <c r="R258" s="3"/>
      <c r="S258" s="3"/>
      <c r="T258" s="3"/>
    </row>
    <row r="259">
      <c r="A259" s="3"/>
      <c r="B259" s="539"/>
      <c r="C259" s="3"/>
      <c r="D259" s="3"/>
      <c r="E259" s="3"/>
      <c r="F259" s="3"/>
      <c r="G259" s="3"/>
      <c r="H259" s="538"/>
      <c r="I259" s="538"/>
      <c r="J259" s="538"/>
      <c r="K259" s="538"/>
      <c r="L259" s="538"/>
      <c r="M259" s="3"/>
      <c r="N259" s="3"/>
      <c r="O259" s="3"/>
      <c r="P259" s="3"/>
      <c r="Q259" s="3"/>
      <c r="R259" s="3"/>
      <c r="S259" s="3"/>
      <c r="T259" s="3"/>
    </row>
    <row r="260">
      <c r="A260" s="3"/>
      <c r="B260" s="539"/>
      <c r="C260" s="3"/>
      <c r="D260" s="3"/>
      <c r="E260" s="3"/>
      <c r="F260" s="3"/>
      <c r="G260" s="3"/>
      <c r="H260" s="538"/>
      <c r="I260" s="538"/>
      <c r="J260" s="538"/>
      <c r="K260" s="538"/>
      <c r="L260" s="538"/>
      <c r="M260" s="3"/>
      <c r="N260" s="3"/>
      <c r="O260" s="3"/>
      <c r="P260" s="3"/>
      <c r="Q260" s="3"/>
      <c r="R260" s="3"/>
      <c r="S260" s="3"/>
      <c r="T260" s="3"/>
    </row>
    <row r="261">
      <c r="A261" s="3"/>
      <c r="B261" s="539"/>
      <c r="C261" s="3"/>
      <c r="D261" s="3"/>
      <c r="E261" s="3"/>
      <c r="F261" s="3"/>
      <c r="G261" s="3"/>
      <c r="H261" s="538"/>
      <c r="I261" s="538"/>
      <c r="J261" s="538"/>
      <c r="K261" s="538"/>
      <c r="L261" s="538"/>
      <c r="M261" s="3"/>
      <c r="N261" s="3"/>
      <c r="O261" s="3"/>
      <c r="P261" s="3"/>
      <c r="Q261" s="3"/>
      <c r="R261" s="3"/>
      <c r="S261" s="3"/>
      <c r="T261" s="3"/>
    </row>
    <row r="262">
      <c r="A262" s="3"/>
      <c r="B262" s="539"/>
      <c r="C262" s="3"/>
      <c r="D262" s="3"/>
      <c r="E262" s="3"/>
      <c r="F262" s="3"/>
      <c r="G262" s="3"/>
      <c r="H262" s="538"/>
      <c r="I262" s="538"/>
      <c r="J262" s="538"/>
      <c r="K262" s="538"/>
      <c r="L262" s="538"/>
      <c r="M262" s="3"/>
      <c r="N262" s="3"/>
      <c r="O262" s="3"/>
      <c r="P262" s="3"/>
      <c r="Q262" s="3"/>
      <c r="R262" s="3"/>
      <c r="S262" s="3"/>
      <c r="T262" s="3"/>
    </row>
    <row r="263">
      <c r="A263" s="3"/>
      <c r="B263" s="539"/>
      <c r="C263" s="3"/>
      <c r="D263" s="3"/>
      <c r="E263" s="3"/>
      <c r="F263" s="3"/>
      <c r="G263" s="3"/>
      <c r="H263" s="538"/>
      <c r="I263" s="538"/>
      <c r="J263" s="538"/>
      <c r="K263" s="538"/>
      <c r="L263" s="538"/>
      <c r="M263" s="3"/>
      <c r="N263" s="3"/>
      <c r="O263" s="3"/>
      <c r="P263" s="3"/>
      <c r="Q263" s="3"/>
      <c r="R263" s="3"/>
      <c r="S263" s="3"/>
      <c r="T263" s="3"/>
    </row>
    <row r="264">
      <c r="A264" s="3"/>
      <c r="B264" s="539"/>
      <c r="C264" s="3"/>
      <c r="D264" s="3"/>
      <c r="E264" s="3"/>
      <c r="F264" s="3"/>
      <c r="G264" s="3"/>
      <c r="H264" s="538"/>
      <c r="I264" s="538"/>
      <c r="J264" s="538"/>
      <c r="K264" s="538"/>
      <c r="L264" s="538"/>
      <c r="M264" s="3"/>
      <c r="N264" s="3"/>
      <c r="O264" s="3"/>
      <c r="P264" s="3"/>
      <c r="Q264" s="3"/>
      <c r="R264" s="3"/>
      <c r="S264" s="3"/>
      <c r="T264" s="3"/>
    </row>
    <row r="265">
      <c r="A265" s="3"/>
      <c r="B265" s="539"/>
      <c r="C265" s="3"/>
      <c r="D265" s="3"/>
      <c r="E265" s="3"/>
      <c r="F265" s="3"/>
      <c r="G265" s="3"/>
      <c r="H265" s="538"/>
      <c r="I265" s="538"/>
      <c r="J265" s="538"/>
      <c r="K265" s="538"/>
      <c r="L265" s="538"/>
      <c r="M265" s="3"/>
      <c r="N265" s="3"/>
      <c r="O265" s="3"/>
      <c r="P265" s="3"/>
      <c r="Q265" s="3"/>
      <c r="R265" s="3"/>
      <c r="S265" s="3"/>
      <c r="T265" s="3"/>
    </row>
    <row r="266">
      <c r="A266" s="3"/>
      <c r="B266" s="539"/>
      <c r="C266" s="3"/>
      <c r="D266" s="3"/>
      <c r="E266" s="3"/>
      <c r="F266" s="3"/>
      <c r="G266" s="3"/>
      <c r="H266" s="538"/>
      <c r="I266" s="538"/>
      <c r="J266" s="538"/>
      <c r="K266" s="538"/>
      <c r="L266" s="538"/>
      <c r="M266" s="3"/>
      <c r="N266" s="3"/>
      <c r="O266" s="3"/>
      <c r="P266" s="3"/>
      <c r="Q266" s="3"/>
      <c r="R266" s="3"/>
      <c r="S266" s="3"/>
      <c r="T266" s="3"/>
    </row>
    <row r="267">
      <c r="A267" s="3"/>
      <c r="B267" s="539"/>
      <c r="C267" s="3"/>
      <c r="D267" s="3"/>
      <c r="E267" s="3"/>
      <c r="F267" s="3"/>
      <c r="G267" s="3"/>
      <c r="H267" s="538"/>
      <c r="I267" s="538"/>
      <c r="J267" s="538"/>
      <c r="K267" s="538"/>
      <c r="L267" s="538"/>
      <c r="M267" s="3"/>
      <c r="N267" s="3"/>
      <c r="O267" s="3"/>
      <c r="P267" s="3"/>
      <c r="Q267" s="3"/>
      <c r="R267" s="3"/>
      <c r="S267" s="3"/>
      <c r="T267" s="3"/>
    </row>
    <row r="268">
      <c r="A268" s="3"/>
      <c r="B268" s="539"/>
      <c r="C268" s="3"/>
      <c r="D268" s="3"/>
      <c r="E268" s="3"/>
      <c r="F268" s="3"/>
      <c r="G268" s="3"/>
      <c r="H268" s="538"/>
      <c r="I268" s="538"/>
      <c r="J268" s="538"/>
      <c r="K268" s="538"/>
      <c r="L268" s="538"/>
      <c r="M268" s="3"/>
      <c r="N268" s="3"/>
      <c r="O268" s="3"/>
      <c r="P268" s="3"/>
      <c r="Q268" s="3"/>
      <c r="R268" s="3"/>
      <c r="S268" s="3"/>
      <c r="T268" s="3"/>
    </row>
    <row r="269">
      <c r="A269" s="3"/>
      <c r="B269" s="539"/>
      <c r="C269" s="3"/>
      <c r="D269" s="3"/>
      <c r="E269" s="3"/>
      <c r="F269" s="3"/>
      <c r="G269" s="3"/>
      <c r="H269" s="538"/>
      <c r="I269" s="538"/>
      <c r="J269" s="538"/>
      <c r="K269" s="538"/>
      <c r="L269" s="538"/>
      <c r="M269" s="3"/>
      <c r="N269" s="3"/>
      <c r="O269" s="3"/>
      <c r="P269" s="3"/>
      <c r="Q269" s="3"/>
      <c r="R269" s="3"/>
      <c r="S269" s="3"/>
      <c r="T269" s="3"/>
    </row>
    <row r="270">
      <c r="A270" s="3"/>
      <c r="B270" s="539"/>
      <c r="C270" s="3"/>
      <c r="D270" s="3"/>
      <c r="E270" s="3"/>
      <c r="F270" s="3"/>
      <c r="G270" s="3"/>
      <c r="H270" s="538"/>
      <c r="I270" s="538"/>
      <c r="J270" s="538"/>
      <c r="K270" s="538"/>
      <c r="L270" s="538"/>
      <c r="M270" s="3"/>
      <c r="N270" s="3"/>
      <c r="O270" s="3"/>
      <c r="P270" s="3"/>
      <c r="Q270" s="3"/>
      <c r="R270" s="3"/>
      <c r="S270" s="3"/>
      <c r="T270" s="3"/>
    </row>
    <row r="271">
      <c r="A271" s="3"/>
      <c r="B271" s="539"/>
      <c r="C271" s="3"/>
      <c r="D271" s="3"/>
      <c r="E271" s="3"/>
      <c r="F271" s="3"/>
      <c r="G271" s="3"/>
      <c r="H271" s="538"/>
      <c r="I271" s="538"/>
      <c r="J271" s="538"/>
      <c r="K271" s="538"/>
      <c r="L271" s="538"/>
      <c r="M271" s="3"/>
      <c r="N271" s="3"/>
      <c r="O271" s="3"/>
      <c r="P271" s="3"/>
      <c r="Q271" s="3"/>
      <c r="R271" s="3"/>
      <c r="S271" s="3"/>
      <c r="T271" s="3"/>
    </row>
    <row r="272">
      <c r="A272" s="3"/>
      <c r="B272" s="539"/>
      <c r="C272" s="3"/>
      <c r="D272" s="3"/>
      <c r="E272" s="3"/>
      <c r="F272" s="3"/>
      <c r="G272" s="3"/>
      <c r="H272" s="538"/>
      <c r="I272" s="538"/>
      <c r="J272" s="538"/>
      <c r="K272" s="538"/>
      <c r="L272" s="538"/>
      <c r="M272" s="3"/>
      <c r="N272" s="3"/>
      <c r="O272" s="3"/>
      <c r="P272" s="3"/>
      <c r="Q272" s="3"/>
      <c r="R272" s="3"/>
      <c r="S272" s="3"/>
      <c r="T272" s="3"/>
    </row>
    <row r="273">
      <c r="A273" s="3"/>
      <c r="B273" s="539"/>
      <c r="C273" s="3"/>
      <c r="D273" s="3"/>
      <c r="E273" s="3"/>
      <c r="F273" s="3"/>
      <c r="G273" s="3"/>
      <c r="H273" s="538"/>
      <c r="I273" s="538"/>
      <c r="J273" s="538"/>
      <c r="K273" s="538"/>
      <c r="L273" s="538"/>
      <c r="M273" s="3"/>
      <c r="N273" s="3"/>
      <c r="O273" s="3"/>
      <c r="P273" s="3"/>
      <c r="Q273" s="3"/>
      <c r="R273" s="3"/>
      <c r="S273" s="3"/>
      <c r="T273" s="3"/>
    </row>
    <row r="274">
      <c r="A274" s="3"/>
      <c r="B274" s="539"/>
      <c r="C274" s="3"/>
      <c r="D274" s="3"/>
      <c r="E274" s="3"/>
      <c r="F274" s="3"/>
      <c r="G274" s="3"/>
      <c r="H274" s="538"/>
      <c r="I274" s="538"/>
      <c r="J274" s="538"/>
      <c r="K274" s="538"/>
      <c r="L274" s="538"/>
      <c r="M274" s="3"/>
      <c r="N274" s="3"/>
      <c r="O274" s="3"/>
      <c r="P274" s="3"/>
      <c r="Q274" s="3"/>
      <c r="R274" s="3"/>
      <c r="S274" s="3"/>
      <c r="T274" s="3"/>
    </row>
    <row r="275">
      <c r="A275" s="3"/>
      <c r="B275" s="539"/>
      <c r="C275" s="3"/>
      <c r="D275" s="3"/>
      <c r="E275" s="3"/>
      <c r="F275" s="3"/>
      <c r="G275" s="3"/>
      <c r="H275" s="538"/>
      <c r="I275" s="538"/>
      <c r="J275" s="538"/>
      <c r="K275" s="538"/>
      <c r="L275" s="538"/>
      <c r="M275" s="3"/>
      <c r="N275" s="3"/>
      <c r="O275" s="3"/>
      <c r="P275" s="3"/>
      <c r="Q275" s="3"/>
      <c r="R275" s="3"/>
      <c r="S275" s="3"/>
      <c r="T275" s="3"/>
    </row>
    <row r="276">
      <c r="A276" s="3"/>
      <c r="B276" s="539"/>
      <c r="C276" s="3"/>
      <c r="D276" s="3"/>
      <c r="E276" s="3"/>
      <c r="F276" s="3"/>
      <c r="G276" s="3"/>
      <c r="H276" s="538"/>
      <c r="I276" s="538"/>
      <c r="J276" s="538"/>
      <c r="K276" s="538"/>
      <c r="L276" s="538"/>
      <c r="M276" s="3"/>
      <c r="N276" s="3"/>
      <c r="O276" s="3"/>
      <c r="P276" s="3"/>
      <c r="Q276" s="3"/>
      <c r="R276" s="3"/>
      <c r="S276" s="3"/>
      <c r="T276" s="3"/>
    </row>
    <row r="277">
      <c r="A277" s="3"/>
      <c r="B277" s="539"/>
      <c r="C277" s="3"/>
      <c r="D277" s="3"/>
      <c r="E277" s="3"/>
      <c r="F277" s="3"/>
      <c r="G277" s="3"/>
      <c r="H277" s="538"/>
      <c r="I277" s="538"/>
      <c r="J277" s="538"/>
      <c r="K277" s="538"/>
      <c r="L277" s="538"/>
      <c r="M277" s="3"/>
      <c r="N277" s="3"/>
      <c r="O277" s="3"/>
      <c r="P277" s="3"/>
      <c r="Q277" s="3"/>
      <c r="R277" s="3"/>
      <c r="S277" s="3"/>
      <c r="T277" s="3"/>
    </row>
    <row r="278">
      <c r="A278" s="3"/>
      <c r="B278" s="539"/>
      <c r="C278" s="3"/>
      <c r="D278" s="3"/>
      <c r="E278" s="3"/>
      <c r="F278" s="3"/>
      <c r="G278" s="3"/>
      <c r="H278" s="538"/>
      <c r="I278" s="538"/>
      <c r="J278" s="538"/>
      <c r="K278" s="538"/>
      <c r="L278" s="538"/>
      <c r="M278" s="3"/>
      <c r="N278" s="3"/>
      <c r="O278" s="3"/>
      <c r="P278" s="3"/>
      <c r="Q278" s="3"/>
      <c r="R278" s="3"/>
      <c r="S278" s="3"/>
      <c r="T278" s="3"/>
    </row>
    <row r="279">
      <c r="A279" s="3"/>
      <c r="B279" s="539"/>
      <c r="C279" s="3"/>
      <c r="D279" s="3"/>
      <c r="E279" s="3"/>
      <c r="F279" s="3"/>
      <c r="G279" s="3"/>
      <c r="H279" s="538"/>
      <c r="I279" s="538"/>
      <c r="J279" s="538"/>
      <c r="K279" s="538"/>
      <c r="L279" s="538"/>
      <c r="M279" s="3"/>
      <c r="N279" s="3"/>
      <c r="O279" s="3"/>
      <c r="P279" s="3"/>
      <c r="Q279" s="3"/>
      <c r="R279" s="3"/>
      <c r="S279" s="3"/>
      <c r="T279" s="3"/>
    </row>
    <row r="280">
      <c r="A280" s="3"/>
      <c r="B280" s="539"/>
      <c r="C280" s="3"/>
      <c r="D280" s="3"/>
      <c r="E280" s="3"/>
      <c r="F280" s="3"/>
      <c r="G280" s="3"/>
      <c r="H280" s="538"/>
      <c r="I280" s="538"/>
      <c r="J280" s="538"/>
      <c r="K280" s="538"/>
      <c r="L280" s="538"/>
      <c r="M280" s="3"/>
      <c r="N280" s="3"/>
      <c r="O280" s="3"/>
      <c r="P280" s="3"/>
      <c r="Q280" s="3"/>
      <c r="R280" s="3"/>
      <c r="S280" s="3"/>
      <c r="T280" s="3"/>
    </row>
    <row r="281">
      <c r="A281" s="3"/>
      <c r="B281" s="539"/>
      <c r="C281" s="3"/>
      <c r="D281" s="3"/>
      <c r="E281" s="3"/>
      <c r="F281" s="3"/>
      <c r="G281" s="3"/>
      <c r="H281" s="538"/>
      <c r="I281" s="538"/>
      <c r="J281" s="538"/>
      <c r="K281" s="538"/>
      <c r="L281" s="538"/>
      <c r="M281" s="3"/>
      <c r="N281" s="3"/>
      <c r="O281" s="3"/>
      <c r="P281" s="3"/>
      <c r="Q281" s="3"/>
      <c r="R281" s="3"/>
      <c r="S281" s="3"/>
      <c r="T281" s="3"/>
    </row>
    <row r="282">
      <c r="A282" s="3"/>
      <c r="B282" s="539"/>
      <c r="C282" s="3"/>
      <c r="D282" s="3"/>
      <c r="E282" s="3"/>
      <c r="F282" s="3"/>
      <c r="G282" s="3"/>
      <c r="H282" s="538"/>
      <c r="I282" s="538"/>
      <c r="J282" s="538"/>
      <c r="K282" s="538"/>
      <c r="L282" s="538"/>
      <c r="M282" s="3"/>
      <c r="N282" s="3"/>
      <c r="O282" s="3"/>
      <c r="P282" s="3"/>
      <c r="Q282" s="3"/>
      <c r="R282" s="3"/>
      <c r="S282" s="3"/>
      <c r="T282" s="3"/>
    </row>
    <row r="283">
      <c r="A283" s="3"/>
      <c r="B283" s="539"/>
      <c r="C283" s="3"/>
      <c r="D283" s="3"/>
      <c r="E283" s="3"/>
      <c r="F283" s="3"/>
      <c r="G283" s="3"/>
      <c r="H283" s="538"/>
      <c r="I283" s="538"/>
      <c r="J283" s="538"/>
      <c r="K283" s="538"/>
      <c r="L283" s="538"/>
      <c r="M283" s="3"/>
      <c r="N283" s="3"/>
      <c r="O283" s="3"/>
      <c r="P283" s="3"/>
      <c r="Q283" s="3"/>
      <c r="R283" s="3"/>
      <c r="S283" s="3"/>
      <c r="T283" s="3"/>
    </row>
    <row r="284">
      <c r="A284" s="3"/>
      <c r="B284" s="539"/>
      <c r="C284" s="3"/>
      <c r="D284" s="3"/>
      <c r="E284" s="3"/>
      <c r="F284" s="3"/>
      <c r="G284" s="3"/>
      <c r="H284" s="538"/>
      <c r="I284" s="538"/>
      <c r="J284" s="538"/>
      <c r="K284" s="538"/>
      <c r="L284" s="538"/>
      <c r="M284" s="3"/>
      <c r="N284" s="3"/>
      <c r="O284" s="3"/>
      <c r="P284" s="3"/>
      <c r="Q284" s="3"/>
      <c r="R284" s="3"/>
      <c r="S284" s="3"/>
      <c r="T284" s="3"/>
    </row>
    <row r="285">
      <c r="A285" s="3"/>
      <c r="B285" s="539"/>
      <c r="C285" s="3"/>
      <c r="D285" s="3"/>
      <c r="E285" s="3"/>
      <c r="F285" s="3"/>
      <c r="G285" s="3"/>
      <c r="H285" s="538"/>
      <c r="I285" s="538"/>
      <c r="J285" s="538"/>
      <c r="K285" s="538"/>
      <c r="L285" s="538"/>
      <c r="M285" s="3"/>
      <c r="N285" s="3"/>
      <c r="O285" s="3"/>
      <c r="P285" s="3"/>
      <c r="Q285" s="3"/>
      <c r="R285" s="3"/>
      <c r="S285" s="3"/>
      <c r="T285" s="3"/>
    </row>
    <row r="286">
      <c r="A286" s="3"/>
      <c r="B286" s="539"/>
      <c r="C286" s="3"/>
      <c r="D286" s="3"/>
      <c r="E286" s="3"/>
      <c r="F286" s="3"/>
      <c r="G286" s="3"/>
      <c r="H286" s="538"/>
      <c r="I286" s="538"/>
      <c r="J286" s="538"/>
      <c r="K286" s="538"/>
      <c r="L286" s="538"/>
      <c r="M286" s="3"/>
      <c r="N286" s="3"/>
      <c r="O286" s="3"/>
      <c r="P286" s="3"/>
      <c r="Q286" s="3"/>
      <c r="R286" s="3"/>
      <c r="S286" s="3"/>
      <c r="T286" s="3"/>
    </row>
    <row r="287">
      <c r="A287" s="3"/>
      <c r="B287" s="539"/>
      <c r="C287" s="3"/>
      <c r="D287" s="3"/>
      <c r="E287" s="3"/>
      <c r="F287" s="3"/>
      <c r="G287" s="3"/>
      <c r="H287" s="538"/>
      <c r="I287" s="538"/>
      <c r="J287" s="538"/>
      <c r="K287" s="538"/>
      <c r="L287" s="538"/>
      <c r="M287" s="3"/>
      <c r="N287" s="3"/>
      <c r="O287" s="3"/>
      <c r="P287" s="3"/>
      <c r="Q287" s="3"/>
      <c r="R287" s="3"/>
      <c r="S287" s="3"/>
      <c r="T287" s="3"/>
    </row>
    <row r="288">
      <c r="A288" s="3"/>
      <c r="B288" s="539"/>
      <c r="C288" s="3"/>
      <c r="D288" s="3"/>
      <c r="E288" s="3"/>
      <c r="F288" s="3"/>
      <c r="G288" s="3"/>
      <c r="H288" s="538"/>
      <c r="I288" s="538"/>
      <c r="J288" s="538"/>
      <c r="K288" s="538"/>
      <c r="L288" s="538"/>
      <c r="M288" s="3"/>
      <c r="N288" s="3"/>
      <c r="O288" s="3"/>
      <c r="P288" s="3"/>
      <c r="Q288" s="3"/>
      <c r="R288" s="3"/>
      <c r="S288" s="3"/>
      <c r="T288" s="3"/>
    </row>
    <row r="289">
      <c r="A289" s="3"/>
      <c r="B289" s="539"/>
      <c r="C289" s="3"/>
      <c r="D289" s="3"/>
      <c r="E289" s="3"/>
      <c r="F289" s="3"/>
      <c r="G289" s="3"/>
      <c r="H289" s="538"/>
      <c r="I289" s="538"/>
      <c r="J289" s="538"/>
      <c r="K289" s="538"/>
      <c r="L289" s="538"/>
      <c r="M289" s="3"/>
      <c r="N289" s="3"/>
      <c r="O289" s="3"/>
      <c r="P289" s="3"/>
      <c r="Q289" s="3"/>
      <c r="R289" s="3"/>
      <c r="S289" s="3"/>
      <c r="T289" s="3"/>
    </row>
    <row r="290">
      <c r="A290" s="3"/>
      <c r="B290" s="539"/>
      <c r="C290" s="3"/>
      <c r="D290" s="3"/>
      <c r="E290" s="3"/>
      <c r="F290" s="3"/>
      <c r="G290" s="3"/>
      <c r="H290" s="538"/>
      <c r="I290" s="538"/>
      <c r="J290" s="538"/>
      <c r="K290" s="538"/>
      <c r="L290" s="538"/>
      <c r="M290" s="3"/>
      <c r="N290" s="3"/>
      <c r="O290" s="3"/>
      <c r="P290" s="3"/>
      <c r="Q290" s="3"/>
      <c r="R290" s="3"/>
      <c r="S290" s="3"/>
      <c r="T290" s="3"/>
    </row>
    <row r="291">
      <c r="A291" s="3"/>
      <c r="B291" s="539"/>
      <c r="C291" s="3"/>
      <c r="D291" s="3"/>
      <c r="E291" s="3"/>
      <c r="F291" s="3"/>
      <c r="G291" s="3"/>
      <c r="H291" s="538"/>
      <c r="I291" s="538"/>
      <c r="J291" s="538"/>
      <c r="K291" s="538"/>
      <c r="L291" s="538"/>
      <c r="M291" s="3"/>
      <c r="N291" s="3"/>
      <c r="O291" s="3"/>
      <c r="P291" s="3"/>
      <c r="Q291" s="3"/>
      <c r="R291" s="3"/>
      <c r="S291" s="3"/>
      <c r="T291" s="3"/>
    </row>
    <row r="292">
      <c r="A292" s="3"/>
      <c r="B292" s="539"/>
      <c r="C292" s="3"/>
      <c r="D292" s="3"/>
      <c r="E292" s="3"/>
      <c r="F292" s="3"/>
      <c r="G292" s="3"/>
      <c r="H292" s="538"/>
      <c r="I292" s="538"/>
      <c r="J292" s="538"/>
      <c r="K292" s="538"/>
      <c r="L292" s="538"/>
      <c r="M292" s="3"/>
      <c r="N292" s="3"/>
      <c r="O292" s="3"/>
      <c r="P292" s="3"/>
      <c r="Q292" s="3"/>
      <c r="R292" s="3"/>
      <c r="S292" s="3"/>
      <c r="T292" s="3"/>
    </row>
    <row r="293">
      <c r="A293" s="3"/>
      <c r="B293" s="539"/>
      <c r="C293" s="3"/>
      <c r="D293" s="3"/>
      <c r="E293" s="3"/>
      <c r="F293" s="3"/>
      <c r="G293" s="3"/>
      <c r="H293" s="538"/>
      <c r="I293" s="538"/>
      <c r="J293" s="538"/>
      <c r="K293" s="538"/>
      <c r="L293" s="538"/>
      <c r="M293" s="3"/>
      <c r="N293" s="3"/>
      <c r="O293" s="3"/>
      <c r="P293" s="3"/>
      <c r="Q293" s="3"/>
      <c r="R293" s="3"/>
      <c r="S293" s="3"/>
      <c r="T293" s="3"/>
    </row>
    <row r="294">
      <c r="A294" s="3"/>
      <c r="B294" s="539"/>
      <c r="C294" s="3"/>
      <c r="D294" s="3"/>
      <c r="E294" s="3"/>
      <c r="F294" s="3"/>
      <c r="G294" s="3"/>
      <c r="H294" s="538"/>
      <c r="I294" s="538"/>
      <c r="J294" s="538"/>
      <c r="K294" s="538"/>
      <c r="L294" s="538"/>
      <c r="M294" s="3"/>
      <c r="N294" s="3"/>
      <c r="O294" s="3"/>
      <c r="P294" s="3"/>
      <c r="Q294" s="3"/>
      <c r="R294" s="3"/>
      <c r="S294" s="3"/>
      <c r="T294" s="3"/>
    </row>
    <row r="295">
      <c r="A295" s="3"/>
      <c r="B295" s="539"/>
      <c r="C295" s="3"/>
      <c r="D295" s="3"/>
      <c r="E295" s="3"/>
      <c r="F295" s="3"/>
      <c r="G295" s="3"/>
      <c r="H295" s="538"/>
      <c r="I295" s="538"/>
      <c r="J295" s="538"/>
      <c r="K295" s="538"/>
      <c r="L295" s="538"/>
      <c r="M295" s="3"/>
      <c r="N295" s="3"/>
      <c r="O295" s="3"/>
      <c r="P295" s="3"/>
      <c r="Q295" s="3"/>
      <c r="R295" s="3"/>
      <c r="S295" s="3"/>
      <c r="T295" s="3"/>
    </row>
    <row r="296">
      <c r="A296" s="3"/>
      <c r="B296" s="539"/>
      <c r="C296" s="3"/>
      <c r="D296" s="3"/>
      <c r="E296" s="3"/>
      <c r="F296" s="3"/>
      <c r="G296" s="3"/>
      <c r="H296" s="538"/>
      <c r="I296" s="538"/>
      <c r="J296" s="538"/>
      <c r="K296" s="538"/>
      <c r="L296" s="538"/>
      <c r="M296" s="3"/>
      <c r="N296" s="3"/>
      <c r="O296" s="3"/>
      <c r="P296" s="3"/>
      <c r="Q296" s="3"/>
      <c r="R296" s="3"/>
      <c r="S296" s="3"/>
      <c r="T296" s="3"/>
    </row>
    <row r="297">
      <c r="A297" s="3"/>
      <c r="B297" s="539"/>
      <c r="C297" s="3"/>
      <c r="D297" s="3"/>
      <c r="E297" s="3"/>
      <c r="F297" s="3"/>
      <c r="G297" s="3"/>
      <c r="H297" s="538"/>
      <c r="I297" s="538"/>
      <c r="J297" s="538"/>
      <c r="K297" s="538"/>
      <c r="L297" s="538"/>
      <c r="M297" s="3"/>
      <c r="N297" s="3"/>
      <c r="O297" s="3"/>
      <c r="P297" s="3"/>
      <c r="Q297" s="3"/>
      <c r="R297" s="3"/>
      <c r="S297" s="3"/>
      <c r="T297" s="3"/>
    </row>
    <row r="298">
      <c r="A298" s="3"/>
      <c r="B298" s="539"/>
      <c r="C298" s="3"/>
      <c r="D298" s="3"/>
      <c r="E298" s="3"/>
      <c r="F298" s="3"/>
      <c r="G298" s="3"/>
      <c r="H298" s="538"/>
      <c r="I298" s="538"/>
      <c r="J298" s="538"/>
      <c r="K298" s="538"/>
      <c r="L298" s="538"/>
      <c r="M298" s="3"/>
      <c r="N298" s="3"/>
      <c r="O298" s="3"/>
      <c r="P298" s="3"/>
      <c r="Q298" s="3"/>
      <c r="R298" s="3"/>
      <c r="S298" s="3"/>
      <c r="T298" s="3"/>
    </row>
    <row r="299">
      <c r="A299" s="3"/>
      <c r="B299" s="539"/>
      <c r="C299" s="3"/>
      <c r="D299" s="3"/>
      <c r="E299" s="3"/>
      <c r="F299" s="3"/>
      <c r="G299" s="3"/>
      <c r="H299" s="538"/>
      <c r="I299" s="538"/>
      <c r="J299" s="538"/>
      <c r="K299" s="538"/>
      <c r="L299" s="538"/>
      <c r="M299" s="3"/>
      <c r="N299" s="3"/>
      <c r="O299" s="3"/>
      <c r="P299" s="3"/>
      <c r="Q299" s="3"/>
      <c r="R299" s="3"/>
      <c r="S299" s="3"/>
      <c r="T299" s="3"/>
    </row>
    <row r="300">
      <c r="A300" s="3"/>
      <c r="B300" s="539"/>
      <c r="C300" s="3"/>
      <c r="D300" s="3"/>
      <c r="E300" s="3"/>
      <c r="F300" s="3"/>
      <c r="G300" s="3"/>
      <c r="H300" s="538"/>
      <c r="I300" s="538"/>
      <c r="J300" s="538"/>
      <c r="K300" s="538"/>
      <c r="L300" s="538"/>
      <c r="M300" s="3"/>
      <c r="N300" s="3"/>
      <c r="O300" s="3"/>
      <c r="P300" s="3"/>
      <c r="Q300" s="3"/>
      <c r="R300" s="3"/>
      <c r="S300" s="3"/>
      <c r="T300" s="3"/>
    </row>
    <row r="301">
      <c r="A301" s="3"/>
      <c r="B301" s="539"/>
      <c r="C301" s="3"/>
      <c r="D301" s="3"/>
      <c r="E301" s="3"/>
      <c r="F301" s="3"/>
      <c r="G301" s="3"/>
      <c r="H301" s="538"/>
      <c r="I301" s="538"/>
      <c r="J301" s="538"/>
      <c r="K301" s="538"/>
      <c r="L301" s="538"/>
      <c r="M301" s="3"/>
      <c r="N301" s="3"/>
      <c r="O301" s="3"/>
      <c r="P301" s="3"/>
      <c r="Q301" s="3"/>
      <c r="R301" s="3"/>
      <c r="S301" s="3"/>
      <c r="T301" s="3"/>
    </row>
    <row r="302">
      <c r="A302" s="3"/>
      <c r="B302" s="539"/>
      <c r="C302" s="3"/>
      <c r="D302" s="3"/>
      <c r="E302" s="3"/>
      <c r="F302" s="3"/>
      <c r="G302" s="3"/>
      <c r="H302" s="538"/>
      <c r="I302" s="538"/>
      <c r="J302" s="538"/>
      <c r="K302" s="538"/>
      <c r="L302" s="538"/>
      <c r="M302" s="3"/>
      <c r="N302" s="3"/>
      <c r="O302" s="3"/>
      <c r="P302" s="3"/>
      <c r="Q302" s="3"/>
      <c r="R302" s="3"/>
      <c r="S302" s="3"/>
      <c r="T302" s="3"/>
    </row>
    <row r="303">
      <c r="A303" s="3"/>
      <c r="B303" s="3"/>
      <c r="C303" s="3"/>
      <c r="D303" s="3"/>
      <c r="E303" s="3"/>
      <c r="F303" s="3"/>
      <c r="G303" s="3"/>
      <c r="H303" s="3"/>
      <c r="I303" s="3"/>
      <c r="J303" s="3"/>
      <c r="K303" s="3"/>
      <c r="L303" s="3"/>
      <c r="M303" s="3"/>
      <c r="N303" s="3"/>
      <c r="O303" s="3"/>
      <c r="P303" s="3"/>
      <c r="Q303" s="3"/>
      <c r="R303" s="3"/>
      <c r="S303" s="3"/>
      <c r="T303" s="3"/>
    </row>
    <row r="304">
      <c r="A304" s="3"/>
      <c r="B304" s="3"/>
      <c r="C304" s="3"/>
      <c r="D304" s="3"/>
      <c r="E304" s="3"/>
      <c r="F304" s="3"/>
      <c r="G304" s="3"/>
      <c r="H304" s="3"/>
      <c r="I304" s="3"/>
      <c r="J304" s="3"/>
      <c r="K304" s="3"/>
      <c r="L304" s="3"/>
      <c r="M304" s="3"/>
      <c r="N304" s="3"/>
      <c r="O304" s="3"/>
      <c r="P304" s="3"/>
      <c r="Q304" s="3"/>
      <c r="R304" s="3"/>
      <c r="S304" s="3"/>
      <c r="T304" s="3"/>
    </row>
    <row r="305">
      <c r="A305" s="3"/>
      <c r="B305" s="3"/>
      <c r="C305" s="3"/>
      <c r="D305" s="3"/>
      <c r="E305" s="3"/>
      <c r="F305" s="3"/>
      <c r="G305" s="3"/>
      <c r="H305" s="3"/>
      <c r="I305" s="3"/>
      <c r="J305" s="3"/>
      <c r="K305" s="3"/>
      <c r="L305" s="3"/>
      <c r="M305" s="3"/>
      <c r="N305" s="3"/>
      <c r="O305" s="3"/>
      <c r="P305" s="3"/>
      <c r="Q305" s="3"/>
      <c r="R305" s="3"/>
      <c r="S305" s="3"/>
      <c r="T305" s="3"/>
    </row>
    <row r="306">
      <c r="A306" s="3"/>
      <c r="B306" s="3"/>
      <c r="C306" s="3"/>
      <c r="D306" s="3"/>
      <c r="E306" s="3"/>
      <c r="F306" s="3"/>
      <c r="G306" s="3"/>
      <c r="H306" s="3"/>
      <c r="I306" s="3"/>
      <c r="J306" s="3"/>
      <c r="K306" s="3"/>
      <c r="L306" s="3"/>
      <c r="M306" s="3"/>
      <c r="N306" s="3"/>
      <c r="O306" s="3"/>
      <c r="P306" s="3"/>
      <c r="Q306" s="3"/>
      <c r="R306" s="3"/>
      <c r="S306" s="3"/>
      <c r="T306" s="3"/>
    </row>
    <row r="307">
      <c r="A307" s="3"/>
      <c r="B307" s="3"/>
      <c r="C307" s="3"/>
      <c r="D307" s="3"/>
      <c r="E307" s="3"/>
      <c r="F307" s="3"/>
      <c r="G307" s="3"/>
      <c r="H307" s="3"/>
      <c r="I307" s="3"/>
      <c r="J307" s="3"/>
      <c r="K307" s="3"/>
      <c r="L307" s="3"/>
      <c r="M307" s="3"/>
      <c r="N307" s="3"/>
      <c r="O307" s="3"/>
      <c r="P307" s="3"/>
      <c r="Q307" s="3"/>
      <c r="R307" s="3"/>
      <c r="S307" s="3"/>
      <c r="T307" s="3"/>
    </row>
    <row r="308">
      <c r="A308" s="3"/>
      <c r="B308" s="3"/>
      <c r="C308" s="3"/>
      <c r="D308" s="3"/>
      <c r="E308" s="3"/>
      <c r="F308" s="3"/>
      <c r="G308" s="3"/>
      <c r="H308" s="3"/>
      <c r="I308" s="3"/>
      <c r="J308" s="3"/>
      <c r="K308" s="3"/>
      <c r="L308" s="3"/>
      <c r="M308" s="3"/>
      <c r="N308" s="3"/>
      <c r="O308" s="3"/>
      <c r="P308" s="3"/>
      <c r="Q308" s="3"/>
      <c r="R308" s="3"/>
      <c r="S308" s="3"/>
      <c r="T308" s="3"/>
    </row>
    <row r="309">
      <c r="A309" s="3"/>
      <c r="B309" s="3"/>
      <c r="C309" s="3"/>
      <c r="D309" s="3"/>
      <c r="E309" s="3"/>
      <c r="F309" s="3"/>
      <c r="G309" s="3"/>
      <c r="H309" s="3"/>
      <c r="I309" s="3"/>
      <c r="J309" s="3"/>
      <c r="K309" s="3"/>
      <c r="L309" s="3"/>
      <c r="M309" s="3"/>
      <c r="N309" s="3"/>
      <c r="O309" s="3"/>
      <c r="P309" s="3"/>
      <c r="Q309" s="3"/>
      <c r="R309" s="3"/>
      <c r="S309" s="3"/>
      <c r="T309" s="3"/>
    </row>
    <row r="310">
      <c r="A310" s="3"/>
      <c r="B310" s="3"/>
      <c r="C310" s="3"/>
      <c r="D310" s="3"/>
      <c r="E310" s="3"/>
      <c r="F310" s="3"/>
      <c r="G310" s="3"/>
      <c r="H310" s="3"/>
      <c r="I310" s="3"/>
      <c r="J310" s="3"/>
      <c r="K310" s="3"/>
      <c r="L310" s="3"/>
      <c r="M310" s="3"/>
      <c r="N310" s="3"/>
      <c r="O310" s="3"/>
      <c r="P310" s="3"/>
      <c r="Q310" s="3"/>
      <c r="R310" s="3"/>
      <c r="S310" s="3"/>
      <c r="T310" s="3"/>
    </row>
    <row r="311">
      <c r="A311" s="3"/>
      <c r="B311" s="3"/>
      <c r="C311" s="3"/>
      <c r="D311" s="3"/>
      <c r="E311" s="3"/>
      <c r="F311" s="3"/>
      <c r="G311" s="3"/>
      <c r="H311" s="3"/>
      <c r="I311" s="3"/>
      <c r="J311" s="3"/>
      <c r="K311" s="3"/>
      <c r="L311" s="3"/>
      <c r="M311" s="3"/>
      <c r="N311" s="3"/>
      <c r="O311" s="3"/>
      <c r="P311" s="3"/>
      <c r="Q311" s="3"/>
      <c r="R311" s="3"/>
      <c r="S311" s="3"/>
      <c r="T311" s="3"/>
    </row>
    <row r="312">
      <c r="A312" s="3"/>
      <c r="B312" s="3"/>
      <c r="C312" s="3"/>
      <c r="D312" s="3"/>
      <c r="E312" s="3"/>
      <c r="F312" s="3"/>
      <c r="G312" s="3"/>
      <c r="H312" s="3"/>
      <c r="I312" s="3"/>
      <c r="J312" s="3"/>
      <c r="K312" s="3"/>
      <c r="L312" s="3"/>
      <c r="M312" s="3"/>
      <c r="N312" s="3"/>
      <c r="O312" s="3"/>
      <c r="P312" s="3"/>
      <c r="Q312" s="3"/>
      <c r="R312" s="3"/>
      <c r="S312" s="3"/>
      <c r="T312" s="3"/>
    </row>
    <row r="313">
      <c r="A313" s="3"/>
      <c r="B313" s="3"/>
      <c r="C313" s="3"/>
      <c r="D313" s="3"/>
      <c r="E313" s="3"/>
      <c r="F313" s="3"/>
      <c r="G313" s="3"/>
      <c r="H313" s="3"/>
      <c r="I313" s="555"/>
      <c r="J313" s="555"/>
      <c r="K313" s="555"/>
      <c r="L313" s="555"/>
      <c r="M313" s="3"/>
      <c r="N313" s="3"/>
      <c r="O313" s="3"/>
      <c r="P313" s="3"/>
      <c r="Q313" s="3"/>
      <c r="R313" s="3"/>
      <c r="S313" s="3"/>
      <c r="T313" s="3"/>
    </row>
    <row r="314">
      <c r="A314" s="3"/>
      <c r="B314" s="3"/>
      <c r="C314" s="3"/>
      <c r="D314" s="3"/>
      <c r="E314" s="3"/>
      <c r="F314" s="3"/>
      <c r="G314" s="3"/>
      <c r="H314" s="3"/>
      <c r="I314" s="555"/>
      <c r="J314" s="555"/>
      <c r="K314" s="555"/>
      <c r="L314" s="555"/>
      <c r="M314" s="3"/>
      <c r="N314" s="3"/>
      <c r="O314" s="3"/>
      <c r="P314" s="3"/>
      <c r="Q314" s="3"/>
      <c r="R314" s="3"/>
      <c r="S314" s="3"/>
      <c r="T314" s="3"/>
    </row>
    <row r="315">
      <c r="A315" s="3"/>
      <c r="B315" s="3"/>
      <c r="C315" s="3"/>
      <c r="D315" s="3"/>
      <c r="E315" s="3"/>
      <c r="F315" s="3"/>
      <c r="G315" s="3"/>
      <c r="H315" s="3"/>
      <c r="I315" s="555"/>
      <c r="J315" s="555"/>
      <c r="K315" s="555"/>
      <c r="L315" s="555"/>
      <c r="M315" s="3"/>
      <c r="N315" s="3"/>
      <c r="O315" s="3"/>
      <c r="P315" s="3"/>
      <c r="Q315" s="3"/>
      <c r="R315" s="3"/>
      <c r="S315" s="3"/>
      <c r="T315" s="3"/>
    </row>
    <row r="316">
      <c r="A316" s="3"/>
      <c r="B316" s="3"/>
      <c r="C316" s="3"/>
      <c r="D316" s="3"/>
      <c r="E316" s="3"/>
      <c r="F316" s="3"/>
      <c r="G316" s="3"/>
      <c r="H316" s="3"/>
      <c r="I316" s="555"/>
      <c r="J316" s="555"/>
      <c r="K316" s="555"/>
      <c r="L316" s="555"/>
      <c r="M316" s="3"/>
      <c r="N316" s="3"/>
      <c r="O316" s="3"/>
      <c r="P316" s="3"/>
      <c r="Q316" s="3"/>
      <c r="R316" s="3"/>
      <c r="S316" s="3"/>
      <c r="T316" s="3"/>
    </row>
    <row r="317">
      <c r="A317" s="3"/>
      <c r="B317" s="3"/>
      <c r="C317" s="3"/>
      <c r="D317" s="3"/>
      <c r="E317" s="3"/>
      <c r="F317" s="3"/>
      <c r="G317" s="3"/>
      <c r="H317" s="3"/>
      <c r="I317" s="555"/>
      <c r="J317" s="555"/>
      <c r="K317" s="555"/>
      <c r="L317" s="555"/>
      <c r="M317" s="3"/>
      <c r="N317" s="3"/>
      <c r="O317" s="3"/>
      <c r="P317" s="3"/>
      <c r="Q317" s="3"/>
      <c r="R317" s="3"/>
      <c r="S317" s="3"/>
      <c r="T317" s="3"/>
    </row>
    <row r="318">
      <c r="A318" s="3"/>
      <c r="B318" s="3"/>
      <c r="C318" s="3"/>
      <c r="D318" s="3"/>
      <c r="E318" s="3"/>
      <c r="F318" s="3"/>
      <c r="G318" s="3"/>
      <c r="H318" s="3"/>
      <c r="I318" s="555"/>
      <c r="J318" s="555"/>
      <c r="K318" s="555"/>
      <c r="L318" s="555"/>
      <c r="M318" s="3"/>
      <c r="N318" s="3"/>
      <c r="O318" s="3"/>
      <c r="P318" s="3"/>
      <c r="Q318" s="3"/>
      <c r="R318" s="3"/>
      <c r="S318" s="3"/>
      <c r="T318" s="3"/>
    </row>
    <row r="319">
      <c r="A319" s="3"/>
      <c r="B319" s="3"/>
      <c r="C319" s="3"/>
      <c r="D319" s="3"/>
      <c r="E319" s="3"/>
      <c r="F319" s="3"/>
      <c r="G319" s="3"/>
      <c r="H319" s="3"/>
      <c r="I319" s="555"/>
      <c r="J319" s="555"/>
      <c r="K319" s="555"/>
      <c r="L319" s="555"/>
      <c r="M319" s="3"/>
      <c r="N319" s="3"/>
      <c r="O319" s="3"/>
      <c r="P319" s="3"/>
      <c r="Q319" s="3"/>
      <c r="R319" s="3"/>
      <c r="S319" s="3"/>
      <c r="T319" s="3"/>
    </row>
    <row r="320">
      <c r="A320" s="3"/>
      <c r="B320" s="3"/>
      <c r="C320" s="3"/>
      <c r="D320" s="3"/>
      <c r="E320" s="3"/>
      <c r="F320" s="3"/>
      <c r="G320" s="3"/>
      <c r="H320" s="3"/>
      <c r="I320" s="555"/>
      <c r="J320" s="555"/>
      <c r="K320" s="555"/>
      <c r="L320" s="555"/>
      <c r="M320" s="3"/>
      <c r="N320" s="3"/>
      <c r="O320" s="3"/>
      <c r="P320" s="3"/>
      <c r="Q320" s="3"/>
      <c r="R320" s="3"/>
      <c r="S320" s="3"/>
      <c r="T320" s="3"/>
    </row>
    <row r="321">
      <c r="A321" s="3"/>
      <c r="B321" s="3"/>
      <c r="C321" s="3"/>
      <c r="D321" s="3"/>
      <c r="E321" s="3"/>
      <c r="F321" s="3"/>
      <c r="G321" s="3"/>
      <c r="H321" s="3"/>
      <c r="I321" s="555"/>
      <c r="J321" s="555"/>
      <c r="K321" s="555"/>
      <c r="L321" s="555"/>
      <c r="M321" s="3"/>
      <c r="N321" s="3"/>
      <c r="O321" s="3"/>
      <c r="P321" s="3"/>
      <c r="Q321" s="3"/>
      <c r="R321" s="3"/>
      <c r="S321" s="3"/>
      <c r="T321" s="3"/>
    </row>
    <row r="322">
      <c r="A322" s="3"/>
      <c r="B322" s="3"/>
      <c r="C322" s="3"/>
      <c r="D322" s="3"/>
      <c r="E322" s="3"/>
      <c r="F322" s="3"/>
      <c r="G322" s="3"/>
      <c r="H322" s="3"/>
      <c r="I322" s="555"/>
      <c r="J322" s="555"/>
      <c r="K322" s="555"/>
      <c r="L322" s="555"/>
      <c r="M322" s="3"/>
      <c r="N322" s="3"/>
      <c r="O322" s="3"/>
      <c r="P322" s="3"/>
      <c r="Q322" s="3"/>
      <c r="R322" s="3"/>
      <c r="S322" s="3"/>
      <c r="T322" s="3"/>
    </row>
    <row r="323">
      <c r="A323" s="3"/>
      <c r="B323" s="3"/>
      <c r="C323" s="3"/>
      <c r="D323" s="3"/>
      <c r="E323" s="3"/>
      <c r="F323" s="3"/>
      <c r="G323" s="3"/>
      <c r="H323" s="3"/>
      <c r="I323" s="555"/>
      <c r="J323" s="555"/>
      <c r="K323" s="555"/>
      <c r="L323" s="555"/>
      <c r="M323" s="3"/>
      <c r="N323" s="3"/>
      <c r="O323" s="3"/>
      <c r="P323" s="3"/>
      <c r="Q323" s="3"/>
      <c r="R323" s="3"/>
      <c r="S323" s="3"/>
      <c r="T323" s="3"/>
    </row>
    <row r="324">
      <c r="A324" s="3"/>
      <c r="B324" s="3"/>
      <c r="C324" s="3"/>
      <c r="D324" s="3"/>
      <c r="E324" s="3"/>
      <c r="F324" s="3"/>
      <c r="G324" s="3"/>
      <c r="H324" s="3"/>
      <c r="I324" s="555"/>
      <c r="J324" s="555"/>
      <c r="K324" s="555"/>
      <c r="L324" s="555"/>
      <c r="M324" s="3"/>
      <c r="N324" s="3"/>
      <c r="O324" s="3"/>
      <c r="P324" s="3"/>
      <c r="Q324" s="3"/>
      <c r="R324" s="3"/>
      <c r="S324" s="3"/>
      <c r="T324" s="3"/>
    </row>
    <row r="325">
      <c r="A325" s="3"/>
      <c r="B325" s="3"/>
      <c r="C325" s="3"/>
      <c r="D325" s="3"/>
      <c r="E325" s="3"/>
      <c r="F325" s="3"/>
      <c r="G325" s="3"/>
      <c r="H325" s="3"/>
      <c r="I325" s="555"/>
      <c r="J325" s="555"/>
      <c r="K325" s="555"/>
      <c r="L325" s="555"/>
      <c r="M325" s="3"/>
      <c r="N325" s="3"/>
      <c r="O325" s="3"/>
      <c r="P325" s="3"/>
      <c r="Q325" s="3"/>
      <c r="R325" s="3"/>
      <c r="S325" s="3"/>
      <c r="T325" s="3"/>
    </row>
    <row r="326">
      <c r="A326" s="3"/>
      <c r="B326" s="3"/>
      <c r="C326" s="3"/>
      <c r="D326" s="3"/>
      <c r="E326" s="3"/>
      <c r="F326" s="3"/>
      <c r="G326" s="3"/>
      <c r="H326" s="3"/>
      <c r="I326" s="555"/>
      <c r="J326" s="555"/>
      <c r="K326" s="555"/>
      <c r="L326" s="555"/>
      <c r="M326" s="3"/>
      <c r="N326" s="3"/>
      <c r="O326" s="3"/>
      <c r="P326" s="3"/>
      <c r="Q326" s="3"/>
      <c r="R326" s="3"/>
      <c r="S326" s="3"/>
      <c r="T326" s="3"/>
    </row>
    <row r="327">
      <c r="A327" s="3"/>
      <c r="B327" s="3"/>
      <c r="C327" s="3"/>
      <c r="D327" s="3"/>
      <c r="E327" s="3"/>
      <c r="F327" s="3"/>
      <c r="G327" s="3"/>
      <c r="H327" s="3"/>
      <c r="I327" s="555"/>
      <c r="J327" s="555"/>
      <c r="K327" s="555"/>
      <c r="L327" s="555"/>
      <c r="M327" s="3"/>
      <c r="N327" s="3"/>
      <c r="O327" s="3"/>
      <c r="P327" s="3"/>
      <c r="Q327" s="3"/>
      <c r="R327" s="3"/>
      <c r="S327" s="3"/>
      <c r="T327" s="3"/>
    </row>
    <row r="328">
      <c r="A328" s="3"/>
      <c r="B328" s="3"/>
      <c r="C328" s="3"/>
      <c r="D328" s="3"/>
      <c r="E328" s="3"/>
      <c r="F328" s="3"/>
      <c r="G328" s="3"/>
      <c r="H328" s="3"/>
      <c r="I328" s="555"/>
      <c r="J328" s="555"/>
      <c r="K328" s="555"/>
      <c r="L328" s="555"/>
      <c r="M328" s="3"/>
      <c r="N328" s="3"/>
      <c r="O328" s="3"/>
      <c r="P328" s="3"/>
      <c r="Q328" s="3"/>
      <c r="R328" s="3"/>
      <c r="S328" s="3"/>
      <c r="T328" s="3"/>
    </row>
    <row r="329">
      <c r="A329" s="3"/>
      <c r="B329" s="3"/>
      <c r="C329" s="3"/>
      <c r="D329" s="3"/>
      <c r="E329" s="3"/>
      <c r="F329" s="3"/>
      <c r="G329" s="3"/>
      <c r="H329" s="3"/>
      <c r="I329" s="555"/>
      <c r="J329" s="555"/>
      <c r="K329" s="555"/>
      <c r="L329" s="555"/>
      <c r="M329" s="3"/>
      <c r="N329" s="3"/>
      <c r="O329" s="3"/>
      <c r="P329" s="3"/>
      <c r="Q329" s="3"/>
      <c r="R329" s="3"/>
      <c r="S329" s="3"/>
      <c r="T329" s="3"/>
    </row>
    <row r="330">
      <c r="A330" s="3"/>
      <c r="B330" s="3"/>
      <c r="C330" s="3"/>
      <c r="D330" s="3"/>
      <c r="E330" s="3"/>
      <c r="F330" s="3"/>
      <c r="G330" s="3"/>
      <c r="H330" s="3"/>
      <c r="I330" s="555"/>
      <c r="J330" s="555"/>
      <c r="K330" s="555"/>
      <c r="L330" s="555"/>
      <c r="M330" s="3"/>
      <c r="N330" s="3"/>
      <c r="O330" s="3"/>
      <c r="P330" s="3"/>
      <c r="Q330" s="3"/>
      <c r="R330" s="3"/>
      <c r="S330" s="3"/>
      <c r="T330" s="3"/>
    </row>
    <row r="331">
      <c r="A331" s="3"/>
      <c r="B331" s="3"/>
      <c r="C331" s="3"/>
      <c r="D331" s="3"/>
      <c r="E331" s="3"/>
      <c r="F331" s="3"/>
      <c r="G331" s="3"/>
      <c r="H331" s="3"/>
      <c r="I331" s="555"/>
      <c r="J331" s="555"/>
      <c r="K331" s="555"/>
      <c r="L331" s="555"/>
      <c r="M331" s="3"/>
      <c r="N331" s="3"/>
      <c r="O331" s="3"/>
      <c r="P331" s="3"/>
      <c r="Q331" s="3"/>
      <c r="R331" s="3"/>
      <c r="S331" s="3"/>
      <c r="T331" s="3"/>
    </row>
    <row r="332">
      <c r="A332" s="3"/>
      <c r="B332" s="3"/>
      <c r="C332" s="3"/>
      <c r="D332" s="3"/>
      <c r="E332" s="3"/>
      <c r="F332" s="3"/>
      <c r="G332" s="3"/>
      <c r="H332" s="3"/>
      <c r="I332" s="555"/>
      <c r="J332" s="555"/>
      <c r="K332" s="555"/>
      <c r="L332" s="555"/>
      <c r="M332" s="3"/>
      <c r="N332" s="3"/>
      <c r="O332" s="3"/>
      <c r="P332" s="3"/>
      <c r="Q332" s="3"/>
      <c r="R332" s="3"/>
      <c r="S332" s="3"/>
      <c r="T332" s="3"/>
    </row>
    <row r="333">
      <c r="A333" s="3"/>
      <c r="B333" s="3"/>
      <c r="C333" s="3"/>
      <c r="D333" s="3"/>
      <c r="E333" s="3"/>
      <c r="F333" s="3"/>
      <c r="G333" s="3"/>
      <c r="H333" s="3"/>
      <c r="I333" s="555"/>
      <c r="J333" s="555"/>
      <c r="K333" s="555"/>
      <c r="L333" s="555"/>
      <c r="M333" s="3"/>
      <c r="N333" s="3"/>
      <c r="O333" s="3"/>
      <c r="P333" s="3"/>
      <c r="Q333" s="3"/>
      <c r="R333" s="3"/>
      <c r="S333" s="3"/>
      <c r="T333" s="3"/>
    </row>
    <row r="334">
      <c r="A334" s="3"/>
      <c r="B334" s="3"/>
      <c r="C334" s="3"/>
      <c r="D334" s="3"/>
      <c r="E334" s="3"/>
      <c r="F334" s="3"/>
      <c r="G334" s="3"/>
      <c r="H334" s="3"/>
      <c r="I334" s="555"/>
      <c r="J334" s="555"/>
      <c r="K334" s="555"/>
      <c r="L334" s="555"/>
      <c r="M334" s="3"/>
      <c r="N334" s="3"/>
      <c r="O334" s="3"/>
      <c r="P334" s="3"/>
      <c r="Q334" s="3"/>
      <c r="R334" s="3"/>
      <c r="S334" s="3"/>
      <c r="T334" s="3"/>
    </row>
    <row r="335">
      <c r="A335" s="3"/>
      <c r="B335" s="3"/>
      <c r="C335" s="3"/>
      <c r="D335" s="3"/>
      <c r="E335" s="3"/>
      <c r="F335" s="3"/>
      <c r="G335" s="3"/>
      <c r="H335" s="3"/>
      <c r="I335" s="555"/>
      <c r="J335" s="555"/>
      <c r="K335" s="555"/>
      <c r="L335" s="555"/>
      <c r="M335" s="3"/>
      <c r="N335" s="3"/>
      <c r="O335" s="3"/>
      <c r="P335" s="3"/>
      <c r="Q335" s="3"/>
      <c r="R335" s="3"/>
      <c r="S335" s="3"/>
      <c r="T335" s="3"/>
    </row>
    <row r="336">
      <c r="A336" s="3"/>
      <c r="B336" s="3"/>
      <c r="C336" s="3"/>
      <c r="D336" s="3"/>
      <c r="E336" s="3"/>
      <c r="F336" s="3"/>
      <c r="G336" s="3"/>
      <c r="H336" s="3"/>
      <c r="I336" s="555"/>
      <c r="J336" s="555"/>
      <c r="K336" s="555"/>
      <c r="L336" s="555"/>
      <c r="M336" s="3"/>
      <c r="N336" s="3"/>
      <c r="O336" s="3"/>
      <c r="P336" s="3"/>
      <c r="Q336" s="3"/>
      <c r="R336" s="3"/>
      <c r="S336" s="3"/>
      <c r="T336" s="3"/>
    </row>
    <row r="337">
      <c r="A337" s="3"/>
      <c r="B337" s="3"/>
      <c r="C337" s="3"/>
      <c r="D337" s="3"/>
      <c r="E337" s="3"/>
      <c r="F337" s="3"/>
      <c r="G337" s="3"/>
      <c r="H337" s="3"/>
      <c r="I337" s="555"/>
      <c r="J337" s="555"/>
      <c r="K337" s="555"/>
      <c r="L337" s="555"/>
      <c r="M337" s="3"/>
      <c r="N337" s="3"/>
      <c r="O337" s="3"/>
      <c r="P337" s="3"/>
      <c r="Q337" s="3"/>
      <c r="R337" s="3"/>
      <c r="S337" s="3"/>
      <c r="T337" s="3"/>
    </row>
    <row r="338">
      <c r="A338" s="3"/>
      <c r="B338" s="3"/>
      <c r="C338" s="3"/>
      <c r="D338" s="3"/>
      <c r="E338" s="3"/>
      <c r="F338" s="3"/>
      <c r="G338" s="3"/>
      <c r="H338" s="3"/>
      <c r="I338" s="555"/>
      <c r="J338" s="555"/>
      <c r="K338" s="555"/>
      <c r="L338" s="555"/>
      <c r="M338" s="3"/>
      <c r="N338" s="3"/>
      <c r="O338" s="3"/>
      <c r="P338" s="3"/>
      <c r="Q338" s="3"/>
      <c r="R338" s="3"/>
      <c r="S338" s="3"/>
      <c r="T338" s="3"/>
    </row>
    <row r="339">
      <c r="A339" s="3"/>
      <c r="B339" s="3"/>
      <c r="C339" s="3"/>
      <c r="D339" s="3"/>
      <c r="E339" s="3"/>
      <c r="F339" s="3"/>
      <c r="G339" s="3"/>
      <c r="H339" s="3"/>
      <c r="I339" s="555"/>
      <c r="J339" s="555"/>
      <c r="K339" s="555"/>
      <c r="L339" s="555"/>
      <c r="M339" s="3"/>
      <c r="N339" s="3"/>
      <c r="O339" s="3"/>
      <c r="P339" s="3"/>
      <c r="Q339" s="3"/>
      <c r="R339" s="3"/>
      <c r="S339" s="3"/>
      <c r="T339" s="3"/>
    </row>
    <row r="340">
      <c r="A340" s="3"/>
      <c r="B340" s="3"/>
      <c r="C340" s="3"/>
      <c r="D340" s="3"/>
      <c r="E340" s="3"/>
      <c r="F340" s="3"/>
      <c r="G340" s="3"/>
      <c r="H340" s="3"/>
      <c r="I340" s="555"/>
      <c r="J340" s="555"/>
      <c r="K340" s="555"/>
      <c r="L340" s="555"/>
      <c r="M340" s="3"/>
      <c r="N340" s="3"/>
      <c r="O340" s="3"/>
      <c r="P340" s="3"/>
      <c r="Q340" s="3"/>
      <c r="R340" s="3"/>
      <c r="S340" s="3"/>
      <c r="T340" s="3"/>
    </row>
    <row r="341">
      <c r="A341" s="3"/>
      <c r="B341" s="3"/>
      <c r="C341" s="3"/>
      <c r="D341" s="3"/>
      <c r="E341" s="3"/>
      <c r="F341" s="3"/>
      <c r="G341" s="3"/>
      <c r="H341" s="3"/>
      <c r="I341" s="555"/>
      <c r="J341" s="555"/>
      <c r="K341" s="555"/>
      <c r="L341" s="555"/>
      <c r="M341" s="3"/>
      <c r="N341" s="3"/>
      <c r="O341" s="3"/>
      <c r="P341" s="3"/>
      <c r="Q341" s="3"/>
      <c r="R341" s="3"/>
      <c r="S341" s="3"/>
      <c r="T341" s="3"/>
    </row>
    <row r="342">
      <c r="A342" s="3"/>
      <c r="B342" s="3"/>
      <c r="C342" s="3"/>
      <c r="D342" s="3"/>
      <c r="E342" s="3"/>
      <c r="F342" s="3"/>
      <c r="G342" s="3"/>
      <c r="H342" s="3"/>
      <c r="I342" s="555"/>
      <c r="J342" s="555"/>
      <c r="K342" s="555"/>
      <c r="L342" s="555"/>
      <c r="M342" s="3"/>
      <c r="N342" s="3"/>
      <c r="O342" s="3"/>
      <c r="P342" s="3"/>
      <c r="Q342" s="3"/>
      <c r="R342" s="3"/>
      <c r="S342" s="3"/>
      <c r="T342" s="3"/>
    </row>
    <row r="343">
      <c r="A343" s="3"/>
      <c r="B343" s="3"/>
      <c r="C343" s="3"/>
      <c r="D343" s="3"/>
      <c r="E343" s="3"/>
      <c r="F343" s="3"/>
      <c r="G343" s="3"/>
      <c r="H343" s="3"/>
      <c r="I343" s="555"/>
      <c r="J343" s="555"/>
      <c r="K343" s="555"/>
      <c r="L343" s="555"/>
      <c r="M343" s="3"/>
      <c r="N343" s="3"/>
      <c r="O343" s="3"/>
      <c r="P343" s="3"/>
      <c r="Q343" s="3"/>
      <c r="R343" s="3"/>
      <c r="S343" s="3"/>
      <c r="T343" s="3"/>
    </row>
    <row r="344">
      <c r="A344" s="3"/>
      <c r="B344" s="3"/>
      <c r="C344" s="3"/>
      <c r="D344" s="3"/>
      <c r="E344" s="3"/>
      <c r="F344" s="3"/>
      <c r="G344" s="3"/>
      <c r="H344" s="3"/>
      <c r="I344" s="555"/>
      <c r="J344" s="555"/>
      <c r="K344" s="555"/>
      <c r="L344" s="555"/>
      <c r="M344" s="3"/>
      <c r="N344" s="3"/>
      <c r="O344" s="3"/>
      <c r="P344" s="3"/>
      <c r="Q344" s="3"/>
      <c r="R344" s="3"/>
      <c r="S344" s="3"/>
      <c r="T344" s="3"/>
    </row>
    <row r="345">
      <c r="A345" s="3"/>
      <c r="B345" s="3"/>
      <c r="C345" s="3"/>
      <c r="D345" s="3"/>
      <c r="E345" s="3"/>
      <c r="F345" s="3"/>
      <c r="G345" s="3"/>
      <c r="H345" s="3"/>
      <c r="I345" s="555"/>
      <c r="J345" s="555"/>
      <c r="K345" s="555"/>
      <c r="L345" s="555"/>
      <c r="M345" s="3"/>
      <c r="N345" s="3"/>
      <c r="O345" s="3"/>
      <c r="P345" s="3"/>
      <c r="Q345" s="3"/>
      <c r="R345" s="3"/>
      <c r="S345" s="3"/>
      <c r="T345" s="3"/>
    </row>
    <row r="346">
      <c r="A346" s="3"/>
      <c r="B346" s="3"/>
      <c r="C346" s="3"/>
      <c r="D346" s="3"/>
      <c r="E346" s="3"/>
      <c r="F346" s="3"/>
      <c r="G346" s="3"/>
      <c r="H346" s="3"/>
      <c r="I346" s="555"/>
      <c r="J346" s="555"/>
      <c r="K346" s="555"/>
      <c r="L346" s="555"/>
      <c r="M346" s="3"/>
      <c r="N346" s="3"/>
      <c r="O346" s="3"/>
      <c r="P346" s="3"/>
      <c r="Q346" s="3"/>
      <c r="R346" s="3"/>
      <c r="S346" s="3"/>
      <c r="T346" s="3"/>
    </row>
    <row r="347">
      <c r="A347" s="3"/>
      <c r="B347" s="3"/>
      <c r="C347" s="3"/>
      <c r="D347" s="3"/>
      <c r="E347" s="3"/>
      <c r="F347" s="3"/>
      <c r="G347" s="3"/>
      <c r="H347" s="3"/>
      <c r="I347" s="537"/>
      <c r="J347" s="555"/>
      <c r="K347" s="555"/>
      <c r="L347" s="555"/>
      <c r="M347" s="3"/>
      <c r="N347" s="3"/>
      <c r="O347" s="3"/>
      <c r="P347" s="3"/>
      <c r="Q347" s="3"/>
      <c r="R347" s="3"/>
      <c r="S347" s="3"/>
      <c r="T347" s="3"/>
    </row>
    <row r="348">
      <c r="A348" s="3"/>
      <c r="B348" s="3"/>
      <c r="C348" s="3"/>
      <c r="D348" s="3"/>
      <c r="E348" s="3"/>
      <c r="F348" s="3"/>
      <c r="G348" s="3"/>
      <c r="H348" s="3"/>
      <c r="I348" s="555"/>
      <c r="J348" s="555"/>
      <c r="K348" s="555"/>
      <c r="L348" s="555"/>
      <c r="M348" s="3"/>
      <c r="N348" s="3"/>
      <c r="O348" s="3"/>
      <c r="P348" s="3"/>
      <c r="Q348" s="3"/>
      <c r="R348" s="3"/>
      <c r="S348" s="3"/>
      <c r="T348" s="3"/>
    </row>
    <row r="349">
      <c r="A349" s="3"/>
      <c r="B349" s="3"/>
      <c r="C349" s="3"/>
      <c r="D349" s="3"/>
      <c r="E349" s="3"/>
      <c r="F349" s="3"/>
      <c r="G349" s="3"/>
      <c r="H349" s="3"/>
      <c r="I349" s="555"/>
      <c r="J349" s="555"/>
      <c r="K349" s="555"/>
      <c r="L349" s="555"/>
      <c r="M349" s="3"/>
      <c r="N349" s="3"/>
      <c r="O349" s="3"/>
      <c r="P349" s="3"/>
      <c r="Q349" s="3"/>
      <c r="R349" s="3"/>
      <c r="S349" s="3"/>
      <c r="T349" s="3"/>
    </row>
    <row r="350">
      <c r="A350" s="3"/>
      <c r="B350" s="3"/>
      <c r="C350" s="3"/>
      <c r="D350" s="3"/>
      <c r="E350" s="3"/>
      <c r="F350" s="3"/>
      <c r="G350" s="3"/>
      <c r="H350" s="3"/>
      <c r="I350" s="555"/>
      <c r="J350" s="555"/>
      <c r="K350" s="555"/>
      <c r="L350" s="555"/>
      <c r="M350" s="3"/>
      <c r="N350" s="3"/>
      <c r="O350" s="3"/>
      <c r="P350" s="3"/>
      <c r="Q350" s="3"/>
      <c r="R350" s="3"/>
      <c r="S350" s="3"/>
      <c r="T350" s="3"/>
    </row>
    <row r="351">
      <c r="A351" s="3"/>
      <c r="B351" s="3"/>
      <c r="C351" s="3"/>
      <c r="D351" s="3"/>
      <c r="E351" s="3"/>
      <c r="F351" s="3"/>
      <c r="G351" s="3"/>
      <c r="H351" s="3"/>
      <c r="I351" s="555"/>
      <c r="J351" s="555"/>
      <c r="K351" s="555"/>
      <c r="L351" s="555"/>
      <c r="M351" s="3"/>
      <c r="N351" s="3"/>
      <c r="O351" s="3"/>
      <c r="P351" s="3"/>
      <c r="Q351" s="3"/>
      <c r="R351" s="3"/>
      <c r="S351" s="3"/>
      <c r="T351" s="3"/>
    </row>
    <row r="352">
      <c r="A352" s="3"/>
      <c r="B352" s="3"/>
      <c r="C352" s="3"/>
      <c r="D352" s="3"/>
      <c r="E352" s="3"/>
      <c r="F352" s="3"/>
      <c r="G352" s="3"/>
      <c r="H352" s="3"/>
      <c r="I352" s="555"/>
      <c r="J352" s="555"/>
      <c r="K352" s="555"/>
      <c r="L352" s="555"/>
      <c r="M352" s="3"/>
      <c r="N352" s="3"/>
      <c r="O352" s="3"/>
      <c r="P352" s="3"/>
      <c r="Q352" s="3"/>
      <c r="R352" s="3"/>
      <c r="S352" s="3"/>
      <c r="T352" s="3"/>
    </row>
    <row r="353">
      <c r="A353" s="3"/>
      <c r="B353" s="3"/>
      <c r="C353" s="3"/>
      <c r="D353" s="3"/>
      <c r="E353" s="3"/>
      <c r="F353" s="3"/>
      <c r="G353" s="3"/>
      <c r="H353" s="3"/>
      <c r="I353" s="555"/>
      <c r="J353" s="555"/>
      <c r="K353" s="555"/>
      <c r="L353" s="555"/>
      <c r="M353" s="3"/>
      <c r="N353" s="3"/>
      <c r="O353" s="3"/>
      <c r="P353" s="3"/>
      <c r="Q353" s="3"/>
      <c r="R353" s="3"/>
      <c r="S353" s="3"/>
      <c r="T353" s="3"/>
    </row>
    <row r="354">
      <c r="A354" s="3"/>
      <c r="B354" s="3"/>
      <c r="C354" s="3"/>
      <c r="D354" s="3"/>
      <c r="E354" s="3"/>
      <c r="F354" s="3"/>
      <c r="G354" s="3"/>
      <c r="H354" s="3"/>
      <c r="I354" s="555"/>
      <c r="J354" s="555"/>
      <c r="K354" s="555"/>
      <c r="L354" s="555"/>
      <c r="M354" s="3"/>
      <c r="N354" s="3"/>
      <c r="O354" s="3"/>
      <c r="P354" s="3"/>
      <c r="Q354" s="3"/>
      <c r="R354" s="3"/>
      <c r="S354" s="3"/>
      <c r="T354" s="3"/>
    </row>
    <row r="355">
      <c r="A355" s="3"/>
      <c r="B355" s="3"/>
      <c r="C355" s="3"/>
      <c r="D355" s="3"/>
      <c r="E355" s="3"/>
      <c r="F355" s="3"/>
      <c r="G355" s="3"/>
      <c r="H355" s="3"/>
      <c r="I355" s="555"/>
      <c r="J355" s="555"/>
      <c r="K355" s="555"/>
      <c r="L355" s="555"/>
      <c r="M355" s="3"/>
      <c r="N355" s="3"/>
      <c r="O355" s="3"/>
      <c r="P355" s="3"/>
      <c r="Q355" s="3"/>
      <c r="R355" s="3"/>
      <c r="S355" s="3"/>
      <c r="T355" s="3"/>
    </row>
    <row r="356">
      <c r="A356" s="3"/>
      <c r="B356" s="3"/>
      <c r="C356" s="3"/>
      <c r="D356" s="3"/>
      <c r="E356" s="3"/>
      <c r="F356" s="3"/>
      <c r="G356" s="3"/>
      <c r="H356" s="3"/>
      <c r="I356" s="555"/>
      <c r="J356" s="555"/>
      <c r="K356" s="555"/>
      <c r="L356" s="555"/>
      <c r="M356" s="3"/>
      <c r="N356" s="3"/>
      <c r="O356" s="3"/>
      <c r="P356" s="3"/>
      <c r="Q356" s="3"/>
      <c r="R356" s="3"/>
      <c r="S356" s="3"/>
      <c r="T356" s="3"/>
    </row>
    <row r="357">
      <c r="A357" s="3"/>
      <c r="B357" s="3"/>
      <c r="C357" s="3"/>
      <c r="D357" s="3"/>
      <c r="E357" s="3"/>
      <c r="F357" s="3"/>
      <c r="G357" s="3"/>
      <c r="H357" s="3"/>
      <c r="I357" s="555"/>
      <c r="J357" s="555"/>
      <c r="K357" s="555"/>
      <c r="L357" s="555"/>
      <c r="M357" s="3"/>
      <c r="N357" s="3"/>
      <c r="O357" s="3"/>
      <c r="P357" s="3"/>
      <c r="Q357" s="3"/>
      <c r="R357" s="3"/>
      <c r="S357" s="3"/>
      <c r="T357" s="3"/>
    </row>
    <row r="358">
      <c r="A358" s="3"/>
      <c r="B358" s="3"/>
      <c r="C358" s="3"/>
      <c r="D358" s="3"/>
      <c r="E358" s="3"/>
      <c r="F358" s="3"/>
      <c r="G358" s="3"/>
      <c r="H358" s="3"/>
      <c r="I358" s="555"/>
      <c r="J358" s="555"/>
      <c r="K358" s="555"/>
      <c r="L358" s="555"/>
      <c r="M358" s="3"/>
      <c r="N358" s="3"/>
      <c r="O358" s="3"/>
      <c r="P358" s="3"/>
      <c r="Q358" s="3"/>
      <c r="R358" s="3"/>
      <c r="S358" s="3"/>
      <c r="T358" s="3"/>
    </row>
    <row r="359">
      <c r="A359" s="3"/>
      <c r="B359" s="3"/>
      <c r="C359" s="3"/>
      <c r="D359" s="3"/>
      <c r="E359" s="3"/>
      <c r="F359" s="3"/>
      <c r="G359" s="3"/>
      <c r="H359" s="3"/>
      <c r="I359" s="555"/>
      <c r="J359" s="555"/>
      <c r="K359" s="555"/>
      <c r="L359" s="555"/>
      <c r="M359" s="3"/>
      <c r="N359" s="3"/>
      <c r="O359" s="3"/>
      <c r="P359" s="3"/>
      <c r="Q359" s="3"/>
      <c r="R359" s="3"/>
      <c r="S359" s="3"/>
      <c r="T359" s="3"/>
    </row>
    <row r="360">
      <c r="A360" s="3"/>
      <c r="B360" s="3"/>
      <c r="C360" s="3"/>
      <c r="D360" s="3"/>
      <c r="E360" s="3"/>
      <c r="F360" s="3"/>
      <c r="G360" s="3"/>
      <c r="H360" s="3"/>
      <c r="I360" s="555"/>
      <c r="J360" s="555"/>
      <c r="K360" s="555"/>
      <c r="L360" s="555"/>
      <c r="M360" s="3"/>
      <c r="N360" s="3"/>
      <c r="O360" s="3"/>
      <c r="P360" s="3"/>
      <c r="Q360" s="3"/>
      <c r="R360" s="3"/>
      <c r="S360" s="3"/>
      <c r="T360" s="3"/>
    </row>
    <row r="361">
      <c r="A361" s="3"/>
      <c r="B361" s="3"/>
      <c r="C361" s="3"/>
      <c r="D361" s="3"/>
      <c r="E361" s="3"/>
      <c r="F361" s="3"/>
      <c r="G361" s="3"/>
      <c r="H361" s="3"/>
      <c r="I361" s="555"/>
      <c r="J361" s="555"/>
      <c r="K361" s="555"/>
      <c r="L361" s="555"/>
      <c r="M361" s="3"/>
      <c r="N361" s="3"/>
      <c r="O361" s="3"/>
      <c r="P361" s="3"/>
      <c r="Q361" s="3"/>
      <c r="R361" s="3"/>
      <c r="S361" s="3"/>
      <c r="T361" s="3"/>
    </row>
    <row r="362">
      <c r="A362" s="3"/>
      <c r="B362" s="3"/>
      <c r="C362" s="3"/>
      <c r="D362" s="3"/>
      <c r="E362" s="3"/>
      <c r="F362" s="3"/>
      <c r="G362" s="3"/>
      <c r="H362" s="3"/>
      <c r="I362" s="555"/>
      <c r="J362" s="555"/>
      <c r="K362" s="555"/>
      <c r="L362" s="555"/>
      <c r="M362" s="3"/>
      <c r="N362" s="3"/>
      <c r="O362" s="3"/>
      <c r="P362" s="3"/>
      <c r="Q362" s="3"/>
      <c r="R362" s="3"/>
      <c r="S362" s="3"/>
      <c r="T362" s="3"/>
    </row>
    <row r="363">
      <c r="A363" s="3"/>
      <c r="B363" s="3"/>
      <c r="C363" s="3"/>
      <c r="D363" s="3"/>
      <c r="E363" s="3"/>
      <c r="F363" s="3"/>
      <c r="G363" s="3"/>
      <c r="H363" s="3"/>
      <c r="I363" s="555"/>
      <c r="J363" s="555"/>
      <c r="K363" s="555"/>
      <c r="L363" s="555"/>
      <c r="M363" s="3"/>
      <c r="N363" s="3"/>
      <c r="O363" s="3"/>
      <c r="P363" s="3"/>
      <c r="Q363" s="3"/>
      <c r="R363" s="3"/>
      <c r="S363" s="3"/>
      <c r="T363" s="3"/>
    </row>
    <row r="364">
      <c r="A364" s="3"/>
      <c r="B364" s="3"/>
      <c r="C364" s="3"/>
      <c r="D364" s="3"/>
      <c r="E364" s="3"/>
      <c r="F364" s="3"/>
      <c r="G364" s="3"/>
      <c r="H364" s="3"/>
      <c r="I364" s="555"/>
      <c r="J364" s="555"/>
      <c r="K364" s="555"/>
      <c r="L364" s="555"/>
      <c r="M364" s="3"/>
      <c r="N364" s="3"/>
      <c r="O364" s="3"/>
      <c r="P364" s="3"/>
      <c r="Q364" s="3"/>
      <c r="R364" s="3"/>
      <c r="S364" s="3"/>
      <c r="T364" s="3"/>
    </row>
    <row r="365">
      <c r="A365" s="3"/>
      <c r="B365" s="3"/>
      <c r="C365" s="3"/>
      <c r="D365" s="3"/>
      <c r="E365" s="3"/>
      <c r="F365" s="3"/>
      <c r="G365" s="3"/>
      <c r="H365" s="3"/>
      <c r="I365" s="555"/>
      <c r="J365" s="555"/>
      <c r="K365" s="555"/>
      <c r="L365" s="555"/>
      <c r="M365" s="3"/>
      <c r="N365" s="3"/>
      <c r="O365" s="3"/>
      <c r="P365" s="3"/>
      <c r="Q365" s="3"/>
      <c r="R365" s="3"/>
      <c r="S365" s="3"/>
      <c r="T365" s="3"/>
    </row>
    <row r="366">
      <c r="A366" s="3"/>
      <c r="B366" s="3"/>
      <c r="C366" s="3"/>
      <c r="D366" s="3"/>
      <c r="E366" s="3"/>
      <c r="F366" s="3"/>
      <c r="G366" s="3"/>
      <c r="H366" s="3"/>
      <c r="I366" s="555"/>
      <c r="J366" s="555"/>
      <c r="K366" s="555"/>
      <c r="L366" s="555"/>
      <c r="M366" s="3"/>
      <c r="N366" s="3"/>
      <c r="O366" s="3"/>
      <c r="P366" s="3"/>
      <c r="Q366" s="3"/>
      <c r="R366" s="3"/>
      <c r="S366" s="3"/>
      <c r="T366" s="3"/>
    </row>
    <row r="367">
      <c r="A367" s="3"/>
      <c r="B367" s="3"/>
      <c r="C367" s="3"/>
      <c r="D367" s="3"/>
      <c r="E367" s="3"/>
      <c r="F367" s="3"/>
      <c r="G367" s="3"/>
      <c r="H367" s="3"/>
      <c r="I367" s="555"/>
      <c r="J367" s="555"/>
      <c r="K367" s="555"/>
      <c r="L367" s="555"/>
      <c r="M367" s="3"/>
      <c r="N367" s="3"/>
      <c r="O367" s="3"/>
      <c r="P367" s="3"/>
      <c r="Q367" s="3"/>
      <c r="R367" s="3"/>
      <c r="S367" s="3"/>
      <c r="T367" s="3"/>
    </row>
    <row r="368">
      <c r="A368" s="3"/>
      <c r="B368" s="3"/>
      <c r="C368" s="3"/>
      <c r="D368" s="3"/>
      <c r="E368" s="3"/>
      <c r="F368" s="3"/>
      <c r="G368" s="3"/>
      <c r="H368" s="3"/>
      <c r="I368" s="555"/>
      <c r="J368" s="555"/>
      <c r="K368" s="555"/>
      <c r="L368" s="555"/>
      <c r="M368" s="3"/>
      <c r="N368" s="3"/>
      <c r="O368" s="3"/>
      <c r="P368" s="3"/>
      <c r="Q368" s="3"/>
      <c r="R368" s="3"/>
      <c r="S368" s="3"/>
      <c r="T368" s="3"/>
    </row>
    <row r="369">
      <c r="A369" s="3"/>
      <c r="B369" s="3"/>
      <c r="C369" s="3"/>
      <c r="D369" s="3"/>
      <c r="E369" s="3"/>
      <c r="F369" s="3"/>
      <c r="G369" s="3"/>
      <c r="H369" s="3"/>
      <c r="I369" s="555"/>
      <c r="J369" s="555"/>
      <c r="K369" s="555"/>
      <c r="L369" s="555"/>
      <c r="M369" s="3"/>
      <c r="N369" s="3"/>
      <c r="O369" s="3"/>
      <c r="P369" s="3"/>
      <c r="Q369" s="3"/>
      <c r="R369" s="3"/>
      <c r="S369" s="3"/>
      <c r="T369" s="3"/>
    </row>
    <row r="370">
      <c r="A370" s="3"/>
      <c r="B370" s="3"/>
      <c r="C370" s="3"/>
      <c r="D370" s="3"/>
      <c r="E370" s="3"/>
      <c r="F370" s="3"/>
      <c r="G370" s="3"/>
      <c r="H370" s="3"/>
      <c r="I370" s="555"/>
      <c r="J370" s="555"/>
      <c r="K370" s="555"/>
      <c r="L370" s="555"/>
      <c r="M370" s="3"/>
      <c r="N370" s="3"/>
      <c r="O370" s="3"/>
      <c r="P370" s="3"/>
      <c r="Q370" s="3"/>
      <c r="R370" s="3"/>
      <c r="S370" s="3"/>
      <c r="T370" s="3"/>
    </row>
    <row r="371">
      <c r="A371" s="3"/>
      <c r="B371" s="3"/>
      <c r="C371" s="3"/>
      <c r="D371" s="3"/>
      <c r="E371" s="3"/>
      <c r="F371" s="3"/>
      <c r="G371" s="3"/>
      <c r="H371" s="3"/>
      <c r="I371" s="555"/>
      <c r="J371" s="555"/>
      <c r="K371" s="555"/>
      <c r="L371" s="555"/>
      <c r="M371" s="3"/>
      <c r="N371" s="3"/>
      <c r="O371" s="3"/>
      <c r="P371" s="3"/>
      <c r="Q371" s="3"/>
      <c r="R371" s="3"/>
      <c r="S371" s="3"/>
      <c r="T371" s="3"/>
    </row>
    <row r="372">
      <c r="A372" s="3"/>
      <c r="B372" s="3"/>
      <c r="C372" s="3"/>
      <c r="D372" s="3"/>
      <c r="E372" s="3"/>
      <c r="F372" s="3"/>
      <c r="G372" s="3"/>
      <c r="H372" s="3"/>
      <c r="I372" s="555"/>
      <c r="J372" s="555"/>
      <c r="K372" s="555"/>
      <c r="L372" s="555"/>
      <c r="M372" s="3"/>
      <c r="N372" s="3"/>
      <c r="O372" s="3"/>
      <c r="P372" s="3"/>
      <c r="Q372" s="3"/>
      <c r="R372" s="3"/>
      <c r="S372" s="3"/>
      <c r="T372" s="3"/>
    </row>
    <row r="373">
      <c r="A373" s="3"/>
      <c r="B373" s="3"/>
      <c r="C373" s="3"/>
      <c r="D373" s="3"/>
      <c r="E373" s="3"/>
      <c r="F373" s="3"/>
      <c r="G373" s="3"/>
      <c r="H373" s="3"/>
      <c r="I373" s="555"/>
      <c r="J373" s="555"/>
      <c r="K373" s="555"/>
      <c r="L373" s="555"/>
      <c r="M373" s="3"/>
      <c r="N373" s="3"/>
      <c r="O373" s="3"/>
      <c r="P373" s="3"/>
      <c r="Q373" s="3"/>
      <c r="R373" s="3"/>
      <c r="S373" s="3"/>
      <c r="T373" s="3"/>
    </row>
    <row r="374">
      <c r="A374" s="3"/>
      <c r="B374" s="3"/>
      <c r="C374" s="3"/>
      <c r="D374" s="3"/>
      <c r="E374" s="3"/>
      <c r="F374" s="3"/>
      <c r="G374" s="3"/>
      <c r="H374" s="3"/>
      <c r="I374" s="555"/>
      <c r="J374" s="555"/>
      <c r="K374" s="555"/>
      <c r="L374" s="555"/>
      <c r="M374" s="3"/>
      <c r="N374" s="3"/>
      <c r="O374" s="3"/>
      <c r="P374" s="3"/>
      <c r="Q374" s="3"/>
      <c r="R374" s="3"/>
      <c r="S374" s="3"/>
      <c r="T374" s="3"/>
    </row>
    <row r="375">
      <c r="A375" s="3"/>
      <c r="B375" s="3"/>
      <c r="C375" s="3"/>
      <c r="D375" s="3"/>
      <c r="E375" s="3"/>
      <c r="F375" s="3"/>
      <c r="G375" s="3"/>
      <c r="H375" s="3"/>
      <c r="I375" s="555"/>
      <c r="J375" s="555"/>
      <c r="K375" s="555"/>
      <c r="L375" s="555"/>
      <c r="M375" s="3"/>
      <c r="N375" s="3"/>
      <c r="O375" s="3"/>
      <c r="P375" s="3"/>
      <c r="Q375" s="3"/>
      <c r="R375" s="3"/>
      <c r="S375" s="3"/>
      <c r="T375" s="3"/>
    </row>
    <row r="376">
      <c r="A376" s="3"/>
      <c r="B376" s="3"/>
      <c r="C376" s="3"/>
      <c r="D376" s="3"/>
      <c r="E376" s="3"/>
      <c r="F376" s="3"/>
      <c r="G376" s="3"/>
      <c r="H376" s="3"/>
      <c r="I376" s="555"/>
      <c r="J376" s="555"/>
      <c r="K376" s="555"/>
      <c r="L376" s="555"/>
      <c r="M376" s="3"/>
      <c r="N376" s="3"/>
      <c r="O376" s="3"/>
      <c r="P376" s="3"/>
      <c r="Q376" s="3"/>
      <c r="R376" s="3"/>
      <c r="S376" s="3"/>
      <c r="T376" s="3"/>
    </row>
    <row r="377">
      <c r="A377" s="3"/>
      <c r="B377" s="3"/>
      <c r="C377" s="3"/>
      <c r="D377" s="3"/>
      <c r="E377" s="3"/>
      <c r="F377" s="3"/>
      <c r="G377" s="3"/>
      <c r="H377" s="3"/>
      <c r="I377" s="555"/>
      <c r="J377" s="555"/>
      <c r="K377" s="555"/>
      <c r="L377" s="555"/>
      <c r="M377" s="3"/>
      <c r="N377" s="3"/>
      <c r="O377" s="3"/>
      <c r="P377" s="3"/>
      <c r="Q377" s="3"/>
      <c r="R377" s="3"/>
      <c r="S377" s="3"/>
      <c r="T377" s="3"/>
    </row>
    <row r="378">
      <c r="A378" s="3"/>
      <c r="B378" s="3"/>
      <c r="C378" s="3"/>
      <c r="D378" s="3"/>
      <c r="E378" s="3"/>
      <c r="F378" s="3"/>
      <c r="G378" s="3"/>
      <c r="H378" s="3"/>
      <c r="I378" s="555"/>
      <c r="J378" s="555"/>
      <c r="K378" s="555"/>
      <c r="L378" s="555"/>
      <c r="M378" s="3"/>
      <c r="N378" s="3"/>
      <c r="O378" s="3"/>
      <c r="P378" s="3"/>
      <c r="Q378" s="3"/>
      <c r="R378" s="3"/>
      <c r="S378" s="3"/>
      <c r="T378" s="3"/>
    </row>
    <row r="379">
      <c r="A379" s="3"/>
      <c r="B379" s="3"/>
      <c r="C379" s="3"/>
      <c r="D379" s="3"/>
      <c r="E379" s="3"/>
      <c r="F379" s="3"/>
      <c r="G379" s="3"/>
      <c r="H379" s="3"/>
      <c r="I379" s="555"/>
      <c r="J379" s="555"/>
      <c r="K379" s="555"/>
      <c r="L379" s="555"/>
      <c r="M379" s="3"/>
      <c r="N379" s="3"/>
      <c r="O379" s="3"/>
      <c r="P379" s="3"/>
      <c r="Q379" s="3"/>
      <c r="R379" s="3"/>
      <c r="S379" s="3"/>
      <c r="T379" s="3"/>
    </row>
    <row r="380">
      <c r="A380" s="3"/>
      <c r="B380" s="3"/>
      <c r="C380" s="3"/>
      <c r="D380" s="3"/>
      <c r="E380" s="3"/>
      <c r="F380" s="3"/>
      <c r="G380" s="3"/>
      <c r="H380" s="3"/>
      <c r="I380" s="555"/>
      <c r="J380" s="555"/>
      <c r="K380" s="555"/>
      <c r="L380" s="555"/>
      <c r="M380" s="3"/>
      <c r="N380" s="3"/>
      <c r="O380" s="3"/>
      <c r="P380" s="3"/>
      <c r="Q380" s="3"/>
      <c r="R380" s="3"/>
      <c r="S380" s="3"/>
      <c r="T380" s="3"/>
    </row>
    <row r="381">
      <c r="A381" s="3"/>
      <c r="B381" s="3"/>
      <c r="C381" s="3"/>
      <c r="D381" s="3"/>
      <c r="E381" s="3"/>
      <c r="F381" s="3"/>
      <c r="G381" s="3"/>
      <c r="H381" s="3"/>
      <c r="I381" s="555"/>
      <c r="J381" s="555"/>
      <c r="K381" s="555"/>
      <c r="L381" s="555"/>
      <c r="M381" s="3"/>
      <c r="N381" s="3"/>
      <c r="O381" s="3"/>
      <c r="P381" s="3"/>
      <c r="Q381" s="3"/>
      <c r="R381" s="3"/>
      <c r="S381" s="3"/>
      <c r="T381" s="3"/>
    </row>
    <row r="382">
      <c r="A382" s="3"/>
      <c r="B382" s="3"/>
      <c r="C382" s="3"/>
      <c r="D382" s="3"/>
      <c r="E382" s="3"/>
      <c r="F382" s="3"/>
      <c r="G382" s="3"/>
      <c r="H382" s="3"/>
      <c r="I382" s="555"/>
      <c r="J382" s="555"/>
      <c r="K382" s="555"/>
      <c r="L382" s="555"/>
      <c r="M382" s="3"/>
      <c r="N382" s="3"/>
      <c r="O382" s="3"/>
      <c r="P382" s="3"/>
      <c r="Q382" s="3"/>
      <c r="R382" s="3"/>
      <c r="S382" s="3"/>
      <c r="T382" s="3"/>
    </row>
    <row r="383">
      <c r="A383" s="3"/>
      <c r="B383" s="3"/>
      <c r="C383" s="3"/>
      <c r="D383" s="3"/>
      <c r="E383" s="3"/>
      <c r="F383" s="3"/>
      <c r="G383" s="3"/>
      <c r="H383" s="3"/>
      <c r="I383" s="555"/>
      <c r="J383" s="555"/>
      <c r="K383" s="555"/>
      <c r="L383" s="555"/>
      <c r="M383" s="3"/>
      <c r="N383" s="3"/>
      <c r="O383" s="3"/>
      <c r="P383" s="3"/>
      <c r="Q383" s="3"/>
      <c r="R383" s="3"/>
      <c r="S383" s="3"/>
      <c r="T383" s="3"/>
    </row>
    <row r="384">
      <c r="A384" s="3"/>
      <c r="B384" s="3"/>
      <c r="C384" s="3"/>
      <c r="D384" s="3"/>
      <c r="E384" s="3"/>
      <c r="F384" s="3"/>
      <c r="G384" s="3"/>
      <c r="H384" s="3"/>
      <c r="I384" s="555"/>
      <c r="J384" s="555"/>
      <c r="K384" s="555"/>
      <c r="L384" s="555"/>
      <c r="M384" s="3"/>
      <c r="N384" s="3"/>
      <c r="O384" s="3"/>
      <c r="P384" s="3"/>
      <c r="Q384" s="3"/>
      <c r="R384" s="3"/>
      <c r="S384" s="3"/>
      <c r="T384" s="3"/>
    </row>
    <row r="385">
      <c r="A385" s="3"/>
      <c r="B385" s="3"/>
      <c r="C385" s="3"/>
      <c r="D385" s="3"/>
      <c r="E385" s="3"/>
      <c r="F385" s="3"/>
      <c r="G385" s="3"/>
      <c r="H385" s="3"/>
      <c r="I385" s="555"/>
      <c r="J385" s="555"/>
      <c r="K385" s="555"/>
      <c r="L385" s="555"/>
      <c r="M385" s="3"/>
      <c r="N385" s="3"/>
      <c r="O385" s="3"/>
      <c r="P385" s="3"/>
      <c r="Q385" s="3"/>
      <c r="R385" s="3"/>
      <c r="S385" s="3"/>
      <c r="T385" s="3"/>
    </row>
    <row r="386">
      <c r="A386" s="3"/>
      <c r="B386" s="3"/>
      <c r="C386" s="3"/>
      <c r="D386" s="3"/>
      <c r="E386" s="3"/>
      <c r="F386" s="3"/>
      <c r="G386" s="3"/>
      <c r="H386" s="3"/>
      <c r="I386" s="555"/>
      <c r="J386" s="555"/>
      <c r="K386" s="555"/>
      <c r="L386" s="555"/>
      <c r="M386" s="3"/>
      <c r="N386" s="3"/>
      <c r="O386" s="3"/>
      <c r="P386" s="3"/>
      <c r="Q386" s="3"/>
      <c r="R386" s="3"/>
      <c r="S386" s="3"/>
      <c r="T386" s="3"/>
    </row>
    <row r="387">
      <c r="A387" s="3"/>
      <c r="B387" s="3"/>
      <c r="C387" s="3"/>
      <c r="D387" s="3"/>
      <c r="E387" s="3"/>
      <c r="F387" s="3"/>
      <c r="G387" s="3"/>
      <c r="H387" s="3"/>
      <c r="I387" s="555"/>
      <c r="J387" s="555"/>
      <c r="K387" s="555"/>
      <c r="L387" s="555"/>
      <c r="M387" s="3"/>
      <c r="N387" s="3"/>
      <c r="O387" s="3"/>
      <c r="P387" s="3"/>
      <c r="Q387" s="3"/>
      <c r="R387" s="3"/>
      <c r="S387" s="3"/>
      <c r="T387" s="3"/>
    </row>
    <row r="388">
      <c r="A388" s="3"/>
      <c r="B388" s="3"/>
      <c r="C388" s="3"/>
      <c r="D388" s="3"/>
      <c r="E388" s="3"/>
      <c r="F388" s="3"/>
      <c r="G388" s="3"/>
      <c r="H388" s="3"/>
      <c r="I388" s="555"/>
      <c r="J388" s="555"/>
      <c r="K388" s="555"/>
      <c r="L388" s="555"/>
      <c r="M388" s="3"/>
      <c r="N388" s="3"/>
      <c r="O388" s="3"/>
      <c r="P388" s="3"/>
      <c r="Q388" s="3"/>
      <c r="R388" s="3"/>
      <c r="S388" s="3"/>
      <c r="T388" s="3"/>
    </row>
    <row r="389">
      <c r="A389" s="3"/>
      <c r="B389" s="3"/>
      <c r="C389" s="3"/>
      <c r="D389" s="3"/>
      <c r="E389" s="3"/>
      <c r="F389" s="3"/>
      <c r="G389" s="3"/>
      <c r="H389" s="3"/>
      <c r="I389" s="555"/>
      <c r="J389" s="555"/>
      <c r="K389" s="555"/>
      <c r="L389" s="555"/>
      <c r="M389" s="3"/>
      <c r="N389" s="3"/>
      <c r="O389" s="3"/>
      <c r="P389" s="3"/>
      <c r="Q389" s="3"/>
      <c r="R389" s="3"/>
      <c r="S389" s="3"/>
      <c r="T389" s="3"/>
    </row>
    <row r="390">
      <c r="A390" s="3"/>
      <c r="B390" s="3"/>
      <c r="C390" s="3"/>
      <c r="D390" s="3"/>
      <c r="E390" s="3"/>
      <c r="F390" s="3"/>
      <c r="G390" s="3"/>
      <c r="H390" s="3"/>
      <c r="I390" s="555"/>
      <c r="J390" s="555"/>
      <c r="K390" s="555"/>
      <c r="L390" s="555"/>
      <c r="M390" s="3"/>
      <c r="N390" s="3"/>
      <c r="O390" s="3"/>
      <c r="P390" s="3"/>
      <c r="Q390" s="3"/>
      <c r="R390" s="3"/>
      <c r="S390" s="3"/>
      <c r="T390" s="3"/>
    </row>
    <row r="391">
      <c r="A391" s="3"/>
      <c r="B391" s="3"/>
      <c r="C391" s="3"/>
      <c r="D391" s="3"/>
      <c r="E391" s="3"/>
      <c r="F391" s="3"/>
      <c r="G391" s="3"/>
      <c r="H391" s="3"/>
      <c r="I391" s="555"/>
      <c r="J391" s="555"/>
      <c r="K391" s="555"/>
      <c r="L391" s="555"/>
      <c r="M391" s="3"/>
      <c r="N391" s="3"/>
      <c r="O391" s="3"/>
      <c r="P391" s="3"/>
      <c r="Q391" s="3"/>
      <c r="R391" s="3"/>
      <c r="S391" s="3"/>
      <c r="T391" s="3"/>
    </row>
    <row r="392">
      <c r="A392" s="3"/>
      <c r="B392" s="3"/>
      <c r="C392" s="3"/>
      <c r="D392" s="3"/>
      <c r="E392" s="3"/>
      <c r="F392" s="3"/>
      <c r="G392" s="3"/>
      <c r="H392" s="3"/>
      <c r="I392" s="555"/>
      <c r="J392" s="555"/>
      <c r="K392" s="555"/>
      <c r="L392" s="555"/>
      <c r="M392" s="3"/>
      <c r="N392" s="3"/>
      <c r="O392" s="3"/>
      <c r="P392" s="3"/>
      <c r="Q392" s="3"/>
      <c r="R392" s="3"/>
      <c r="S392" s="3"/>
      <c r="T392" s="3"/>
    </row>
    <row r="393">
      <c r="A393" s="3"/>
      <c r="B393" s="3"/>
      <c r="C393" s="3"/>
      <c r="D393" s="3"/>
      <c r="E393" s="3"/>
      <c r="F393" s="3"/>
      <c r="G393" s="3"/>
      <c r="H393" s="3"/>
      <c r="I393" s="555"/>
      <c r="J393" s="555"/>
      <c r="K393" s="555"/>
      <c r="L393" s="555"/>
      <c r="M393" s="3"/>
      <c r="N393" s="3"/>
      <c r="O393" s="3"/>
      <c r="P393" s="3"/>
      <c r="Q393" s="3"/>
      <c r="R393" s="3"/>
      <c r="S393" s="3"/>
      <c r="T393" s="3"/>
    </row>
    <row r="394">
      <c r="A394" s="3"/>
      <c r="B394" s="3"/>
      <c r="C394" s="3"/>
      <c r="D394" s="3"/>
      <c r="E394" s="3"/>
      <c r="F394" s="3"/>
      <c r="G394" s="3"/>
      <c r="H394" s="3"/>
      <c r="I394" s="555"/>
      <c r="J394" s="555"/>
      <c r="K394" s="555"/>
      <c r="L394" s="555"/>
      <c r="M394" s="3"/>
      <c r="N394" s="3"/>
      <c r="O394" s="3"/>
      <c r="P394" s="3"/>
      <c r="Q394" s="3"/>
      <c r="R394" s="3"/>
      <c r="S394" s="3"/>
      <c r="T394" s="3"/>
    </row>
    <row r="395">
      <c r="A395" s="3"/>
      <c r="B395" s="3"/>
      <c r="C395" s="3"/>
      <c r="D395" s="3"/>
      <c r="E395" s="3"/>
      <c r="F395" s="3"/>
      <c r="G395" s="3"/>
      <c r="H395" s="3"/>
      <c r="I395" s="555"/>
      <c r="J395" s="555"/>
      <c r="K395" s="555"/>
      <c r="L395" s="555"/>
      <c r="M395" s="3"/>
      <c r="N395" s="3"/>
      <c r="O395" s="3"/>
      <c r="P395" s="3"/>
      <c r="Q395" s="3"/>
      <c r="R395" s="3"/>
      <c r="S395" s="3"/>
      <c r="T395" s="3"/>
    </row>
    <row r="396">
      <c r="A396" s="3"/>
      <c r="B396" s="3"/>
      <c r="C396" s="3"/>
      <c r="D396" s="3"/>
      <c r="E396" s="3"/>
      <c r="F396" s="3"/>
      <c r="G396" s="3"/>
      <c r="H396" s="3"/>
      <c r="I396" s="555"/>
      <c r="J396" s="555"/>
      <c r="K396" s="555"/>
      <c r="L396" s="555"/>
      <c r="M396" s="3"/>
      <c r="N396" s="3"/>
      <c r="O396" s="3"/>
      <c r="P396" s="3"/>
      <c r="Q396" s="3"/>
      <c r="R396" s="3"/>
      <c r="S396" s="3"/>
      <c r="T396" s="3"/>
    </row>
    <row r="397">
      <c r="A397" s="3"/>
      <c r="B397" s="3"/>
      <c r="C397" s="3"/>
      <c r="D397" s="3"/>
      <c r="E397" s="3"/>
      <c r="F397" s="3"/>
      <c r="G397" s="3"/>
      <c r="H397" s="3"/>
      <c r="I397" s="555"/>
      <c r="J397" s="555"/>
      <c r="K397" s="555"/>
      <c r="L397" s="555"/>
      <c r="M397" s="3"/>
      <c r="N397" s="3"/>
      <c r="O397" s="3"/>
      <c r="P397" s="3"/>
      <c r="Q397" s="3"/>
      <c r="R397" s="3"/>
      <c r="S397" s="3"/>
      <c r="T397" s="3"/>
    </row>
    <row r="398">
      <c r="A398" s="3"/>
      <c r="B398" s="3"/>
      <c r="C398" s="3"/>
      <c r="D398" s="3"/>
      <c r="E398" s="3"/>
      <c r="F398" s="3"/>
      <c r="G398" s="3"/>
      <c r="H398" s="3"/>
      <c r="I398" s="555"/>
      <c r="J398" s="555"/>
      <c r="K398" s="555"/>
      <c r="L398" s="555"/>
      <c r="M398" s="3"/>
      <c r="N398" s="3"/>
      <c r="O398" s="3"/>
      <c r="P398" s="3"/>
      <c r="Q398" s="3"/>
      <c r="R398" s="3"/>
      <c r="S398" s="3"/>
      <c r="T398" s="3"/>
    </row>
    <row r="399">
      <c r="A399" s="3"/>
      <c r="B399" s="3"/>
      <c r="C399" s="3"/>
      <c r="D399" s="3"/>
      <c r="E399" s="3"/>
      <c r="F399" s="3"/>
      <c r="G399" s="3"/>
      <c r="H399" s="3"/>
      <c r="I399" s="555"/>
      <c r="J399" s="555"/>
      <c r="K399" s="555"/>
      <c r="L399" s="555"/>
      <c r="M399" s="3"/>
      <c r="N399" s="3"/>
      <c r="O399" s="3"/>
      <c r="P399" s="3"/>
      <c r="Q399" s="3"/>
      <c r="R399" s="3"/>
      <c r="S399" s="3"/>
      <c r="T399" s="3"/>
    </row>
    <row r="400">
      <c r="A400" s="3"/>
      <c r="B400" s="3"/>
      <c r="C400" s="3"/>
      <c r="D400" s="3"/>
      <c r="E400" s="3"/>
      <c r="F400" s="3"/>
      <c r="G400" s="3"/>
      <c r="H400" s="3"/>
      <c r="I400" s="555"/>
      <c r="J400" s="555"/>
      <c r="K400" s="555"/>
      <c r="L400" s="555"/>
      <c r="M400" s="3"/>
      <c r="N400" s="3"/>
      <c r="O400" s="3"/>
      <c r="P400" s="3"/>
      <c r="Q400" s="3"/>
      <c r="R400" s="3"/>
      <c r="S400" s="3"/>
      <c r="T400" s="3"/>
    </row>
    <row r="401">
      <c r="A401" s="3"/>
      <c r="B401" s="3"/>
      <c r="C401" s="3"/>
      <c r="D401" s="3"/>
      <c r="E401" s="3"/>
      <c r="F401" s="3"/>
      <c r="G401" s="3"/>
      <c r="H401" s="3"/>
      <c r="I401" s="555"/>
      <c r="J401" s="555"/>
      <c r="K401" s="555"/>
      <c r="L401" s="555"/>
      <c r="M401" s="3"/>
      <c r="N401" s="3"/>
      <c r="O401" s="3"/>
      <c r="P401" s="3"/>
      <c r="Q401" s="3"/>
      <c r="R401" s="3"/>
      <c r="S401" s="3"/>
      <c r="T401" s="3"/>
    </row>
    <row r="402">
      <c r="A402" s="3"/>
      <c r="B402" s="3"/>
      <c r="C402" s="3"/>
      <c r="D402" s="3"/>
      <c r="E402" s="3"/>
      <c r="F402" s="3"/>
      <c r="G402" s="3"/>
      <c r="H402" s="3"/>
      <c r="I402" s="555"/>
      <c r="J402" s="555"/>
      <c r="K402" s="555"/>
      <c r="L402" s="555"/>
      <c r="M402" s="3"/>
      <c r="N402" s="3"/>
      <c r="O402" s="3"/>
      <c r="P402" s="3"/>
      <c r="Q402" s="3"/>
      <c r="R402" s="3"/>
      <c r="S402" s="3"/>
      <c r="T402" s="3"/>
    </row>
    <row r="403">
      <c r="A403" s="3"/>
      <c r="B403" s="3"/>
      <c r="C403" s="3"/>
      <c r="D403" s="3"/>
      <c r="E403" s="3"/>
      <c r="F403" s="3"/>
      <c r="G403" s="3"/>
      <c r="H403" s="3"/>
      <c r="I403" s="555"/>
      <c r="J403" s="555"/>
      <c r="K403" s="555"/>
      <c r="L403" s="555"/>
      <c r="M403" s="3"/>
      <c r="N403" s="3"/>
      <c r="O403" s="3"/>
      <c r="P403" s="3"/>
      <c r="Q403" s="3"/>
      <c r="R403" s="3"/>
      <c r="S403" s="3"/>
      <c r="T403" s="3"/>
    </row>
    <row r="404">
      <c r="A404" s="3"/>
      <c r="B404" s="3"/>
      <c r="C404" s="3"/>
      <c r="D404" s="3"/>
      <c r="E404" s="3"/>
      <c r="F404" s="3"/>
      <c r="G404" s="3"/>
      <c r="H404" s="3"/>
      <c r="I404" s="555"/>
      <c r="J404" s="555"/>
      <c r="K404" s="555"/>
      <c r="L404" s="555"/>
      <c r="M404" s="3"/>
      <c r="N404" s="3"/>
      <c r="O404" s="3"/>
      <c r="P404" s="3"/>
      <c r="Q404" s="3"/>
      <c r="R404" s="3"/>
      <c r="S404" s="3"/>
      <c r="T404" s="3"/>
    </row>
    <row r="405">
      <c r="A405" s="3"/>
      <c r="B405" s="3"/>
      <c r="C405" s="3"/>
      <c r="D405" s="3"/>
      <c r="E405" s="3"/>
      <c r="F405" s="3"/>
      <c r="G405" s="3"/>
      <c r="H405" s="3"/>
      <c r="I405" s="555"/>
      <c r="J405" s="555"/>
      <c r="K405" s="555"/>
      <c r="L405" s="555"/>
      <c r="M405" s="3"/>
      <c r="N405" s="3"/>
      <c r="O405" s="3"/>
      <c r="P405" s="3"/>
      <c r="Q405" s="3"/>
      <c r="R405" s="3"/>
      <c r="S405" s="3"/>
      <c r="T405" s="3"/>
    </row>
    <row r="406">
      <c r="A406" s="3"/>
      <c r="B406" s="3"/>
      <c r="C406" s="3"/>
      <c r="D406" s="3"/>
      <c r="E406" s="3"/>
      <c r="F406" s="3"/>
      <c r="G406" s="3"/>
      <c r="H406" s="3"/>
      <c r="I406" s="555"/>
      <c r="J406" s="555"/>
      <c r="K406" s="555"/>
      <c r="L406" s="555"/>
      <c r="M406" s="3"/>
      <c r="N406" s="3"/>
      <c r="O406" s="3"/>
      <c r="P406" s="3"/>
      <c r="Q406" s="3"/>
      <c r="R406" s="3"/>
      <c r="S406" s="3"/>
      <c r="T406" s="3"/>
    </row>
    <row r="407">
      <c r="A407" s="3"/>
      <c r="B407" s="3"/>
      <c r="C407" s="3"/>
      <c r="D407" s="3"/>
      <c r="E407" s="3"/>
      <c r="F407" s="3"/>
      <c r="G407" s="3"/>
      <c r="H407" s="3"/>
      <c r="I407" s="555"/>
      <c r="J407" s="555"/>
      <c r="K407" s="555"/>
      <c r="L407" s="555"/>
      <c r="M407" s="3"/>
      <c r="N407" s="3"/>
      <c r="O407" s="3"/>
      <c r="P407" s="3"/>
      <c r="Q407" s="3"/>
      <c r="R407" s="3"/>
      <c r="S407" s="3"/>
      <c r="T407" s="3"/>
    </row>
    <row r="408">
      <c r="A408" s="3"/>
      <c r="B408" s="3"/>
      <c r="C408" s="3"/>
      <c r="D408" s="3"/>
      <c r="E408" s="3"/>
      <c r="F408" s="3"/>
      <c r="G408" s="3"/>
      <c r="H408" s="3"/>
      <c r="I408" s="555"/>
      <c r="J408" s="555"/>
      <c r="K408" s="555"/>
      <c r="L408" s="555"/>
      <c r="M408" s="3"/>
      <c r="N408" s="3"/>
      <c r="O408" s="3"/>
      <c r="P408" s="3"/>
      <c r="Q408" s="3"/>
      <c r="R408" s="3"/>
      <c r="S408" s="3"/>
      <c r="T408" s="3"/>
    </row>
    <row r="409">
      <c r="A409" s="3"/>
      <c r="B409" s="3"/>
      <c r="C409" s="3"/>
      <c r="D409" s="3"/>
      <c r="E409" s="3"/>
      <c r="F409" s="3"/>
      <c r="G409" s="3"/>
      <c r="H409" s="3"/>
      <c r="I409" s="555"/>
      <c r="J409" s="555"/>
      <c r="K409" s="555"/>
      <c r="L409" s="555"/>
      <c r="M409" s="3"/>
      <c r="N409" s="3"/>
      <c r="O409" s="3"/>
      <c r="P409" s="3"/>
      <c r="Q409" s="3"/>
      <c r="R409" s="3"/>
      <c r="S409" s="3"/>
      <c r="T409" s="3"/>
    </row>
    <row r="410">
      <c r="A410" s="3"/>
      <c r="B410" s="3"/>
      <c r="C410" s="3"/>
      <c r="D410" s="3"/>
      <c r="E410" s="3"/>
      <c r="F410" s="3"/>
      <c r="G410" s="3"/>
      <c r="H410" s="3"/>
      <c r="I410" s="555"/>
      <c r="J410" s="555"/>
      <c r="K410" s="555"/>
      <c r="L410" s="555"/>
      <c r="M410" s="3"/>
      <c r="N410" s="3"/>
      <c r="O410" s="3"/>
      <c r="P410" s="3"/>
      <c r="Q410" s="3"/>
      <c r="R410" s="3"/>
      <c r="S410" s="3"/>
      <c r="T410" s="3"/>
    </row>
    <row r="411">
      <c r="A411" s="3"/>
      <c r="B411" s="3"/>
      <c r="C411" s="3"/>
      <c r="D411" s="3"/>
      <c r="E411" s="3"/>
      <c r="F411" s="3"/>
      <c r="G411" s="3"/>
      <c r="H411" s="3"/>
      <c r="I411" s="555"/>
      <c r="J411" s="555"/>
      <c r="K411" s="555"/>
      <c r="L411" s="555"/>
      <c r="M411" s="3"/>
      <c r="N411" s="3"/>
      <c r="O411" s="3"/>
      <c r="P411" s="3"/>
      <c r="Q411" s="3"/>
      <c r="R411" s="3"/>
      <c r="S411" s="3"/>
      <c r="T411" s="3"/>
    </row>
    <row r="412">
      <c r="A412" s="3"/>
      <c r="B412" s="3"/>
      <c r="C412" s="3"/>
      <c r="D412" s="3"/>
      <c r="E412" s="3"/>
      <c r="F412" s="3"/>
      <c r="G412" s="3"/>
      <c r="H412" s="3"/>
      <c r="I412" s="555"/>
      <c r="J412" s="555"/>
      <c r="K412" s="555"/>
      <c r="L412" s="555"/>
      <c r="M412" s="3"/>
      <c r="N412" s="3"/>
      <c r="O412" s="3"/>
      <c r="P412" s="3"/>
      <c r="Q412" s="3"/>
      <c r="R412" s="3"/>
      <c r="S412" s="3"/>
      <c r="T412" s="3"/>
    </row>
    <row r="413">
      <c r="A413" s="3"/>
      <c r="B413" s="3"/>
      <c r="C413" s="3"/>
      <c r="D413" s="3"/>
      <c r="E413" s="3"/>
      <c r="F413" s="3"/>
      <c r="G413" s="3"/>
      <c r="H413" s="3"/>
      <c r="I413" s="555"/>
      <c r="J413" s="555"/>
      <c r="K413" s="555"/>
      <c r="L413" s="555"/>
      <c r="M413" s="3"/>
      <c r="N413" s="3"/>
      <c r="O413" s="3"/>
      <c r="P413" s="3"/>
      <c r="Q413" s="3"/>
      <c r="R413" s="3"/>
      <c r="S413" s="3"/>
      <c r="T413" s="3"/>
    </row>
    <row r="414">
      <c r="A414" s="3"/>
      <c r="B414" s="3"/>
      <c r="C414" s="3"/>
      <c r="D414" s="3"/>
      <c r="E414" s="3"/>
      <c r="F414" s="3"/>
      <c r="G414" s="3"/>
      <c r="H414" s="3"/>
      <c r="I414" s="555"/>
      <c r="J414" s="555"/>
      <c r="K414" s="555"/>
      <c r="L414" s="555"/>
      <c r="M414" s="3"/>
      <c r="N414" s="3"/>
      <c r="O414" s="3"/>
      <c r="P414" s="3"/>
      <c r="Q414" s="3"/>
      <c r="R414" s="3"/>
      <c r="S414" s="3"/>
      <c r="T414" s="3"/>
    </row>
    <row r="415">
      <c r="A415" s="3"/>
      <c r="B415" s="3"/>
      <c r="C415" s="3"/>
      <c r="D415" s="3"/>
      <c r="E415" s="3"/>
      <c r="F415" s="3"/>
      <c r="G415" s="3"/>
      <c r="H415" s="3"/>
      <c r="I415" s="555"/>
      <c r="J415" s="555"/>
      <c r="K415" s="555"/>
      <c r="L415" s="555"/>
      <c r="M415" s="3"/>
      <c r="N415" s="3"/>
      <c r="O415" s="3"/>
      <c r="P415" s="3"/>
      <c r="Q415" s="3"/>
      <c r="R415" s="3"/>
      <c r="S415" s="3"/>
      <c r="T415" s="3"/>
    </row>
    <row r="416">
      <c r="A416" s="3"/>
      <c r="B416" s="3"/>
      <c r="C416" s="3"/>
      <c r="D416" s="3"/>
      <c r="E416" s="3"/>
      <c r="F416" s="3"/>
      <c r="G416" s="3"/>
      <c r="H416" s="3"/>
      <c r="I416" s="555"/>
      <c r="J416" s="555"/>
      <c r="K416" s="555"/>
      <c r="L416" s="555"/>
      <c r="M416" s="3"/>
      <c r="N416" s="3"/>
      <c r="O416" s="3"/>
      <c r="P416" s="3"/>
      <c r="Q416" s="3"/>
      <c r="R416" s="3"/>
      <c r="S416" s="3"/>
      <c r="T416" s="3"/>
    </row>
    <row r="417">
      <c r="A417" s="3"/>
      <c r="B417" s="3"/>
      <c r="C417" s="3"/>
      <c r="D417" s="3"/>
      <c r="E417" s="3"/>
      <c r="F417" s="3"/>
      <c r="G417" s="3"/>
      <c r="H417" s="3"/>
      <c r="I417" s="555"/>
      <c r="J417" s="555"/>
      <c r="K417" s="555"/>
      <c r="L417" s="555"/>
      <c r="M417" s="3"/>
      <c r="N417" s="3"/>
      <c r="O417" s="3"/>
      <c r="P417" s="3"/>
      <c r="Q417" s="3"/>
      <c r="R417" s="3"/>
      <c r="S417" s="3"/>
      <c r="T417" s="3"/>
    </row>
    <row r="418">
      <c r="A418" s="3"/>
      <c r="B418" s="3"/>
      <c r="C418" s="3"/>
      <c r="D418" s="3"/>
      <c r="E418" s="3"/>
      <c r="F418" s="3"/>
      <c r="G418" s="3"/>
      <c r="H418" s="3"/>
      <c r="I418" s="555"/>
      <c r="J418" s="555"/>
      <c r="K418" s="555"/>
      <c r="L418" s="555"/>
      <c r="M418" s="3"/>
      <c r="N418" s="3"/>
      <c r="O418" s="3"/>
      <c r="P418" s="3"/>
      <c r="Q418" s="3"/>
      <c r="R418" s="3"/>
      <c r="S418" s="3"/>
      <c r="T418" s="3"/>
    </row>
    <row r="419">
      <c r="A419" s="3"/>
      <c r="B419" s="3"/>
      <c r="C419" s="3"/>
      <c r="D419" s="3"/>
      <c r="E419" s="3"/>
      <c r="F419" s="3"/>
      <c r="G419" s="3"/>
      <c r="H419" s="3"/>
      <c r="I419" s="555"/>
      <c r="J419" s="555"/>
      <c r="K419" s="555"/>
      <c r="L419" s="555"/>
      <c r="M419" s="3"/>
      <c r="N419" s="3"/>
      <c r="O419" s="3"/>
      <c r="P419" s="3"/>
      <c r="Q419" s="3"/>
      <c r="R419" s="3"/>
      <c r="S419" s="3"/>
      <c r="T419" s="3"/>
    </row>
    <row r="420">
      <c r="A420" s="3"/>
      <c r="B420" s="3"/>
      <c r="C420" s="3"/>
      <c r="D420" s="3"/>
      <c r="E420" s="3"/>
      <c r="F420" s="3"/>
      <c r="G420" s="3"/>
      <c r="H420" s="3"/>
      <c r="I420" s="555"/>
      <c r="J420" s="555"/>
      <c r="K420" s="555"/>
      <c r="L420" s="555"/>
      <c r="M420" s="3"/>
      <c r="N420" s="3"/>
      <c r="O420" s="3"/>
      <c r="P420" s="3"/>
      <c r="Q420" s="3"/>
      <c r="R420" s="3"/>
      <c r="S420" s="3"/>
      <c r="T420" s="3"/>
    </row>
    <row r="421">
      <c r="A421" s="3"/>
      <c r="B421" s="3"/>
      <c r="C421" s="3"/>
      <c r="D421" s="3"/>
      <c r="E421" s="3"/>
      <c r="F421" s="3"/>
      <c r="G421" s="3"/>
      <c r="H421" s="3"/>
      <c r="I421" s="555"/>
      <c r="J421" s="555"/>
      <c r="K421" s="555"/>
      <c r="L421" s="555"/>
      <c r="M421" s="3"/>
      <c r="N421" s="3"/>
      <c r="O421" s="3"/>
      <c r="P421" s="3"/>
      <c r="Q421" s="3"/>
      <c r="R421" s="3"/>
      <c r="S421" s="3"/>
      <c r="T421" s="3"/>
    </row>
    <row r="422">
      <c r="A422" s="3"/>
      <c r="B422" s="3"/>
      <c r="C422" s="3"/>
      <c r="D422" s="3"/>
      <c r="E422" s="3"/>
      <c r="F422" s="3"/>
      <c r="G422" s="3"/>
      <c r="H422" s="3"/>
      <c r="I422" s="555"/>
      <c r="J422" s="555"/>
      <c r="K422" s="555"/>
      <c r="L422" s="555"/>
      <c r="M422" s="3"/>
      <c r="N422" s="3"/>
      <c r="O422" s="3"/>
      <c r="P422" s="3"/>
      <c r="Q422" s="3"/>
      <c r="R422" s="3"/>
      <c r="S422" s="3"/>
      <c r="T422" s="3"/>
    </row>
    <row r="423">
      <c r="A423" s="3"/>
      <c r="B423" s="3"/>
      <c r="C423" s="3"/>
      <c r="D423" s="3"/>
      <c r="E423" s="3"/>
      <c r="F423" s="3"/>
      <c r="G423" s="3"/>
      <c r="H423" s="3"/>
      <c r="I423" s="555"/>
      <c r="J423" s="555"/>
      <c r="K423" s="555"/>
      <c r="L423" s="555"/>
      <c r="M423" s="3"/>
      <c r="N423" s="3"/>
      <c r="O423" s="3"/>
      <c r="P423" s="3"/>
      <c r="Q423" s="3"/>
      <c r="R423" s="3"/>
      <c r="S423" s="3"/>
      <c r="T423" s="3"/>
    </row>
    <row r="424">
      <c r="A424" s="3"/>
      <c r="B424" s="3"/>
      <c r="C424" s="3"/>
      <c r="D424" s="3"/>
      <c r="E424" s="3"/>
      <c r="F424" s="3"/>
      <c r="G424" s="3"/>
      <c r="H424" s="3"/>
      <c r="I424" s="555"/>
      <c r="J424" s="555"/>
      <c r="K424" s="555"/>
      <c r="L424" s="555"/>
      <c r="M424" s="3"/>
      <c r="N424" s="3"/>
      <c r="O424" s="3"/>
      <c r="P424" s="3"/>
      <c r="Q424" s="3"/>
      <c r="R424" s="3"/>
      <c r="S424" s="3"/>
      <c r="T424" s="3"/>
    </row>
    <row r="425">
      <c r="A425" s="3"/>
      <c r="B425" s="3"/>
      <c r="C425" s="3"/>
      <c r="D425" s="3"/>
      <c r="E425" s="3"/>
      <c r="F425" s="3"/>
      <c r="G425" s="3"/>
      <c r="H425" s="3"/>
      <c r="I425" s="555"/>
      <c r="J425" s="555"/>
      <c r="K425" s="555"/>
      <c r="L425" s="555"/>
      <c r="M425" s="3"/>
      <c r="N425" s="3"/>
      <c r="O425" s="3"/>
      <c r="P425" s="3"/>
      <c r="Q425" s="3"/>
      <c r="R425" s="3"/>
      <c r="S425" s="3"/>
      <c r="T425" s="3"/>
    </row>
    <row r="426">
      <c r="A426" s="3"/>
      <c r="B426" s="3"/>
      <c r="C426" s="3"/>
      <c r="D426" s="3"/>
      <c r="E426" s="3"/>
      <c r="F426" s="3"/>
      <c r="G426" s="3"/>
      <c r="H426" s="3"/>
      <c r="I426" s="555"/>
      <c r="J426" s="555"/>
      <c r="K426" s="555"/>
      <c r="L426" s="555"/>
      <c r="M426" s="3"/>
      <c r="N426" s="3"/>
      <c r="O426" s="3"/>
      <c r="P426" s="3"/>
      <c r="Q426" s="3"/>
      <c r="R426" s="3"/>
      <c r="S426" s="3"/>
      <c r="T426" s="3"/>
    </row>
    <row r="427">
      <c r="A427" s="3"/>
      <c r="B427" s="3"/>
      <c r="C427" s="3"/>
      <c r="D427" s="3"/>
      <c r="E427" s="3"/>
      <c r="F427" s="3"/>
      <c r="G427" s="3"/>
      <c r="H427" s="3"/>
      <c r="I427" s="555"/>
      <c r="J427" s="555"/>
      <c r="K427" s="555"/>
      <c r="L427" s="555"/>
      <c r="M427" s="3"/>
      <c r="N427" s="3"/>
      <c r="O427" s="3"/>
      <c r="P427" s="3"/>
      <c r="Q427" s="3"/>
      <c r="R427" s="3"/>
      <c r="S427" s="3"/>
      <c r="T427" s="3"/>
    </row>
    <row r="428">
      <c r="A428" s="3"/>
      <c r="B428" s="3"/>
      <c r="C428" s="3"/>
      <c r="D428" s="3"/>
      <c r="E428" s="3"/>
      <c r="F428" s="3"/>
      <c r="G428" s="3"/>
      <c r="H428" s="3"/>
      <c r="I428" s="555"/>
      <c r="J428" s="555"/>
      <c r="K428" s="555"/>
      <c r="L428" s="555"/>
      <c r="M428" s="3"/>
      <c r="N428" s="3"/>
      <c r="O428" s="3"/>
      <c r="P428" s="3"/>
      <c r="Q428" s="3"/>
      <c r="R428" s="3"/>
      <c r="S428" s="3"/>
      <c r="T428" s="3"/>
    </row>
    <row r="429">
      <c r="A429" s="3"/>
      <c r="B429" s="3"/>
      <c r="C429" s="3"/>
      <c r="D429" s="3"/>
      <c r="E429" s="3"/>
      <c r="F429" s="3"/>
      <c r="G429" s="3"/>
      <c r="H429" s="3"/>
      <c r="I429" s="555"/>
      <c r="J429" s="555"/>
      <c r="K429" s="555"/>
      <c r="L429" s="555"/>
      <c r="M429" s="3"/>
      <c r="N429" s="3"/>
      <c r="O429" s="3"/>
      <c r="P429" s="3"/>
      <c r="Q429" s="3"/>
      <c r="R429" s="3"/>
      <c r="S429" s="3"/>
      <c r="T429" s="3"/>
    </row>
    <row r="430">
      <c r="A430" s="3"/>
      <c r="B430" s="3"/>
      <c r="C430" s="3"/>
      <c r="D430" s="3"/>
      <c r="E430" s="3"/>
      <c r="F430" s="3"/>
      <c r="G430" s="3"/>
      <c r="H430" s="3"/>
      <c r="I430" s="555"/>
      <c r="J430" s="555"/>
      <c r="K430" s="555"/>
      <c r="L430" s="555"/>
      <c r="M430" s="3"/>
      <c r="N430" s="3"/>
      <c r="O430" s="3"/>
      <c r="P430" s="3"/>
      <c r="Q430" s="3"/>
      <c r="R430" s="3"/>
      <c r="S430" s="3"/>
      <c r="T430" s="3"/>
    </row>
    <row r="431">
      <c r="A431" s="3"/>
      <c r="B431" s="3"/>
      <c r="C431" s="3"/>
      <c r="D431" s="3"/>
      <c r="E431" s="3"/>
      <c r="F431" s="3"/>
      <c r="G431" s="3"/>
      <c r="H431" s="3"/>
      <c r="I431" s="555"/>
      <c r="J431" s="555"/>
      <c r="K431" s="555"/>
      <c r="L431" s="555"/>
      <c r="M431" s="3"/>
      <c r="N431" s="3"/>
      <c r="O431" s="3"/>
      <c r="P431" s="3"/>
      <c r="Q431" s="3"/>
      <c r="R431" s="3"/>
      <c r="S431" s="3"/>
      <c r="T431" s="3"/>
    </row>
    <row r="432">
      <c r="A432" s="3"/>
      <c r="B432" s="3"/>
      <c r="C432" s="3"/>
      <c r="D432" s="3"/>
      <c r="E432" s="3"/>
      <c r="F432" s="3"/>
      <c r="G432" s="3"/>
      <c r="H432" s="3"/>
      <c r="I432" s="555"/>
      <c r="J432" s="555"/>
      <c r="K432" s="555"/>
      <c r="L432" s="555"/>
      <c r="M432" s="3"/>
      <c r="N432" s="3"/>
      <c r="O432" s="3"/>
      <c r="P432" s="3"/>
      <c r="Q432" s="3"/>
      <c r="R432" s="3"/>
      <c r="S432" s="3"/>
      <c r="T432" s="3"/>
    </row>
    <row r="433">
      <c r="A433" s="3"/>
      <c r="B433" s="3"/>
      <c r="C433" s="3"/>
      <c r="D433" s="3"/>
      <c r="E433" s="3"/>
      <c r="F433" s="3"/>
      <c r="G433" s="3"/>
      <c r="H433" s="3"/>
      <c r="I433" s="555"/>
      <c r="J433" s="555"/>
      <c r="K433" s="555"/>
      <c r="L433" s="555"/>
      <c r="M433" s="3"/>
      <c r="N433" s="3"/>
      <c r="O433" s="3"/>
      <c r="P433" s="3"/>
      <c r="Q433" s="3"/>
      <c r="R433" s="3"/>
      <c r="S433" s="3"/>
      <c r="T433" s="3"/>
    </row>
    <row r="434">
      <c r="A434" s="3"/>
      <c r="B434" s="3"/>
      <c r="C434" s="3"/>
      <c r="D434" s="3"/>
      <c r="E434" s="3"/>
      <c r="F434" s="3"/>
      <c r="G434" s="3"/>
      <c r="H434" s="3"/>
      <c r="I434" s="555"/>
      <c r="J434" s="555"/>
      <c r="K434" s="555"/>
      <c r="L434" s="555"/>
      <c r="M434" s="3"/>
      <c r="N434" s="3"/>
      <c r="O434" s="3"/>
      <c r="P434" s="3"/>
      <c r="Q434" s="3"/>
      <c r="R434" s="3"/>
      <c r="S434" s="3"/>
      <c r="T434" s="3"/>
    </row>
    <row r="435">
      <c r="A435" s="3"/>
      <c r="B435" s="3"/>
      <c r="C435" s="3"/>
      <c r="D435" s="3"/>
      <c r="E435" s="3"/>
      <c r="F435" s="3"/>
      <c r="G435" s="3"/>
      <c r="H435" s="3"/>
      <c r="I435" s="555"/>
      <c r="J435" s="555"/>
      <c r="K435" s="555"/>
      <c r="L435" s="555"/>
      <c r="M435" s="3"/>
      <c r="N435" s="3"/>
      <c r="O435" s="3"/>
      <c r="P435" s="3"/>
      <c r="Q435" s="3"/>
      <c r="R435" s="3"/>
      <c r="S435" s="3"/>
      <c r="T435" s="3"/>
    </row>
    <row r="436">
      <c r="A436" s="3"/>
      <c r="B436" s="3"/>
      <c r="C436" s="3"/>
      <c r="D436" s="3"/>
      <c r="E436" s="3"/>
      <c r="F436" s="3"/>
      <c r="G436" s="3"/>
      <c r="H436" s="3"/>
      <c r="I436" s="555"/>
      <c r="J436" s="555"/>
      <c r="K436" s="555"/>
      <c r="L436" s="555"/>
      <c r="M436" s="3"/>
      <c r="N436" s="3"/>
      <c r="O436" s="3"/>
      <c r="P436" s="3"/>
      <c r="Q436" s="3"/>
      <c r="R436" s="3"/>
      <c r="S436" s="3"/>
      <c r="T436" s="3"/>
    </row>
    <row r="437">
      <c r="A437" s="3"/>
      <c r="B437" s="3"/>
      <c r="C437" s="3"/>
      <c r="D437" s="3"/>
      <c r="E437" s="3"/>
      <c r="F437" s="3"/>
      <c r="G437" s="3"/>
      <c r="H437" s="3"/>
      <c r="I437" s="555"/>
      <c r="J437" s="555"/>
      <c r="K437" s="555"/>
      <c r="L437" s="555"/>
      <c r="M437" s="3"/>
      <c r="N437" s="3"/>
      <c r="O437" s="3"/>
      <c r="P437" s="3"/>
      <c r="Q437" s="3"/>
      <c r="R437" s="3"/>
      <c r="S437" s="3"/>
      <c r="T437" s="3"/>
    </row>
    <row r="438">
      <c r="A438" s="3"/>
      <c r="B438" s="3"/>
      <c r="C438" s="3"/>
      <c r="D438" s="3"/>
      <c r="E438" s="3"/>
      <c r="F438" s="3"/>
      <c r="G438" s="3"/>
      <c r="H438" s="3"/>
      <c r="I438" s="555"/>
      <c r="J438" s="555"/>
      <c r="K438" s="555"/>
      <c r="L438" s="555"/>
      <c r="M438" s="3"/>
      <c r="N438" s="3"/>
      <c r="O438" s="3"/>
      <c r="P438" s="3"/>
      <c r="Q438" s="3"/>
      <c r="R438" s="3"/>
      <c r="S438" s="3"/>
      <c r="T438" s="3"/>
    </row>
    <row r="439">
      <c r="A439" s="3"/>
      <c r="B439" s="3"/>
      <c r="C439" s="3"/>
      <c r="D439" s="3"/>
      <c r="E439" s="3"/>
      <c r="F439" s="3"/>
      <c r="G439" s="3"/>
      <c r="H439" s="3"/>
      <c r="I439" s="555"/>
      <c r="J439" s="555"/>
      <c r="K439" s="555"/>
      <c r="L439" s="555"/>
      <c r="M439" s="3"/>
      <c r="N439" s="3"/>
      <c r="O439" s="3"/>
      <c r="P439" s="3"/>
      <c r="Q439" s="3"/>
      <c r="R439" s="3"/>
      <c r="S439" s="3"/>
      <c r="T439" s="3"/>
    </row>
    <row r="440">
      <c r="A440" s="3"/>
      <c r="B440" s="3"/>
      <c r="C440" s="3"/>
      <c r="D440" s="3"/>
      <c r="E440" s="3"/>
      <c r="F440" s="3"/>
      <c r="G440" s="3"/>
      <c r="H440" s="3"/>
      <c r="I440" s="555"/>
      <c r="J440" s="555"/>
      <c r="K440" s="555"/>
      <c r="L440" s="555"/>
      <c r="M440" s="3"/>
      <c r="N440" s="3"/>
      <c r="O440" s="3"/>
      <c r="P440" s="3"/>
      <c r="Q440" s="3"/>
      <c r="R440" s="3"/>
      <c r="S440" s="3"/>
      <c r="T440" s="3"/>
    </row>
    <row r="441">
      <c r="A441" s="3"/>
      <c r="B441" s="3"/>
      <c r="C441" s="3"/>
      <c r="D441" s="3"/>
      <c r="E441" s="3"/>
      <c r="F441" s="3"/>
      <c r="G441" s="3"/>
      <c r="H441" s="3"/>
      <c r="I441" s="555"/>
      <c r="J441" s="555"/>
      <c r="K441" s="555"/>
      <c r="L441" s="555"/>
      <c r="M441" s="3"/>
      <c r="N441" s="3"/>
      <c r="O441" s="3"/>
      <c r="P441" s="3"/>
      <c r="Q441" s="3"/>
      <c r="R441" s="3"/>
      <c r="S441" s="3"/>
      <c r="T441" s="3"/>
    </row>
    <row r="442">
      <c r="A442" s="3"/>
      <c r="B442" s="3"/>
      <c r="C442" s="3"/>
      <c r="D442" s="3"/>
      <c r="E442" s="3"/>
      <c r="F442" s="3"/>
      <c r="G442" s="3"/>
      <c r="H442" s="3"/>
      <c r="I442" s="3"/>
      <c r="J442" s="3"/>
      <c r="K442" s="3"/>
      <c r="L442" s="3"/>
      <c r="M442" s="3"/>
      <c r="N442" s="3"/>
      <c r="O442" s="3"/>
      <c r="P442" s="3"/>
      <c r="Q442" s="3"/>
      <c r="R442" s="3"/>
      <c r="S442" s="3"/>
      <c r="T442" s="3"/>
    </row>
    <row r="443">
      <c r="A443" s="3"/>
      <c r="B443" s="3"/>
      <c r="C443" s="3"/>
      <c r="D443" s="3"/>
      <c r="E443" s="3"/>
      <c r="F443" s="3"/>
      <c r="G443" s="3"/>
      <c r="H443" s="3"/>
      <c r="I443" s="3"/>
      <c r="J443" s="3"/>
      <c r="K443" s="3"/>
      <c r="L443" s="3"/>
      <c r="M443" s="3"/>
      <c r="N443" s="3"/>
      <c r="O443" s="3"/>
      <c r="P443" s="3"/>
      <c r="Q443" s="3"/>
      <c r="R443" s="3"/>
      <c r="S443" s="3"/>
      <c r="T443" s="3"/>
    </row>
    <row r="444">
      <c r="A444" s="3"/>
      <c r="B444" s="3"/>
      <c r="C444" s="3"/>
      <c r="D444" s="3"/>
      <c r="E444" s="3"/>
      <c r="F444" s="3"/>
      <c r="G444" s="3"/>
      <c r="H444" s="3"/>
      <c r="I444" s="3"/>
      <c r="J444" s="3"/>
      <c r="K444" s="3"/>
      <c r="L444" s="3"/>
      <c r="M444" s="3"/>
      <c r="N444" s="3"/>
      <c r="O444" s="3"/>
      <c r="P444" s="3"/>
      <c r="Q444" s="3"/>
      <c r="R444" s="3"/>
      <c r="S444" s="3"/>
      <c r="T444" s="3"/>
    </row>
    <row r="445">
      <c r="A445" s="3"/>
      <c r="B445" s="3"/>
      <c r="C445" s="3"/>
      <c r="D445" s="3"/>
      <c r="E445" s="3"/>
      <c r="F445" s="3"/>
      <c r="G445" s="3"/>
      <c r="H445" s="3"/>
      <c r="I445" s="3"/>
      <c r="J445" s="3"/>
      <c r="K445" s="3"/>
      <c r="L445" s="3"/>
      <c r="M445" s="3"/>
      <c r="N445" s="3"/>
      <c r="O445" s="3"/>
      <c r="P445" s="3"/>
      <c r="Q445" s="3"/>
      <c r="R445" s="3"/>
      <c r="S445" s="3"/>
      <c r="T445" s="3"/>
    </row>
    <row r="446">
      <c r="A446" s="3"/>
      <c r="B446" s="3"/>
      <c r="C446" s="3"/>
      <c r="D446" s="3"/>
      <c r="E446" s="3"/>
      <c r="F446" s="3"/>
      <c r="G446" s="3"/>
      <c r="H446" s="3"/>
      <c r="I446" s="3"/>
      <c r="J446" s="3"/>
      <c r="K446" s="3"/>
      <c r="L446" s="3"/>
      <c r="M446" s="3"/>
      <c r="N446" s="3"/>
      <c r="O446" s="3"/>
      <c r="P446" s="3"/>
      <c r="Q446" s="3"/>
      <c r="R446" s="3"/>
      <c r="S446" s="3"/>
      <c r="T446" s="3"/>
    </row>
    <row r="447">
      <c r="A447" s="3"/>
      <c r="B447" s="3"/>
      <c r="C447" s="3"/>
      <c r="D447" s="3"/>
      <c r="E447" s="3"/>
      <c r="F447" s="3"/>
      <c r="G447" s="3"/>
      <c r="H447" s="3"/>
      <c r="I447" s="3"/>
      <c r="J447" s="3"/>
      <c r="K447" s="3"/>
      <c r="L447" s="3"/>
      <c r="M447" s="3"/>
      <c r="N447" s="3"/>
      <c r="O447" s="3"/>
      <c r="P447" s="3"/>
      <c r="Q447" s="3"/>
      <c r="R447" s="3"/>
      <c r="S447" s="3"/>
      <c r="T447" s="3"/>
    </row>
    <row r="448">
      <c r="A448" s="3"/>
      <c r="B448" s="3"/>
      <c r="C448" s="3"/>
      <c r="D448" s="3"/>
      <c r="E448" s="3"/>
      <c r="F448" s="3"/>
      <c r="G448" s="3"/>
      <c r="H448" s="3"/>
      <c r="I448" s="3"/>
      <c r="J448" s="3"/>
      <c r="K448" s="3"/>
      <c r="L448" s="3"/>
      <c r="M448" s="3"/>
      <c r="N448" s="3"/>
      <c r="O448" s="3"/>
      <c r="P448" s="3"/>
      <c r="Q448" s="3"/>
      <c r="R448" s="3"/>
      <c r="S448" s="3"/>
      <c r="T448" s="3"/>
    </row>
    <row r="449">
      <c r="A449" s="3"/>
      <c r="B449" s="3"/>
      <c r="C449" s="3"/>
      <c r="D449" s="3"/>
      <c r="E449" s="3"/>
      <c r="F449" s="3"/>
      <c r="G449" s="3"/>
      <c r="H449" s="3"/>
      <c r="I449" s="3"/>
      <c r="J449" s="3"/>
      <c r="K449" s="3"/>
      <c r="L449" s="3"/>
      <c r="M449" s="3"/>
      <c r="N449" s="3"/>
      <c r="O449" s="3"/>
      <c r="P449" s="3"/>
      <c r="Q449" s="3"/>
      <c r="R449" s="3"/>
      <c r="S449" s="3"/>
      <c r="T449" s="3"/>
    </row>
    <row r="450">
      <c r="A450" s="3"/>
      <c r="B450" s="3"/>
      <c r="C450" s="3"/>
      <c r="D450" s="3"/>
      <c r="E450" s="3"/>
      <c r="F450" s="3"/>
      <c r="G450" s="3"/>
      <c r="H450" s="3"/>
      <c r="I450" s="3"/>
      <c r="J450" s="3"/>
      <c r="K450" s="3"/>
      <c r="L450" s="3"/>
      <c r="M450" s="3"/>
      <c r="N450" s="3"/>
      <c r="O450" s="3"/>
      <c r="P450" s="3"/>
      <c r="Q450" s="3"/>
      <c r="R450" s="3"/>
      <c r="S450" s="3"/>
      <c r="T450" s="3"/>
    </row>
    <row r="451">
      <c r="A451" s="3"/>
      <c r="B451" s="3"/>
      <c r="C451" s="3"/>
      <c r="D451" s="3"/>
      <c r="E451" s="3"/>
      <c r="F451" s="3"/>
      <c r="G451" s="3"/>
      <c r="H451" s="3"/>
      <c r="I451" s="3"/>
      <c r="J451" s="3"/>
      <c r="K451" s="3"/>
      <c r="L451" s="3"/>
      <c r="M451" s="3"/>
      <c r="N451" s="3"/>
      <c r="O451" s="3"/>
      <c r="P451" s="3"/>
      <c r="Q451" s="3"/>
      <c r="R451" s="3"/>
      <c r="S451" s="3"/>
      <c r="T451" s="3"/>
    </row>
    <row r="452">
      <c r="A452" s="3"/>
      <c r="B452" s="3"/>
      <c r="C452" s="3"/>
      <c r="D452" s="3"/>
      <c r="E452" s="3"/>
      <c r="F452" s="3"/>
      <c r="G452" s="3"/>
      <c r="H452" s="3"/>
      <c r="I452" s="3"/>
      <c r="J452" s="3"/>
      <c r="K452" s="3"/>
      <c r="L452" s="3"/>
      <c r="M452" s="3"/>
      <c r="N452" s="3"/>
      <c r="O452" s="3"/>
      <c r="P452" s="3"/>
      <c r="Q452" s="3"/>
      <c r="R452" s="3"/>
      <c r="S452" s="3"/>
      <c r="T452" s="3"/>
    </row>
    <row r="453">
      <c r="A453" s="3"/>
      <c r="B453" s="3"/>
      <c r="C453" s="3"/>
      <c r="D453" s="3"/>
      <c r="E453" s="3"/>
      <c r="F453" s="3"/>
      <c r="G453" s="3"/>
      <c r="H453" s="3"/>
      <c r="I453" s="3"/>
      <c r="J453" s="3"/>
      <c r="K453" s="3"/>
      <c r="L453" s="3"/>
      <c r="M453" s="3"/>
      <c r="N453" s="3"/>
      <c r="O453" s="3"/>
      <c r="P453" s="3"/>
      <c r="Q453" s="3"/>
      <c r="R453" s="3"/>
      <c r="S453" s="3"/>
      <c r="T453" s="3"/>
    </row>
    <row r="454">
      <c r="A454" s="3"/>
      <c r="B454" s="3"/>
      <c r="C454" s="3"/>
      <c r="D454" s="3"/>
      <c r="E454" s="3"/>
      <c r="F454" s="3"/>
      <c r="G454" s="3"/>
      <c r="H454" s="3"/>
      <c r="I454" s="3"/>
      <c r="J454" s="3"/>
      <c r="K454" s="3"/>
      <c r="L454" s="3"/>
      <c r="M454" s="3"/>
      <c r="N454" s="3"/>
      <c r="O454" s="3"/>
      <c r="P454" s="3"/>
      <c r="Q454" s="3"/>
      <c r="R454" s="3"/>
      <c r="S454" s="3"/>
      <c r="T454" s="3"/>
    </row>
    <row r="455">
      <c r="A455" s="3"/>
      <c r="B455" s="3"/>
      <c r="C455" s="3"/>
      <c r="D455" s="3"/>
      <c r="E455" s="3"/>
      <c r="F455" s="3"/>
      <c r="G455" s="3"/>
      <c r="H455" s="3"/>
      <c r="I455" s="3"/>
      <c r="J455" s="3"/>
      <c r="K455" s="3"/>
      <c r="L455" s="3"/>
      <c r="M455" s="3"/>
      <c r="N455" s="3"/>
      <c r="O455" s="3"/>
      <c r="P455" s="3"/>
      <c r="Q455" s="3"/>
      <c r="R455" s="3"/>
      <c r="S455" s="3"/>
      <c r="T455" s="3"/>
    </row>
    <row r="456">
      <c r="A456" s="3"/>
      <c r="B456" s="3"/>
      <c r="C456" s="3"/>
      <c r="D456" s="3"/>
      <c r="E456" s="3"/>
      <c r="F456" s="3"/>
      <c r="G456" s="3"/>
      <c r="H456" s="3"/>
      <c r="I456" s="3"/>
      <c r="J456" s="3"/>
      <c r="K456" s="3"/>
      <c r="L456" s="3"/>
      <c r="M456" s="3"/>
      <c r="N456" s="3"/>
      <c r="O456" s="3"/>
      <c r="P456" s="3"/>
      <c r="Q456" s="3"/>
      <c r="R456" s="3"/>
      <c r="S456" s="3"/>
      <c r="T456" s="3"/>
    </row>
    <row r="457">
      <c r="A457" s="3"/>
      <c r="B457" s="3"/>
      <c r="C457" s="3"/>
      <c r="D457" s="3"/>
      <c r="E457" s="3"/>
      <c r="F457" s="3"/>
      <c r="G457" s="3"/>
      <c r="H457" s="3"/>
      <c r="I457" s="3"/>
      <c r="J457" s="3"/>
      <c r="K457" s="3"/>
      <c r="L457" s="3"/>
      <c r="M457" s="3"/>
      <c r="N457" s="3"/>
      <c r="O457" s="3"/>
      <c r="P457" s="3"/>
      <c r="Q457" s="3"/>
      <c r="R457" s="3"/>
      <c r="S457" s="3"/>
      <c r="T457" s="3"/>
    </row>
    <row r="458">
      <c r="A458" s="3"/>
      <c r="B458" s="3"/>
      <c r="C458" s="3"/>
      <c r="D458" s="3"/>
      <c r="E458" s="3"/>
      <c r="F458" s="3"/>
      <c r="G458" s="3"/>
      <c r="H458" s="3"/>
      <c r="I458" s="3"/>
      <c r="J458" s="3"/>
      <c r="K458" s="3"/>
      <c r="L458" s="3"/>
      <c r="M458" s="3"/>
      <c r="N458" s="3"/>
      <c r="O458" s="3"/>
      <c r="P458" s="3"/>
      <c r="Q458" s="3"/>
      <c r="R458" s="3"/>
      <c r="S458" s="3"/>
      <c r="T458" s="3"/>
    </row>
    <row r="459">
      <c r="A459" s="3"/>
      <c r="B459" s="3"/>
      <c r="C459" s="3"/>
      <c r="D459" s="3"/>
      <c r="E459" s="3"/>
      <c r="F459" s="3"/>
      <c r="G459" s="3"/>
      <c r="H459" s="3"/>
      <c r="I459" s="3"/>
      <c r="J459" s="3"/>
      <c r="K459" s="3"/>
      <c r="L459" s="3"/>
      <c r="M459" s="3"/>
      <c r="N459" s="3"/>
      <c r="O459" s="3"/>
      <c r="P459" s="3"/>
      <c r="Q459" s="3"/>
      <c r="R459" s="3"/>
      <c r="S459" s="3"/>
      <c r="T459" s="3"/>
    </row>
    <row r="460">
      <c r="A460" s="3"/>
      <c r="B460" s="3"/>
      <c r="C460" s="3"/>
      <c r="D460" s="3"/>
      <c r="E460" s="3"/>
      <c r="F460" s="3"/>
      <c r="G460" s="3"/>
      <c r="H460" s="3"/>
      <c r="I460" s="3"/>
      <c r="J460" s="3"/>
      <c r="K460" s="3"/>
      <c r="L460" s="3"/>
      <c r="M460" s="3"/>
      <c r="N460" s="3"/>
      <c r="O460" s="3"/>
      <c r="P460" s="3"/>
      <c r="Q460" s="3"/>
      <c r="R460" s="3"/>
      <c r="S460" s="3"/>
      <c r="T460" s="3"/>
    </row>
    <row r="461">
      <c r="A461" s="3"/>
      <c r="B461" s="3"/>
      <c r="C461" s="3"/>
      <c r="D461" s="3"/>
      <c r="E461" s="3"/>
      <c r="F461" s="3"/>
      <c r="G461" s="3"/>
      <c r="H461" s="3"/>
      <c r="I461" s="3"/>
      <c r="J461" s="3"/>
      <c r="K461" s="3"/>
      <c r="L461" s="3"/>
      <c r="M461" s="3"/>
      <c r="N461" s="3"/>
      <c r="O461" s="3"/>
      <c r="P461" s="3"/>
      <c r="Q461" s="3"/>
      <c r="R461" s="3"/>
      <c r="S461" s="3"/>
      <c r="T461" s="3"/>
    </row>
    <row r="462">
      <c r="A462" s="3"/>
      <c r="B462" s="3"/>
      <c r="C462" s="3"/>
      <c r="D462" s="3"/>
      <c r="E462" s="3"/>
      <c r="F462" s="3"/>
      <c r="G462" s="3"/>
      <c r="H462" s="3"/>
      <c r="I462" s="3"/>
      <c r="J462" s="3"/>
      <c r="K462" s="3"/>
      <c r="L462" s="3"/>
      <c r="M462" s="3"/>
      <c r="N462" s="3"/>
      <c r="O462" s="3"/>
      <c r="P462" s="3"/>
      <c r="Q462" s="3"/>
      <c r="R462" s="3"/>
      <c r="S462" s="3"/>
      <c r="T462" s="3"/>
    </row>
    <row r="463">
      <c r="A463" s="3"/>
      <c r="B463" s="3"/>
      <c r="C463" s="3"/>
      <c r="D463" s="3"/>
      <c r="E463" s="3"/>
      <c r="F463" s="3"/>
      <c r="G463" s="3"/>
      <c r="H463" s="3"/>
      <c r="I463" s="3"/>
      <c r="J463" s="3"/>
      <c r="K463" s="3"/>
      <c r="L463" s="3"/>
      <c r="M463" s="3"/>
      <c r="N463" s="3"/>
      <c r="O463" s="3"/>
      <c r="P463" s="3"/>
      <c r="Q463" s="3"/>
      <c r="R463" s="3"/>
      <c r="S463" s="3"/>
      <c r="T463" s="3"/>
    </row>
    <row r="464">
      <c r="A464" s="3"/>
      <c r="B464" s="3"/>
      <c r="C464" s="3"/>
      <c r="D464" s="3"/>
      <c r="E464" s="3"/>
      <c r="F464" s="3"/>
      <c r="G464" s="3"/>
      <c r="H464" s="3"/>
      <c r="I464" s="3"/>
      <c r="J464" s="3"/>
      <c r="K464" s="3"/>
      <c r="L464" s="3"/>
      <c r="M464" s="3"/>
      <c r="N464" s="3"/>
      <c r="O464" s="3"/>
      <c r="P464" s="3"/>
      <c r="Q464" s="3"/>
      <c r="R464" s="3"/>
      <c r="S464" s="3"/>
      <c r="T464" s="3"/>
    </row>
    <row r="465">
      <c r="A465" s="3"/>
      <c r="B465" s="3"/>
      <c r="C465" s="3"/>
      <c r="D465" s="3"/>
      <c r="E465" s="3"/>
      <c r="F465" s="3"/>
      <c r="G465" s="3"/>
      <c r="H465" s="3"/>
      <c r="I465" s="3"/>
      <c r="J465" s="3"/>
      <c r="K465" s="3"/>
      <c r="L465" s="3"/>
      <c r="M465" s="3"/>
      <c r="N465" s="3"/>
      <c r="O465" s="3"/>
      <c r="P465" s="3"/>
      <c r="Q465" s="3"/>
      <c r="R465" s="3"/>
      <c r="S465" s="3"/>
      <c r="T465" s="3"/>
    </row>
    <row r="466">
      <c r="A466" s="3"/>
      <c r="B466" s="3"/>
      <c r="C466" s="3"/>
      <c r="D466" s="3"/>
      <c r="E466" s="3"/>
      <c r="F466" s="3"/>
      <c r="G466" s="3"/>
      <c r="H466" s="3"/>
      <c r="I466" s="3"/>
      <c r="J466" s="3"/>
      <c r="K466" s="3"/>
      <c r="L466" s="3"/>
      <c r="M466" s="3"/>
      <c r="N466" s="3"/>
      <c r="O466" s="3"/>
      <c r="P466" s="3"/>
      <c r="Q466" s="3"/>
      <c r="R466" s="3"/>
      <c r="S466" s="3"/>
      <c r="T466" s="3"/>
    </row>
    <row r="467">
      <c r="A467" s="3"/>
      <c r="B467" s="3"/>
      <c r="C467" s="3"/>
      <c r="D467" s="3"/>
      <c r="E467" s="3"/>
      <c r="F467" s="3"/>
      <c r="G467" s="3"/>
      <c r="H467" s="3"/>
      <c r="I467" s="3"/>
      <c r="J467" s="3"/>
      <c r="K467" s="3"/>
      <c r="L467" s="3"/>
      <c r="M467" s="3"/>
      <c r="N467" s="3"/>
      <c r="O467" s="3"/>
      <c r="P467" s="3"/>
      <c r="Q467" s="3"/>
      <c r="R467" s="3"/>
      <c r="S467" s="3"/>
      <c r="T467" s="3"/>
    </row>
    <row r="468">
      <c r="A468" s="3"/>
      <c r="B468" s="3"/>
      <c r="C468" s="3"/>
      <c r="D468" s="3"/>
      <c r="E468" s="3"/>
      <c r="F468" s="3"/>
      <c r="G468" s="3"/>
      <c r="H468" s="3"/>
      <c r="I468" s="3"/>
      <c r="J468" s="3"/>
      <c r="K468" s="3"/>
      <c r="L468" s="3"/>
      <c r="M468" s="3"/>
      <c r="N468" s="3"/>
      <c r="O468" s="3"/>
      <c r="P468" s="3"/>
      <c r="Q468" s="3"/>
      <c r="R468" s="3"/>
      <c r="S468" s="3"/>
      <c r="T468" s="3"/>
    </row>
    <row r="469">
      <c r="A469" s="3"/>
      <c r="B469" s="3"/>
      <c r="C469" s="3"/>
      <c r="D469" s="3"/>
      <c r="E469" s="3"/>
      <c r="F469" s="3"/>
      <c r="G469" s="3"/>
      <c r="H469" s="3"/>
      <c r="I469" s="3"/>
      <c r="J469" s="3"/>
      <c r="K469" s="3"/>
      <c r="L469" s="3"/>
      <c r="M469" s="3"/>
      <c r="N469" s="3"/>
      <c r="O469" s="3"/>
      <c r="P469" s="3"/>
      <c r="Q469" s="3"/>
      <c r="R469" s="3"/>
      <c r="S469" s="3"/>
      <c r="T469" s="3"/>
    </row>
    <row r="470">
      <c r="A470" s="3"/>
      <c r="B470" s="3"/>
      <c r="C470" s="3"/>
      <c r="D470" s="3"/>
      <c r="E470" s="3"/>
      <c r="F470" s="3"/>
      <c r="G470" s="3"/>
      <c r="H470" s="3"/>
      <c r="I470" s="3"/>
      <c r="J470" s="3"/>
      <c r="K470" s="3"/>
      <c r="L470" s="3"/>
      <c r="M470" s="3"/>
      <c r="N470" s="3"/>
      <c r="O470" s="3"/>
      <c r="P470" s="3"/>
      <c r="Q470" s="3"/>
      <c r="R470" s="3"/>
      <c r="S470" s="3"/>
      <c r="T470" s="3"/>
    </row>
    <row r="471">
      <c r="A471" s="3"/>
      <c r="B471" s="3"/>
      <c r="C471" s="3"/>
      <c r="D471" s="3"/>
      <c r="E471" s="3"/>
      <c r="F471" s="3"/>
      <c r="G471" s="3"/>
      <c r="H471" s="3"/>
      <c r="I471" s="3"/>
      <c r="J471" s="3"/>
      <c r="K471" s="3"/>
      <c r="L471" s="3"/>
      <c r="M471" s="3"/>
      <c r="N471" s="3"/>
      <c r="O471" s="3"/>
      <c r="P471" s="3"/>
      <c r="Q471" s="3"/>
      <c r="R471" s="3"/>
      <c r="S471" s="3"/>
      <c r="T471" s="3"/>
    </row>
    <row r="472">
      <c r="A472" s="3"/>
      <c r="B472" s="3"/>
      <c r="C472" s="3"/>
      <c r="D472" s="3"/>
      <c r="E472" s="3"/>
      <c r="F472" s="3"/>
      <c r="G472" s="3"/>
      <c r="H472" s="3"/>
      <c r="I472" s="3"/>
      <c r="J472" s="3"/>
      <c r="K472" s="3"/>
      <c r="L472" s="3"/>
      <c r="M472" s="3"/>
      <c r="N472" s="3"/>
      <c r="O472" s="3"/>
      <c r="P472" s="3"/>
      <c r="Q472" s="3"/>
      <c r="R472" s="3"/>
      <c r="S472" s="3"/>
      <c r="T472" s="3"/>
    </row>
    <row r="473">
      <c r="A473" s="3"/>
      <c r="B473" s="3"/>
      <c r="C473" s="3"/>
      <c r="D473" s="3"/>
      <c r="E473" s="3"/>
      <c r="F473" s="3"/>
      <c r="G473" s="3"/>
      <c r="H473" s="3"/>
      <c r="I473" s="3"/>
      <c r="J473" s="3"/>
      <c r="K473" s="3"/>
      <c r="L473" s="3"/>
      <c r="M473" s="3"/>
      <c r="N473" s="3"/>
      <c r="O473" s="3"/>
      <c r="P473" s="3"/>
      <c r="Q473" s="3"/>
      <c r="R473" s="3"/>
      <c r="S473" s="3"/>
      <c r="T473" s="3"/>
    </row>
    <row r="474">
      <c r="A474" s="3"/>
      <c r="B474" s="3"/>
      <c r="C474" s="3"/>
      <c r="D474" s="3"/>
      <c r="E474" s="3"/>
      <c r="F474" s="3"/>
      <c r="G474" s="3"/>
      <c r="H474" s="3"/>
      <c r="I474" s="3"/>
      <c r="J474" s="3"/>
      <c r="K474" s="3"/>
      <c r="L474" s="3"/>
      <c r="M474" s="3"/>
      <c r="N474" s="3"/>
      <c r="O474" s="3"/>
      <c r="P474" s="3"/>
      <c r="Q474" s="3"/>
      <c r="R474" s="3"/>
      <c r="S474" s="3"/>
      <c r="T474" s="3"/>
    </row>
    <row r="475">
      <c r="A475" s="3"/>
      <c r="B475" s="3"/>
      <c r="C475" s="3"/>
      <c r="D475" s="3"/>
      <c r="E475" s="3"/>
      <c r="F475" s="3"/>
      <c r="G475" s="3"/>
      <c r="H475" s="3"/>
      <c r="I475" s="3"/>
      <c r="J475" s="3"/>
      <c r="K475" s="3"/>
      <c r="L475" s="3"/>
      <c r="M475" s="3"/>
      <c r="N475" s="3"/>
      <c r="O475" s="3"/>
      <c r="P475" s="3"/>
      <c r="Q475" s="3"/>
      <c r="R475" s="3"/>
      <c r="S475" s="3"/>
      <c r="T475" s="3"/>
    </row>
    <row r="476">
      <c r="A476" s="3"/>
      <c r="B476" s="3"/>
      <c r="C476" s="3"/>
      <c r="D476" s="3"/>
      <c r="E476" s="3"/>
      <c r="F476" s="3"/>
      <c r="G476" s="3"/>
      <c r="H476" s="3"/>
      <c r="I476" s="3"/>
      <c r="J476" s="3"/>
      <c r="K476" s="3"/>
      <c r="L476" s="3"/>
      <c r="M476" s="3"/>
      <c r="N476" s="3"/>
      <c r="O476" s="3"/>
      <c r="P476" s="3"/>
      <c r="Q476" s="3"/>
      <c r="R476" s="3"/>
      <c r="S476" s="3"/>
      <c r="T476" s="3"/>
    </row>
    <row r="477">
      <c r="A477" s="3"/>
      <c r="B477" s="3"/>
      <c r="C477" s="3"/>
      <c r="D477" s="3"/>
      <c r="E477" s="3"/>
      <c r="F477" s="3"/>
      <c r="G477" s="3"/>
      <c r="H477" s="3"/>
      <c r="I477" s="3"/>
      <c r="J477" s="3"/>
      <c r="K477" s="3"/>
      <c r="L477" s="3"/>
      <c r="M477" s="3"/>
      <c r="N477" s="3"/>
      <c r="O477" s="3"/>
      <c r="P477" s="3"/>
      <c r="Q477" s="3"/>
      <c r="R477" s="3"/>
      <c r="S477" s="3"/>
      <c r="T477" s="3"/>
    </row>
    <row r="478">
      <c r="A478" s="3"/>
      <c r="B478" s="3"/>
      <c r="C478" s="3"/>
      <c r="D478" s="3"/>
      <c r="E478" s="3"/>
      <c r="F478" s="3"/>
      <c r="G478" s="3"/>
      <c r="H478" s="3"/>
      <c r="I478" s="3"/>
      <c r="J478" s="3"/>
      <c r="K478" s="3"/>
      <c r="L478" s="3"/>
      <c r="M478" s="3"/>
      <c r="N478" s="3"/>
      <c r="O478" s="3"/>
      <c r="P478" s="3"/>
      <c r="Q478" s="3"/>
      <c r="R478" s="3"/>
      <c r="S478" s="3"/>
      <c r="T478" s="3"/>
    </row>
    <row r="479">
      <c r="A479" s="3"/>
      <c r="B479" s="3"/>
      <c r="C479" s="3"/>
      <c r="D479" s="3"/>
      <c r="E479" s="3"/>
      <c r="F479" s="3"/>
      <c r="G479" s="3"/>
      <c r="H479" s="3"/>
      <c r="I479" s="3"/>
      <c r="J479" s="3"/>
      <c r="K479" s="3"/>
      <c r="L479" s="3"/>
      <c r="M479" s="3"/>
      <c r="N479" s="3"/>
      <c r="O479" s="3"/>
      <c r="P479" s="3"/>
      <c r="Q479" s="3"/>
      <c r="R479" s="3"/>
      <c r="S479" s="3"/>
      <c r="T479" s="3"/>
    </row>
    <row r="480">
      <c r="A480" s="3"/>
      <c r="B480" s="3"/>
      <c r="C480" s="3"/>
      <c r="D480" s="3"/>
      <c r="E480" s="3"/>
      <c r="F480" s="3"/>
      <c r="G480" s="3"/>
      <c r="H480" s="3"/>
      <c r="I480" s="3"/>
      <c r="J480" s="3"/>
      <c r="K480" s="3"/>
      <c r="L480" s="3"/>
      <c r="M480" s="3"/>
      <c r="N480" s="3"/>
      <c r="O480" s="3"/>
      <c r="P480" s="3"/>
      <c r="Q480" s="3"/>
      <c r="R480" s="3"/>
      <c r="S480" s="3"/>
      <c r="T480" s="3"/>
    </row>
    <row r="481">
      <c r="A481" s="3"/>
      <c r="B481" s="3"/>
      <c r="C481" s="3"/>
      <c r="D481" s="3"/>
      <c r="E481" s="3"/>
      <c r="F481" s="3"/>
      <c r="G481" s="3"/>
      <c r="H481" s="3"/>
      <c r="I481" s="3"/>
      <c r="J481" s="3"/>
      <c r="K481" s="3"/>
      <c r="L481" s="3"/>
      <c r="M481" s="3"/>
      <c r="N481" s="3"/>
      <c r="O481" s="3"/>
      <c r="P481" s="3"/>
      <c r="Q481" s="3"/>
      <c r="R481" s="3"/>
      <c r="S481" s="3"/>
      <c r="T481" s="3"/>
    </row>
    <row r="482">
      <c r="A482" s="3"/>
      <c r="B482" s="3"/>
      <c r="C482" s="3"/>
      <c r="D482" s="3"/>
      <c r="E482" s="3"/>
      <c r="F482" s="3"/>
      <c r="G482" s="3"/>
      <c r="H482" s="3"/>
      <c r="I482" s="3"/>
      <c r="J482" s="3"/>
      <c r="K482" s="3"/>
      <c r="L482" s="3"/>
      <c r="M482" s="3"/>
      <c r="N482" s="3"/>
      <c r="O482" s="3"/>
      <c r="P482" s="3"/>
      <c r="Q482" s="3"/>
      <c r="R482" s="3"/>
      <c r="S482" s="3"/>
      <c r="T482" s="3"/>
    </row>
    <row r="483">
      <c r="A483" s="3"/>
      <c r="B483" s="3"/>
      <c r="C483" s="3"/>
      <c r="D483" s="3"/>
      <c r="E483" s="3"/>
      <c r="F483" s="3"/>
      <c r="G483" s="3"/>
      <c r="H483" s="3"/>
      <c r="I483" s="3"/>
      <c r="J483" s="3"/>
      <c r="K483" s="3"/>
      <c r="L483" s="3"/>
      <c r="M483" s="3"/>
      <c r="N483" s="3"/>
      <c r="O483" s="3"/>
      <c r="P483" s="3"/>
      <c r="Q483" s="3"/>
      <c r="R483" s="3"/>
      <c r="S483" s="3"/>
      <c r="T483" s="3"/>
    </row>
    <row r="484">
      <c r="A484" s="3"/>
      <c r="B484" s="3"/>
      <c r="C484" s="3"/>
      <c r="D484" s="3"/>
      <c r="E484" s="3"/>
      <c r="F484" s="3"/>
      <c r="G484" s="3"/>
      <c r="H484" s="3"/>
      <c r="I484" s="3"/>
      <c r="J484" s="3"/>
      <c r="K484" s="3"/>
      <c r="L484" s="3"/>
      <c r="M484" s="3"/>
      <c r="N484" s="3"/>
      <c r="O484" s="3"/>
      <c r="P484" s="3"/>
      <c r="Q484" s="3"/>
      <c r="R484" s="3"/>
      <c r="S484" s="3"/>
      <c r="T484" s="3"/>
    </row>
    <row r="485">
      <c r="A485" s="3"/>
      <c r="B485" s="3"/>
      <c r="C485" s="3"/>
      <c r="D485" s="3"/>
      <c r="E485" s="3"/>
      <c r="F485" s="3"/>
      <c r="G485" s="3"/>
      <c r="H485" s="3"/>
      <c r="I485" s="3"/>
      <c r="J485" s="3"/>
      <c r="K485" s="3"/>
      <c r="L485" s="3"/>
      <c r="M485" s="3"/>
      <c r="N485" s="3"/>
      <c r="O485" s="3"/>
      <c r="P485" s="3"/>
      <c r="Q485" s="3"/>
      <c r="R485" s="3"/>
      <c r="S485" s="3"/>
      <c r="T485" s="3"/>
    </row>
    <row r="486">
      <c r="A486" s="3"/>
      <c r="B486" s="3"/>
      <c r="C486" s="3"/>
      <c r="D486" s="3"/>
      <c r="E486" s="3"/>
      <c r="F486" s="3"/>
      <c r="G486" s="3"/>
      <c r="H486" s="3"/>
      <c r="I486" s="3"/>
      <c r="J486" s="3"/>
      <c r="K486" s="3"/>
      <c r="L486" s="3"/>
      <c r="M486" s="3"/>
      <c r="N486" s="3"/>
      <c r="O486" s="3"/>
      <c r="P486" s="3"/>
      <c r="Q486" s="3"/>
      <c r="R486" s="3"/>
      <c r="S486" s="3"/>
      <c r="T486" s="3"/>
    </row>
    <row r="487">
      <c r="A487" s="3"/>
      <c r="B487" s="3"/>
      <c r="C487" s="3"/>
      <c r="D487" s="3"/>
      <c r="E487" s="3"/>
      <c r="F487" s="3"/>
      <c r="G487" s="3"/>
      <c r="H487" s="3"/>
      <c r="I487" s="3"/>
      <c r="J487" s="3"/>
      <c r="K487" s="3"/>
      <c r="L487" s="3"/>
      <c r="M487" s="3"/>
      <c r="N487" s="3"/>
      <c r="O487" s="3"/>
      <c r="P487" s="3"/>
      <c r="Q487" s="3"/>
      <c r="R487" s="3"/>
      <c r="S487" s="3"/>
      <c r="T487" s="3"/>
    </row>
    <row r="488">
      <c r="A488" s="3"/>
      <c r="B488" s="3"/>
      <c r="C488" s="3"/>
      <c r="D488" s="3"/>
      <c r="E488" s="3"/>
      <c r="F488" s="3"/>
      <c r="G488" s="3"/>
      <c r="H488" s="3"/>
      <c r="I488" s="3"/>
      <c r="J488" s="3"/>
      <c r="K488" s="3"/>
      <c r="L488" s="3"/>
      <c r="M488" s="3"/>
      <c r="N488" s="3"/>
      <c r="O488" s="3"/>
      <c r="P488" s="3"/>
      <c r="Q488" s="3"/>
      <c r="R488" s="3"/>
      <c r="S488" s="3"/>
      <c r="T488" s="3"/>
    </row>
    <row r="489">
      <c r="A489" s="3"/>
      <c r="B489" s="3"/>
      <c r="C489" s="3"/>
      <c r="D489" s="3"/>
      <c r="E489" s="3"/>
      <c r="F489" s="3"/>
      <c r="G489" s="3"/>
      <c r="H489" s="3"/>
      <c r="I489" s="3"/>
      <c r="J489" s="3"/>
      <c r="K489" s="3"/>
      <c r="L489" s="3"/>
      <c r="M489" s="3"/>
      <c r="N489" s="3"/>
      <c r="O489" s="3"/>
      <c r="P489" s="3"/>
      <c r="Q489" s="3"/>
      <c r="R489" s="3"/>
      <c r="S489" s="3"/>
      <c r="T489" s="3"/>
    </row>
    <row r="490">
      <c r="A490" s="3"/>
      <c r="B490" s="3"/>
      <c r="C490" s="3"/>
      <c r="D490" s="3"/>
      <c r="E490" s="3"/>
      <c r="F490" s="3"/>
      <c r="G490" s="3"/>
      <c r="H490" s="3"/>
      <c r="I490" s="3"/>
      <c r="J490" s="3"/>
      <c r="K490" s="3"/>
      <c r="L490" s="3"/>
      <c r="M490" s="3"/>
      <c r="N490" s="3"/>
      <c r="O490" s="3"/>
      <c r="P490" s="3"/>
      <c r="Q490" s="3"/>
      <c r="R490" s="3"/>
      <c r="S490" s="3"/>
      <c r="T490" s="3"/>
    </row>
    <row r="491">
      <c r="A491" s="3"/>
      <c r="B491" s="3"/>
      <c r="C491" s="3"/>
      <c r="D491" s="3"/>
      <c r="E491" s="3"/>
      <c r="F491" s="3"/>
      <c r="G491" s="3"/>
      <c r="H491" s="3"/>
      <c r="I491" s="3"/>
      <c r="J491" s="3"/>
      <c r="K491" s="3"/>
      <c r="L491" s="3"/>
      <c r="M491" s="3"/>
      <c r="N491" s="3"/>
      <c r="O491" s="3"/>
      <c r="P491" s="3"/>
      <c r="Q491" s="3"/>
      <c r="R491" s="3"/>
      <c r="S491" s="3"/>
      <c r="T491" s="3"/>
    </row>
    <row r="492">
      <c r="A492" s="3"/>
      <c r="B492" s="3"/>
      <c r="C492" s="3"/>
      <c r="D492" s="3"/>
      <c r="E492" s="3"/>
      <c r="F492" s="3"/>
      <c r="G492" s="3"/>
      <c r="H492" s="3"/>
      <c r="I492" s="3"/>
      <c r="J492" s="3"/>
      <c r="K492" s="3"/>
      <c r="L492" s="3"/>
      <c r="M492" s="3"/>
      <c r="N492" s="3"/>
      <c r="O492" s="3"/>
      <c r="P492" s="3"/>
      <c r="Q492" s="3"/>
      <c r="R492" s="3"/>
      <c r="S492" s="3"/>
      <c r="T492" s="3"/>
    </row>
    <row r="493">
      <c r="A493" s="3"/>
      <c r="B493" s="3"/>
      <c r="C493" s="3"/>
      <c r="D493" s="3"/>
      <c r="E493" s="3"/>
      <c r="F493" s="3"/>
      <c r="G493" s="3"/>
      <c r="H493" s="3"/>
      <c r="I493" s="3"/>
      <c r="J493" s="3"/>
      <c r="K493" s="3"/>
      <c r="L493" s="3"/>
      <c r="M493" s="3"/>
      <c r="N493" s="3"/>
      <c r="O493" s="3"/>
      <c r="P493" s="3"/>
      <c r="Q493" s="3"/>
      <c r="R493" s="3"/>
      <c r="S493" s="3"/>
      <c r="T493" s="3"/>
    </row>
    <row r="494">
      <c r="A494" s="3"/>
      <c r="B494" s="3"/>
      <c r="C494" s="3"/>
      <c r="D494" s="3"/>
      <c r="E494" s="3"/>
      <c r="F494" s="3"/>
      <c r="G494" s="3"/>
      <c r="H494" s="3"/>
      <c r="I494" s="3"/>
      <c r="J494" s="3"/>
      <c r="K494" s="3"/>
      <c r="L494" s="3"/>
      <c r="M494" s="3"/>
      <c r="N494" s="3"/>
      <c r="O494" s="3"/>
      <c r="P494" s="3"/>
      <c r="Q494" s="3"/>
      <c r="R494" s="3"/>
      <c r="S494" s="3"/>
      <c r="T494" s="3"/>
    </row>
    <row r="495">
      <c r="A495" s="3"/>
      <c r="B495" s="3"/>
      <c r="C495" s="3"/>
      <c r="D495" s="3"/>
      <c r="E495" s="3"/>
      <c r="F495" s="3"/>
      <c r="G495" s="3"/>
      <c r="H495" s="3"/>
      <c r="I495" s="3"/>
      <c r="J495" s="3"/>
      <c r="K495" s="3"/>
      <c r="L495" s="3"/>
      <c r="M495" s="3"/>
      <c r="N495" s="3"/>
      <c r="O495" s="3"/>
      <c r="P495" s="3"/>
      <c r="Q495" s="3"/>
      <c r="R495" s="3"/>
      <c r="S495" s="3"/>
      <c r="T495" s="3"/>
    </row>
    <row r="496">
      <c r="A496" s="3"/>
      <c r="B496" s="3"/>
      <c r="C496" s="3"/>
      <c r="D496" s="3"/>
      <c r="E496" s="3"/>
      <c r="F496" s="3"/>
      <c r="G496" s="3"/>
      <c r="H496" s="3"/>
      <c r="I496" s="3"/>
      <c r="J496" s="3"/>
      <c r="K496" s="3"/>
      <c r="L496" s="3"/>
      <c r="M496" s="3"/>
      <c r="N496" s="3"/>
      <c r="O496" s="3"/>
      <c r="P496" s="3"/>
      <c r="Q496" s="3"/>
      <c r="R496" s="3"/>
      <c r="S496" s="3"/>
      <c r="T496" s="3"/>
    </row>
    <row r="497">
      <c r="A497" s="3"/>
      <c r="B497" s="3"/>
      <c r="C497" s="3"/>
      <c r="D497" s="3"/>
      <c r="E497" s="3"/>
      <c r="F497" s="3"/>
      <c r="G497" s="3"/>
      <c r="H497" s="3"/>
      <c r="I497" s="3"/>
      <c r="J497" s="3"/>
      <c r="K497" s="3"/>
      <c r="L497" s="3"/>
      <c r="M497" s="3"/>
      <c r="N497" s="3"/>
      <c r="O497" s="3"/>
      <c r="P497" s="3"/>
      <c r="Q497" s="3"/>
      <c r="R497" s="3"/>
      <c r="S497" s="3"/>
      <c r="T497" s="3"/>
    </row>
    <row r="498">
      <c r="A498" s="3"/>
      <c r="B498" s="3"/>
      <c r="C498" s="3"/>
      <c r="D498" s="3"/>
      <c r="E498" s="3"/>
      <c r="F498" s="3"/>
      <c r="G498" s="3"/>
      <c r="H498" s="3"/>
      <c r="I498" s="3"/>
      <c r="J498" s="3"/>
      <c r="K498" s="3"/>
      <c r="L498" s="3"/>
      <c r="M498" s="3"/>
      <c r="N498" s="3"/>
      <c r="O498" s="3"/>
      <c r="P498" s="3"/>
      <c r="Q498" s="3"/>
      <c r="R498" s="3"/>
      <c r="S498" s="3"/>
      <c r="T498" s="3"/>
    </row>
    <row r="499">
      <c r="A499" s="3"/>
      <c r="B499" s="3"/>
      <c r="C499" s="3"/>
      <c r="D499" s="3"/>
      <c r="E499" s="3"/>
      <c r="F499" s="3"/>
      <c r="G499" s="3"/>
      <c r="H499" s="3"/>
      <c r="I499" s="3"/>
      <c r="J499" s="3"/>
      <c r="K499" s="3"/>
      <c r="L499" s="3"/>
      <c r="M499" s="3"/>
      <c r="N499" s="3"/>
      <c r="O499" s="3"/>
      <c r="P499" s="3"/>
      <c r="Q499" s="3"/>
      <c r="R499" s="3"/>
      <c r="S499" s="3"/>
      <c r="T499" s="3"/>
    </row>
    <row r="500">
      <c r="A500" s="3"/>
      <c r="B500" s="3"/>
      <c r="C500" s="3"/>
      <c r="D500" s="3"/>
      <c r="E500" s="3"/>
      <c r="F500" s="3"/>
      <c r="G500" s="3"/>
      <c r="H500" s="3"/>
      <c r="I500" s="3"/>
      <c r="J500" s="3"/>
      <c r="K500" s="3"/>
      <c r="L500" s="3"/>
      <c r="M500" s="3"/>
      <c r="N500" s="3"/>
      <c r="O500" s="3"/>
      <c r="P500" s="3"/>
      <c r="Q500" s="3"/>
      <c r="R500" s="3"/>
      <c r="S500" s="3"/>
      <c r="T500" s="3"/>
    </row>
    <row r="501">
      <c r="A501" s="3"/>
      <c r="B501" s="3"/>
      <c r="C501" s="3"/>
      <c r="D501" s="3"/>
      <c r="E501" s="3"/>
      <c r="F501" s="3"/>
      <c r="G501" s="3"/>
      <c r="H501" s="3"/>
      <c r="I501" s="3"/>
      <c r="J501" s="3"/>
      <c r="K501" s="3"/>
      <c r="L501" s="3"/>
      <c r="M501" s="3"/>
      <c r="N501" s="3"/>
      <c r="O501" s="3"/>
      <c r="P501" s="3"/>
      <c r="Q501" s="3"/>
      <c r="R501" s="3"/>
      <c r="S501" s="3"/>
      <c r="T501" s="3"/>
    </row>
    <row r="502">
      <c r="A502" s="3"/>
      <c r="B502" s="3"/>
      <c r="C502" s="3"/>
      <c r="D502" s="3"/>
      <c r="E502" s="3"/>
      <c r="F502" s="3"/>
      <c r="G502" s="3"/>
      <c r="H502" s="3"/>
      <c r="I502" s="3"/>
      <c r="J502" s="3"/>
      <c r="K502" s="3"/>
      <c r="L502" s="3"/>
      <c r="M502" s="3"/>
      <c r="N502" s="3"/>
      <c r="O502" s="3"/>
      <c r="P502" s="3"/>
      <c r="Q502" s="3"/>
      <c r="R502" s="3"/>
      <c r="S502" s="3"/>
      <c r="T502" s="3"/>
    </row>
    <row r="503">
      <c r="A503" s="3"/>
      <c r="B503" s="3"/>
      <c r="C503" s="3"/>
      <c r="D503" s="3"/>
      <c r="E503" s="3"/>
      <c r="F503" s="3"/>
      <c r="G503" s="3"/>
      <c r="H503" s="3"/>
      <c r="I503" s="3"/>
      <c r="J503" s="3"/>
      <c r="K503" s="3"/>
      <c r="L503" s="3"/>
      <c r="M503" s="3"/>
      <c r="N503" s="3"/>
      <c r="O503" s="3"/>
      <c r="P503" s="3"/>
      <c r="Q503" s="3"/>
      <c r="R503" s="3"/>
      <c r="S503" s="3"/>
      <c r="T503" s="3"/>
    </row>
    <row r="504">
      <c r="A504" s="3"/>
      <c r="B504" s="3"/>
      <c r="C504" s="3"/>
      <c r="D504" s="3"/>
      <c r="E504" s="3"/>
      <c r="F504" s="3"/>
      <c r="G504" s="3"/>
      <c r="H504" s="3"/>
      <c r="I504" s="3"/>
      <c r="J504" s="3"/>
      <c r="K504" s="3"/>
      <c r="L504" s="3"/>
      <c r="M504" s="3"/>
      <c r="N504" s="3"/>
      <c r="O504" s="3"/>
      <c r="P504" s="3"/>
      <c r="Q504" s="3"/>
      <c r="R504" s="3"/>
      <c r="S504" s="3"/>
      <c r="T504" s="3"/>
    </row>
    <row r="505">
      <c r="A505" s="3"/>
      <c r="B505" s="3"/>
      <c r="C505" s="3"/>
      <c r="D505" s="3"/>
      <c r="E505" s="3"/>
      <c r="F505" s="3"/>
      <c r="G505" s="3"/>
      <c r="H505" s="3"/>
      <c r="I505" s="3"/>
      <c r="J505" s="3"/>
      <c r="K505" s="3"/>
      <c r="L505" s="3"/>
      <c r="M505" s="3"/>
      <c r="N505" s="3"/>
      <c r="O505" s="3"/>
      <c r="P505" s="3"/>
      <c r="Q505" s="3"/>
      <c r="R505" s="3"/>
      <c r="S505" s="3"/>
      <c r="T505" s="3"/>
    </row>
    <row r="506">
      <c r="A506" s="3"/>
      <c r="B506" s="3"/>
      <c r="C506" s="3"/>
      <c r="D506" s="3"/>
      <c r="E506" s="3"/>
      <c r="F506" s="3"/>
      <c r="G506" s="3"/>
      <c r="H506" s="3"/>
      <c r="I506" s="3"/>
      <c r="J506" s="3"/>
      <c r="K506" s="3"/>
      <c r="L506" s="3"/>
      <c r="M506" s="3"/>
      <c r="N506" s="3"/>
      <c r="O506" s="3"/>
      <c r="P506" s="3"/>
      <c r="Q506" s="3"/>
      <c r="R506" s="3"/>
      <c r="S506" s="3"/>
      <c r="T506" s="3"/>
    </row>
    <row r="507">
      <c r="A507" s="3"/>
      <c r="B507" s="3"/>
      <c r="C507" s="3"/>
      <c r="D507" s="3"/>
      <c r="E507" s="3"/>
      <c r="F507" s="3"/>
      <c r="G507" s="3"/>
      <c r="H507" s="3"/>
      <c r="I507" s="3"/>
      <c r="J507" s="3"/>
      <c r="K507" s="3"/>
      <c r="L507" s="3"/>
      <c r="M507" s="3"/>
      <c r="N507" s="3"/>
      <c r="O507" s="3"/>
      <c r="P507" s="3"/>
      <c r="Q507" s="3"/>
      <c r="R507" s="3"/>
      <c r="S507" s="3"/>
      <c r="T507" s="3"/>
    </row>
    <row r="508">
      <c r="A508" s="3"/>
      <c r="B508" s="3"/>
      <c r="C508" s="3"/>
      <c r="D508" s="3"/>
      <c r="E508" s="3"/>
      <c r="F508" s="3"/>
      <c r="G508" s="3"/>
      <c r="H508" s="3"/>
      <c r="I508" s="3"/>
      <c r="J508" s="3"/>
      <c r="K508" s="3"/>
      <c r="L508" s="3"/>
      <c r="M508" s="3"/>
      <c r="N508" s="3"/>
      <c r="O508" s="3"/>
      <c r="P508" s="3"/>
      <c r="Q508" s="3"/>
      <c r="R508" s="3"/>
      <c r="S508" s="3"/>
      <c r="T508" s="3"/>
    </row>
    <row r="509">
      <c r="A509" s="3"/>
      <c r="B509" s="3"/>
      <c r="C509" s="3"/>
      <c r="D509" s="3"/>
      <c r="E509" s="3"/>
      <c r="F509" s="3"/>
      <c r="G509" s="3"/>
      <c r="H509" s="3"/>
      <c r="I509" s="3"/>
      <c r="J509" s="3"/>
      <c r="K509" s="3"/>
      <c r="L509" s="3"/>
      <c r="M509" s="3"/>
      <c r="N509" s="3"/>
      <c r="O509" s="3"/>
      <c r="P509" s="3"/>
      <c r="Q509" s="3"/>
      <c r="R509" s="3"/>
      <c r="S509" s="3"/>
      <c r="T509" s="3"/>
    </row>
    <row r="510">
      <c r="A510" s="3"/>
      <c r="B510" s="3"/>
      <c r="C510" s="3"/>
      <c r="D510" s="3"/>
      <c r="E510" s="3"/>
      <c r="F510" s="3"/>
      <c r="G510" s="3"/>
      <c r="H510" s="3"/>
      <c r="I510" s="3"/>
      <c r="J510" s="3"/>
      <c r="K510" s="3"/>
      <c r="L510" s="3"/>
      <c r="M510" s="3"/>
      <c r="N510" s="3"/>
      <c r="O510" s="3"/>
      <c r="P510" s="3"/>
      <c r="Q510" s="3"/>
      <c r="R510" s="3"/>
      <c r="S510" s="3"/>
      <c r="T510" s="3"/>
    </row>
    <row r="511">
      <c r="A511" s="3"/>
      <c r="B511" s="3"/>
      <c r="C511" s="3"/>
      <c r="D511" s="3"/>
      <c r="E511" s="3"/>
      <c r="F511" s="3"/>
      <c r="G511" s="3"/>
      <c r="H511" s="3"/>
      <c r="I511" s="3"/>
      <c r="J511" s="3"/>
      <c r="K511" s="3"/>
      <c r="L511" s="3"/>
      <c r="M511" s="3"/>
      <c r="N511" s="3"/>
      <c r="O511" s="3"/>
      <c r="P511" s="3"/>
      <c r="Q511" s="3"/>
      <c r="R511" s="3"/>
      <c r="S511" s="3"/>
      <c r="T511" s="3"/>
    </row>
    <row r="512">
      <c r="A512" s="3"/>
      <c r="B512" s="3"/>
      <c r="C512" s="3"/>
      <c r="D512" s="3"/>
      <c r="E512" s="3"/>
      <c r="F512" s="3"/>
      <c r="G512" s="3"/>
      <c r="H512" s="3"/>
      <c r="I512" s="3"/>
      <c r="J512" s="3"/>
      <c r="K512" s="3"/>
      <c r="L512" s="3"/>
      <c r="M512" s="3"/>
      <c r="N512" s="3"/>
      <c r="O512" s="3"/>
      <c r="P512" s="3"/>
      <c r="Q512" s="3"/>
      <c r="R512" s="3"/>
      <c r="S512" s="3"/>
      <c r="T512" s="3"/>
    </row>
    <row r="513">
      <c r="A513" s="3"/>
      <c r="B513" s="3"/>
      <c r="C513" s="3"/>
      <c r="D513" s="3"/>
      <c r="E513" s="3"/>
      <c r="F513" s="3"/>
      <c r="G513" s="3"/>
      <c r="H513" s="3"/>
      <c r="I513" s="3"/>
      <c r="J513" s="3"/>
      <c r="K513" s="3"/>
      <c r="L513" s="3"/>
      <c r="M513" s="3"/>
      <c r="N513" s="3"/>
      <c r="O513" s="3"/>
      <c r="P513" s="3"/>
      <c r="Q513" s="3"/>
      <c r="R513" s="3"/>
      <c r="S513" s="3"/>
      <c r="T513" s="3"/>
    </row>
    <row r="514">
      <c r="A514" s="3"/>
      <c r="B514" s="3"/>
      <c r="C514" s="3"/>
      <c r="D514" s="3"/>
      <c r="E514" s="3"/>
      <c r="F514" s="3"/>
      <c r="G514" s="3"/>
      <c r="H514" s="3"/>
      <c r="I514" s="3"/>
      <c r="J514" s="3"/>
      <c r="K514" s="3"/>
      <c r="L514" s="3"/>
      <c r="M514" s="3"/>
      <c r="N514" s="3"/>
      <c r="O514" s="3"/>
      <c r="P514" s="3"/>
      <c r="Q514" s="3"/>
      <c r="R514" s="3"/>
      <c r="S514" s="3"/>
      <c r="T514" s="3"/>
    </row>
    <row r="515">
      <c r="A515" s="3"/>
      <c r="B515" s="3"/>
      <c r="C515" s="3"/>
      <c r="D515" s="3"/>
      <c r="E515" s="3"/>
      <c r="F515" s="3"/>
      <c r="G515" s="3"/>
      <c r="H515" s="3"/>
      <c r="I515" s="3"/>
      <c r="J515" s="3"/>
      <c r="K515" s="3"/>
      <c r="L515" s="3"/>
      <c r="M515" s="3"/>
      <c r="N515" s="3"/>
      <c r="O515" s="3"/>
      <c r="P515" s="3"/>
      <c r="Q515" s="3"/>
      <c r="R515" s="3"/>
      <c r="S515" s="3"/>
      <c r="T515" s="3"/>
    </row>
    <row r="516">
      <c r="A516" s="3"/>
      <c r="B516" s="3"/>
      <c r="C516" s="3"/>
      <c r="D516" s="3"/>
      <c r="E516" s="3"/>
      <c r="F516" s="3"/>
      <c r="G516" s="3"/>
      <c r="H516" s="3"/>
      <c r="I516" s="3"/>
      <c r="J516" s="3"/>
      <c r="K516" s="3"/>
      <c r="L516" s="3"/>
      <c r="M516" s="3"/>
      <c r="N516" s="3"/>
      <c r="O516" s="3"/>
      <c r="P516" s="3"/>
      <c r="Q516" s="3"/>
      <c r="R516" s="3"/>
      <c r="S516" s="3"/>
      <c r="T516" s="3"/>
    </row>
    <row r="517">
      <c r="A517" s="3"/>
      <c r="B517" s="3"/>
      <c r="C517" s="3"/>
      <c r="D517" s="3"/>
      <c r="E517" s="3"/>
      <c r="F517" s="3"/>
      <c r="G517" s="3"/>
      <c r="H517" s="3"/>
      <c r="I517" s="3"/>
      <c r="J517" s="3"/>
      <c r="K517" s="3"/>
      <c r="L517" s="3"/>
      <c r="M517" s="3"/>
      <c r="N517" s="3"/>
      <c r="O517" s="3"/>
      <c r="P517" s="3"/>
      <c r="Q517" s="3"/>
      <c r="R517" s="3"/>
      <c r="S517" s="3"/>
      <c r="T517" s="3"/>
    </row>
    <row r="518">
      <c r="A518" s="3"/>
      <c r="B518" s="3"/>
      <c r="C518" s="3"/>
      <c r="D518" s="3"/>
      <c r="E518" s="3"/>
      <c r="F518" s="3"/>
      <c r="G518" s="3"/>
      <c r="H518" s="3"/>
      <c r="I518" s="3"/>
      <c r="J518" s="3"/>
      <c r="K518" s="3"/>
      <c r="L518" s="3"/>
      <c r="M518" s="3"/>
      <c r="N518" s="3"/>
      <c r="O518" s="3"/>
      <c r="P518" s="3"/>
      <c r="Q518" s="3"/>
      <c r="R518" s="3"/>
      <c r="S518" s="3"/>
      <c r="T518" s="3"/>
    </row>
    <row r="519">
      <c r="A519" s="3"/>
      <c r="B519" s="3"/>
      <c r="C519" s="3"/>
      <c r="D519" s="3"/>
      <c r="E519" s="3"/>
      <c r="F519" s="3"/>
      <c r="G519" s="3"/>
      <c r="H519" s="3"/>
      <c r="I519" s="3"/>
      <c r="J519" s="3"/>
      <c r="K519" s="3"/>
      <c r="L519" s="3"/>
      <c r="M519" s="3"/>
      <c r="N519" s="3"/>
      <c r="O519" s="3"/>
      <c r="P519" s="3"/>
      <c r="Q519" s="3"/>
      <c r="R519" s="3"/>
      <c r="S519" s="3"/>
      <c r="T519" s="3"/>
    </row>
    <row r="520">
      <c r="A520" s="3"/>
      <c r="B520" s="3"/>
      <c r="C520" s="3"/>
      <c r="D520" s="3"/>
      <c r="E520" s="3"/>
      <c r="F520" s="3"/>
      <c r="G520" s="3"/>
      <c r="H520" s="3"/>
      <c r="I520" s="3"/>
      <c r="J520" s="3"/>
      <c r="K520" s="3"/>
      <c r="L520" s="3"/>
      <c r="M520" s="3"/>
      <c r="N520" s="3"/>
      <c r="O520" s="3"/>
      <c r="P520" s="3"/>
      <c r="Q520" s="3"/>
      <c r="R520" s="3"/>
      <c r="S520" s="3"/>
      <c r="T520" s="3"/>
    </row>
    <row r="521">
      <c r="A521" s="3"/>
      <c r="B521" s="3"/>
      <c r="C521" s="3"/>
      <c r="D521" s="3"/>
      <c r="E521" s="3"/>
      <c r="F521" s="3"/>
      <c r="G521" s="3"/>
      <c r="H521" s="3"/>
      <c r="I521" s="3"/>
      <c r="J521" s="3"/>
      <c r="K521" s="3"/>
      <c r="L521" s="3"/>
      <c r="M521" s="3"/>
      <c r="N521" s="3"/>
      <c r="O521" s="3"/>
      <c r="P521" s="3"/>
      <c r="Q521" s="3"/>
      <c r="R521" s="3"/>
      <c r="S521" s="3"/>
      <c r="T521" s="3"/>
    </row>
    <row r="522">
      <c r="A522" s="3"/>
      <c r="B522" s="3"/>
      <c r="C522" s="3"/>
      <c r="D522" s="3"/>
      <c r="E522" s="3"/>
      <c r="F522" s="3"/>
      <c r="G522" s="3"/>
      <c r="H522" s="3"/>
      <c r="I522" s="3"/>
      <c r="J522" s="3"/>
      <c r="K522" s="3"/>
      <c r="L522" s="3"/>
      <c r="M522" s="3"/>
      <c r="N522" s="3"/>
      <c r="O522" s="3"/>
      <c r="P522" s="3"/>
      <c r="Q522" s="3"/>
      <c r="R522" s="3"/>
      <c r="S522" s="3"/>
      <c r="T522" s="3"/>
    </row>
    <row r="523">
      <c r="A523" s="3"/>
      <c r="B523" s="3"/>
      <c r="C523" s="3"/>
      <c r="D523" s="3"/>
      <c r="E523" s="3"/>
      <c r="F523" s="3"/>
      <c r="G523" s="3"/>
      <c r="H523" s="3"/>
      <c r="I523" s="3"/>
      <c r="J523" s="3"/>
      <c r="K523" s="3"/>
      <c r="L523" s="3"/>
      <c r="M523" s="3"/>
      <c r="N523" s="3"/>
      <c r="O523" s="3"/>
      <c r="P523" s="3"/>
      <c r="Q523" s="3"/>
      <c r="R523" s="3"/>
      <c r="S523" s="3"/>
      <c r="T523" s="3"/>
    </row>
    <row r="524">
      <c r="A524" s="3"/>
      <c r="B524" s="3"/>
      <c r="C524" s="3"/>
      <c r="D524" s="3"/>
      <c r="E524" s="3"/>
      <c r="F524" s="3"/>
      <c r="G524" s="3"/>
      <c r="H524" s="3"/>
      <c r="I524" s="3"/>
      <c r="J524" s="3"/>
      <c r="K524" s="3"/>
      <c r="L524" s="3"/>
      <c r="M524" s="3"/>
      <c r="N524" s="3"/>
      <c r="O524" s="3"/>
      <c r="P524" s="3"/>
      <c r="Q524" s="3"/>
      <c r="R524" s="3"/>
      <c r="S524" s="3"/>
      <c r="T524" s="3"/>
    </row>
    <row r="525">
      <c r="A525" s="3"/>
      <c r="B525" s="3"/>
      <c r="C525" s="3"/>
      <c r="D525" s="3"/>
      <c r="E525" s="3"/>
      <c r="F525" s="3"/>
      <c r="G525" s="3"/>
      <c r="H525" s="3"/>
      <c r="I525" s="3"/>
      <c r="J525" s="3"/>
      <c r="K525" s="3"/>
      <c r="L525" s="3"/>
      <c r="M525" s="3"/>
      <c r="N525" s="3"/>
      <c r="O525" s="3"/>
      <c r="P525" s="3"/>
      <c r="Q525" s="3"/>
      <c r="R525" s="3"/>
      <c r="S525" s="3"/>
      <c r="T525" s="3"/>
    </row>
    <row r="526">
      <c r="A526" s="3"/>
      <c r="B526" s="3"/>
      <c r="C526" s="3"/>
      <c r="D526" s="3"/>
      <c r="E526" s="3"/>
      <c r="F526" s="3"/>
      <c r="G526" s="3"/>
      <c r="H526" s="3"/>
      <c r="I526" s="3"/>
      <c r="J526" s="3"/>
      <c r="K526" s="3"/>
      <c r="L526" s="3"/>
      <c r="M526" s="3"/>
      <c r="N526" s="3"/>
      <c r="O526" s="3"/>
      <c r="P526" s="3"/>
      <c r="Q526" s="3"/>
      <c r="R526" s="3"/>
      <c r="S526" s="3"/>
      <c r="T526" s="3"/>
    </row>
    <row r="527">
      <c r="A527" s="3"/>
      <c r="B527" s="3"/>
      <c r="C527" s="3"/>
      <c r="D527" s="3"/>
      <c r="E527" s="3"/>
      <c r="F527" s="3"/>
      <c r="G527" s="3"/>
      <c r="H527" s="3"/>
      <c r="I527" s="3"/>
      <c r="J527" s="3"/>
      <c r="K527" s="3"/>
      <c r="L527" s="3"/>
      <c r="M527" s="3"/>
      <c r="N527" s="3"/>
      <c r="O527" s="3"/>
      <c r="P527" s="3"/>
      <c r="Q527" s="3"/>
      <c r="R527" s="3"/>
      <c r="S527" s="3"/>
      <c r="T527" s="3"/>
    </row>
    <row r="528">
      <c r="A528" s="3"/>
      <c r="B528" s="3"/>
      <c r="C528" s="3"/>
      <c r="D528" s="3"/>
      <c r="E528" s="3"/>
      <c r="F528" s="3"/>
      <c r="G528" s="3"/>
      <c r="H528" s="3"/>
      <c r="I528" s="3"/>
      <c r="J528" s="3"/>
      <c r="K528" s="3"/>
      <c r="L528" s="3"/>
      <c r="M528" s="3"/>
      <c r="N528" s="3"/>
      <c r="O528" s="3"/>
      <c r="P528" s="3"/>
      <c r="Q528" s="3"/>
      <c r="R528" s="3"/>
      <c r="S528" s="3"/>
      <c r="T528" s="3"/>
    </row>
    <row r="529">
      <c r="A529" s="3"/>
      <c r="B529" s="3"/>
      <c r="C529" s="3"/>
      <c r="D529" s="3"/>
      <c r="E529" s="3"/>
      <c r="F529" s="3"/>
      <c r="G529" s="3"/>
      <c r="H529" s="3"/>
      <c r="I529" s="3"/>
      <c r="J529" s="3"/>
      <c r="K529" s="3"/>
      <c r="L529" s="3"/>
      <c r="M529" s="3"/>
      <c r="N529" s="3"/>
      <c r="O529" s="3"/>
      <c r="P529" s="3"/>
      <c r="Q529" s="3"/>
      <c r="R529" s="3"/>
      <c r="S529" s="3"/>
      <c r="T529" s="3"/>
    </row>
    <row r="530">
      <c r="A530" s="3"/>
      <c r="B530" s="3"/>
      <c r="C530" s="3"/>
      <c r="D530" s="3"/>
      <c r="E530" s="3"/>
      <c r="F530" s="3"/>
      <c r="G530" s="3"/>
      <c r="H530" s="3"/>
      <c r="I530" s="3"/>
      <c r="J530" s="3"/>
      <c r="K530" s="3"/>
      <c r="L530" s="3"/>
      <c r="M530" s="3"/>
      <c r="N530" s="3"/>
      <c r="O530" s="3"/>
      <c r="P530" s="3"/>
      <c r="Q530" s="3"/>
      <c r="R530" s="3"/>
      <c r="S530" s="3"/>
      <c r="T530" s="3"/>
    </row>
    <row r="531">
      <c r="A531" s="3"/>
      <c r="B531" s="3"/>
      <c r="C531" s="3"/>
      <c r="D531" s="3"/>
      <c r="E531" s="3"/>
      <c r="F531" s="3"/>
      <c r="G531" s="3"/>
      <c r="H531" s="3"/>
      <c r="I531" s="3"/>
      <c r="J531" s="3"/>
      <c r="K531" s="3"/>
      <c r="L531" s="3"/>
      <c r="M531" s="3"/>
      <c r="N531" s="3"/>
      <c r="O531" s="3"/>
      <c r="P531" s="3"/>
      <c r="Q531" s="3"/>
      <c r="R531" s="3"/>
      <c r="S531" s="3"/>
      <c r="T531" s="3"/>
    </row>
    <row r="532">
      <c r="A532" s="3"/>
      <c r="B532" s="3"/>
      <c r="C532" s="3"/>
      <c r="D532" s="3"/>
      <c r="E532" s="3"/>
      <c r="F532" s="3"/>
      <c r="G532" s="3"/>
      <c r="H532" s="3"/>
      <c r="I532" s="3"/>
      <c r="J532" s="3"/>
      <c r="K532" s="3"/>
      <c r="L532" s="3"/>
      <c r="M532" s="3"/>
      <c r="N532" s="3"/>
      <c r="O532" s="3"/>
      <c r="P532" s="3"/>
      <c r="Q532" s="3"/>
      <c r="R532" s="3"/>
      <c r="S532" s="3"/>
      <c r="T532" s="3"/>
    </row>
    <row r="533">
      <c r="A533" s="3"/>
      <c r="B533" s="3"/>
      <c r="C533" s="3"/>
      <c r="D533" s="3"/>
      <c r="E533" s="3"/>
      <c r="F533" s="3"/>
      <c r="G533" s="3"/>
      <c r="H533" s="3"/>
      <c r="I533" s="3"/>
      <c r="J533" s="3"/>
      <c r="K533" s="3"/>
      <c r="L533" s="3"/>
      <c r="M533" s="3"/>
      <c r="N533" s="3"/>
      <c r="O533" s="3"/>
      <c r="P533" s="3"/>
      <c r="Q533" s="3"/>
      <c r="R533" s="3"/>
      <c r="S533" s="3"/>
      <c r="T533" s="3"/>
    </row>
    <row r="534">
      <c r="A534" s="3"/>
      <c r="B534" s="3"/>
      <c r="C534" s="3"/>
      <c r="D534" s="3"/>
      <c r="E534" s="3"/>
      <c r="F534" s="3"/>
      <c r="G534" s="3"/>
      <c r="H534" s="3"/>
      <c r="I534" s="3"/>
      <c r="J534" s="3"/>
      <c r="K534" s="3"/>
      <c r="L534" s="3"/>
      <c r="M534" s="3"/>
      <c r="N534" s="3"/>
      <c r="O534" s="3"/>
      <c r="P534" s="3"/>
      <c r="Q534" s="3"/>
      <c r="R534" s="3"/>
      <c r="S534" s="3"/>
      <c r="T534" s="3"/>
    </row>
    <row r="535">
      <c r="A535" s="3"/>
      <c r="B535" s="3"/>
      <c r="C535" s="3"/>
      <c r="D535" s="3"/>
      <c r="E535" s="3"/>
      <c r="F535" s="3"/>
      <c r="G535" s="3"/>
      <c r="H535" s="3"/>
      <c r="I535" s="3"/>
      <c r="J535" s="3"/>
      <c r="K535" s="3"/>
      <c r="L535" s="3"/>
      <c r="M535" s="3"/>
      <c r="N535" s="3"/>
      <c r="O535" s="3"/>
      <c r="P535" s="3"/>
      <c r="Q535" s="3"/>
      <c r="R535" s="3"/>
      <c r="S535" s="3"/>
      <c r="T535" s="3"/>
    </row>
    <row r="536">
      <c r="A536" s="3"/>
      <c r="B536" s="3"/>
      <c r="C536" s="3"/>
      <c r="D536" s="3"/>
      <c r="E536" s="3"/>
      <c r="F536" s="3"/>
      <c r="G536" s="3"/>
      <c r="H536" s="3"/>
      <c r="I536" s="3"/>
      <c r="J536" s="3"/>
      <c r="K536" s="3"/>
      <c r="L536" s="3"/>
      <c r="M536" s="3"/>
      <c r="N536" s="3"/>
      <c r="O536" s="3"/>
      <c r="P536" s="3"/>
      <c r="Q536" s="3"/>
      <c r="R536" s="3"/>
      <c r="S536" s="3"/>
      <c r="T536" s="3"/>
    </row>
    <row r="537">
      <c r="A537" s="3"/>
      <c r="B537" s="3"/>
      <c r="C537" s="3"/>
      <c r="D537" s="3"/>
      <c r="E537" s="3"/>
      <c r="F537" s="3"/>
      <c r="G537" s="3"/>
      <c r="H537" s="3"/>
      <c r="I537" s="3"/>
      <c r="J537" s="3"/>
      <c r="K537" s="3"/>
      <c r="L537" s="3"/>
      <c r="M537" s="3"/>
      <c r="N537" s="3"/>
      <c r="O537" s="3"/>
      <c r="P537" s="3"/>
      <c r="Q537" s="3"/>
      <c r="R537" s="3"/>
      <c r="S537" s="3"/>
      <c r="T537" s="3"/>
    </row>
    <row r="538">
      <c r="A538" s="3"/>
      <c r="B538" s="3"/>
      <c r="C538" s="3"/>
      <c r="D538" s="3"/>
      <c r="E538" s="3"/>
      <c r="F538" s="3"/>
      <c r="G538" s="3"/>
      <c r="H538" s="3"/>
      <c r="I538" s="3"/>
      <c r="J538" s="3"/>
      <c r="K538" s="3"/>
      <c r="L538" s="3"/>
      <c r="M538" s="3"/>
      <c r="N538" s="3"/>
      <c r="O538" s="3"/>
      <c r="P538" s="3"/>
      <c r="Q538" s="3"/>
      <c r="R538" s="3"/>
      <c r="S538" s="3"/>
      <c r="T538" s="3"/>
    </row>
    <row r="539">
      <c r="A539" s="3"/>
      <c r="B539" s="3"/>
      <c r="C539" s="3"/>
      <c r="D539" s="3"/>
      <c r="E539" s="3"/>
      <c r="F539" s="3"/>
      <c r="G539" s="3"/>
      <c r="H539" s="3"/>
      <c r="I539" s="3"/>
      <c r="J539" s="3"/>
      <c r="K539" s="3"/>
      <c r="L539" s="3"/>
      <c r="M539" s="3"/>
      <c r="N539" s="3"/>
      <c r="O539" s="3"/>
      <c r="P539" s="3"/>
      <c r="Q539" s="3"/>
      <c r="R539" s="3"/>
      <c r="S539" s="3"/>
      <c r="T539" s="3"/>
    </row>
    <row r="540">
      <c r="A540" s="3"/>
      <c r="B540" s="3"/>
      <c r="C540" s="3"/>
      <c r="D540" s="3"/>
      <c r="E540" s="3"/>
      <c r="F540" s="3"/>
      <c r="G540" s="3"/>
      <c r="H540" s="3"/>
      <c r="I540" s="3"/>
      <c r="J540" s="3"/>
      <c r="K540" s="3"/>
      <c r="L540" s="3"/>
      <c r="M540" s="3"/>
      <c r="N540" s="3"/>
      <c r="O540" s="3"/>
      <c r="P540" s="3"/>
      <c r="Q540" s="3"/>
      <c r="R540" s="3"/>
      <c r="S540" s="3"/>
      <c r="T540" s="3"/>
    </row>
    <row r="541">
      <c r="A541" s="3"/>
      <c r="B541" s="3"/>
      <c r="C541" s="3"/>
      <c r="D541" s="3"/>
      <c r="E541" s="3"/>
      <c r="F541" s="3"/>
      <c r="G541" s="3"/>
      <c r="H541" s="3"/>
      <c r="I541" s="3"/>
      <c r="J541" s="3"/>
      <c r="K541" s="3"/>
      <c r="L541" s="3"/>
      <c r="M541" s="3"/>
      <c r="N541" s="3"/>
      <c r="O541" s="3"/>
      <c r="P541" s="3"/>
      <c r="Q541" s="3"/>
      <c r="R541" s="3"/>
      <c r="S541" s="3"/>
      <c r="T541" s="3"/>
    </row>
    <row r="542">
      <c r="A542" s="3"/>
      <c r="B542" s="3"/>
      <c r="C542" s="3"/>
      <c r="D542" s="3"/>
      <c r="E542" s="3"/>
      <c r="F542" s="3"/>
      <c r="G542" s="3"/>
      <c r="H542" s="3"/>
      <c r="I542" s="3"/>
      <c r="J542" s="3"/>
      <c r="K542" s="3"/>
      <c r="L542" s="3"/>
      <c r="M542" s="3"/>
      <c r="N542" s="3"/>
      <c r="O542" s="3"/>
      <c r="P542" s="3"/>
      <c r="Q542" s="3"/>
      <c r="R542" s="3"/>
      <c r="S542" s="3"/>
      <c r="T542" s="3"/>
    </row>
    <row r="543">
      <c r="A543" s="3"/>
      <c r="B543" s="3"/>
      <c r="C543" s="3"/>
      <c r="D543" s="3"/>
      <c r="E543" s="3"/>
      <c r="F543" s="3"/>
      <c r="G543" s="3"/>
      <c r="H543" s="3"/>
      <c r="I543" s="3"/>
      <c r="J543" s="3"/>
      <c r="K543" s="3"/>
      <c r="L543" s="3"/>
      <c r="M543" s="3"/>
      <c r="N543" s="3"/>
      <c r="O543" s="3"/>
      <c r="P543" s="3"/>
      <c r="Q543" s="3"/>
      <c r="R543" s="3"/>
      <c r="S543" s="3"/>
      <c r="T543" s="3"/>
    </row>
    <row r="544">
      <c r="A544" s="3"/>
      <c r="B544" s="3"/>
      <c r="C544" s="3"/>
      <c r="D544" s="3"/>
      <c r="E544" s="3"/>
      <c r="F544" s="3"/>
      <c r="G544" s="3"/>
      <c r="H544" s="3"/>
      <c r="I544" s="3"/>
      <c r="J544" s="3"/>
      <c r="K544" s="3"/>
      <c r="L544" s="3"/>
      <c r="M544" s="3"/>
      <c r="N544" s="3"/>
      <c r="O544" s="3"/>
      <c r="P544" s="3"/>
      <c r="Q544" s="3"/>
      <c r="R544" s="3"/>
      <c r="S544" s="3"/>
      <c r="T544" s="3"/>
    </row>
    <row r="545">
      <c r="A545" s="3"/>
      <c r="B545" s="3"/>
      <c r="C545" s="3"/>
      <c r="D545" s="3"/>
      <c r="E545" s="3"/>
      <c r="F545" s="3"/>
      <c r="G545" s="3"/>
      <c r="H545" s="3"/>
      <c r="I545" s="3"/>
      <c r="J545" s="3"/>
      <c r="K545" s="3"/>
      <c r="L545" s="3"/>
      <c r="M545" s="3"/>
      <c r="N545" s="3"/>
      <c r="O545" s="3"/>
      <c r="P545" s="3"/>
      <c r="Q545" s="3"/>
      <c r="R545" s="3"/>
      <c r="S545" s="3"/>
      <c r="T545" s="3"/>
    </row>
    <row r="546">
      <c r="A546" s="3"/>
      <c r="B546" s="3"/>
      <c r="C546" s="3"/>
      <c r="D546" s="3"/>
      <c r="E546" s="3"/>
      <c r="F546" s="3"/>
      <c r="G546" s="3"/>
      <c r="H546" s="3"/>
      <c r="I546" s="3"/>
      <c r="J546" s="3"/>
      <c r="K546" s="3"/>
      <c r="L546" s="3"/>
      <c r="M546" s="3"/>
      <c r="N546" s="3"/>
      <c r="O546" s="3"/>
      <c r="P546" s="3"/>
      <c r="Q546" s="3"/>
      <c r="R546" s="3"/>
      <c r="S546" s="3"/>
      <c r="T546" s="3"/>
    </row>
    <row r="547">
      <c r="A547" s="3"/>
      <c r="B547" s="3"/>
      <c r="C547" s="3"/>
      <c r="D547" s="3"/>
      <c r="E547" s="3"/>
      <c r="F547" s="3"/>
      <c r="G547" s="3"/>
      <c r="H547" s="3"/>
      <c r="I547" s="3"/>
      <c r="J547" s="3"/>
      <c r="K547" s="3"/>
      <c r="L547" s="3"/>
      <c r="M547" s="3"/>
      <c r="N547" s="3"/>
      <c r="O547" s="3"/>
      <c r="P547" s="3"/>
      <c r="Q547" s="3"/>
      <c r="R547" s="3"/>
      <c r="S547" s="3"/>
      <c r="T547" s="3"/>
    </row>
    <row r="548">
      <c r="A548" s="3"/>
      <c r="B548" s="3"/>
      <c r="C548" s="3"/>
      <c r="D548" s="3"/>
      <c r="E548" s="3"/>
      <c r="F548" s="3"/>
      <c r="G548" s="3"/>
      <c r="H548" s="3"/>
      <c r="I548" s="3"/>
      <c r="J548" s="3"/>
      <c r="K548" s="3"/>
      <c r="L548" s="3"/>
      <c r="M548" s="3"/>
      <c r="N548" s="3"/>
      <c r="O548" s="3"/>
      <c r="P548" s="3"/>
      <c r="Q548" s="3"/>
      <c r="R548" s="3"/>
      <c r="S548" s="3"/>
      <c r="T548" s="3"/>
    </row>
    <row r="549">
      <c r="A549" s="3"/>
      <c r="B549" s="3"/>
      <c r="C549" s="3"/>
      <c r="D549" s="3"/>
      <c r="E549" s="3"/>
      <c r="F549" s="3"/>
      <c r="G549" s="3"/>
      <c r="H549" s="3"/>
      <c r="I549" s="3"/>
      <c r="J549" s="3"/>
      <c r="K549" s="3"/>
      <c r="L549" s="3"/>
      <c r="M549" s="3"/>
      <c r="N549" s="3"/>
      <c r="O549" s="3"/>
      <c r="P549" s="3"/>
      <c r="Q549" s="3"/>
      <c r="R549" s="3"/>
      <c r="S549" s="3"/>
      <c r="T549" s="3"/>
    </row>
    <row r="550">
      <c r="A550" s="3"/>
      <c r="B550" s="3"/>
      <c r="C550" s="3"/>
      <c r="D550" s="3"/>
      <c r="E550" s="3"/>
      <c r="F550" s="3"/>
      <c r="G550" s="3"/>
      <c r="H550" s="3"/>
      <c r="I550" s="3"/>
      <c r="J550" s="3"/>
      <c r="K550" s="3"/>
      <c r="L550" s="3"/>
      <c r="M550" s="3"/>
      <c r="N550" s="3"/>
      <c r="O550" s="3"/>
      <c r="P550" s="3"/>
      <c r="Q550" s="3"/>
      <c r="R550" s="3"/>
      <c r="S550" s="3"/>
      <c r="T550" s="3"/>
    </row>
    <row r="551">
      <c r="A551" s="3"/>
      <c r="B551" s="3"/>
      <c r="C551" s="3"/>
      <c r="D551" s="3"/>
      <c r="E551" s="3"/>
      <c r="F551" s="3"/>
      <c r="G551" s="3"/>
      <c r="H551" s="3"/>
      <c r="I551" s="3"/>
      <c r="J551" s="3"/>
      <c r="K551" s="3"/>
      <c r="L551" s="3"/>
      <c r="M551" s="3"/>
      <c r="N551" s="3"/>
      <c r="O551" s="3"/>
      <c r="P551" s="3"/>
      <c r="Q551" s="3"/>
      <c r="R551" s="3"/>
      <c r="S551" s="3"/>
      <c r="T551" s="3"/>
    </row>
    <row r="552">
      <c r="A552" s="3"/>
      <c r="B552" s="3"/>
      <c r="C552" s="3"/>
      <c r="D552" s="3"/>
      <c r="E552" s="3"/>
      <c r="F552" s="3"/>
      <c r="G552" s="3"/>
      <c r="H552" s="3"/>
      <c r="I552" s="3"/>
      <c r="J552" s="3"/>
      <c r="K552" s="3"/>
      <c r="L552" s="3"/>
      <c r="M552" s="3"/>
      <c r="N552" s="3"/>
      <c r="O552" s="3"/>
      <c r="P552" s="3"/>
      <c r="Q552" s="3"/>
      <c r="R552" s="3"/>
      <c r="S552" s="3"/>
      <c r="T552" s="3"/>
    </row>
    <row r="553">
      <c r="A553" s="3"/>
      <c r="B553" s="3"/>
      <c r="C553" s="3"/>
      <c r="D553" s="3"/>
      <c r="E553" s="3"/>
      <c r="F553" s="3"/>
      <c r="G553" s="3"/>
      <c r="H553" s="3"/>
      <c r="I553" s="3"/>
      <c r="J553" s="3"/>
      <c r="K553" s="3"/>
      <c r="L553" s="3"/>
      <c r="M553" s="3"/>
      <c r="N553" s="3"/>
      <c r="O553" s="3"/>
      <c r="P553" s="3"/>
      <c r="Q553" s="3"/>
      <c r="R553" s="3"/>
      <c r="S553" s="3"/>
      <c r="T553" s="3"/>
    </row>
    <row r="554">
      <c r="A554" s="3"/>
      <c r="B554" s="3"/>
      <c r="C554" s="3"/>
      <c r="D554" s="3"/>
      <c r="E554" s="3"/>
      <c r="F554" s="3"/>
      <c r="G554" s="3"/>
      <c r="H554" s="3"/>
      <c r="I554" s="3"/>
      <c r="J554" s="3"/>
      <c r="K554" s="3"/>
      <c r="L554" s="3"/>
      <c r="M554" s="3"/>
      <c r="N554" s="3"/>
      <c r="O554" s="3"/>
      <c r="P554" s="3"/>
      <c r="Q554" s="3"/>
      <c r="R554" s="3"/>
      <c r="S554" s="3"/>
      <c r="T554" s="3"/>
    </row>
    <row r="555">
      <c r="A555" s="3"/>
      <c r="B555" s="3"/>
      <c r="C555" s="3"/>
      <c r="D555" s="3"/>
      <c r="E555" s="3"/>
      <c r="F555" s="3"/>
      <c r="G555" s="3"/>
      <c r="H555" s="3"/>
      <c r="I555" s="3"/>
      <c r="J555" s="3"/>
      <c r="K555" s="3"/>
      <c r="L555" s="3"/>
      <c r="M555" s="3"/>
      <c r="N555" s="3"/>
      <c r="O555" s="3"/>
      <c r="P555" s="3"/>
      <c r="Q555" s="3"/>
      <c r="R555" s="3"/>
      <c r="S555" s="3"/>
      <c r="T555" s="3"/>
    </row>
    <row r="556">
      <c r="A556" s="3"/>
      <c r="B556" s="3"/>
      <c r="C556" s="3"/>
      <c r="D556" s="3"/>
      <c r="E556" s="3"/>
      <c r="F556" s="3"/>
      <c r="G556" s="3"/>
      <c r="H556" s="3"/>
      <c r="I556" s="3"/>
      <c r="J556" s="3"/>
      <c r="K556" s="3"/>
      <c r="L556" s="3"/>
      <c r="M556" s="3"/>
      <c r="N556" s="3"/>
      <c r="O556" s="3"/>
      <c r="P556" s="3"/>
      <c r="Q556" s="3"/>
      <c r="R556" s="3"/>
      <c r="S556" s="3"/>
      <c r="T556" s="3"/>
    </row>
    <row r="557">
      <c r="A557" s="3"/>
      <c r="B557" s="3"/>
      <c r="C557" s="3"/>
      <c r="D557" s="3"/>
      <c r="E557" s="3"/>
      <c r="F557" s="3"/>
      <c r="G557" s="3"/>
      <c r="H557" s="3"/>
      <c r="I557" s="3"/>
      <c r="J557" s="3"/>
      <c r="K557" s="3"/>
      <c r="L557" s="3"/>
      <c r="M557" s="3"/>
      <c r="N557" s="3"/>
      <c r="O557" s="3"/>
      <c r="P557" s="3"/>
      <c r="Q557" s="3"/>
      <c r="R557" s="3"/>
      <c r="S557" s="3"/>
      <c r="T557" s="3"/>
    </row>
    <row r="558">
      <c r="A558" s="3"/>
      <c r="B558" s="3"/>
      <c r="C558" s="3"/>
      <c r="D558" s="3"/>
      <c r="E558" s="3"/>
      <c r="F558" s="3"/>
      <c r="G558" s="3"/>
      <c r="H558" s="3"/>
      <c r="I558" s="3"/>
      <c r="J558" s="3"/>
      <c r="K558" s="3"/>
      <c r="L558" s="3"/>
      <c r="M558" s="3"/>
      <c r="N558" s="3"/>
      <c r="O558" s="3"/>
      <c r="P558" s="3"/>
      <c r="Q558" s="3"/>
      <c r="R558" s="3"/>
      <c r="S558" s="3"/>
      <c r="T558" s="3"/>
    </row>
    <row r="559">
      <c r="A559" s="3"/>
      <c r="B559" s="3"/>
      <c r="C559" s="3"/>
      <c r="D559" s="3"/>
      <c r="E559" s="3"/>
      <c r="F559" s="3"/>
      <c r="G559" s="3"/>
      <c r="H559" s="3"/>
      <c r="I559" s="3"/>
      <c r="J559" s="3"/>
      <c r="K559" s="3"/>
      <c r="L559" s="3"/>
      <c r="M559" s="3"/>
      <c r="N559" s="3"/>
      <c r="O559" s="3"/>
      <c r="P559" s="3"/>
      <c r="Q559" s="3"/>
      <c r="R559" s="3"/>
      <c r="S559" s="3"/>
      <c r="T559" s="3"/>
    </row>
    <row r="560">
      <c r="A560" s="3"/>
      <c r="B560" s="3"/>
      <c r="C560" s="3"/>
      <c r="D560" s="3"/>
      <c r="E560" s="3"/>
      <c r="F560" s="3"/>
      <c r="G560" s="3"/>
      <c r="H560" s="3"/>
      <c r="I560" s="3"/>
      <c r="J560" s="3"/>
      <c r="K560" s="3"/>
      <c r="L560" s="3"/>
      <c r="M560" s="3"/>
      <c r="N560" s="3"/>
      <c r="O560" s="3"/>
      <c r="P560" s="3"/>
      <c r="Q560" s="3"/>
      <c r="R560" s="3"/>
      <c r="S560" s="3"/>
      <c r="T560" s="3"/>
    </row>
    <row r="561">
      <c r="A561" s="3"/>
      <c r="B561" s="3"/>
      <c r="C561" s="3"/>
      <c r="D561" s="3"/>
      <c r="E561" s="3"/>
      <c r="F561" s="3"/>
      <c r="G561" s="3"/>
      <c r="H561" s="3"/>
      <c r="I561" s="3"/>
      <c r="J561" s="3"/>
      <c r="K561" s="3"/>
      <c r="L561" s="3"/>
      <c r="M561" s="3"/>
      <c r="N561" s="3"/>
      <c r="O561" s="3"/>
      <c r="P561" s="3"/>
      <c r="Q561" s="3"/>
      <c r="R561" s="3"/>
      <c r="S561" s="3"/>
      <c r="T561" s="3"/>
    </row>
    <row r="562">
      <c r="A562" s="3"/>
      <c r="B562" s="3"/>
      <c r="C562" s="3"/>
      <c r="D562" s="3"/>
      <c r="E562" s="3"/>
      <c r="F562" s="3"/>
      <c r="G562" s="3"/>
      <c r="H562" s="3"/>
      <c r="I562" s="3"/>
      <c r="J562" s="3"/>
      <c r="K562" s="3"/>
      <c r="L562" s="3"/>
      <c r="M562" s="3"/>
      <c r="N562" s="3"/>
      <c r="O562" s="3"/>
      <c r="P562" s="3"/>
      <c r="Q562" s="3"/>
      <c r="R562" s="3"/>
      <c r="S562" s="3"/>
      <c r="T562" s="3"/>
    </row>
    <row r="563">
      <c r="A563" s="3"/>
      <c r="B563" s="3"/>
      <c r="C563" s="3"/>
      <c r="D563" s="3"/>
      <c r="E563" s="3"/>
      <c r="F563" s="3"/>
      <c r="G563" s="3"/>
      <c r="H563" s="3"/>
      <c r="I563" s="3"/>
      <c r="J563" s="3"/>
      <c r="K563" s="3"/>
      <c r="L563" s="3"/>
      <c r="M563" s="3"/>
      <c r="N563" s="3"/>
      <c r="O563" s="3"/>
      <c r="P563" s="3"/>
      <c r="Q563" s="3"/>
      <c r="R563" s="3"/>
      <c r="S563" s="3"/>
      <c r="T563" s="3"/>
    </row>
    <row r="564">
      <c r="A564" s="3"/>
      <c r="B564" s="3"/>
      <c r="C564" s="3"/>
      <c r="D564" s="3"/>
      <c r="E564" s="3"/>
      <c r="F564" s="3"/>
      <c r="G564" s="3"/>
      <c r="H564" s="3"/>
      <c r="I564" s="3"/>
      <c r="J564" s="3"/>
      <c r="K564" s="3"/>
      <c r="L564" s="3"/>
      <c r="M564" s="3"/>
      <c r="N564" s="3"/>
      <c r="O564" s="3"/>
      <c r="P564" s="3"/>
      <c r="Q564" s="3"/>
      <c r="R564" s="3"/>
      <c r="S564" s="3"/>
      <c r="T564" s="3"/>
    </row>
    <row r="565">
      <c r="A565" s="3"/>
      <c r="B565" s="3"/>
      <c r="C565" s="3"/>
      <c r="D565" s="3"/>
      <c r="E565" s="3"/>
      <c r="F565" s="3"/>
      <c r="G565" s="3"/>
      <c r="H565" s="3"/>
      <c r="I565" s="3"/>
      <c r="J565" s="3"/>
      <c r="K565" s="3"/>
      <c r="L565" s="3"/>
      <c r="M565" s="3"/>
      <c r="N565" s="3"/>
      <c r="O565" s="3"/>
      <c r="P565" s="3"/>
      <c r="Q565" s="3"/>
      <c r="R565" s="3"/>
      <c r="S565" s="3"/>
      <c r="T565" s="3"/>
    </row>
    <row r="566">
      <c r="A566" s="3"/>
      <c r="B566" s="3"/>
      <c r="C566" s="3"/>
      <c r="D566" s="3"/>
      <c r="E566" s="3"/>
      <c r="F566" s="3"/>
      <c r="G566" s="3"/>
      <c r="H566" s="3"/>
      <c r="I566" s="3"/>
      <c r="J566" s="3"/>
      <c r="K566" s="3"/>
      <c r="L566" s="3"/>
      <c r="M566" s="3"/>
      <c r="N566" s="3"/>
      <c r="O566" s="3"/>
      <c r="P566" s="3"/>
      <c r="Q566" s="3"/>
      <c r="R566" s="3"/>
      <c r="S566" s="3"/>
      <c r="T566" s="3"/>
    </row>
    <row r="567">
      <c r="A567" s="3"/>
      <c r="B567" s="3"/>
      <c r="C567" s="3"/>
      <c r="D567" s="3"/>
      <c r="E567" s="3"/>
      <c r="F567" s="3"/>
      <c r="G567" s="3"/>
      <c r="H567" s="3"/>
      <c r="I567" s="3"/>
      <c r="J567" s="3"/>
      <c r="K567" s="3"/>
      <c r="L567" s="3"/>
      <c r="M567" s="3"/>
      <c r="N567" s="3"/>
      <c r="O567" s="3"/>
      <c r="P567" s="3"/>
      <c r="Q567" s="3"/>
      <c r="R567" s="3"/>
      <c r="S567" s="3"/>
      <c r="T567" s="3"/>
    </row>
    <row r="568">
      <c r="A568" s="3"/>
      <c r="B568" s="3"/>
      <c r="C568" s="3"/>
      <c r="D568" s="3"/>
      <c r="E568" s="3"/>
      <c r="F568" s="3"/>
      <c r="G568" s="3"/>
      <c r="H568" s="3"/>
      <c r="I568" s="3"/>
      <c r="J568" s="3"/>
      <c r="K568" s="3"/>
      <c r="L568" s="3"/>
      <c r="M568" s="3"/>
      <c r="N568" s="3"/>
      <c r="O568" s="3"/>
      <c r="P568" s="3"/>
      <c r="Q568" s="3"/>
      <c r="R568" s="3"/>
      <c r="S568" s="3"/>
      <c r="T568" s="3"/>
    </row>
    <row r="569">
      <c r="A569" s="3"/>
      <c r="B569" s="3"/>
      <c r="C569" s="3"/>
      <c r="D569" s="3"/>
      <c r="E569" s="3"/>
      <c r="F569" s="3"/>
      <c r="G569" s="3"/>
      <c r="H569" s="3"/>
      <c r="I569" s="3"/>
      <c r="J569" s="3"/>
      <c r="K569" s="3"/>
      <c r="L569" s="3"/>
      <c r="M569" s="3"/>
      <c r="N569" s="3"/>
      <c r="O569" s="3"/>
      <c r="P569" s="3"/>
      <c r="Q569" s="3"/>
      <c r="R569" s="3"/>
      <c r="S569" s="3"/>
      <c r="T569" s="3"/>
    </row>
    <row r="570">
      <c r="A570" s="3"/>
      <c r="B570" s="3"/>
      <c r="C570" s="3"/>
      <c r="D570" s="3"/>
      <c r="E570" s="3"/>
      <c r="F570" s="3"/>
      <c r="G570" s="3"/>
      <c r="H570" s="3"/>
      <c r="I570" s="3"/>
      <c r="J570" s="3"/>
      <c r="K570" s="3"/>
      <c r="L570" s="3"/>
      <c r="M570" s="3"/>
      <c r="N570" s="3"/>
      <c r="O570" s="3"/>
      <c r="P570" s="3"/>
      <c r="Q570" s="3"/>
      <c r="R570" s="3"/>
      <c r="S570" s="3"/>
      <c r="T570" s="3"/>
    </row>
    <row r="571">
      <c r="A571" s="3"/>
      <c r="B571" s="3"/>
      <c r="C571" s="3"/>
      <c r="D571" s="3"/>
      <c r="E571" s="3"/>
      <c r="F571" s="3"/>
      <c r="G571" s="3"/>
      <c r="H571" s="3"/>
      <c r="I571" s="3"/>
      <c r="J571" s="3"/>
      <c r="K571" s="3"/>
      <c r="L571" s="3"/>
      <c r="M571" s="3"/>
      <c r="N571" s="3"/>
      <c r="O571" s="3"/>
      <c r="P571" s="3"/>
      <c r="Q571" s="3"/>
      <c r="R571" s="3"/>
      <c r="S571" s="3"/>
      <c r="T571" s="3"/>
    </row>
    <row r="572">
      <c r="A572" s="3"/>
      <c r="B572" s="3"/>
      <c r="C572" s="3"/>
      <c r="D572" s="3"/>
      <c r="E572" s="3"/>
      <c r="F572" s="3"/>
      <c r="G572" s="3"/>
      <c r="H572" s="3"/>
      <c r="I572" s="3"/>
      <c r="J572" s="3"/>
      <c r="K572" s="3"/>
      <c r="L572" s="3"/>
      <c r="M572" s="3"/>
      <c r="N572" s="3"/>
      <c r="O572" s="3"/>
      <c r="P572" s="3"/>
      <c r="Q572" s="3"/>
      <c r="R572" s="3"/>
      <c r="S572" s="3"/>
      <c r="T572" s="3"/>
    </row>
    <row r="573">
      <c r="A573" s="3"/>
      <c r="B573" s="3"/>
      <c r="C573" s="3"/>
      <c r="D573" s="3"/>
      <c r="E573" s="3"/>
      <c r="F573" s="3"/>
      <c r="G573" s="3"/>
      <c r="H573" s="3"/>
      <c r="I573" s="3"/>
      <c r="J573" s="3"/>
      <c r="K573" s="3"/>
      <c r="L573" s="3"/>
      <c r="M573" s="3"/>
      <c r="N573" s="3"/>
      <c r="O573" s="3"/>
      <c r="P573" s="3"/>
      <c r="Q573" s="3"/>
      <c r="R573" s="3"/>
      <c r="S573" s="3"/>
      <c r="T573" s="3"/>
    </row>
    <row r="574">
      <c r="A574" s="3"/>
      <c r="B574" s="3"/>
      <c r="C574" s="3"/>
      <c r="D574" s="3"/>
      <c r="E574" s="3"/>
      <c r="F574" s="3"/>
      <c r="G574" s="3"/>
      <c r="H574" s="3"/>
      <c r="I574" s="3"/>
      <c r="J574" s="3"/>
      <c r="K574" s="3"/>
      <c r="L574" s="3"/>
      <c r="M574" s="3"/>
      <c r="N574" s="3"/>
      <c r="O574" s="3"/>
      <c r="P574" s="3"/>
      <c r="Q574" s="3"/>
      <c r="R574" s="3"/>
      <c r="S574" s="3"/>
      <c r="T574" s="3"/>
    </row>
    <row r="575">
      <c r="A575" s="3"/>
      <c r="B575" s="3"/>
      <c r="C575" s="3"/>
      <c r="D575" s="3"/>
      <c r="E575" s="3"/>
      <c r="F575" s="3"/>
      <c r="G575" s="3"/>
      <c r="H575" s="3"/>
      <c r="I575" s="3"/>
      <c r="J575" s="3"/>
      <c r="K575" s="3"/>
      <c r="L575" s="3"/>
      <c r="M575" s="3"/>
      <c r="N575" s="3"/>
      <c r="O575" s="3"/>
      <c r="P575" s="3"/>
      <c r="Q575" s="3"/>
      <c r="R575" s="3"/>
      <c r="S575" s="3"/>
      <c r="T575" s="3"/>
    </row>
    <row r="576">
      <c r="A576" s="3"/>
      <c r="B576" s="3"/>
      <c r="C576" s="3"/>
      <c r="D576" s="3"/>
      <c r="E576" s="3"/>
      <c r="F576" s="3"/>
      <c r="G576" s="3"/>
      <c r="H576" s="3"/>
      <c r="I576" s="3"/>
      <c r="J576" s="3"/>
      <c r="K576" s="3"/>
      <c r="L576" s="3"/>
      <c r="M576" s="3"/>
      <c r="N576" s="3"/>
      <c r="O576" s="3"/>
      <c r="P576" s="3"/>
      <c r="Q576" s="3"/>
      <c r="R576" s="3"/>
      <c r="S576" s="3"/>
      <c r="T576" s="3"/>
    </row>
    <row r="577">
      <c r="A577" s="3"/>
      <c r="B577" s="3"/>
      <c r="C577" s="3"/>
      <c r="D577" s="3"/>
      <c r="E577" s="3"/>
      <c r="F577" s="3"/>
      <c r="G577" s="3"/>
      <c r="H577" s="3"/>
      <c r="I577" s="3"/>
      <c r="J577" s="3"/>
      <c r="K577" s="3"/>
      <c r="L577" s="3"/>
      <c r="M577" s="3"/>
      <c r="N577" s="3"/>
      <c r="O577" s="3"/>
      <c r="P577" s="3"/>
      <c r="Q577" s="3"/>
      <c r="R577" s="3"/>
      <c r="S577" s="3"/>
      <c r="T577" s="3"/>
    </row>
    <row r="578">
      <c r="A578" s="3"/>
      <c r="B578" s="3"/>
      <c r="C578" s="3"/>
      <c r="D578" s="3"/>
      <c r="E578" s="3"/>
      <c r="F578" s="3"/>
      <c r="G578" s="3"/>
      <c r="H578" s="3"/>
      <c r="I578" s="3"/>
      <c r="J578" s="3"/>
      <c r="K578" s="3"/>
      <c r="L578" s="3"/>
      <c r="M578" s="3"/>
      <c r="N578" s="3"/>
      <c r="O578" s="3"/>
      <c r="P578" s="3"/>
      <c r="Q578" s="3"/>
      <c r="R578" s="3"/>
      <c r="S578" s="3"/>
      <c r="T578" s="3"/>
    </row>
    <row r="579">
      <c r="A579" s="3"/>
      <c r="B579" s="3"/>
      <c r="C579" s="3"/>
      <c r="D579" s="3"/>
      <c r="E579" s="3"/>
      <c r="F579" s="3"/>
      <c r="G579" s="3"/>
      <c r="H579" s="3"/>
      <c r="I579" s="3"/>
      <c r="J579" s="3"/>
      <c r="K579" s="3"/>
      <c r="L579" s="3"/>
      <c r="M579" s="3"/>
      <c r="N579" s="3"/>
      <c r="O579" s="3"/>
      <c r="P579" s="3"/>
      <c r="Q579" s="3"/>
      <c r="R579" s="3"/>
      <c r="S579" s="3"/>
      <c r="T579" s="3"/>
    </row>
    <row r="580">
      <c r="A580" s="3"/>
      <c r="B580" s="3"/>
      <c r="C580" s="3"/>
      <c r="D580" s="3"/>
      <c r="E580" s="3"/>
      <c r="F580" s="3"/>
      <c r="G580" s="3"/>
      <c r="H580" s="3"/>
      <c r="I580" s="3"/>
      <c r="J580" s="3"/>
      <c r="K580" s="3"/>
      <c r="L580" s="3"/>
      <c r="M580" s="3"/>
      <c r="N580" s="3"/>
      <c r="O580" s="3"/>
      <c r="P580" s="3"/>
      <c r="Q580" s="3"/>
      <c r="R580" s="3"/>
      <c r="S580" s="3"/>
      <c r="T580" s="3"/>
    </row>
    <row r="581">
      <c r="A581" s="3"/>
      <c r="B581" s="3"/>
      <c r="C581" s="3"/>
      <c r="D581" s="3"/>
      <c r="E581" s="3"/>
      <c r="F581" s="3"/>
      <c r="G581" s="3"/>
      <c r="H581" s="3"/>
      <c r="I581" s="3"/>
      <c r="J581" s="3"/>
      <c r="K581" s="3"/>
      <c r="L581" s="3"/>
      <c r="M581" s="3"/>
      <c r="N581" s="3"/>
      <c r="O581" s="3"/>
      <c r="P581" s="3"/>
      <c r="Q581" s="3"/>
      <c r="R581" s="3"/>
      <c r="S581" s="3"/>
      <c r="T581" s="3"/>
    </row>
    <row r="582">
      <c r="A582" s="3"/>
      <c r="B582" s="3"/>
      <c r="C582" s="3"/>
      <c r="D582" s="3"/>
      <c r="E582" s="3"/>
      <c r="F582" s="3"/>
      <c r="G582" s="3"/>
      <c r="H582" s="3"/>
      <c r="I582" s="3"/>
      <c r="J582" s="3"/>
      <c r="K582" s="3"/>
      <c r="L582" s="3"/>
      <c r="M582" s="3"/>
      <c r="N582" s="3"/>
      <c r="O582" s="3"/>
      <c r="P582" s="3"/>
      <c r="Q582" s="3"/>
      <c r="R582" s="3"/>
      <c r="S582" s="3"/>
      <c r="T582" s="3"/>
    </row>
    <row r="583">
      <c r="A583" s="3"/>
      <c r="B583" s="3"/>
      <c r="C583" s="3"/>
      <c r="D583" s="3"/>
      <c r="E583" s="3"/>
      <c r="F583" s="3"/>
      <c r="G583" s="3"/>
      <c r="H583" s="3"/>
      <c r="I583" s="3"/>
      <c r="J583" s="3"/>
      <c r="K583" s="3"/>
      <c r="L583" s="3"/>
      <c r="M583" s="3"/>
      <c r="N583" s="3"/>
      <c r="O583" s="3"/>
      <c r="P583" s="3"/>
      <c r="Q583" s="3"/>
      <c r="R583" s="3"/>
      <c r="S583" s="3"/>
      <c r="T583" s="3"/>
    </row>
    <row r="584">
      <c r="A584" s="3"/>
      <c r="B584" s="3"/>
      <c r="C584" s="3"/>
      <c r="D584" s="3"/>
      <c r="E584" s="3"/>
      <c r="F584" s="3"/>
      <c r="G584" s="3"/>
      <c r="H584" s="3"/>
      <c r="I584" s="3"/>
      <c r="J584" s="3"/>
      <c r="K584" s="3"/>
      <c r="L584" s="3"/>
      <c r="M584" s="3"/>
      <c r="N584" s="3"/>
      <c r="O584" s="3"/>
      <c r="P584" s="3"/>
      <c r="Q584" s="3"/>
      <c r="R584" s="3"/>
      <c r="S584" s="3"/>
      <c r="T584" s="3"/>
    </row>
    <row r="585">
      <c r="A585" s="3"/>
      <c r="B585" s="3"/>
      <c r="C585" s="3"/>
      <c r="D585" s="3"/>
      <c r="E585" s="3"/>
      <c r="F585" s="3"/>
      <c r="G585" s="3"/>
      <c r="H585" s="3"/>
      <c r="I585" s="3"/>
      <c r="J585" s="3"/>
      <c r="K585" s="3"/>
      <c r="L585" s="3"/>
      <c r="M585" s="3"/>
      <c r="N585" s="3"/>
      <c r="O585" s="3"/>
      <c r="P585" s="3"/>
      <c r="Q585" s="3"/>
      <c r="R585" s="3"/>
      <c r="S585" s="3"/>
      <c r="T585" s="3"/>
    </row>
    <row r="586">
      <c r="A586" s="3"/>
      <c r="B586" s="3"/>
      <c r="C586" s="3"/>
      <c r="D586" s="3"/>
      <c r="E586" s="3"/>
      <c r="F586" s="3"/>
      <c r="G586" s="3"/>
      <c r="H586" s="3"/>
      <c r="I586" s="3"/>
      <c r="J586" s="3"/>
      <c r="K586" s="3"/>
      <c r="L586" s="3"/>
      <c r="M586" s="3"/>
      <c r="N586" s="3"/>
      <c r="O586" s="3"/>
      <c r="P586" s="3"/>
      <c r="Q586" s="3"/>
      <c r="R586" s="3"/>
      <c r="S586" s="3"/>
      <c r="T586" s="3"/>
    </row>
    <row r="587">
      <c r="A587" s="3"/>
      <c r="B587" s="3"/>
      <c r="C587" s="3"/>
      <c r="D587" s="3"/>
      <c r="E587" s="3"/>
      <c r="F587" s="3"/>
      <c r="G587" s="3"/>
      <c r="H587" s="3"/>
      <c r="I587" s="3"/>
      <c r="J587" s="3"/>
      <c r="K587" s="3"/>
      <c r="L587" s="3"/>
      <c r="M587" s="3"/>
      <c r="N587" s="3"/>
      <c r="O587" s="3"/>
      <c r="P587" s="3"/>
      <c r="Q587" s="3"/>
      <c r="R587" s="3"/>
      <c r="S587" s="3"/>
      <c r="T587" s="3"/>
    </row>
    <row r="588">
      <c r="A588" s="3"/>
      <c r="B588" s="3"/>
      <c r="C588" s="3"/>
      <c r="D588" s="3"/>
      <c r="E588" s="3"/>
      <c r="F588" s="3"/>
      <c r="G588" s="3"/>
      <c r="H588" s="3"/>
      <c r="I588" s="3"/>
      <c r="J588" s="3"/>
      <c r="K588" s="3"/>
      <c r="L588" s="3"/>
      <c r="M588" s="3"/>
      <c r="N588" s="3"/>
      <c r="O588" s="3"/>
      <c r="P588" s="3"/>
      <c r="Q588" s="3"/>
      <c r="R588" s="3"/>
      <c r="S588" s="3"/>
      <c r="T588" s="3"/>
    </row>
    <row r="589">
      <c r="A589" s="3"/>
      <c r="B589" s="3"/>
      <c r="C589" s="3"/>
      <c r="D589" s="3"/>
      <c r="E589" s="3"/>
      <c r="F589" s="3"/>
      <c r="G589" s="3"/>
      <c r="H589" s="3"/>
      <c r="I589" s="3"/>
      <c r="J589" s="3"/>
      <c r="K589" s="3"/>
      <c r="L589" s="3"/>
      <c r="M589" s="3"/>
      <c r="N589" s="3"/>
      <c r="O589" s="3"/>
      <c r="P589" s="3"/>
      <c r="Q589" s="3"/>
      <c r="R589" s="3"/>
      <c r="S589" s="3"/>
      <c r="T589" s="3"/>
    </row>
    <row r="590">
      <c r="A590" s="3"/>
      <c r="B590" s="3"/>
      <c r="C590" s="3"/>
      <c r="D590" s="3"/>
      <c r="E590" s="3"/>
      <c r="F590" s="3"/>
      <c r="G590" s="3"/>
      <c r="H590" s="3"/>
      <c r="I590" s="3"/>
      <c r="J590" s="3"/>
      <c r="K590" s="3"/>
      <c r="L590" s="3"/>
      <c r="M590" s="3"/>
      <c r="N590" s="3"/>
      <c r="O590" s="3"/>
      <c r="P590" s="3"/>
      <c r="Q590" s="3"/>
      <c r="R590" s="3"/>
      <c r="S590" s="3"/>
      <c r="T590" s="3"/>
    </row>
    <row r="591">
      <c r="A591" s="3"/>
      <c r="B591" s="3"/>
      <c r="C591" s="3"/>
      <c r="D591" s="3"/>
      <c r="E591" s="3"/>
      <c r="F591" s="3"/>
      <c r="G591" s="3"/>
      <c r="H591" s="3"/>
      <c r="I591" s="3"/>
      <c r="J591" s="3"/>
      <c r="K591" s="3"/>
      <c r="L591" s="3"/>
      <c r="M591" s="3"/>
      <c r="N591" s="3"/>
      <c r="O591" s="3"/>
      <c r="P591" s="3"/>
      <c r="Q591" s="3"/>
      <c r="R591" s="3"/>
      <c r="S591" s="3"/>
      <c r="T591" s="3"/>
    </row>
    <row r="592">
      <c r="A592" s="3"/>
      <c r="B592" s="3"/>
      <c r="C592" s="3"/>
      <c r="D592" s="3"/>
      <c r="E592" s="3"/>
      <c r="F592" s="3"/>
      <c r="G592" s="3"/>
      <c r="H592" s="3"/>
      <c r="I592" s="3"/>
      <c r="J592" s="3"/>
      <c r="K592" s="3"/>
      <c r="L592" s="3"/>
      <c r="M592" s="3"/>
      <c r="N592" s="3"/>
      <c r="O592" s="3"/>
      <c r="P592" s="3"/>
      <c r="Q592" s="3"/>
      <c r="R592" s="3"/>
      <c r="S592" s="3"/>
      <c r="T592" s="3"/>
    </row>
    <row r="593">
      <c r="A593" s="3"/>
      <c r="B593" s="3"/>
      <c r="C593" s="3"/>
      <c r="D593" s="3"/>
      <c r="E593" s="3"/>
      <c r="F593" s="3"/>
      <c r="G593" s="3"/>
      <c r="H593" s="3"/>
      <c r="I593" s="3"/>
      <c r="J593" s="3"/>
      <c r="K593" s="3"/>
      <c r="L593" s="3"/>
      <c r="M593" s="3"/>
      <c r="N593" s="3"/>
      <c r="O593" s="3"/>
      <c r="P593" s="3"/>
      <c r="Q593" s="3"/>
      <c r="R593" s="3"/>
      <c r="S593" s="3"/>
      <c r="T593" s="3"/>
    </row>
    <row r="594">
      <c r="A594" s="3"/>
      <c r="B594" s="3"/>
      <c r="C594" s="3"/>
      <c r="D594" s="3"/>
      <c r="E594" s="3"/>
      <c r="F594" s="3"/>
      <c r="G594" s="3"/>
      <c r="H594" s="3"/>
      <c r="I594" s="3"/>
      <c r="J594" s="3"/>
      <c r="K594" s="3"/>
      <c r="L594" s="3"/>
      <c r="M594" s="3"/>
      <c r="N594" s="3"/>
      <c r="O594" s="3"/>
      <c r="P594" s="3"/>
      <c r="Q594" s="3"/>
      <c r="R594" s="3"/>
      <c r="S594" s="3"/>
      <c r="T594" s="3"/>
    </row>
    <row r="595">
      <c r="A595" s="3"/>
      <c r="B595" s="3"/>
      <c r="C595" s="3"/>
      <c r="D595" s="3"/>
      <c r="E595" s="3"/>
      <c r="F595" s="3"/>
      <c r="G595" s="3"/>
      <c r="H595" s="3"/>
      <c r="I595" s="3"/>
      <c r="J595" s="3"/>
      <c r="K595" s="3"/>
      <c r="L595" s="3"/>
      <c r="M595" s="3"/>
      <c r="N595" s="3"/>
      <c r="O595" s="3"/>
      <c r="P595" s="3"/>
      <c r="Q595" s="3"/>
      <c r="R595" s="3"/>
      <c r="S595" s="3"/>
      <c r="T595" s="3"/>
    </row>
    <row r="596">
      <c r="A596" s="3"/>
      <c r="B596" s="3"/>
      <c r="C596" s="3"/>
      <c r="D596" s="3"/>
      <c r="E596" s="3"/>
      <c r="F596" s="3"/>
      <c r="G596" s="3"/>
      <c r="H596" s="3"/>
      <c r="I596" s="3"/>
      <c r="J596" s="3"/>
      <c r="K596" s="3"/>
      <c r="L596" s="3"/>
      <c r="M596" s="3"/>
      <c r="N596" s="3"/>
      <c r="O596" s="3"/>
      <c r="P596" s="3"/>
      <c r="Q596" s="3"/>
      <c r="R596" s="3"/>
      <c r="S596" s="3"/>
      <c r="T596" s="3"/>
    </row>
    <row r="597">
      <c r="A597" s="3"/>
      <c r="B597" s="3"/>
      <c r="C597" s="3"/>
      <c r="D597" s="3"/>
      <c r="E597" s="3"/>
      <c r="F597" s="3"/>
      <c r="G597" s="3"/>
      <c r="H597" s="3"/>
      <c r="I597" s="3"/>
      <c r="J597" s="3"/>
      <c r="K597" s="3"/>
      <c r="L597" s="3"/>
      <c r="M597" s="3"/>
      <c r="N597" s="3"/>
      <c r="O597" s="3"/>
      <c r="P597" s="3"/>
      <c r="Q597" s="3"/>
      <c r="R597" s="3"/>
      <c r="S597" s="3"/>
      <c r="T597" s="3"/>
    </row>
    <row r="598">
      <c r="A598" s="3"/>
      <c r="B598" s="3"/>
      <c r="C598" s="3"/>
      <c r="D598" s="3"/>
      <c r="E598" s="3"/>
      <c r="F598" s="3"/>
      <c r="G598" s="3"/>
      <c r="H598" s="3"/>
      <c r="I598" s="3"/>
      <c r="J598" s="3"/>
      <c r="K598" s="3"/>
      <c r="L598" s="3"/>
      <c r="M598" s="3"/>
      <c r="N598" s="3"/>
      <c r="O598" s="3"/>
      <c r="P598" s="3"/>
      <c r="Q598" s="3"/>
      <c r="R598" s="3"/>
      <c r="S598" s="3"/>
      <c r="T598" s="3"/>
    </row>
    <row r="599">
      <c r="A599" s="3"/>
      <c r="B599" s="3"/>
      <c r="C599" s="3"/>
      <c r="D599" s="3"/>
      <c r="E599" s="3"/>
      <c r="F599" s="3"/>
      <c r="G599" s="3"/>
      <c r="H599" s="3"/>
      <c r="I599" s="3"/>
      <c r="J599" s="3"/>
      <c r="K599" s="3"/>
      <c r="L599" s="3"/>
      <c r="M599" s="3"/>
      <c r="N599" s="3"/>
      <c r="O599" s="3"/>
      <c r="P599" s="3"/>
      <c r="Q599" s="3"/>
      <c r="R599" s="3"/>
      <c r="S599" s="3"/>
      <c r="T599" s="3"/>
    </row>
    <row r="600">
      <c r="A600" s="3"/>
      <c r="B600" s="3"/>
      <c r="C600" s="3"/>
      <c r="D600" s="3"/>
      <c r="E600" s="3"/>
      <c r="F600" s="3"/>
      <c r="G600" s="3"/>
      <c r="H600" s="3"/>
      <c r="I600" s="3"/>
      <c r="J600" s="3"/>
      <c r="K600" s="3"/>
      <c r="L600" s="3"/>
      <c r="M600" s="3"/>
      <c r="N600" s="3"/>
      <c r="O600" s="3"/>
      <c r="P600" s="3"/>
      <c r="Q600" s="3"/>
      <c r="R600" s="3"/>
      <c r="S600" s="3"/>
      <c r="T600" s="3"/>
    </row>
    <row r="601">
      <c r="A601" s="3"/>
      <c r="B601" s="3"/>
      <c r="C601" s="3"/>
      <c r="D601" s="3"/>
      <c r="E601" s="3"/>
      <c r="F601" s="3"/>
      <c r="G601" s="3"/>
      <c r="H601" s="3"/>
      <c r="I601" s="3"/>
      <c r="J601" s="3"/>
      <c r="K601" s="3"/>
      <c r="L601" s="3"/>
      <c r="M601" s="3"/>
      <c r="N601" s="3"/>
      <c r="O601" s="3"/>
      <c r="P601" s="3"/>
      <c r="Q601" s="3"/>
      <c r="R601" s="3"/>
      <c r="S601" s="3"/>
      <c r="T601" s="3"/>
    </row>
    <row r="602">
      <c r="A602" s="3"/>
      <c r="B602" s="3"/>
      <c r="C602" s="3"/>
      <c r="D602" s="3"/>
      <c r="E602" s="3"/>
      <c r="F602" s="3"/>
      <c r="G602" s="3"/>
      <c r="H602" s="3"/>
      <c r="I602" s="3"/>
      <c r="J602" s="3"/>
      <c r="K602" s="3"/>
      <c r="L602" s="3"/>
      <c r="M602" s="3"/>
      <c r="N602" s="3"/>
      <c r="O602" s="3"/>
      <c r="P602" s="3"/>
      <c r="Q602" s="3"/>
      <c r="R602" s="3"/>
      <c r="S602" s="3"/>
      <c r="T602" s="3"/>
    </row>
    <row r="603">
      <c r="A603" s="3"/>
      <c r="B603" s="3"/>
      <c r="C603" s="3"/>
      <c r="D603" s="3"/>
      <c r="E603" s="3"/>
      <c r="F603" s="3"/>
      <c r="G603" s="3"/>
      <c r="H603" s="3"/>
      <c r="I603" s="3"/>
      <c r="J603" s="3"/>
      <c r="K603" s="3"/>
      <c r="L603" s="3"/>
      <c r="M603" s="3"/>
      <c r="N603" s="3"/>
      <c r="O603" s="3"/>
      <c r="P603" s="3"/>
      <c r="Q603" s="3"/>
      <c r="R603" s="3"/>
      <c r="S603" s="3"/>
      <c r="T603" s="3"/>
    </row>
    <row r="604">
      <c r="A604" s="3"/>
      <c r="B604" s="3"/>
      <c r="C604" s="3"/>
      <c r="D604" s="3"/>
      <c r="E604" s="3"/>
      <c r="F604" s="3"/>
      <c r="G604" s="3"/>
      <c r="H604" s="3"/>
      <c r="I604" s="3"/>
      <c r="J604" s="3"/>
      <c r="K604" s="3"/>
      <c r="L604" s="3"/>
      <c r="M604" s="3"/>
      <c r="N604" s="3"/>
      <c r="O604" s="3"/>
      <c r="P604" s="3"/>
      <c r="Q604" s="3"/>
      <c r="R604" s="3"/>
      <c r="S604" s="3"/>
      <c r="T604" s="3"/>
    </row>
    <row r="605">
      <c r="A605" s="3"/>
      <c r="B605" s="3"/>
      <c r="C605" s="3"/>
      <c r="D605" s="3"/>
      <c r="E605" s="3"/>
      <c r="F605" s="3"/>
      <c r="G605" s="3"/>
      <c r="H605" s="3"/>
      <c r="I605" s="3"/>
      <c r="J605" s="3"/>
      <c r="K605" s="3"/>
      <c r="L605" s="3"/>
      <c r="M605" s="3"/>
      <c r="N605" s="3"/>
      <c r="O605" s="3"/>
      <c r="P605" s="3"/>
      <c r="Q605" s="3"/>
      <c r="R605" s="3"/>
      <c r="S605" s="3"/>
      <c r="T605" s="3"/>
    </row>
    <row r="606">
      <c r="A606" s="3"/>
      <c r="B606" s="3"/>
      <c r="C606" s="3"/>
      <c r="D606" s="3"/>
      <c r="E606" s="3"/>
      <c r="F606" s="3"/>
      <c r="G606" s="3"/>
      <c r="H606" s="3"/>
      <c r="I606" s="3"/>
      <c r="J606" s="3"/>
      <c r="K606" s="3"/>
      <c r="L606" s="3"/>
      <c r="M606" s="3"/>
      <c r="N606" s="3"/>
      <c r="O606" s="3"/>
      <c r="P606" s="3"/>
      <c r="Q606" s="3"/>
      <c r="R606" s="3"/>
      <c r="S606" s="3"/>
      <c r="T606" s="3"/>
    </row>
    <row r="607">
      <c r="A607" s="3"/>
      <c r="B607" s="3"/>
      <c r="C607" s="3"/>
      <c r="D607" s="3"/>
      <c r="E607" s="3"/>
      <c r="F607" s="3"/>
      <c r="G607" s="3"/>
      <c r="H607" s="3"/>
      <c r="I607" s="3"/>
      <c r="J607" s="3"/>
      <c r="K607" s="3"/>
      <c r="L607" s="3"/>
      <c r="M607" s="3"/>
      <c r="N607" s="3"/>
      <c r="O607" s="3"/>
      <c r="P607" s="3"/>
      <c r="Q607" s="3"/>
      <c r="R607" s="3"/>
      <c r="S607" s="3"/>
      <c r="T607" s="3"/>
    </row>
    <row r="608">
      <c r="A608" s="3"/>
      <c r="B608" s="3"/>
      <c r="C608" s="3"/>
      <c r="D608" s="3"/>
      <c r="E608" s="3"/>
      <c r="F608" s="3"/>
      <c r="G608" s="3"/>
      <c r="H608" s="3"/>
      <c r="I608" s="3"/>
      <c r="J608" s="3"/>
      <c r="K608" s="3"/>
      <c r="L608" s="3"/>
      <c r="M608" s="3"/>
      <c r="N608" s="3"/>
      <c r="O608" s="3"/>
      <c r="P608" s="3"/>
      <c r="Q608" s="3"/>
      <c r="R608" s="3"/>
      <c r="S608" s="3"/>
      <c r="T608" s="3"/>
    </row>
    <row r="609">
      <c r="A609" s="3"/>
      <c r="B609" s="3"/>
      <c r="C609" s="3"/>
      <c r="D609" s="3"/>
      <c r="E609" s="3"/>
      <c r="F609" s="3"/>
      <c r="G609" s="3"/>
      <c r="H609" s="3"/>
      <c r="I609" s="3"/>
      <c r="J609" s="3"/>
      <c r="K609" s="3"/>
      <c r="L609" s="3"/>
      <c r="M609" s="3"/>
      <c r="N609" s="3"/>
      <c r="O609" s="3"/>
      <c r="P609" s="3"/>
      <c r="Q609" s="3"/>
      <c r="R609" s="3"/>
      <c r="S609" s="3"/>
      <c r="T609" s="3"/>
    </row>
    <row r="610">
      <c r="A610" s="3"/>
      <c r="B610" s="3"/>
      <c r="C610" s="3"/>
      <c r="D610" s="3"/>
      <c r="E610" s="3"/>
      <c r="F610" s="3"/>
      <c r="G610" s="3"/>
      <c r="H610" s="3"/>
      <c r="I610" s="3"/>
      <c r="J610" s="3"/>
      <c r="K610" s="3"/>
      <c r="L610" s="3"/>
      <c r="M610" s="3"/>
      <c r="N610" s="3"/>
      <c r="O610" s="3"/>
      <c r="P610" s="3"/>
      <c r="Q610" s="3"/>
      <c r="R610" s="3"/>
      <c r="S610" s="3"/>
      <c r="T610" s="3"/>
    </row>
    <row r="611">
      <c r="A611" s="3"/>
      <c r="B611" s="3"/>
      <c r="C611" s="3"/>
      <c r="D611" s="3"/>
      <c r="E611" s="3"/>
      <c r="F611" s="3"/>
      <c r="G611" s="3"/>
      <c r="H611" s="3"/>
      <c r="I611" s="3"/>
      <c r="J611" s="3"/>
      <c r="K611" s="3"/>
      <c r="L611" s="3"/>
      <c r="M611" s="3"/>
      <c r="N611" s="3"/>
      <c r="O611" s="3"/>
      <c r="P611" s="3"/>
      <c r="Q611" s="3"/>
      <c r="R611" s="3"/>
      <c r="S611" s="3"/>
      <c r="T611" s="3"/>
    </row>
    <row r="612">
      <c r="A612" s="3"/>
      <c r="B612" s="3"/>
      <c r="C612" s="3"/>
      <c r="D612" s="3"/>
      <c r="E612" s="3"/>
      <c r="F612" s="3"/>
      <c r="G612" s="3"/>
      <c r="H612" s="3"/>
      <c r="I612" s="3"/>
      <c r="J612" s="3"/>
      <c r="K612" s="3"/>
      <c r="L612" s="3"/>
      <c r="M612" s="3"/>
      <c r="N612" s="3"/>
      <c r="O612" s="3"/>
      <c r="P612" s="3"/>
      <c r="Q612" s="3"/>
      <c r="R612" s="3"/>
      <c r="S612" s="3"/>
      <c r="T612" s="3"/>
    </row>
    <row r="613">
      <c r="A613" s="3"/>
      <c r="B613" s="3"/>
      <c r="C613" s="3"/>
      <c r="D613" s="3"/>
      <c r="E613" s="3"/>
      <c r="F613" s="3"/>
      <c r="G613" s="3"/>
      <c r="H613" s="3"/>
      <c r="I613" s="3"/>
      <c r="J613" s="3"/>
      <c r="K613" s="3"/>
      <c r="L613" s="3"/>
      <c r="M613" s="3"/>
      <c r="N613" s="3"/>
      <c r="O613" s="3"/>
      <c r="P613" s="3"/>
      <c r="Q613" s="3"/>
      <c r="R613" s="3"/>
      <c r="S613" s="3"/>
      <c r="T613" s="3"/>
    </row>
    <row r="614">
      <c r="A614" s="3"/>
      <c r="B614" s="3"/>
      <c r="C614" s="3"/>
      <c r="D614" s="3"/>
      <c r="E614" s="3"/>
      <c r="F614" s="3"/>
      <c r="G614" s="3"/>
      <c r="H614" s="3"/>
      <c r="I614" s="3"/>
      <c r="J614" s="3"/>
      <c r="K614" s="3"/>
      <c r="L614" s="3"/>
      <c r="M614" s="3"/>
      <c r="N614" s="3"/>
      <c r="O614" s="3"/>
      <c r="P614" s="3"/>
      <c r="Q614" s="3"/>
      <c r="R614" s="3"/>
      <c r="S614" s="3"/>
      <c r="T614" s="3"/>
    </row>
    <row r="615">
      <c r="A615" s="3"/>
      <c r="B615" s="3"/>
      <c r="C615" s="3"/>
      <c r="D615" s="3"/>
      <c r="E615" s="3"/>
      <c r="F615" s="3"/>
      <c r="G615" s="3"/>
      <c r="H615" s="3"/>
      <c r="I615" s="3"/>
      <c r="J615" s="3"/>
      <c r="K615" s="3"/>
      <c r="L615" s="3"/>
      <c r="M615" s="3"/>
      <c r="N615" s="3"/>
      <c r="O615" s="3"/>
      <c r="P615" s="3"/>
      <c r="Q615" s="3"/>
      <c r="R615" s="3"/>
      <c r="S615" s="3"/>
      <c r="T615" s="3"/>
    </row>
    <row r="616">
      <c r="A616" s="3"/>
      <c r="B616" s="3"/>
      <c r="C616" s="3"/>
      <c r="D616" s="3"/>
      <c r="E616" s="3"/>
      <c r="F616" s="3"/>
      <c r="G616" s="3"/>
      <c r="H616" s="3"/>
      <c r="I616" s="3"/>
      <c r="J616" s="3"/>
      <c r="K616" s="3"/>
      <c r="L616" s="3"/>
      <c r="M616" s="3"/>
      <c r="N616" s="3"/>
      <c r="O616" s="3"/>
      <c r="P616" s="3"/>
      <c r="Q616" s="3"/>
      <c r="R616" s="3"/>
      <c r="S616" s="3"/>
      <c r="T616" s="3"/>
    </row>
    <row r="617">
      <c r="A617" s="3"/>
      <c r="B617" s="3"/>
      <c r="C617" s="3"/>
      <c r="D617" s="3"/>
      <c r="E617" s="3"/>
      <c r="F617" s="3"/>
      <c r="G617" s="3"/>
      <c r="H617" s="3"/>
      <c r="I617" s="3"/>
      <c r="J617" s="3"/>
      <c r="K617" s="3"/>
      <c r="L617" s="3"/>
      <c r="M617" s="3"/>
      <c r="N617" s="3"/>
      <c r="O617" s="3"/>
      <c r="P617" s="3"/>
      <c r="Q617" s="3"/>
      <c r="R617" s="3"/>
      <c r="S617" s="3"/>
      <c r="T617" s="3"/>
    </row>
    <row r="618">
      <c r="A618" s="3"/>
      <c r="B618" s="3"/>
      <c r="C618" s="3"/>
      <c r="D618" s="3"/>
      <c r="E618" s="3"/>
      <c r="F618" s="3"/>
      <c r="G618" s="3"/>
      <c r="H618" s="3"/>
      <c r="I618" s="3"/>
      <c r="J618" s="3"/>
      <c r="K618" s="3"/>
      <c r="L618" s="3"/>
      <c r="M618" s="3"/>
      <c r="N618" s="3"/>
      <c r="O618" s="3"/>
      <c r="P618" s="3"/>
      <c r="Q618" s="3"/>
      <c r="R618" s="3"/>
      <c r="S618" s="3"/>
      <c r="T618" s="3"/>
    </row>
    <row r="619">
      <c r="A619" s="3"/>
      <c r="B619" s="3"/>
      <c r="C619" s="3"/>
      <c r="D619" s="3"/>
      <c r="E619" s="3"/>
      <c r="F619" s="3"/>
      <c r="G619" s="3"/>
      <c r="H619" s="3"/>
      <c r="I619" s="3"/>
      <c r="J619" s="3"/>
      <c r="K619" s="3"/>
      <c r="L619" s="3"/>
      <c r="M619" s="3"/>
      <c r="N619" s="3"/>
      <c r="O619" s="3"/>
      <c r="P619" s="3"/>
      <c r="Q619" s="3"/>
      <c r="R619" s="3"/>
      <c r="S619" s="3"/>
      <c r="T619" s="3"/>
    </row>
    <row r="620">
      <c r="A620" s="3"/>
      <c r="B620" s="3"/>
      <c r="C620" s="3"/>
      <c r="D620" s="3"/>
      <c r="E620" s="3"/>
      <c r="F620" s="3"/>
      <c r="G620" s="3"/>
      <c r="H620" s="3"/>
      <c r="I620" s="3"/>
      <c r="J620" s="3"/>
      <c r="K620" s="3"/>
      <c r="L620" s="3"/>
      <c r="M620" s="3"/>
      <c r="N620" s="3"/>
      <c r="O620" s="3"/>
      <c r="P620" s="3"/>
      <c r="Q620" s="3"/>
      <c r="R620" s="3"/>
      <c r="S620" s="3"/>
      <c r="T620" s="3"/>
    </row>
    <row r="621">
      <c r="A621" s="3"/>
      <c r="B621" s="3"/>
      <c r="C621" s="3"/>
      <c r="D621" s="3"/>
      <c r="E621" s="3"/>
      <c r="F621" s="3"/>
      <c r="G621" s="3"/>
      <c r="H621" s="3"/>
      <c r="I621" s="3"/>
      <c r="J621" s="3"/>
      <c r="K621" s="3"/>
      <c r="L621" s="3"/>
      <c r="M621" s="3"/>
      <c r="N621" s="3"/>
      <c r="O621" s="3"/>
      <c r="P621" s="3"/>
      <c r="Q621" s="3"/>
      <c r="R621" s="3"/>
      <c r="S621" s="3"/>
      <c r="T621" s="3"/>
    </row>
    <row r="622">
      <c r="A622" s="3"/>
      <c r="B622" s="3"/>
      <c r="C622" s="3"/>
      <c r="D622" s="3"/>
      <c r="E622" s="3"/>
      <c r="F622" s="3"/>
      <c r="G622" s="3"/>
      <c r="H622" s="3"/>
      <c r="I622" s="3"/>
      <c r="J622" s="3"/>
      <c r="K622" s="3"/>
      <c r="L622" s="3"/>
      <c r="M622" s="3"/>
      <c r="N622" s="3"/>
      <c r="O622" s="3"/>
      <c r="P622" s="3"/>
      <c r="Q622" s="3"/>
      <c r="R622" s="3"/>
      <c r="S622" s="3"/>
      <c r="T622" s="3"/>
    </row>
    <row r="623">
      <c r="A623" s="3"/>
      <c r="B623" s="3"/>
      <c r="C623" s="3"/>
      <c r="D623" s="3"/>
      <c r="E623" s="3"/>
      <c r="F623" s="3"/>
      <c r="G623" s="3"/>
      <c r="H623" s="3"/>
      <c r="I623" s="3"/>
      <c r="J623" s="3"/>
      <c r="K623" s="3"/>
      <c r="L623" s="3"/>
      <c r="M623" s="3"/>
      <c r="N623" s="3"/>
      <c r="O623" s="3"/>
      <c r="P623" s="3"/>
      <c r="Q623" s="3"/>
      <c r="R623" s="3"/>
      <c r="S623" s="3"/>
      <c r="T623" s="3"/>
    </row>
    <row r="624">
      <c r="A624" s="3"/>
      <c r="B624" s="3"/>
      <c r="C624" s="3"/>
      <c r="D624" s="3"/>
      <c r="E624" s="3"/>
      <c r="F624" s="3"/>
      <c r="G624" s="3"/>
      <c r="H624" s="3"/>
      <c r="I624" s="3"/>
      <c r="J624" s="3"/>
      <c r="K624" s="3"/>
      <c r="L624" s="3"/>
      <c r="M624" s="3"/>
      <c r="N624" s="3"/>
      <c r="O624" s="3"/>
      <c r="P624" s="3"/>
      <c r="Q624" s="3"/>
      <c r="R624" s="3"/>
      <c r="S624" s="3"/>
      <c r="T624" s="3"/>
    </row>
    <row r="625">
      <c r="A625" s="3"/>
      <c r="B625" s="3"/>
      <c r="C625" s="3"/>
      <c r="D625" s="3"/>
      <c r="E625" s="3"/>
      <c r="F625" s="3"/>
      <c r="G625" s="3"/>
      <c r="H625" s="3"/>
      <c r="I625" s="3"/>
      <c r="J625" s="3"/>
      <c r="K625" s="3"/>
      <c r="L625" s="3"/>
      <c r="M625" s="3"/>
      <c r="N625" s="3"/>
      <c r="O625" s="3"/>
      <c r="P625" s="3"/>
      <c r="Q625" s="3"/>
      <c r="R625" s="3"/>
      <c r="S625" s="3"/>
      <c r="T625" s="3"/>
    </row>
    <row r="626">
      <c r="A626" s="3"/>
      <c r="B626" s="3"/>
      <c r="C626" s="3"/>
      <c r="D626" s="3"/>
      <c r="E626" s="3"/>
      <c r="F626" s="3"/>
      <c r="G626" s="3"/>
      <c r="H626" s="3"/>
      <c r="I626" s="3"/>
      <c r="J626" s="3"/>
      <c r="K626" s="3"/>
      <c r="L626" s="3"/>
      <c r="M626" s="3"/>
      <c r="N626" s="3"/>
      <c r="O626" s="3"/>
      <c r="P626" s="3"/>
      <c r="Q626" s="3"/>
      <c r="R626" s="3"/>
      <c r="S626" s="3"/>
      <c r="T626" s="3"/>
    </row>
    <row r="627">
      <c r="A627" s="3"/>
      <c r="B627" s="3"/>
      <c r="C627" s="3"/>
      <c r="D627" s="3"/>
      <c r="E627" s="3"/>
      <c r="F627" s="3"/>
      <c r="G627" s="3"/>
      <c r="H627" s="3"/>
      <c r="I627" s="3"/>
      <c r="J627" s="3"/>
      <c r="K627" s="3"/>
      <c r="L627" s="3"/>
      <c r="M627" s="3"/>
      <c r="N627" s="3"/>
      <c r="O627" s="3"/>
      <c r="P627" s="3"/>
      <c r="Q627" s="3"/>
      <c r="R627" s="3"/>
      <c r="S627" s="3"/>
      <c r="T627" s="3"/>
    </row>
    <row r="628">
      <c r="A628" s="3"/>
      <c r="B628" s="3"/>
      <c r="C628" s="3"/>
      <c r="D628" s="3"/>
      <c r="E628" s="3"/>
      <c r="F628" s="3"/>
      <c r="G628" s="3"/>
      <c r="H628" s="3"/>
      <c r="I628" s="3"/>
      <c r="J628" s="3"/>
      <c r="K628" s="3"/>
      <c r="L628" s="3"/>
      <c r="M628" s="3"/>
      <c r="N628" s="3"/>
      <c r="O628" s="3"/>
      <c r="P628" s="3"/>
      <c r="Q628" s="3"/>
      <c r="R628" s="3"/>
      <c r="S628" s="3"/>
      <c r="T628" s="3"/>
    </row>
    <row r="629">
      <c r="A629" s="3"/>
      <c r="B629" s="3"/>
      <c r="C629" s="3"/>
      <c r="D629" s="3"/>
      <c r="E629" s="3"/>
      <c r="F629" s="3"/>
      <c r="G629" s="3"/>
      <c r="H629" s="3"/>
      <c r="I629" s="3"/>
      <c r="J629" s="3"/>
      <c r="K629" s="3"/>
      <c r="L629" s="3"/>
      <c r="M629" s="3"/>
      <c r="N629" s="3"/>
      <c r="O629" s="3"/>
      <c r="P629" s="3"/>
      <c r="Q629" s="3"/>
      <c r="R629" s="3"/>
      <c r="S629" s="3"/>
      <c r="T629" s="3"/>
    </row>
    <row r="630">
      <c r="A630" s="3"/>
      <c r="B630" s="3"/>
      <c r="C630" s="3"/>
      <c r="D630" s="3"/>
      <c r="E630" s="3"/>
      <c r="F630" s="3"/>
      <c r="G630" s="3"/>
      <c r="H630" s="3"/>
      <c r="I630" s="3"/>
      <c r="J630" s="3"/>
      <c r="K630" s="3"/>
      <c r="L630" s="3"/>
      <c r="M630" s="3"/>
      <c r="N630" s="3"/>
      <c r="O630" s="3"/>
      <c r="P630" s="3"/>
      <c r="Q630" s="3"/>
      <c r="R630" s="3"/>
      <c r="S630" s="3"/>
      <c r="T630" s="3"/>
    </row>
    <row r="631">
      <c r="A631" s="3"/>
      <c r="B631" s="3"/>
      <c r="C631" s="3"/>
      <c r="D631" s="3"/>
      <c r="E631" s="3"/>
      <c r="F631" s="3"/>
      <c r="G631" s="3"/>
      <c r="H631" s="3"/>
      <c r="I631" s="3"/>
      <c r="J631" s="3"/>
      <c r="K631" s="3"/>
      <c r="L631" s="3"/>
      <c r="M631" s="3"/>
      <c r="N631" s="3"/>
      <c r="O631" s="3"/>
      <c r="P631" s="3"/>
      <c r="Q631" s="3"/>
      <c r="R631" s="3"/>
      <c r="S631" s="3"/>
      <c r="T631" s="3"/>
    </row>
    <row r="632">
      <c r="A632" s="3"/>
      <c r="B632" s="3"/>
      <c r="C632" s="3"/>
      <c r="D632" s="3"/>
      <c r="E632" s="3"/>
      <c r="F632" s="3"/>
      <c r="G632" s="3"/>
      <c r="H632" s="3"/>
      <c r="I632" s="3"/>
      <c r="J632" s="3"/>
      <c r="K632" s="3"/>
      <c r="L632" s="3"/>
      <c r="M632" s="3"/>
      <c r="N632" s="3"/>
      <c r="O632" s="3"/>
      <c r="P632" s="3"/>
      <c r="Q632" s="3"/>
      <c r="R632" s="3"/>
      <c r="S632" s="3"/>
      <c r="T632" s="3"/>
    </row>
    <row r="633">
      <c r="A633" s="3"/>
      <c r="B633" s="3"/>
      <c r="C633" s="3"/>
      <c r="D633" s="3"/>
      <c r="E633" s="3"/>
      <c r="F633" s="3"/>
      <c r="G633" s="3"/>
      <c r="H633" s="3"/>
      <c r="I633" s="3"/>
      <c r="J633" s="3"/>
      <c r="K633" s="3"/>
      <c r="L633" s="3"/>
      <c r="M633" s="3"/>
      <c r="N633" s="3"/>
      <c r="O633" s="3"/>
      <c r="P633" s="3"/>
      <c r="Q633" s="3"/>
      <c r="R633" s="3"/>
      <c r="S633" s="3"/>
      <c r="T633" s="3"/>
    </row>
    <row r="634">
      <c r="A634" s="3"/>
      <c r="B634" s="3"/>
      <c r="C634" s="3"/>
      <c r="D634" s="3"/>
      <c r="E634" s="3"/>
      <c r="F634" s="3"/>
      <c r="G634" s="3"/>
      <c r="H634" s="3"/>
      <c r="I634" s="3"/>
      <c r="J634" s="3"/>
      <c r="K634" s="3"/>
      <c r="L634" s="3"/>
      <c r="M634" s="3"/>
      <c r="N634" s="3"/>
      <c r="O634" s="3"/>
      <c r="P634" s="3"/>
      <c r="Q634" s="3"/>
      <c r="R634" s="3"/>
      <c r="S634" s="3"/>
      <c r="T634" s="3"/>
    </row>
    <row r="635">
      <c r="A635" s="3"/>
      <c r="B635" s="3"/>
      <c r="C635" s="3"/>
      <c r="D635" s="3"/>
      <c r="E635" s="3"/>
      <c r="F635" s="3"/>
      <c r="G635" s="3"/>
      <c r="H635" s="3"/>
      <c r="I635" s="3"/>
      <c r="J635" s="3"/>
      <c r="K635" s="3"/>
      <c r="L635" s="3"/>
      <c r="M635" s="3"/>
      <c r="N635" s="3"/>
      <c r="O635" s="3"/>
      <c r="P635" s="3"/>
      <c r="Q635" s="3"/>
      <c r="R635" s="3"/>
      <c r="S635" s="3"/>
      <c r="T635" s="3"/>
    </row>
    <row r="636">
      <c r="A636" s="3"/>
      <c r="B636" s="3"/>
      <c r="C636" s="3"/>
      <c r="D636" s="3"/>
      <c r="E636" s="3"/>
      <c r="F636" s="3"/>
      <c r="G636" s="3"/>
      <c r="H636" s="3"/>
      <c r="I636" s="3"/>
      <c r="J636" s="3"/>
      <c r="K636" s="3"/>
      <c r="L636" s="3"/>
      <c r="M636" s="3"/>
      <c r="N636" s="3"/>
      <c r="O636" s="3"/>
      <c r="P636" s="3"/>
      <c r="Q636" s="3"/>
      <c r="R636" s="3"/>
      <c r="S636" s="3"/>
      <c r="T636" s="3"/>
    </row>
    <row r="637">
      <c r="A637" s="3"/>
      <c r="B637" s="3"/>
      <c r="C637" s="3"/>
      <c r="D637" s="3"/>
      <c r="E637" s="3"/>
      <c r="F637" s="3"/>
      <c r="G637" s="3"/>
      <c r="H637" s="3"/>
      <c r="I637" s="3"/>
      <c r="J637" s="3"/>
      <c r="K637" s="3"/>
      <c r="L637" s="3"/>
      <c r="M637" s="3"/>
      <c r="N637" s="3"/>
      <c r="O637" s="3"/>
      <c r="P637" s="3"/>
      <c r="Q637" s="3"/>
      <c r="R637" s="3"/>
      <c r="S637" s="3"/>
      <c r="T637" s="3"/>
    </row>
    <row r="638">
      <c r="A638" s="3"/>
      <c r="B638" s="3"/>
      <c r="C638" s="3"/>
      <c r="D638" s="3"/>
      <c r="E638" s="3"/>
      <c r="F638" s="3"/>
      <c r="G638" s="3"/>
      <c r="H638" s="3"/>
      <c r="I638" s="3"/>
      <c r="J638" s="3"/>
      <c r="K638" s="3"/>
      <c r="L638" s="3"/>
      <c r="M638" s="3"/>
      <c r="N638" s="3"/>
      <c r="O638" s="3"/>
      <c r="P638" s="3"/>
      <c r="Q638" s="3"/>
      <c r="R638" s="3"/>
      <c r="S638" s="3"/>
      <c r="T638" s="3"/>
    </row>
    <row r="639">
      <c r="A639" s="3"/>
      <c r="B639" s="3"/>
      <c r="C639" s="3"/>
      <c r="D639" s="3"/>
      <c r="E639" s="3"/>
      <c r="F639" s="3"/>
      <c r="G639" s="3"/>
      <c r="H639" s="3"/>
      <c r="I639" s="3"/>
      <c r="J639" s="3"/>
      <c r="K639" s="3"/>
      <c r="L639" s="3"/>
      <c r="M639" s="3"/>
      <c r="N639" s="3"/>
      <c r="O639" s="3"/>
      <c r="P639" s="3"/>
      <c r="Q639" s="3"/>
      <c r="R639" s="3"/>
      <c r="S639" s="3"/>
      <c r="T639" s="3"/>
    </row>
    <row r="640">
      <c r="A640" s="3"/>
      <c r="B640" s="3"/>
      <c r="C640" s="3"/>
      <c r="D640" s="3"/>
      <c r="E640" s="3"/>
      <c r="F640" s="3"/>
      <c r="G640" s="3"/>
      <c r="H640" s="3"/>
      <c r="I640" s="3"/>
      <c r="J640" s="3"/>
      <c r="K640" s="3"/>
      <c r="L640" s="3"/>
      <c r="M640" s="3"/>
      <c r="N640" s="3"/>
      <c r="O640" s="3"/>
      <c r="P640" s="3"/>
      <c r="Q640" s="3"/>
      <c r="R640" s="3"/>
      <c r="S640" s="3"/>
      <c r="T640" s="3"/>
    </row>
    <row r="641">
      <c r="A641" s="3"/>
      <c r="B641" s="3"/>
      <c r="C641" s="3"/>
      <c r="D641" s="3"/>
      <c r="E641" s="3"/>
      <c r="F641" s="3"/>
      <c r="G641" s="3"/>
      <c r="H641" s="3"/>
      <c r="I641" s="3"/>
      <c r="J641" s="3"/>
      <c r="K641" s="3"/>
      <c r="L641" s="3"/>
      <c r="M641" s="3"/>
      <c r="N641" s="3"/>
      <c r="O641" s="3"/>
      <c r="P641" s="3"/>
      <c r="Q641" s="3"/>
      <c r="R641" s="3"/>
      <c r="S641" s="3"/>
      <c r="T641" s="3"/>
    </row>
    <row r="642">
      <c r="A642" s="3"/>
      <c r="B642" s="3"/>
      <c r="C642" s="3"/>
      <c r="D642" s="3"/>
      <c r="E642" s="3"/>
      <c r="F642" s="3"/>
      <c r="G642" s="3"/>
      <c r="H642" s="3"/>
      <c r="I642" s="3"/>
      <c r="J642" s="3"/>
      <c r="K642" s="3"/>
      <c r="L642" s="3"/>
      <c r="M642" s="3"/>
      <c r="N642" s="3"/>
      <c r="O642" s="3"/>
      <c r="P642" s="3"/>
      <c r="Q642" s="3"/>
      <c r="R642" s="3"/>
      <c r="S642" s="3"/>
      <c r="T642" s="3"/>
    </row>
    <row r="643">
      <c r="A643" s="3"/>
      <c r="B643" s="3"/>
      <c r="C643" s="3"/>
      <c r="D643" s="3"/>
      <c r="E643" s="3"/>
      <c r="F643" s="3"/>
      <c r="G643" s="3"/>
      <c r="H643" s="3"/>
      <c r="I643" s="3"/>
      <c r="J643" s="3"/>
      <c r="K643" s="3"/>
      <c r="L643" s="3"/>
      <c r="M643" s="3"/>
      <c r="N643" s="3"/>
      <c r="O643" s="3"/>
      <c r="P643" s="3"/>
      <c r="Q643" s="3"/>
      <c r="R643" s="3"/>
      <c r="S643" s="3"/>
      <c r="T643" s="3"/>
    </row>
    <row r="644">
      <c r="A644" s="3"/>
      <c r="B644" s="3"/>
      <c r="C644" s="3"/>
      <c r="D644" s="3"/>
      <c r="E644" s="3"/>
      <c r="F644" s="3"/>
      <c r="G644" s="3"/>
      <c r="H644" s="3"/>
      <c r="I644" s="3"/>
      <c r="J644" s="3"/>
      <c r="K644" s="3"/>
      <c r="L644" s="3"/>
      <c r="M644" s="3"/>
      <c r="N644" s="3"/>
      <c r="O644" s="3"/>
      <c r="P644" s="3"/>
      <c r="Q644" s="3"/>
      <c r="R644" s="3"/>
      <c r="S644" s="3"/>
      <c r="T644" s="3"/>
    </row>
    <row r="645">
      <c r="A645" s="3"/>
      <c r="B645" s="3"/>
      <c r="C645" s="3"/>
      <c r="D645" s="3"/>
      <c r="E645" s="3"/>
      <c r="F645" s="3"/>
      <c r="G645" s="3"/>
      <c r="H645" s="3"/>
      <c r="I645" s="3"/>
      <c r="J645" s="3"/>
      <c r="K645" s="3"/>
      <c r="L645" s="3"/>
      <c r="M645" s="3"/>
      <c r="N645" s="3"/>
      <c r="O645" s="3"/>
      <c r="P645" s="3"/>
      <c r="Q645" s="3"/>
      <c r="R645" s="3"/>
      <c r="S645" s="3"/>
      <c r="T645" s="3"/>
    </row>
    <row r="646">
      <c r="A646" s="3"/>
      <c r="B646" s="3"/>
      <c r="C646" s="3"/>
      <c r="D646" s="3"/>
      <c r="E646" s="3"/>
      <c r="F646" s="3"/>
      <c r="G646" s="3"/>
      <c r="H646" s="3"/>
      <c r="I646" s="3"/>
      <c r="J646" s="3"/>
      <c r="K646" s="3"/>
      <c r="L646" s="3"/>
      <c r="M646" s="3"/>
      <c r="N646" s="3"/>
      <c r="O646" s="3"/>
      <c r="P646" s="3"/>
      <c r="Q646" s="3"/>
      <c r="R646" s="3"/>
      <c r="S646" s="3"/>
      <c r="T646" s="3"/>
    </row>
    <row r="647">
      <c r="A647" s="3"/>
      <c r="B647" s="3"/>
      <c r="C647" s="3"/>
      <c r="D647" s="3"/>
      <c r="E647" s="3"/>
      <c r="F647" s="3"/>
      <c r="G647" s="3"/>
      <c r="H647" s="3"/>
      <c r="I647" s="3"/>
      <c r="J647" s="3"/>
      <c r="K647" s="3"/>
      <c r="L647" s="3"/>
      <c r="M647" s="3"/>
      <c r="N647" s="3"/>
      <c r="O647" s="3"/>
      <c r="P647" s="3"/>
      <c r="Q647" s="3"/>
      <c r="R647" s="3"/>
      <c r="S647" s="3"/>
      <c r="T647" s="3"/>
    </row>
    <row r="648">
      <c r="A648" s="3"/>
      <c r="B648" s="3"/>
      <c r="C648" s="3"/>
      <c r="D648" s="3"/>
      <c r="E648" s="3"/>
      <c r="F648" s="3"/>
      <c r="G648" s="3"/>
      <c r="H648" s="3"/>
      <c r="I648" s="3"/>
      <c r="J648" s="3"/>
      <c r="K648" s="3"/>
      <c r="L648" s="3"/>
      <c r="M648" s="3"/>
      <c r="N648" s="3"/>
      <c r="O648" s="3"/>
      <c r="P648" s="3"/>
      <c r="Q648" s="3"/>
      <c r="R648" s="3"/>
      <c r="S648" s="3"/>
      <c r="T648" s="3"/>
    </row>
    <row r="649">
      <c r="A649" s="3"/>
      <c r="B649" s="3"/>
      <c r="C649" s="3"/>
      <c r="D649" s="3"/>
      <c r="E649" s="3"/>
      <c r="F649" s="3"/>
      <c r="G649" s="3"/>
      <c r="H649" s="3"/>
      <c r="I649" s="3"/>
      <c r="J649" s="3"/>
      <c r="K649" s="3"/>
      <c r="L649" s="3"/>
      <c r="M649" s="3"/>
      <c r="N649" s="3"/>
      <c r="O649" s="3"/>
      <c r="P649" s="3"/>
      <c r="Q649" s="3"/>
      <c r="R649" s="3"/>
      <c r="S649" s="3"/>
      <c r="T649" s="3"/>
    </row>
    <row r="650">
      <c r="A650" s="3"/>
      <c r="B650" s="3"/>
      <c r="C650" s="3"/>
      <c r="D650" s="3"/>
      <c r="E650" s="3"/>
      <c r="F650" s="3"/>
      <c r="G650" s="3"/>
      <c r="H650" s="3"/>
      <c r="I650" s="3"/>
      <c r="J650" s="3"/>
      <c r="K650" s="3"/>
      <c r="L650" s="3"/>
      <c r="M650" s="3"/>
      <c r="N650" s="3"/>
      <c r="O650" s="3"/>
      <c r="P650" s="3"/>
      <c r="Q650" s="3"/>
      <c r="R650" s="3"/>
      <c r="S650" s="3"/>
      <c r="T650" s="3"/>
    </row>
    <row r="651">
      <c r="A651" s="3"/>
      <c r="B651" s="3"/>
      <c r="C651" s="3"/>
      <c r="D651" s="3"/>
      <c r="E651" s="3"/>
      <c r="F651" s="3"/>
      <c r="G651" s="3"/>
      <c r="H651" s="3"/>
      <c r="I651" s="3"/>
      <c r="J651" s="3"/>
      <c r="K651" s="3"/>
      <c r="L651" s="3"/>
      <c r="M651" s="3"/>
      <c r="N651" s="3"/>
      <c r="O651" s="3"/>
      <c r="P651" s="3"/>
      <c r="Q651" s="3"/>
      <c r="R651" s="3"/>
      <c r="S651" s="3"/>
      <c r="T651" s="3"/>
    </row>
    <row r="652">
      <c r="A652" s="3"/>
      <c r="B652" s="3"/>
      <c r="C652" s="3"/>
      <c r="D652" s="3"/>
      <c r="E652" s="3"/>
      <c r="F652" s="3"/>
      <c r="G652" s="3"/>
      <c r="H652" s="3"/>
      <c r="I652" s="3"/>
      <c r="J652" s="3"/>
      <c r="K652" s="3"/>
      <c r="L652" s="3"/>
      <c r="M652" s="3"/>
      <c r="N652" s="3"/>
      <c r="O652" s="3"/>
      <c r="P652" s="3"/>
      <c r="Q652" s="3"/>
      <c r="R652" s="3"/>
      <c r="S652" s="3"/>
      <c r="T652" s="3"/>
    </row>
    <row r="653">
      <c r="A653" s="3"/>
      <c r="B653" s="3"/>
      <c r="C653" s="3"/>
      <c r="D653" s="3"/>
      <c r="E653" s="3"/>
      <c r="F653" s="3"/>
      <c r="G653" s="3"/>
      <c r="H653" s="3"/>
      <c r="I653" s="3"/>
      <c r="J653" s="3"/>
      <c r="K653" s="3"/>
      <c r="L653" s="3"/>
      <c r="M653" s="3"/>
      <c r="N653" s="3"/>
      <c r="O653" s="3"/>
      <c r="P653" s="3"/>
      <c r="Q653" s="3"/>
      <c r="R653" s="3"/>
      <c r="S653" s="3"/>
      <c r="T653" s="3"/>
    </row>
    <row r="654">
      <c r="A654" s="3"/>
      <c r="B654" s="3"/>
      <c r="C654" s="3"/>
      <c r="D654" s="3"/>
      <c r="E654" s="3"/>
      <c r="F654" s="3"/>
      <c r="G654" s="3"/>
      <c r="H654" s="3"/>
      <c r="I654" s="3"/>
      <c r="J654" s="3"/>
      <c r="K654" s="3"/>
      <c r="L654" s="3"/>
      <c r="M654" s="3"/>
      <c r="N654" s="3"/>
      <c r="O654" s="3"/>
      <c r="P654" s="3"/>
      <c r="Q654" s="3"/>
      <c r="R654" s="3"/>
      <c r="S654" s="3"/>
      <c r="T654" s="3"/>
    </row>
    <row r="655">
      <c r="A655" s="3"/>
      <c r="B655" s="3"/>
      <c r="C655" s="3"/>
      <c r="D655" s="3"/>
      <c r="E655" s="3"/>
      <c r="F655" s="3"/>
      <c r="G655" s="3"/>
      <c r="H655" s="3"/>
      <c r="I655" s="3"/>
      <c r="J655" s="3"/>
      <c r="K655" s="3"/>
      <c r="L655" s="3"/>
      <c r="M655" s="3"/>
      <c r="N655" s="3"/>
      <c r="O655" s="3"/>
      <c r="P655" s="3"/>
      <c r="Q655" s="3"/>
      <c r="R655" s="3"/>
      <c r="S655" s="3"/>
      <c r="T655" s="3"/>
    </row>
    <row r="656">
      <c r="A656" s="3"/>
      <c r="B656" s="3"/>
      <c r="C656" s="3"/>
      <c r="D656" s="3"/>
      <c r="E656" s="3"/>
      <c r="F656" s="3"/>
      <c r="G656" s="3"/>
      <c r="H656" s="3"/>
      <c r="I656" s="3"/>
      <c r="J656" s="3"/>
      <c r="K656" s="3"/>
      <c r="L656" s="3"/>
      <c r="M656" s="3"/>
      <c r="N656" s="3"/>
      <c r="O656" s="3"/>
      <c r="P656" s="3"/>
      <c r="Q656" s="3"/>
      <c r="R656" s="3"/>
      <c r="S656" s="3"/>
      <c r="T656" s="3"/>
    </row>
    <row r="657">
      <c r="A657" s="3"/>
      <c r="B657" s="3"/>
      <c r="C657" s="3"/>
      <c r="D657" s="3"/>
      <c r="E657" s="3"/>
      <c r="F657" s="3"/>
      <c r="G657" s="3"/>
      <c r="H657" s="3"/>
      <c r="I657" s="3"/>
      <c r="J657" s="3"/>
      <c r="K657" s="3"/>
      <c r="L657" s="3"/>
      <c r="M657" s="3"/>
      <c r="N657" s="3"/>
      <c r="O657" s="3"/>
      <c r="P657" s="3"/>
      <c r="Q657" s="3"/>
      <c r="R657" s="3"/>
      <c r="S657" s="3"/>
      <c r="T657" s="3"/>
    </row>
    <row r="658">
      <c r="A658" s="3"/>
      <c r="B658" s="3"/>
      <c r="C658" s="3"/>
      <c r="D658" s="3"/>
      <c r="E658" s="3"/>
      <c r="F658" s="3"/>
      <c r="G658" s="3"/>
      <c r="H658" s="3"/>
      <c r="I658" s="3"/>
      <c r="J658" s="3"/>
      <c r="K658" s="3"/>
      <c r="L658" s="3"/>
      <c r="M658" s="3"/>
      <c r="N658" s="3"/>
      <c r="O658" s="3"/>
      <c r="P658" s="3"/>
      <c r="Q658" s="3"/>
      <c r="R658" s="3"/>
      <c r="S658" s="3"/>
      <c r="T658" s="3"/>
    </row>
    <row r="659">
      <c r="A659" s="3"/>
      <c r="B659" s="3"/>
      <c r="C659" s="3"/>
      <c r="D659" s="3"/>
      <c r="E659" s="3"/>
      <c r="F659" s="3"/>
      <c r="G659" s="3"/>
      <c r="H659" s="3"/>
      <c r="I659" s="3"/>
      <c r="J659" s="3"/>
      <c r="K659" s="3"/>
      <c r="L659" s="3"/>
      <c r="M659" s="3"/>
      <c r="N659" s="3"/>
      <c r="O659" s="3"/>
      <c r="P659" s="3"/>
      <c r="Q659" s="3"/>
      <c r="R659" s="3"/>
      <c r="S659" s="3"/>
      <c r="T659" s="3"/>
    </row>
    <row r="660">
      <c r="A660" s="3"/>
      <c r="B660" s="3"/>
      <c r="C660" s="3"/>
      <c r="D660" s="3"/>
      <c r="E660" s="3"/>
      <c r="F660" s="3"/>
      <c r="G660" s="3"/>
      <c r="H660" s="3"/>
      <c r="I660" s="3"/>
      <c r="J660" s="3"/>
      <c r="K660" s="3"/>
      <c r="L660" s="3"/>
      <c r="M660" s="3"/>
      <c r="N660" s="3"/>
      <c r="O660" s="3"/>
      <c r="P660" s="3"/>
      <c r="Q660" s="3"/>
      <c r="R660" s="3"/>
      <c r="S660" s="3"/>
      <c r="T660" s="3"/>
    </row>
    <row r="661">
      <c r="A661" s="3"/>
      <c r="B661" s="3"/>
      <c r="C661" s="3"/>
      <c r="D661" s="3"/>
      <c r="E661" s="3"/>
      <c r="F661" s="3"/>
      <c r="G661" s="3"/>
      <c r="H661" s="3"/>
      <c r="I661" s="3"/>
      <c r="J661" s="3"/>
      <c r="K661" s="3"/>
      <c r="L661" s="3"/>
      <c r="M661" s="3"/>
      <c r="N661" s="3"/>
      <c r="O661" s="3"/>
      <c r="P661" s="3"/>
      <c r="Q661" s="3"/>
      <c r="R661" s="3"/>
      <c r="S661" s="3"/>
      <c r="T661" s="3"/>
    </row>
    <row r="662">
      <c r="A662" s="3"/>
      <c r="B662" s="3"/>
      <c r="C662" s="3"/>
      <c r="D662" s="3"/>
      <c r="E662" s="3"/>
      <c r="F662" s="3"/>
      <c r="G662" s="3"/>
      <c r="H662" s="3"/>
      <c r="I662" s="3"/>
      <c r="J662" s="3"/>
      <c r="K662" s="3"/>
      <c r="L662" s="3"/>
      <c r="M662" s="3"/>
      <c r="N662" s="3"/>
      <c r="O662" s="3"/>
      <c r="P662" s="3"/>
      <c r="Q662" s="3"/>
      <c r="R662" s="3"/>
      <c r="S662" s="3"/>
      <c r="T662" s="3"/>
    </row>
    <row r="663">
      <c r="A663" s="3"/>
      <c r="B663" s="3"/>
      <c r="C663" s="3"/>
      <c r="D663" s="3"/>
      <c r="E663" s="3"/>
      <c r="F663" s="3"/>
      <c r="G663" s="3"/>
      <c r="H663" s="3"/>
      <c r="I663" s="3"/>
      <c r="J663" s="3"/>
      <c r="K663" s="3"/>
      <c r="L663" s="3"/>
      <c r="M663" s="3"/>
      <c r="N663" s="3"/>
      <c r="O663" s="3"/>
      <c r="P663" s="3"/>
      <c r="Q663" s="3"/>
      <c r="R663" s="3"/>
      <c r="S663" s="3"/>
      <c r="T663" s="3"/>
    </row>
    <row r="664">
      <c r="A664" s="3"/>
      <c r="B664" s="3"/>
      <c r="C664" s="3"/>
      <c r="D664" s="3"/>
      <c r="E664" s="3"/>
      <c r="F664" s="3"/>
      <c r="G664" s="3"/>
      <c r="H664" s="3"/>
      <c r="I664" s="3"/>
      <c r="J664" s="3"/>
      <c r="K664" s="3"/>
      <c r="L664" s="3"/>
      <c r="M664" s="3"/>
      <c r="N664" s="3"/>
      <c r="O664" s="3"/>
      <c r="P664" s="3"/>
      <c r="Q664" s="3"/>
      <c r="R664" s="3"/>
      <c r="S664" s="3"/>
      <c r="T664" s="3"/>
    </row>
    <row r="665">
      <c r="A665" s="3"/>
      <c r="B665" s="3"/>
      <c r="C665" s="3"/>
      <c r="D665" s="3"/>
      <c r="E665" s="3"/>
      <c r="F665" s="3"/>
      <c r="G665" s="3"/>
      <c r="H665" s="3"/>
      <c r="I665" s="3"/>
      <c r="J665" s="3"/>
      <c r="K665" s="3"/>
      <c r="L665" s="3"/>
      <c r="M665" s="3"/>
      <c r="N665" s="3"/>
      <c r="O665" s="3"/>
      <c r="P665" s="3"/>
      <c r="Q665" s="3"/>
      <c r="R665" s="3"/>
      <c r="S665" s="3"/>
      <c r="T665" s="3"/>
    </row>
    <row r="666">
      <c r="A666" s="3"/>
      <c r="B666" s="3"/>
      <c r="C666" s="3"/>
      <c r="D666" s="3"/>
      <c r="E666" s="3"/>
      <c r="F666" s="3"/>
      <c r="G666" s="3"/>
      <c r="H666" s="3"/>
      <c r="I666" s="3"/>
      <c r="J666" s="3"/>
      <c r="K666" s="3"/>
      <c r="L666" s="3"/>
      <c r="M666" s="3"/>
      <c r="N666" s="3"/>
      <c r="O666" s="3"/>
      <c r="P666" s="3"/>
      <c r="Q666" s="3"/>
      <c r="R666" s="3"/>
      <c r="S666" s="3"/>
      <c r="T666" s="3"/>
    </row>
    <row r="667">
      <c r="A667" s="3"/>
      <c r="B667" s="3"/>
      <c r="C667" s="3"/>
      <c r="D667" s="3"/>
      <c r="E667" s="3"/>
      <c r="F667" s="3"/>
      <c r="G667" s="3"/>
      <c r="H667" s="3"/>
      <c r="I667" s="3"/>
      <c r="J667" s="3"/>
      <c r="K667" s="3"/>
      <c r="L667" s="3"/>
      <c r="M667" s="3"/>
      <c r="N667" s="3"/>
      <c r="O667" s="3"/>
      <c r="P667" s="3"/>
      <c r="Q667" s="3"/>
      <c r="R667" s="3"/>
      <c r="S667" s="3"/>
      <c r="T667" s="3"/>
    </row>
    <row r="668">
      <c r="A668" s="3"/>
      <c r="B668" s="3"/>
      <c r="C668" s="3"/>
      <c r="D668" s="3"/>
      <c r="E668" s="3"/>
      <c r="F668" s="3"/>
      <c r="G668" s="3"/>
      <c r="H668" s="3"/>
      <c r="I668" s="3"/>
      <c r="J668" s="3"/>
      <c r="K668" s="3"/>
      <c r="L668" s="3"/>
      <c r="M668" s="3"/>
      <c r="N668" s="3"/>
      <c r="O668" s="3"/>
      <c r="P668" s="3"/>
      <c r="Q668" s="3"/>
      <c r="R668" s="3"/>
      <c r="S668" s="3"/>
      <c r="T668" s="3"/>
    </row>
    <row r="669">
      <c r="A669" s="3"/>
      <c r="B669" s="3"/>
      <c r="C669" s="3"/>
      <c r="D669" s="3"/>
      <c r="E669" s="3"/>
      <c r="F669" s="3"/>
      <c r="G669" s="3"/>
      <c r="H669" s="3"/>
      <c r="I669" s="3"/>
      <c r="J669" s="3"/>
      <c r="K669" s="3"/>
      <c r="L669" s="3"/>
      <c r="M669" s="3"/>
      <c r="N669" s="3"/>
      <c r="O669" s="3"/>
      <c r="P669" s="3"/>
      <c r="Q669" s="3"/>
      <c r="R669" s="3"/>
      <c r="S669" s="3"/>
      <c r="T669" s="3"/>
    </row>
    <row r="670">
      <c r="A670" s="3"/>
      <c r="B670" s="3"/>
      <c r="C670" s="3"/>
      <c r="D670" s="3"/>
      <c r="E670" s="3"/>
      <c r="F670" s="3"/>
      <c r="G670" s="3"/>
      <c r="H670" s="3"/>
      <c r="I670" s="3"/>
      <c r="J670" s="3"/>
      <c r="K670" s="3"/>
      <c r="L670" s="3"/>
      <c r="M670" s="3"/>
      <c r="N670" s="3"/>
      <c r="O670" s="3"/>
      <c r="P670" s="3"/>
      <c r="Q670" s="3"/>
      <c r="R670" s="3"/>
      <c r="S670" s="3"/>
      <c r="T670" s="3"/>
    </row>
    <row r="671">
      <c r="A671" s="3"/>
      <c r="B671" s="3"/>
      <c r="C671" s="3"/>
      <c r="D671" s="3"/>
      <c r="E671" s="3"/>
      <c r="F671" s="3"/>
      <c r="G671" s="3"/>
      <c r="H671" s="3"/>
      <c r="I671" s="3"/>
      <c r="J671" s="3"/>
      <c r="K671" s="3"/>
      <c r="L671" s="3"/>
      <c r="M671" s="3"/>
      <c r="N671" s="3"/>
      <c r="O671" s="3"/>
      <c r="P671" s="3"/>
      <c r="Q671" s="3"/>
      <c r="R671" s="3"/>
      <c r="S671" s="3"/>
      <c r="T671" s="3"/>
    </row>
    <row r="672">
      <c r="A672" s="3"/>
      <c r="B672" s="3"/>
      <c r="C672" s="3"/>
      <c r="D672" s="3"/>
      <c r="E672" s="3"/>
      <c r="F672" s="3"/>
      <c r="G672" s="3"/>
      <c r="H672" s="3"/>
      <c r="I672" s="3"/>
      <c r="J672" s="3"/>
      <c r="K672" s="3"/>
      <c r="L672" s="3"/>
      <c r="M672" s="3"/>
      <c r="N672" s="3"/>
      <c r="O672" s="3"/>
      <c r="P672" s="3"/>
      <c r="Q672" s="3"/>
      <c r="R672" s="3"/>
      <c r="S672" s="3"/>
      <c r="T672" s="3"/>
    </row>
    <row r="673">
      <c r="A673" s="3"/>
      <c r="B673" s="3"/>
      <c r="C673" s="3"/>
      <c r="D673" s="3"/>
      <c r="E673" s="3"/>
      <c r="F673" s="3"/>
      <c r="G673" s="3"/>
      <c r="H673" s="3"/>
      <c r="I673" s="3"/>
      <c r="J673" s="3"/>
      <c r="K673" s="3"/>
      <c r="L673" s="3"/>
      <c r="M673" s="3"/>
      <c r="N673" s="3"/>
      <c r="O673" s="3"/>
      <c r="P673" s="3"/>
      <c r="Q673" s="3"/>
      <c r="R673" s="3"/>
      <c r="S673" s="3"/>
      <c r="T673" s="3"/>
    </row>
    <row r="674">
      <c r="A674" s="3"/>
      <c r="B674" s="3"/>
      <c r="C674" s="3"/>
      <c r="D674" s="3"/>
      <c r="E674" s="3"/>
      <c r="F674" s="3"/>
      <c r="G674" s="3"/>
      <c r="H674" s="3"/>
      <c r="I674" s="3"/>
      <c r="J674" s="3"/>
      <c r="K674" s="3"/>
      <c r="L674" s="3"/>
      <c r="M674" s="3"/>
      <c r="N674" s="3"/>
      <c r="O674" s="3"/>
      <c r="P674" s="3"/>
      <c r="Q674" s="3"/>
      <c r="R674" s="3"/>
      <c r="S674" s="3"/>
      <c r="T674" s="3"/>
    </row>
    <row r="675">
      <c r="A675" s="3"/>
      <c r="B675" s="3"/>
      <c r="C675" s="3"/>
      <c r="D675" s="3"/>
      <c r="E675" s="3"/>
      <c r="F675" s="3"/>
      <c r="G675" s="3"/>
      <c r="H675" s="3"/>
      <c r="I675" s="3"/>
      <c r="J675" s="3"/>
      <c r="K675" s="3"/>
      <c r="L675" s="3"/>
      <c r="M675" s="3"/>
      <c r="N675" s="3"/>
      <c r="O675" s="3"/>
      <c r="P675" s="3"/>
      <c r="Q675" s="3"/>
      <c r="R675" s="3"/>
      <c r="S675" s="3"/>
      <c r="T675" s="3"/>
    </row>
    <row r="676">
      <c r="A676" s="3"/>
      <c r="B676" s="3"/>
      <c r="C676" s="3"/>
      <c r="D676" s="3"/>
      <c r="E676" s="3"/>
      <c r="F676" s="3"/>
      <c r="G676" s="3"/>
      <c r="H676" s="3"/>
      <c r="I676" s="3"/>
      <c r="J676" s="3"/>
      <c r="K676" s="3"/>
      <c r="L676" s="3"/>
      <c r="M676" s="3"/>
      <c r="N676" s="3"/>
      <c r="O676" s="3"/>
      <c r="P676" s="3"/>
      <c r="Q676" s="3"/>
      <c r="R676" s="3"/>
      <c r="S676" s="3"/>
      <c r="T676" s="3"/>
    </row>
    <row r="677">
      <c r="A677" s="3"/>
      <c r="B677" s="3"/>
      <c r="C677" s="3"/>
      <c r="D677" s="3"/>
      <c r="E677" s="3"/>
      <c r="F677" s="3"/>
      <c r="G677" s="3"/>
      <c r="H677" s="3"/>
      <c r="I677" s="3"/>
      <c r="J677" s="3"/>
      <c r="K677" s="3"/>
      <c r="L677" s="3"/>
      <c r="M677" s="3"/>
      <c r="N677" s="3"/>
      <c r="O677" s="3"/>
      <c r="P677" s="3"/>
      <c r="Q677" s="3"/>
      <c r="R677" s="3"/>
      <c r="S677" s="3"/>
      <c r="T677" s="3"/>
    </row>
    <row r="678">
      <c r="A678" s="3"/>
      <c r="B678" s="3"/>
      <c r="C678" s="3"/>
      <c r="D678" s="3"/>
      <c r="E678" s="3"/>
      <c r="F678" s="3"/>
      <c r="G678" s="3"/>
      <c r="H678" s="3"/>
      <c r="I678" s="3"/>
      <c r="J678" s="3"/>
      <c r="K678" s="3"/>
      <c r="L678" s="3"/>
      <c r="M678" s="3"/>
      <c r="N678" s="3"/>
      <c r="O678" s="3"/>
      <c r="P678" s="3"/>
      <c r="Q678" s="3"/>
      <c r="R678" s="3"/>
      <c r="S678" s="3"/>
      <c r="T678" s="3"/>
    </row>
    <row r="679">
      <c r="A679" s="3"/>
      <c r="B679" s="3"/>
      <c r="C679" s="3"/>
      <c r="D679" s="3"/>
      <c r="E679" s="3"/>
      <c r="F679" s="3"/>
      <c r="G679" s="3"/>
      <c r="H679" s="3"/>
      <c r="I679" s="3"/>
      <c r="J679" s="3"/>
      <c r="K679" s="3"/>
      <c r="L679" s="3"/>
      <c r="M679" s="3"/>
      <c r="N679" s="3"/>
      <c r="O679" s="3"/>
      <c r="P679" s="3"/>
      <c r="Q679" s="3"/>
      <c r="R679" s="3"/>
      <c r="S679" s="3"/>
      <c r="T679" s="3"/>
    </row>
    <row r="680">
      <c r="A680" s="3"/>
      <c r="B680" s="3"/>
      <c r="C680" s="3"/>
      <c r="D680" s="3"/>
      <c r="E680" s="3"/>
      <c r="F680" s="3"/>
      <c r="G680" s="3"/>
      <c r="H680" s="3"/>
      <c r="I680" s="3"/>
      <c r="J680" s="3"/>
      <c r="K680" s="3"/>
      <c r="L680" s="3"/>
      <c r="M680" s="3"/>
      <c r="N680" s="3"/>
      <c r="O680" s="3"/>
      <c r="P680" s="3"/>
      <c r="Q680" s="3"/>
      <c r="R680" s="3"/>
      <c r="S680" s="3"/>
      <c r="T680" s="3"/>
    </row>
    <row r="681">
      <c r="A681" s="3"/>
      <c r="B681" s="3"/>
      <c r="C681" s="3"/>
      <c r="D681" s="3"/>
      <c r="E681" s="3"/>
      <c r="F681" s="3"/>
      <c r="G681" s="3"/>
      <c r="H681" s="3"/>
      <c r="I681" s="3"/>
      <c r="J681" s="3"/>
      <c r="K681" s="3"/>
      <c r="L681" s="3"/>
      <c r="M681" s="3"/>
      <c r="N681" s="3"/>
      <c r="O681" s="3"/>
      <c r="P681" s="3"/>
      <c r="Q681" s="3"/>
      <c r="R681" s="3"/>
      <c r="S681" s="3"/>
      <c r="T681" s="3"/>
    </row>
    <row r="682">
      <c r="A682" s="3"/>
      <c r="B682" s="3"/>
      <c r="C682" s="3"/>
      <c r="D682" s="3"/>
      <c r="E682" s="3"/>
      <c r="F682" s="3"/>
      <c r="G682" s="3"/>
      <c r="H682" s="3"/>
      <c r="I682" s="3"/>
      <c r="J682" s="3"/>
      <c r="K682" s="3"/>
      <c r="L682" s="3"/>
      <c r="M682" s="3"/>
      <c r="N682" s="3"/>
      <c r="O682" s="3"/>
      <c r="P682" s="3"/>
      <c r="Q682" s="3"/>
      <c r="R682" s="3"/>
      <c r="S682" s="3"/>
      <c r="T682" s="3"/>
    </row>
    <row r="683">
      <c r="A683" s="3"/>
      <c r="B683" s="3"/>
      <c r="C683" s="3"/>
      <c r="D683" s="3"/>
      <c r="E683" s="3"/>
      <c r="F683" s="3"/>
      <c r="G683" s="3"/>
      <c r="H683" s="3"/>
      <c r="I683" s="3"/>
      <c r="J683" s="3"/>
      <c r="K683" s="3"/>
      <c r="L683" s="3"/>
      <c r="M683" s="3"/>
      <c r="N683" s="3"/>
      <c r="O683" s="3"/>
      <c r="P683" s="3"/>
      <c r="Q683" s="3"/>
      <c r="R683" s="3"/>
      <c r="S683" s="3"/>
      <c r="T683" s="3"/>
    </row>
    <row r="684">
      <c r="A684" s="3"/>
      <c r="B684" s="3"/>
      <c r="C684" s="3"/>
      <c r="D684" s="3"/>
      <c r="E684" s="3"/>
      <c r="F684" s="3"/>
      <c r="G684" s="3"/>
      <c r="H684" s="3"/>
      <c r="I684" s="3"/>
      <c r="J684" s="3"/>
      <c r="K684" s="3"/>
      <c r="L684" s="3"/>
      <c r="M684" s="3"/>
      <c r="N684" s="3"/>
      <c r="O684" s="3"/>
      <c r="P684" s="3"/>
      <c r="Q684" s="3"/>
      <c r="R684" s="3"/>
      <c r="S684" s="3"/>
      <c r="T684" s="3"/>
    </row>
    <row r="685">
      <c r="A685" s="3"/>
      <c r="B685" s="3"/>
      <c r="C685" s="3"/>
      <c r="D685" s="3"/>
      <c r="E685" s="3"/>
      <c r="F685" s="3"/>
      <c r="G685" s="3"/>
      <c r="H685" s="3"/>
      <c r="I685" s="3"/>
      <c r="J685" s="3"/>
      <c r="K685" s="3"/>
      <c r="L685" s="3"/>
      <c r="M685" s="3"/>
      <c r="N685" s="3"/>
      <c r="O685" s="3"/>
      <c r="P685" s="3"/>
      <c r="Q685" s="3"/>
      <c r="R685" s="3"/>
      <c r="S685" s="3"/>
      <c r="T685" s="3"/>
    </row>
    <row r="686">
      <c r="A686" s="3"/>
      <c r="B686" s="3"/>
      <c r="C686" s="3"/>
      <c r="D686" s="3"/>
      <c r="E686" s="3"/>
      <c r="F686" s="3"/>
      <c r="G686" s="3"/>
      <c r="H686" s="3"/>
      <c r="I686" s="3"/>
      <c r="J686" s="3"/>
      <c r="K686" s="3"/>
      <c r="L686" s="3"/>
      <c r="M686" s="3"/>
      <c r="N686" s="3"/>
      <c r="O686" s="3"/>
      <c r="P686" s="3"/>
      <c r="Q686" s="3"/>
      <c r="R686" s="3"/>
      <c r="S686" s="3"/>
      <c r="T686" s="3"/>
    </row>
    <row r="687">
      <c r="A687" s="3"/>
      <c r="B687" s="3"/>
      <c r="C687" s="3"/>
      <c r="D687" s="3"/>
      <c r="E687" s="3"/>
      <c r="F687" s="3"/>
      <c r="G687" s="3"/>
      <c r="H687" s="3"/>
      <c r="I687" s="3"/>
      <c r="J687" s="3"/>
      <c r="K687" s="3"/>
      <c r="L687" s="3"/>
      <c r="M687" s="3"/>
      <c r="N687" s="3"/>
      <c r="O687" s="3"/>
      <c r="P687" s="3"/>
      <c r="Q687" s="3"/>
      <c r="R687" s="3"/>
      <c r="S687" s="3"/>
      <c r="T687" s="3"/>
    </row>
    <row r="688">
      <c r="A688" s="3"/>
      <c r="B688" s="3"/>
      <c r="C688" s="3"/>
      <c r="D688" s="3"/>
      <c r="E688" s="3"/>
      <c r="F688" s="3"/>
      <c r="G688" s="3"/>
      <c r="H688" s="3"/>
      <c r="I688" s="3"/>
      <c r="J688" s="3"/>
      <c r="K688" s="3"/>
      <c r="L688" s="3"/>
      <c r="M688" s="3"/>
      <c r="N688" s="3"/>
      <c r="O688" s="3"/>
      <c r="P688" s="3"/>
      <c r="Q688" s="3"/>
      <c r="R688" s="3"/>
      <c r="S688" s="3"/>
      <c r="T688" s="3"/>
    </row>
    <row r="689">
      <c r="A689" s="3"/>
      <c r="B689" s="3"/>
      <c r="C689" s="3"/>
      <c r="D689" s="3"/>
      <c r="E689" s="3"/>
      <c r="F689" s="3"/>
      <c r="G689" s="3"/>
      <c r="H689" s="3"/>
      <c r="I689" s="3"/>
      <c r="J689" s="3"/>
      <c r="K689" s="3"/>
      <c r="L689" s="3"/>
      <c r="M689" s="3"/>
      <c r="N689" s="3"/>
      <c r="O689" s="3"/>
      <c r="P689" s="3"/>
      <c r="Q689" s="3"/>
      <c r="R689" s="3"/>
      <c r="S689" s="3"/>
      <c r="T689" s="3"/>
    </row>
    <row r="690">
      <c r="A690" s="3"/>
      <c r="B690" s="3"/>
      <c r="C690" s="3"/>
      <c r="D690" s="3"/>
      <c r="E690" s="3"/>
      <c r="F690" s="3"/>
      <c r="G690" s="3"/>
      <c r="H690" s="3"/>
      <c r="I690" s="3"/>
      <c r="J690" s="3"/>
      <c r="K690" s="3"/>
      <c r="L690" s="3"/>
      <c r="M690" s="3"/>
      <c r="N690" s="3"/>
      <c r="O690" s="3"/>
      <c r="P690" s="3"/>
      <c r="Q690" s="3"/>
      <c r="R690" s="3"/>
      <c r="S690" s="3"/>
      <c r="T690" s="3"/>
    </row>
    <row r="691">
      <c r="A691" s="3"/>
      <c r="B691" s="3"/>
      <c r="C691" s="3"/>
      <c r="D691" s="3"/>
      <c r="E691" s="3"/>
      <c r="F691" s="3"/>
      <c r="G691" s="3"/>
      <c r="H691" s="3"/>
      <c r="I691" s="3"/>
      <c r="J691" s="3"/>
      <c r="K691" s="3"/>
      <c r="L691" s="3"/>
      <c r="M691" s="3"/>
      <c r="N691" s="3"/>
      <c r="O691" s="3"/>
      <c r="P691" s="3"/>
      <c r="Q691" s="3"/>
      <c r="R691" s="3"/>
      <c r="S691" s="3"/>
      <c r="T691" s="3"/>
    </row>
    <row r="692">
      <c r="A692" s="3"/>
      <c r="B692" s="3"/>
      <c r="C692" s="3"/>
      <c r="D692" s="3"/>
      <c r="E692" s="3"/>
      <c r="F692" s="3"/>
      <c r="G692" s="3"/>
      <c r="H692" s="3"/>
      <c r="I692" s="3"/>
      <c r="J692" s="3"/>
      <c r="K692" s="3"/>
      <c r="L692" s="3"/>
      <c r="M692" s="3"/>
      <c r="N692" s="3"/>
      <c r="O692" s="3"/>
      <c r="P692" s="3"/>
      <c r="Q692" s="3"/>
      <c r="R692" s="3"/>
      <c r="S692" s="3"/>
      <c r="T692" s="3"/>
    </row>
    <row r="693">
      <c r="A693" s="3"/>
      <c r="B693" s="3"/>
      <c r="C693" s="3"/>
      <c r="D693" s="3"/>
      <c r="E693" s="3"/>
      <c r="F693" s="3"/>
      <c r="G693" s="3"/>
      <c r="H693" s="3"/>
      <c r="I693" s="3"/>
      <c r="J693" s="3"/>
      <c r="K693" s="3"/>
      <c r="L693" s="3"/>
      <c r="M693" s="3"/>
      <c r="N693" s="3"/>
      <c r="O693" s="3"/>
      <c r="P693" s="3"/>
      <c r="Q693" s="3"/>
      <c r="R693" s="3"/>
      <c r="S693" s="3"/>
      <c r="T693" s="3"/>
    </row>
    <row r="694">
      <c r="A694" s="3"/>
      <c r="B694" s="3"/>
      <c r="C694" s="3"/>
      <c r="D694" s="3"/>
      <c r="E694" s="3"/>
      <c r="F694" s="3"/>
      <c r="G694" s="3"/>
      <c r="H694" s="3"/>
      <c r="I694" s="3"/>
      <c r="J694" s="3"/>
      <c r="K694" s="3"/>
      <c r="L694" s="3"/>
      <c r="M694" s="3"/>
      <c r="N694" s="3"/>
      <c r="O694" s="3"/>
      <c r="P694" s="3"/>
      <c r="Q694" s="3"/>
      <c r="R694" s="3"/>
      <c r="S694" s="3"/>
      <c r="T694" s="3"/>
    </row>
    <row r="695">
      <c r="A695" s="3"/>
      <c r="B695" s="3"/>
      <c r="C695" s="3"/>
      <c r="D695" s="3"/>
      <c r="E695" s="3"/>
      <c r="F695" s="3"/>
      <c r="G695" s="3"/>
      <c r="H695" s="3"/>
      <c r="I695" s="3"/>
      <c r="J695" s="3"/>
      <c r="K695" s="3"/>
      <c r="L695" s="3"/>
      <c r="M695" s="3"/>
      <c r="N695" s="3"/>
      <c r="O695" s="3"/>
      <c r="P695" s="3"/>
      <c r="Q695" s="3"/>
      <c r="R695" s="3"/>
      <c r="S695" s="3"/>
      <c r="T695" s="3"/>
    </row>
    <row r="696">
      <c r="A696" s="3"/>
      <c r="B696" s="3"/>
      <c r="C696" s="3"/>
      <c r="D696" s="3"/>
      <c r="E696" s="3"/>
      <c r="F696" s="3"/>
      <c r="G696" s="3"/>
      <c r="H696" s="3"/>
      <c r="I696" s="3"/>
      <c r="J696" s="3"/>
      <c r="K696" s="3"/>
      <c r="L696" s="3"/>
      <c r="M696" s="3"/>
      <c r="N696" s="3"/>
      <c r="O696" s="3"/>
      <c r="P696" s="3"/>
      <c r="Q696" s="3"/>
      <c r="R696" s="3"/>
      <c r="S696" s="3"/>
      <c r="T696" s="3"/>
    </row>
    <row r="697">
      <c r="A697" s="3"/>
      <c r="B697" s="3"/>
      <c r="C697" s="3"/>
      <c r="D697" s="3"/>
      <c r="E697" s="3"/>
      <c r="F697" s="3"/>
      <c r="G697" s="3"/>
      <c r="H697" s="3"/>
      <c r="I697" s="3"/>
      <c r="J697" s="3"/>
      <c r="K697" s="3"/>
      <c r="L697" s="3"/>
      <c r="M697" s="3"/>
      <c r="N697" s="3"/>
      <c r="O697" s="3"/>
      <c r="P697" s="3"/>
      <c r="Q697" s="3"/>
      <c r="R697" s="3"/>
      <c r="S697" s="3"/>
      <c r="T697" s="3"/>
    </row>
    <row r="698">
      <c r="A698" s="3"/>
      <c r="B698" s="3"/>
      <c r="C698" s="3"/>
      <c r="D698" s="3"/>
      <c r="E698" s="3"/>
      <c r="F698" s="3"/>
      <c r="G698" s="3"/>
      <c r="H698" s="3"/>
      <c r="I698" s="3"/>
      <c r="J698" s="3"/>
      <c r="K698" s="3"/>
      <c r="L698" s="3"/>
      <c r="M698" s="3"/>
      <c r="N698" s="3"/>
      <c r="O698" s="3"/>
      <c r="P698" s="3"/>
      <c r="Q698" s="3"/>
      <c r="R698" s="3"/>
      <c r="S698" s="3"/>
      <c r="T698" s="3"/>
    </row>
    <row r="699">
      <c r="A699" s="3"/>
      <c r="B699" s="3"/>
      <c r="C699" s="3"/>
      <c r="D699" s="3"/>
      <c r="E699" s="3"/>
      <c r="F699" s="3"/>
      <c r="G699" s="3"/>
      <c r="H699" s="3"/>
      <c r="I699" s="3"/>
      <c r="J699" s="3"/>
      <c r="K699" s="3"/>
      <c r="L699" s="3"/>
      <c r="M699" s="3"/>
      <c r="N699" s="3"/>
      <c r="O699" s="3"/>
      <c r="P699" s="3"/>
      <c r="Q699" s="3"/>
      <c r="R699" s="3"/>
      <c r="S699" s="3"/>
      <c r="T699" s="3"/>
    </row>
    <row r="700">
      <c r="A700" s="3"/>
      <c r="B700" s="3"/>
      <c r="C700" s="3"/>
      <c r="D700" s="3"/>
      <c r="E700" s="3"/>
      <c r="F700" s="3"/>
      <c r="G700" s="3"/>
      <c r="H700" s="3"/>
      <c r="I700" s="3"/>
      <c r="J700" s="3"/>
      <c r="K700" s="3"/>
      <c r="L700" s="3"/>
      <c r="M700" s="3"/>
      <c r="N700" s="3"/>
      <c r="O700" s="3"/>
      <c r="P700" s="3"/>
      <c r="Q700" s="3"/>
      <c r="R700" s="3"/>
      <c r="S700" s="3"/>
      <c r="T700" s="3"/>
    </row>
    <row r="701">
      <c r="A701" s="3"/>
      <c r="B701" s="3"/>
      <c r="C701" s="3"/>
      <c r="D701" s="3"/>
      <c r="E701" s="3"/>
      <c r="F701" s="3"/>
      <c r="G701" s="3"/>
      <c r="H701" s="3"/>
      <c r="I701" s="3"/>
      <c r="J701" s="3"/>
      <c r="K701" s="3"/>
      <c r="L701" s="3"/>
      <c r="M701" s="3"/>
      <c r="N701" s="3"/>
      <c r="O701" s="3"/>
      <c r="P701" s="3"/>
      <c r="Q701" s="3"/>
      <c r="R701" s="3"/>
      <c r="S701" s="3"/>
      <c r="T701" s="3"/>
    </row>
    <row r="702">
      <c r="A702" s="3"/>
      <c r="B702" s="3"/>
      <c r="C702" s="3"/>
      <c r="D702" s="3"/>
      <c r="E702" s="3"/>
      <c r="F702" s="3"/>
      <c r="G702" s="3"/>
      <c r="H702" s="3"/>
      <c r="I702" s="3"/>
      <c r="J702" s="3"/>
      <c r="K702" s="3"/>
      <c r="L702" s="3"/>
      <c r="M702" s="3"/>
      <c r="N702" s="3"/>
      <c r="O702" s="3"/>
      <c r="P702" s="3"/>
      <c r="Q702" s="3"/>
      <c r="R702" s="3"/>
      <c r="S702" s="3"/>
      <c r="T702" s="3"/>
    </row>
    <row r="703">
      <c r="A703" s="3"/>
      <c r="B703" s="3"/>
      <c r="C703" s="3"/>
      <c r="D703" s="3"/>
      <c r="E703" s="3"/>
      <c r="F703" s="3"/>
      <c r="G703" s="3"/>
      <c r="H703" s="3"/>
      <c r="I703" s="3"/>
      <c r="J703" s="3"/>
      <c r="K703" s="3"/>
      <c r="L703" s="3"/>
      <c r="M703" s="3"/>
      <c r="N703" s="3"/>
      <c r="O703" s="3"/>
      <c r="P703" s="3"/>
      <c r="Q703" s="3"/>
      <c r="R703" s="3"/>
      <c r="S703" s="3"/>
      <c r="T703" s="3"/>
    </row>
    <row r="704">
      <c r="A704" s="3"/>
      <c r="B704" s="3"/>
      <c r="C704" s="3"/>
      <c r="D704" s="3"/>
      <c r="E704" s="3"/>
      <c r="F704" s="3"/>
      <c r="G704" s="3"/>
      <c r="H704" s="3"/>
      <c r="I704" s="3"/>
      <c r="J704" s="3"/>
      <c r="K704" s="3"/>
      <c r="L704" s="3"/>
      <c r="M704" s="3"/>
      <c r="N704" s="3"/>
      <c r="O704" s="3"/>
      <c r="P704" s="3"/>
      <c r="Q704" s="3"/>
      <c r="R704" s="3"/>
      <c r="S704" s="3"/>
      <c r="T704" s="3"/>
    </row>
    <row r="705">
      <c r="A705" s="3"/>
      <c r="B705" s="3"/>
      <c r="C705" s="3"/>
      <c r="D705" s="3"/>
      <c r="E705" s="3"/>
      <c r="F705" s="3"/>
      <c r="G705" s="3"/>
      <c r="H705" s="3"/>
      <c r="I705" s="3"/>
      <c r="J705" s="3"/>
      <c r="K705" s="3"/>
      <c r="L705" s="3"/>
      <c r="M705" s="3"/>
      <c r="N705" s="3"/>
      <c r="O705" s="3"/>
      <c r="P705" s="3"/>
      <c r="Q705" s="3"/>
      <c r="R705" s="3"/>
      <c r="S705" s="3"/>
      <c r="T705" s="3"/>
    </row>
    <row r="706">
      <c r="A706" s="3"/>
      <c r="B706" s="3"/>
      <c r="C706" s="3"/>
      <c r="D706" s="3"/>
      <c r="E706" s="3"/>
      <c r="F706" s="3"/>
      <c r="G706" s="3"/>
      <c r="H706" s="3"/>
      <c r="I706" s="3"/>
      <c r="J706" s="3"/>
      <c r="K706" s="3"/>
      <c r="L706" s="3"/>
      <c r="M706" s="3"/>
      <c r="N706" s="3"/>
      <c r="O706" s="3"/>
      <c r="P706" s="3"/>
      <c r="Q706" s="3"/>
      <c r="R706" s="3"/>
      <c r="S706" s="3"/>
      <c r="T706" s="3"/>
    </row>
    <row r="707">
      <c r="A707" s="3"/>
      <c r="B707" s="3"/>
      <c r="C707" s="3"/>
      <c r="D707" s="3"/>
      <c r="E707" s="3"/>
      <c r="F707" s="3"/>
      <c r="G707" s="3"/>
      <c r="H707" s="3"/>
      <c r="I707" s="3"/>
      <c r="J707" s="3"/>
      <c r="K707" s="3"/>
      <c r="L707" s="3"/>
      <c r="M707" s="3"/>
      <c r="N707" s="3"/>
      <c r="O707" s="3"/>
      <c r="P707" s="3"/>
      <c r="Q707" s="3"/>
      <c r="R707" s="3"/>
      <c r="S707" s="3"/>
      <c r="T707" s="3"/>
    </row>
    <row r="708">
      <c r="A708" s="3"/>
      <c r="B708" s="3"/>
      <c r="C708" s="3"/>
      <c r="D708" s="3"/>
      <c r="E708" s="3"/>
      <c r="F708" s="3"/>
      <c r="G708" s="3"/>
      <c r="H708" s="3"/>
      <c r="I708" s="3"/>
      <c r="J708" s="3"/>
      <c r="K708" s="3"/>
      <c r="L708" s="3"/>
      <c r="M708" s="3"/>
      <c r="N708" s="3"/>
      <c r="O708" s="3"/>
      <c r="P708" s="3"/>
      <c r="Q708" s="3"/>
      <c r="R708" s="3"/>
      <c r="S708" s="3"/>
      <c r="T708" s="3"/>
    </row>
    <row r="709">
      <c r="A709" s="3"/>
      <c r="B709" s="3"/>
      <c r="C709" s="3"/>
      <c r="D709" s="3"/>
      <c r="E709" s="3"/>
      <c r="F709" s="3"/>
      <c r="G709" s="3"/>
      <c r="H709" s="3"/>
      <c r="I709" s="3"/>
      <c r="J709" s="3"/>
      <c r="K709" s="3"/>
      <c r="L709" s="3"/>
      <c r="M709" s="3"/>
      <c r="N709" s="3"/>
      <c r="O709" s="3"/>
      <c r="P709" s="3"/>
      <c r="Q709" s="3"/>
      <c r="R709" s="3"/>
      <c r="S709" s="3"/>
      <c r="T709" s="3"/>
    </row>
    <row r="710">
      <c r="A710" s="3"/>
      <c r="B710" s="3"/>
      <c r="C710" s="3"/>
      <c r="D710" s="3"/>
      <c r="E710" s="3"/>
      <c r="F710" s="3"/>
      <c r="G710" s="3"/>
      <c r="H710" s="3"/>
      <c r="I710" s="3"/>
      <c r="J710" s="3"/>
      <c r="K710" s="3"/>
      <c r="L710" s="3"/>
      <c r="M710" s="3"/>
      <c r="N710" s="3"/>
      <c r="O710" s="3"/>
      <c r="P710" s="3"/>
      <c r="Q710" s="3"/>
      <c r="R710" s="3"/>
      <c r="S710" s="3"/>
      <c r="T710" s="3"/>
    </row>
    <row r="711">
      <c r="A711" s="3"/>
      <c r="B711" s="3"/>
      <c r="C711" s="3"/>
      <c r="D711" s="3"/>
      <c r="E711" s="3"/>
      <c r="F711" s="3"/>
      <c r="G711" s="3"/>
      <c r="H711" s="3"/>
      <c r="I711" s="3"/>
      <c r="J711" s="3"/>
      <c r="K711" s="3"/>
      <c r="L711" s="3"/>
      <c r="M711" s="3"/>
      <c r="N711" s="3"/>
      <c r="O711" s="3"/>
      <c r="P711" s="3"/>
      <c r="Q711" s="3"/>
      <c r="R711" s="3"/>
      <c r="S711" s="3"/>
      <c r="T711" s="3"/>
    </row>
    <row r="712">
      <c r="A712" s="3"/>
      <c r="B712" s="3"/>
      <c r="C712" s="3"/>
      <c r="D712" s="3"/>
      <c r="E712" s="3"/>
      <c r="F712" s="3"/>
      <c r="G712" s="3"/>
      <c r="H712" s="3"/>
      <c r="I712" s="3"/>
      <c r="J712" s="3"/>
      <c r="K712" s="3"/>
      <c r="L712" s="3"/>
      <c r="M712" s="3"/>
      <c r="N712" s="3"/>
      <c r="O712" s="3"/>
      <c r="P712" s="3"/>
      <c r="Q712" s="3"/>
      <c r="R712" s="3"/>
      <c r="S712" s="3"/>
      <c r="T712" s="3"/>
    </row>
    <row r="713">
      <c r="A713" s="3"/>
      <c r="B713" s="3"/>
      <c r="C713" s="3"/>
      <c r="D713" s="3"/>
      <c r="E713" s="3"/>
      <c r="F713" s="3"/>
      <c r="G713" s="3"/>
      <c r="H713" s="3"/>
      <c r="I713" s="3"/>
      <c r="J713" s="3"/>
      <c r="K713" s="3"/>
      <c r="L713" s="3"/>
      <c r="M713" s="3"/>
      <c r="N713" s="3"/>
      <c r="O713" s="3"/>
      <c r="P713" s="3"/>
      <c r="Q713" s="3"/>
      <c r="R713" s="3"/>
      <c r="S713" s="3"/>
      <c r="T713" s="3"/>
    </row>
    <row r="714">
      <c r="A714" s="3"/>
      <c r="B714" s="3"/>
      <c r="C714" s="3"/>
      <c r="D714" s="3"/>
      <c r="E714" s="3"/>
      <c r="F714" s="3"/>
      <c r="G714" s="3"/>
      <c r="H714" s="3"/>
      <c r="I714" s="3"/>
      <c r="J714" s="3"/>
      <c r="K714" s="3"/>
      <c r="L714" s="3"/>
      <c r="M714" s="3"/>
      <c r="N714" s="3"/>
      <c r="O714" s="3"/>
      <c r="P714" s="3"/>
      <c r="Q714" s="3"/>
      <c r="R714" s="3"/>
      <c r="S714" s="3"/>
      <c r="T714" s="3"/>
    </row>
    <row r="715">
      <c r="A715" s="3"/>
      <c r="B715" s="3"/>
      <c r="C715" s="3"/>
      <c r="D715" s="3"/>
      <c r="E715" s="3"/>
      <c r="F715" s="3"/>
      <c r="G715" s="3"/>
      <c r="H715" s="3"/>
      <c r="I715" s="3"/>
      <c r="J715" s="3"/>
      <c r="K715" s="3"/>
      <c r="L715" s="3"/>
      <c r="M715" s="3"/>
      <c r="N715" s="3"/>
      <c r="O715" s="3"/>
      <c r="P715" s="3"/>
      <c r="Q715" s="3"/>
      <c r="R715" s="3"/>
      <c r="S715" s="3"/>
      <c r="T715" s="3"/>
    </row>
    <row r="716">
      <c r="A716" s="3"/>
      <c r="B716" s="3"/>
      <c r="C716" s="3"/>
      <c r="D716" s="3"/>
      <c r="E716" s="3"/>
      <c r="F716" s="3"/>
      <c r="G716" s="3"/>
      <c r="H716" s="3"/>
      <c r="I716" s="3"/>
      <c r="J716" s="3"/>
      <c r="K716" s="3"/>
      <c r="L716" s="3"/>
      <c r="M716" s="3"/>
      <c r="N716" s="3"/>
      <c r="O716" s="3"/>
      <c r="P716" s="3"/>
      <c r="Q716" s="3"/>
      <c r="R716" s="3"/>
      <c r="S716" s="3"/>
      <c r="T716" s="3"/>
    </row>
    <row r="717">
      <c r="A717" s="3"/>
      <c r="B717" s="3"/>
      <c r="C717" s="3"/>
      <c r="D717" s="3"/>
      <c r="E717" s="3"/>
      <c r="F717" s="3"/>
      <c r="G717" s="3"/>
      <c r="H717" s="3"/>
      <c r="I717" s="3"/>
      <c r="J717" s="3"/>
      <c r="K717" s="3"/>
      <c r="L717" s="3"/>
      <c r="M717" s="3"/>
      <c r="N717" s="3"/>
      <c r="O717" s="3"/>
      <c r="P717" s="3"/>
      <c r="Q717" s="3"/>
      <c r="R717" s="3"/>
      <c r="S717" s="3"/>
      <c r="T717" s="3"/>
    </row>
    <row r="718">
      <c r="A718" s="3"/>
      <c r="B718" s="3"/>
      <c r="C718" s="3"/>
      <c r="D718" s="3"/>
      <c r="E718" s="3"/>
      <c r="F718" s="3"/>
      <c r="G718" s="3"/>
      <c r="H718" s="3"/>
      <c r="I718" s="3"/>
      <c r="J718" s="3"/>
      <c r="K718" s="3"/>
      <c r="L718" s="3"/>
      <c r="M718" s="3"/>
      <c r="N718" s="3"/>
      <c r="O718" s="3"/>
      <c r="P718" s="3"/>
      <c r="Q718" s="3"/>
      <c r="R718" s="3"/>
      <c r="S718" s="3"/>
      <c r="T718" s="3"/>
    </row>
    <row r="719">
      <c r="A719" s="3"/>
      <c r="B719" s="3"/>
      <c r="C719" s="3"/>
      <c r="D719" s="3"/>
      <c r="E719" s="3"/>
      <c r="F719" s="3"/>
      <c r="G719" s="3"/>
      <c r="H719" s="3"/>
      <c r="I719" s="3"/>
      <c r="J719" s="3"/>
      <c r="K719" s="3"/>
      <c r="L719" s="3"/>
      <c r="M719" s="3"/>
      <c r="N719" s="3"/>
      <c r="O719" s="3"/>
      <c r="P719" s="3"/>
      <c r="Q719" s="3"/>
      <c r="R719" s="3"/>
      <c r="S719" s="3"/>
      <c r="T719" s="3"/>
    </row>
    <row r="720">
      <c r="A720" s="3"/>
      <c r="B720" s="3"/>
      <c r="C720" s="3"/>
      <c r="D720" s="3"/>
      <c r="E720" s="3"/>
      <c r="F720" s="3"/>
      <c r="G720" s="3"/>
      <c r="H720" s="3"/>
      <c r="I720" s="3"/>
      <c r="J720" s="3"/>
      <c r="K720" s="3"/>
      <c r="L720" s="3"/>
      <c r="M720" s="3"/>
      <c r="N720" s="3"/>
      <c r="O720" s="3"/>
      <c r="P720" s="3"/>
      <c r="Q720" s="3"/>
      <c r="R720" s="3"/>
      <c r="S720" s="3"/>
      <c r="T720" s="3"/>
    </row>
    <row r="721">
      <c r="A721" s="3"/>
      <c r="B721" s="3"/>
      <c r="C721" s="3"/>
      <c r="D721" s="3"/>
      <c r="E721" s="3"/>
      <c r="F721" s="3"/>
      <c r="G721" s="3"/>
      <c r="H721" s="3"/>
      <c r="I721" s="3"/>
      <c r="J721" s="3"/>
      <c r="K721" s="3"/>
      <c r="L721" s="3"/>
      <c r="M721" s="3"/>
      <c r="N721" s="3"/>
      <c r="O721" s="3"/>
      <c r="P721" s="3"/>
      <c r="Q721" s="3"/>
      <c r="R721" s="3"/>
      <c r="S721" s="3"/>
      <c r="T721" s="3"/>
    </row>
    <row r="722">
      <c r="A722" s="3"/>
      <c r="B722" s="3"/>
      <c r="C722" s="3"/>
      <c r="D722" s="3"/>
      <c r="E722" s="3"/>
      <c r="F722" s="3"/>
      <c r="G722" s="3"/>
      <c r="H722" s="3"/>
      <c r="I722" s="3"/>
      <c r="J722" s="3"/>
      <c r="K722" s="3"/>
      <c r="L722" s="3"/>
      <c r="M722" s="3"/>
      <c r="N722" s="3"/>
      <c r="O722" s="3"/>
      <c r="P722" s="3"/>
      <c r="Q722" s="3"/>
      <c r="R722" s="3"/>
      <c r="S722" s="3"/>
      <c r="T722" s="3"/>
    </row>
    <row r="723">
      <c r="A723" s="3"/>
      <c r="B723" s="3"/>
      <c r="C723" s="3"/>
      <c r="D723" s="3"/>
      <c r="E723" s="3"/>
      <c r="F723" s="3"/>
      <c r="G723" s="3"/>
      <c r="H723" s="3"/>
      <c r="I723" s="3"/>
      <c r="J723" s="3"/>
      <c r="K723" s="3"/>
      <c r="L723" s="3"/>
      <c r="M723" s="3"/>
      <c r="N723" s="3"/>
      <c r="O723" s="3"/>
      <c r="P723" s="3"/>
      <c r="Q723" s="3"/>
      <c r="R723" s="3"/>
      <c r="S723" s="3"/>
      <c r="T723" s="3"/>
    </row>
    <row r="724">
      <c r="A724" s="3"/>
      <c r="B724" s="3"/>
      <c r="C724" s="3"/>
      <c r="D724" s="3"/>
      <c r="E724" s="3"/>
      <c r="F724" s="3"/>
      <c r="G724" s="3"/>
      <c r="H724" s="3"/>
      <c r="I724" s="3"/>
      <c r="J724" s="3"/>
      <c r="K724" s="3"/>
      <c r="L724" s="3"/>
      <c r="M724" s="3"/>
      <c r="N724" s="3"/>
      <c r="O724" s="3"/>
      <c r="P724" s="3"/>
      <c r="Q724" s="3"/>
      <c r="R724" s="3"/>
      <c r="S724" s="3"/>
      <c r="T724" s="3"/>
    </row>
    <row r="725">
      <c r="A725" s="3"/>
      <c r="B725" s="3"/>
      <c r="C725" s="3"/>
      <c r="D725" s="3"/>
      <c r="E725" s="3"/>
      <c r="F725" s="3"/>
      <c r="G725" s="3"/>
      <c r="H725" s="3"/>
      <c r="I725" s="3"/>
      <c r="J725" s="3"/>
      <c r="K725" s="3"/>
      <c r="L725" s="3"/>
      <c r="M725" s="3"/>
      <c r="N725" s="3"/>
      <c r="O725" s="3"/>
      <c r="P725" s="3"/>
      <c r="Q725" s="3"/>
      <c r="R725" s="3"/>
      <c r="S725" s="3"/>
      <c r="T725" s="3"/>
    </row>
    <row r="726">
      <c r="A726" s="3"/>
      <c r="B726" s="3"/>
      <c r="C726" s="3"/>
      <c r="D726" s="3"/>
      <c r="E726" s="3"/>
      <c r="F726" s="3"/>
      <c r="G726" s="3"/>
      <c r="H726" s="3"/>
      <c r="I726" s="3"/>
      <c r="J726" s="3"/>
      <c r="K726" s="3"/>
      <c r="L726" s="3"/>
      <c r="M726" s="3"/>
      <c r="N726" s="3"/>
      <c r="O726" s="3"/>
      <c r="P726" s="3"/>
      <c r="Q726" s="3"/>
      <c r="R726" s="3"/>
      <c r="S726" s="3"/>
      <c r="T726" s="3"/>
    </row>
    <row r="727">
      <c r="A727" s="3"/>
      <c r="B727" s="3"/>
      <c r="C727" s="3"/>
      <c r="D727" s="3"/>
      <c r="E727" s="3"/>
      <c r="F727" s="3"/>
      <c r="G727" s="3"/>
      <c r="H727" s="3"/>
      <c r="I727" s="3"/>
      <c r="J727" s="3"/>
      <c r="K727" s="3"/>
      <c r="L727" s="3"/>
      <c r="M727" s="3"/>
      <c r="N727" s="3"/>
      <c r="O727" s="3"/>
      <c r="P727" s="3"/>
      <c r="Q727" s="3"/>
      <c r="R727" s="3"/>
      <c r="S727" s="3"/>
      <c r="T727" s="3"/>
    </row>
    <row r="728">
      <c r="A728" s="3"/>
      <c r="B728" s="3"/>
      <c r="C728" s="3"/>
      <c r="D728" s="3"/>
      <c r="E728" s="3"/>
      <c r="F728" s="3"/>
      <c r="G728" s="3"/>
      <c r="H728" s="3"/>
      <c r="I728" s="3"/>
      <c r="J728" s="3"/>
      <c r="K728" s="3"/>
      <c r="L728" s="3"/>
      <c r="M728" s="3"/>
      <c r="N728" s="3"/>
      <c r="O728" s="3"/>
      <c r="P728" s="3"/>
      <c r="Q728" s="3"/>
      <c r="R728" s="3"/>
      <c r="S728" s="3"/>
      <c r="T728" s="3"/>
    </row>
    <row r="729">
      <c r="A729" s="3"/>
      <c r="B729" s="3"/>
      <c r="C729" s="3"/>
      <c r="D729" s="3"/>
      <c r="E729" s="3"/>
      <c r="F729" s="3"/>
      <c r="G729" s="3"/>
      <c r="H729" s="3"/>
      <c r="I729" s="3"/>
      <c r="J729" s="3"/>
      <c r="K729" s="3"/>
      <c r="L729" s="3"/>
      <c r="M729" s="3"/>
      <c r="N729" s="3"/>
      <c r="O729" s="3"/>
      <c r="P729" s="3"/>
      <c r="Q729" s="3"/>
      <c r="R729" s="3"/>
      <c r="S729" s="3"/>
      <c r="T729" s="3"/>
    </row>
    <row r="730">
      <c r="A730" s="3"/>
      <c r="B730" s="3"/>
      <c r="C730" s="3"/>
      <c r="D730" s="3"/>
      <c r="E730" s="3"/>
      <c r="F730" s="3"/>
      <c r="G730" s="3"/>
      <c r="H730" s="3"/>
      <c r="I730" s="3"/>
      <c r="J730" s="3"/>
      <c r="K730" s="3"/>
      <c r="L730" s="3"/>
      <c r="M730" s="3"/>
      <c r="N730" s="3"/>
      <c r="O730" s="3"/>
      <c r="P730" s="3"/>
      <c r="Q730" s="3"/>
      <c r="R730" s="3"/>
      <c r="S730" s="3"/>
      <c r="T730" s="3"/>
    </row>
    <row r="731">
      <c r="A731" s="3"/>
      <c r="B731" s="3"/>
      <c r="C731" s="3"/>
      <c r="D731" s="3"/>
      <c r="E731" s="3"/>
      <c r="F731" s="3"/>
      <c r="G731" s="3"/>
      <c r="H731" s="3"/>
      <c r="I731" s="3"/>
      <c r="J731" s="3"/>
      <c r="K731" s="3"/>
      <c r="L731" s="3"/>
      <c r="M731" s="3"/>
      <c r="N731" s="3"/>
      <c r="O731" s="3"/>
      <c r="P731" s="3"/>
      <c r="Q731" s="3"/>
      <c r="R731" s="3"/>
      <c r="S731" s="3"/>
      <c r="T731" s="3"/>
    </row>
    <row r="732">
      <c r="A732" s="3"/>
      <c r="B732" s="3"/>
      <c r="C732" s="3"/>
      <c r="D732" s="3"/>
      <c r="E732" s="3"/>
      <c r="F732" s="3"/>
      <c r="G732" s="3"/>
      <c r="H732" s="3"/>
      <c r="I732" s="3"/>
      <c r="J732" s="3"/>
      <c r="K732" s="3"/>
      <c r="L732" s="3"/>
      <c r="M732" s="3"/>
      <c r="N732" s="3"/>
      <c r="O732" s="3"/>
      <c r="P732" s="3"/>
      <c r="Q732" s="3"/>
      <c r="R732" s="3"/>
      <c r="S732" s="3"/>
      <c r="T732" s="3"/>
    </row>
    <row r="733">
      <c r="A733" s="3"/>
      <c r="B733" s="3"/>
      <c r="C733" s="3"/>
      <c r="D733" s="3"/>
      <c r="E733" s="3"/>
      <c r="F733" s="3"/>
      <c r="G733" s="3"/>
      <c r="H733" s="3"/>
      <c r="I733" s="3"/>
      <c r="J733" s="3"/>
      <c r="K733" s="3"/>
      <c r="L733" s="3"/>
      <c r="M733" s="3"/>
      <c r="N733" s="3"/>
      <c r="O733" s="3"/>
      <c r="P733" s="3"/>
      <c r="Q733" s="3"/>
      <c r="R733" s="3"/>
      <c r="S733" s="3"/>
      <c r="T733" s="3"/>
    </row>
    <row r="734">
      <c r="A734" s="3"/>
      <c r="B734" s="3"/>
      <c r="C734" s="3"/>
      <c r="D734" s="3"/>
      <c r="E734" s="3"/>
      <c r="F734" s="3"/>
      <c r="G734" s="3"/>
      <c r="H734" s="3"/>
      <c r="I734" s="3"/>
      <c r="J734" s="3"/>
      <c r="K734" s="3"/>
      <c r="L734" s="3"/>
      <c r="M734" s="3"/>
      <c r="N734" s="3"/>
      <c r="O734" s="3"/>
      <c r="P734" s="3"/>
      <c r="Q734" s="3"/>
      <c r="R734" s="3"/>
      <c r="S734" s="3"/>
      <c r="T734" s="3"/>
    </row>
    <row r="735">
      <c r="A735" s="3"/>
      <c r="B735" s="3"/>
      <c r="C735" s="3"/>
      <c r="D735" s="3"/>
      <c r="E735" s="3"/>
      <c r="F735" s="3"/>
      <c r="G735" s="3"/>
      <c r="H735" s="3"/>
      <c r="I735" s="3"/>
      <c r="J735" s="3"/>
      <c r="K735" s="3"/>
      <c r="L735" s="3"/>
      <c r="M735" s="3"/>
      <c r="N735" s="3"/>
      <c r="O735" s="3"/>
      <c r="P735" s="3"/>
      <c r="Q735" s="3"/>
      <c r="R735" s="3"/>
      <c r="S735" s="3"/>
      <c r="T735" s="3"/>
    </row>
    <row r="736">
      <c r="A736" s="3"/>
      <c r="B736" s="3"/>
      <c r="C736" s="3"/>
      <c r="D736" s="3"/>
      <c r="E736" s="3"/>
      <c r="F736" s="3"/>
      <c r="G736" s="3"/>
      <c r="H736" s="3"/>
      <c r="I736" s="3"/>
      <c r="J736" s="3"/>
      <c r="K736" s="3"/>
      <c r="L736" s="3"/>
      <c r="M736" s="3"/>
      <c r="N736" s="3"/>
      <c r="O736" s="3"/>
      <c r="P736" s="3"/>
      <c r="Q736" s="3"/>
      <c r="R736" s="3"/>
      <c r="S736" s="3"/>
      <c r="T736" s="3"/>
    </row>
    <row r="737">
      <c r="A737" s="3"/>
      <c r="B737" s="3"/>
      <c r="C737" s="3"/>
      <c r="D737" s="3"/>
      <c r="E737" s="3"/>
      <c r="F737" s="3"/>
      <c r="G737" s="3"/>
      <c r="H737" s="3"/>
      <c r="I737" s="3"/>
      <c r="J737" s="3"/>
      <c r="K737" s="3"/>
      <c r="L737" s="3"/>
      <c r="M737" s="3"/>
      <c r="N737" s="3"/>
      <c r="O737" s="3"/>
      <c r="P737" s="3"/>
      <c r="Q737" s="3"/>
      <c r="R737" s="3"/>
      <c r="S737" s="3"/>
      <c r="T737" s="3"/>
    </row>
    <row r="738">
      <c r="A738" s="3"/>
      <c r="B738" s="3"/>
      <c r="C738" s="3"/>
      <c r="D738" s="3"/>
      <c r="E738" s="3"/>
      <c r="F738" s="3"/>
      <c r="G738" s="3"/>
      <c r="H738" s="3"/>
      <c r="I738" s="3"/>
      <c r="J738" s="3"/>
      <c r="K738" s="3"/>
      <c r="L738" s="3"/>
      <c r="M738" s="3"/>
      <c r="N738" s="3"/>
      <c r="O738" s="3"/>
      <c r="P738" s="3"/>
      <c r="Q738" s="3"/>
      <c r="R738" s="3"/>
      <c r="S738" s="3"/>
      <c r="T738" s="3"/>
    </row>
    <row r="739">
      <c r="A739" s="3"/>
      <c r="B739" s="3"/>
      <c r="C739" s="3"/>
      <c r="D739" s="3"/>
      <c r="E739" s="3"/>
      <c r="F739" s="3"/>
      <c r="G739" s="3"/>
      <c r="H739" s="3"/>
      <c r="I739" s="3"/>
      <c r="J739" s="3"/>
      <c r="K739" s="3"/>
      <c r="L739" s="3"/>
      <c r="M739" s="3"/>
      <c r="N739" s="3"/>
      <c r="O739" s="3"/>
      <c r="P739" s="3"/>
      <c r="Q739" s="3"/>
      <c r="R739" s="3"/>
      <c r="S739" s="3"/>
      <c r="T739" s="3"/>
    </row>
    <row r="740">
      <c r="A740" s="3"/>
      <c r="B740" s="3"/>
      <c r="C740" s="3"/>
      <c r="D740" s="3"/>
      <c r="E740" s="3"/>
      <c r="F740" s="3"/>
      <c r="G740" s="3"/>
      <c r="H740" s="3"/>
      <c r="I740" s="3"/>
      <c r="J740" s="3"/>
      <c r="K740" s="3"/>
      <c r="L740" s="3"/>
      <c r="M740" s="3"/>
      <c r="N740" s="3"/>
      <c r="O740" s="3"/>
      <c r="P740" s="3"/>
      <c r="Q740" s="3"/>
      <c r="R740" s="3"/>
      <c r="S740" s="3"/>
      <c r="T740" s="3"/>
    </row>
    <row r="741">
      <c r="A741" s="3"/>
      <c r="B741" s="3"/>
      <c r="C741" s="3"/>
      <c r="D741" s="3"/>
      <c r="E741" s="3"/>
      <c r="F741" s="3"/>
      <c r="G741" s="3"/>
      <c r="H741" s="3"/>
      <c r="I741" s="3"/>
      <c r="J741" s="3"/>
      <c r="K741" s="3"/>
      <c r="L741" s="3"/>
      <c r="M741" s="3"/>
      <c r="N741" s="3"/>
      <c r="O741" s="3"/>
      <c r="P741" s="3"/>
      <c r="Q741" s="3"/>
      <c r="R741" s="3"/>
      <c r="S741" s="3"/>
      <c r="T741" s="3"/>
    </row>
    <row r="742">
      <c r="A742" s="3"/>
      <c r="B742" s="3"/>
      <c r="C742" s="3"/>
      <c r="D742" s="3"/>
      <c r="E742" s="3"/>
      <c r="F742" s="3"/>
      <c r="G742" s="3"/>
      <c r="H742" s="3"/>
      <c r="I742" s="3"/>
      <c r="J742" s="3"/>
      <c r="K742" s="3"/>
      <c r="L742" s="3"/>
      <c r="M742" s="3"/>
      <c r="N742" s="3"/>
      <c r="O742" s="3"/>
      <c r="P742" s="3"/>
      <c r="Q742" s="3"/>
      <c r="R742" s="3"/>
      <c r="S742" s="3"/>
      <c r="T742" s="3"/>
    </row>
    <row r="743">
      <c r="A743" s="3"/>
      <c r="B743" s="3"/>
      <c r="C743" s="3"/>
      <c r="D743" s="3"/>
      <c r="E743" s="3"/>
      <c r="F743" s="3"/>
      <c r="G743" s="3"/>
      <c r="H743" s="3"/>
      <c r="I743" s="3"/>
      <c r="J743" s="3"/>
      <c r="K743" s="3"/>
      <c r="L743" s="3"/>
      <c r="M743" s="3"/>
      <c r="N743" s="3"/>
      <c r="O743" s="3"/>
      <c r="P743" s="3"/>
      <c r="Q743" s="3"/>
      <c r="R743" s="3"/>
      <c r="S743" s="3"/>
      <c r="T743" s="3"/>
    </row>
    <row r="744">
      <c r="A744" s="3"/>
      <c r="B744" s="3"/>
      <c r="C744" s="3"/>
      <c r="D744" s="3"/>
      <c r="E744" s="3"/>
      <c r="F744" s="3"/>
      <c r="G744" s="3"/>
      <c r="H744" s="3"/>
      <c r="I744" s="3"/>
      <c r="J744" s="3"/>
      <c r="K744" s="3"/>
      <c r="L744" s="3"/>
      <c r="M744" s="3"/>
      <c r="N744" s="3"/>
      <c r="O744" s="3"/>
      <c r="P744" s="3"/>
      <c r="Q744" s="3"/>
      <c r="R744" s="3"/>
      <c r="S744" s="3"/>
      <c r="T744" s="3"/>
    </row>
    <row r="745">
      <c r="A745" s="3"/>
      <c r="B745" s="3"/>
      <c r="C745" s="3"/>
      <c r="D745" s="3"/>
      <c r="E745" s="3"/>
      <c r="F745" s="3"/>
      <c r="G745" s="3"/>
      <c r="H745" s="3"/>
      <c r="I745" s="3"/>
      <c r="J745" s="3"/>
      <c r="K745" s="3"/>
      <c r="L745" s="3"/>
      <c r="M745" s="3"/>
      <c r="N745" s="3"/>
      <c r="O745" s="3"/>
      <c r="P745" s="3"/>
      <c r="Q745" s="3"/>
      <c r="R745" s="3"/>
      <c r="S745" s="3"/>
      <c r="T745" s="3"/>
    </row>
    <row r="746">
      <c r="A746" s="3"/>
      <c r="B746" s="3"/>
      <c r="C746" s="3"/>
      <c r="D746" s="3"/>
      <c r="E746" s="3"/>
      <c r="F746" s="3"/>
      <c r="G746" s="3"/>
      <c r="H746" s="3"/>
      <c r="I746" s="3"/>
      <c r="J746" s="3"/>
      <c r="K746" s="3"/>
      <c r="L746" s="3"/>
      <c r="M746" s="3"/>
      <c r="N746" s="3"/>
      <c r="O746" s="3"/>
      <c r="P746" s="3"/>
      <c r="Q746" s="3"/>
      <c r="R746" s="3"/>
      <c r="S746" s="3"/>
      <c r="T746" s="3"/>
    </row>
    <row r="747">
      <c r="A747" s="3"/>
      <c r="B747" s="3"/>
      <c r="C747" s="3"/>
      <c r="D747" s="3"/>
      <c r="E747" s="3"/>
      <c r="F747" s="3"/>
      <c r="G747" s="3"/>
      <c r="H747" s="3"/>
      <c r="I747" s="3"/>
      <c r="J747" s="3"/>
      <c r="K747" s="3"/>
      <c r="L747" s="3"/>
      <c r="M747" s="3"/>
      <c r="N747" s="3"/>
      <c r="O747" s="3"/>
      <c r="P747" s="3"/>
      <c r="Q747" s="3"/>
      <c r="R747" s="3"/>
      <c r="S747" s="3"/>
      <c r="T747" s="3"/>
    </row>
    <row r="748">
      <c r="A748" s="3"/>
      <c r="B748" s="3"/>
      <c r="C748" s="3"/>
      <c r="D748" s="3"/>
      <c r="E748" s="3"/>
      <c r="F748" s="3"/>
      <c r="G748" s="3"/>
      <c r="H748" s="3"/>
      <c r="I748" s="3"/>
      <c r="J748" s="3"/>
      <c r="K748" s="3"/>
      <c r="L748" s="3"/>
      <c r="M748" s="3"/>
      <c r="N748" s="3"/>
      <c r="O748" s="3"/>
      <c r="P748" s="3"/>
      <c r="Q748" s="3"/>
      <c r="R748" s="3"/>
      <c r="S748" s="3"/>
      <c r="T748" s="3"/>
    </row>
    <row r="749">
      <c r="A749" s="3"/>
      <c r="B749" s="3"/>
      <c r="C749" s="3"/>
      <c r="D749" s="3"/>
      <c r="E749" s="3"/>
      <c r="F749" s="3"/>
      <c r="G749" s="3"/>
      <c r="H749" s="3"/>
      <c r="I749" s="3"/>
      <c r="J749" s="3"/>
      <c r="K749" s="3"/>
      <c r="L749" s="3"/>
      <c r="M749" s="3"/>
      <c r="N749" s="3"/>
      <c r="O749" s="3"/>
      <c r="P749" s="3"/>
      <c r="Q749" s="3"/>
      <c r="R749" s="3"/>
      <c r="S749" s="3"/>
      <c r="T749" s="3"/>
    </row>
    <row r="750">
      <c r="A750" s="3"/>
      <c r="B750" s="3"/>
      <c r="C750" s="3"/>
      <c r="D750" s="3"/>
      <c r="E750" s="3"/>
      <c r="F750" s="3"/>
      <c r="G750" s="3"/>
      <c r="H750" s="3"/>
      <c r="I750" s="3"/>
      <c r="J750" s="3"/>
      <c r="K750" s="3"/>
      <c r="L750" s="3"/>
      <c r="M750" s="3"/>
      <c r="N750" s="3"/>
      <c r="O750" s="3"/>
      <c r="P750" s="3"/>
      <c r="Q750" s="3"/>
      <c r="R750" s="3"/>
      <c r="S750" s="3"/>
      <c r="T750" s="3"/>
    </row>
    <row r="751">
      <c r="A751" s="3"/>
      <c r="B751" s="3"/>
      <c r="C751" s="3"/>
      <c r="D751" s="3"/>
      <c r="E751" s="3"/>
      <c r="F751" s="3"/>
      <c r="G751" s="3"/>
      <c r="H751" s="3"/>
      <c r="I751" s="3"/>
      <c r="J751" s="3"/>
      <c r="K751" s="3"/>
      <c r="L751" s="3"/>
      <c r="M751" s="3"/>
      <c r="N751" s="3"/>
      <c r="O751" s="3"/>
      <c r="P751" s="3"/>
      <c r="Q751" s="3"/>
      <c r="R751" s="3"/>
      <c r="S751" s="3"/>
      <c r="T751" s="3"/>
    </row>
    <row r="752">
      <c r="A752" s="3"/>
      <c r="B752" s="3"/>
      <c r="C752" s="3"/>
      <c r="D752" s="3"/>
      <c r="E752" s="3"/>
      <c r="F752" s="3"/>
      <c r="G752" s="3"/>
      <c r="H752" s="3"/>
      <c r="I752" s="3"/>
      <c r="J752" s="3"/>
      <c r="K752" s="3"/>
      <c r="L752" s="3"/>
      <c r="M752" s="3"/>
      <c r="N752" s="3"/>
      <c r="O752" s="3"/>
      <c r="P752" s="3"/>
      <c r="Q752" s="3"/>
      <c r="R752" s="3"/>
      <c r="S752" s="3"/>
      <c r="T752" s="3"/>
    </row>
    <row r="753">
      <c r="A753" s="3"/>
      <c r="B753" s="3"/>
      <c r="C753" s="3"/>
      <c r="D753" s="3"/>
      <c r="E753" s="3"/>
      <c r="F753" s="3"/>
      <c r="G753" s="3"/>
      <c r="H753" s="3"/>
      <c r="I753" s="3"/>
      <c r="J753" s="3"/>
      <c r="K753" s="3"/>
      <c r="L753" s="3"/>
      <c r="M753" s="3"/>
      <c r="N753" s="3"/>
      <c r="O753" s="3"/>
      <c r="P753" s="3"/>
      <c r="Q753" s="3"/>
      <c r="R753" s="3"/>
      <c r="S753" s="3"/>
      <c r="T753" s="3"/>
    </row>
    <row r="754">
      <c r="A754" s="3"/>
      <c r="B754" s="3"/>
      <c r="C754" s="3"/>
      <c r="D754" s="3"/>
      <c r="E754" s="3"/>
      <c r="F754" s="3"/>
      <c r="G754" s="3"/>
      <c r="H754" s="3"/>
      <c r="I754" s="3"/>
      <c r="J754" s="3"/>
      <c r="K754" s="3"/>
      <c r="L754" s="3"/>
      <c r="M754" s="3"/>
      <c r="N754" s="3"/>
      <c r="O754" s="3"/>
      <c r="P754" s="3"/>
      <c r="Q754" s="3"/>
      <c r="R754" s="3"/>
      <c r="S754" s="3"/>
      <c r="T754" s="3"/>
    </row>
    <row r="755">
      <c r="A755" s="3"/>
      <c r="B755" s="3"/>
      <c r="C755" s="3"/>
      <c r="D755" s="3"/>
      <c r="E755" s="3"/>
      <c r="F755" s="3"/>
      <c r="G755" s="3"/>
      <c r="H755" s="3"/>
      <c r="I755" s="3"/>
      <c r="J755" s="3"/>
      <c r="K755" s="3"/>
      <c r="L755" s="3"/>
      <c r="M755" s="3"/>
      <c r="N755" s="3"/>
      <c r="O755" s="3"/>
      <c r="P755" s="3"/>
      <c r="Q755" s="3"/>
      <c r="R755" s="3"/>
      <c r="S755" s="3"/>
      <c r="T755" s="3"/>
    </row>
    <row r="756">
      <c r="A756" s="3"/>
      <c r="B756" s="3"/>
      <c r="C756" s="3"/>
      <c r="D756" s="3"/>
      <c r="E756" s="3"/>
      <c r="F756" s="3"/>
      <c r="G756" s="3"/>
      <c r="H756" s="3"/>
      <c r="I756" s="3"/>
      <c r="J756" s="3"/>
      <c r="K756" s="3"/>
      <c r="L756" s="3"/>
      <c r="M756" s="3"/>
      <c r="N756" s="3"/>
      <c r="O756" s="3"/>
      <c r="P756" s="3"/>
      <c r="Q756" s="3"/>
      <c r="R756" s="3"/>
      <c r="S756" s="3"/>
      <c r="T756" s="3"/>
    </row>
    <row r="757">
      <c r="A757" s="3"/>
      <c r="B757" s="3"/>
      <c r="C757" s="3"/>
      <c r="D757" s="3"/>
      <c r="E757" s="3"/>
      <c r="F757" s="3"/>
      <c r="G757" s="3"/>
      <c r="H757" s="3"/>
      <c r="I757" s="3"/>
      <c r="J757" s="3"/>
      <c r="K757" s="3"/>
      <c r="L757" s="3"/>
      <c r="M757" s="3"/>
      <c r="N757" s="3"/>
      <c r="O757" s="3"/>
      <c r="P757" s="3"/>
      <c r="Q757" s="3"/>
      <c r="R757" s="3"/>
      <c r="S757" s="3"/>
      <c r="T757" s="3"/>
    </row>
    <row r="758">
      <c r="A758" s="3"/>
      <c r="B758" s="3"/>
      <c r="C758" s="3"/>
      <c r="D758" s="3"/>
      <c r="E758" s="3"/>
      <c r="F758" s="3"/>
      <c r="G758" s="3"/>
      <c r="H758" s="3"/>
      <c r="I758" s="3"/>
      <c r="J758" s="3"/>
      <c r="K758" s="3"/>
      <c r="L758" s="3"/>
      <c r="M758" s="3"/>
      <c r="N758" s="3"/>
      <c r="O758" s="3"/>
      <c r="P758" s="3"/>
      <c r="Q758" s="3"/>
      <c r="R758" s="3"/>
      <c r="S758" s="3"/>
      <c r="T758" s="3"/>
    </row>
    <row r="759">
      <c r="A759" s="3"/>
      <c r="B759" s="3"/>
      <c r="C759" s="3"/>
      <c r="D759" s="3"/>
      <c r="E759" s="3"/>
      <c r="F759" s="3"/>
      <c r="G759" s="3"/>
      <c r="H759" s="3"/>
      <c r="I759" s="3"/>
      <c r="J759" s="3"/>
      <c r="K759" s="3"/>
      <c r="L759" s="3"/>
      <c r="M759" s="3"/>
      <c r="N759" s="3"/>
      <c r="O759" s="3"/>
      <c r="P759" s="3"/>
      <c r="Q759" s="3"/>
      <c r="R759" s="3"/>
      <c r="S759" s="3"/>
      <c r="T759" s="3"/>
    </row>
    <row r="760">
      <c r="A760" s="3"/>
      <c r="B760" s="3"/>
      <c r="C760" s="3"/>
      <c r="D760" s="3"/>
      <c r="E760" s="3"/>
      <c r="F760" s="3"/>
      <c r="G760" s="3"/>
      <c r="H760" s="3"/>
      <c r="I760" s="3"/>
      <c r="J760" s="3"/>
      <c r="K760" s="3"/>
      <c r="L760" s="3"/>
      <c r="M760" s="3"/>
      <c r="N760" s="3"/>
      <c r="O760" s="3"/>
      <c r="P760" s="3"/>
      <c r="Q760" s="3"/>
      <c r="R760" s="3"/>
      <c r="S760" s="3"/>
      <c r="T760" s="3"/>
    </row>
    <row r="761">
      <c r="A761" s="3"/>
      <c r="B761" s="3"/>
      <c r="C761" s="3"/>
      <c r="D761" s="3"/>
      <c r="E761" s="3"/>
      <c r="F761" s="3"/>
      <c r="G761" s="3"/>
      <c r="H761" s="3"/>
      <c r="I761" s="3"/>
      <c r="J761" s="3"/>
      <c r="K761" s="3"/>
      <c r="L761" s="3"/>
      <c r="M761" s="3"/>
      <c r="N761" s="3"/>
      <c r="O761" s="3"/>
      <c r="P761" s="3"/>
      <c r="Q761" s="3"/>
      <c r="R761" s="3"/>
      <c r="S761" s="3"/>
      <c r="T761" s="3"/>
    </row>
    <row r="762">
      <c r="A762" s="3"/>
      <c r="B762" s="3"/>
      <c r="C762" s="3"/>
      <c r="D762" s="3"/>
      <c r="E762" s="3"/>
      <c r="F762" s="3"/>
      <c r="G762" s="3"/>
      <c r="H762" s="3"/>
      <c r="I762" s="3"/>
      <c r="J762" s="3"/>
      <c r="K762" s="3"/>
      <c r="L762" s="3"/>
      <c r="M762" s="3"/>
      <c r="N762" s="3"/>
      <c r="O762" s="3"/>
      <c r="P762" s="3"/>
      <c r="Q762" s="3"/>
      <c r="R762" s="3"/>
      <c r="S762" s="3"/>
      <c r="T762" s="3"/>
    </row>
    <row r="763">
      <c r="A763" s="3"/>
      <c r="B763" s="3"/>
      <c r="C763" s="3"/>
      <c r="D763" s="3"/>
      <c r="E763" s="3"/>
      <c r="F763" s="3"/>
      <c r="G763" s="3"/>
      <c r="H763" s="3"/>
      <c r="I763" s="3"/>
      <c r="J763" s="3"/>
      <c r="K763" s="3"/>
      <c r="L763" s="3"/>
      <c r="M763" s="3"/>
      <c r="N763" s="3"/>
      <c r="O763" s="3"/>
      <c r="P763" s="3"/>
      <c r="Q763" s="3"/>
      <c r="R763" s="3"/>
      <c r="S763" s="3"/>
      <c r="T763" s="3"/>
    </row>
    <row r="764">
      <c r="A764" s="3"/>
      <c r="B764" s="3"/>
      <c r="C764" s="3"/>
      <c r="D764" s="3"/>
      <c r="E764" s="3"/>
      <c r="F764" s="3"/>
      <c r="G764" s="3"/>
      <c r="H764" s="3"/>
      <c r="I764" s="3"/>
      <c r="J764" s="3"/>
      <c r="K764" s="3"/>
      <c r="L764" s="3"/>
      <c r="M764" s="3"/>
      <c r="N764" s="3"/>
      <c r="O764" s="3"/>
      <c r="P764" s="3"/>
      <c r="Q764" s="3"/>
      <c r="R764" s="3"/>
      <c r="S764" s="3"/>
      <c r="T764" s="3"/>
    </row>
    <row r="765">
      <c r="A765" s="3"/>
      <c r="B765" s="3"/>
      <c r="C765" s="3"/>
      <c r="D765" s="3"/>
      <c r="E765" s="3"/>
      <c r="F765" s="3"/>
      <c r="G765" s="3"/>
      <c r="H765" s="3"/>
      <c r="I765" s="3"/>
      <c r="J765" s="3"/>
      <c r="K765" s="3"/>
      <c r="L765" s="3"/>
      <c r="M765" s="3"/>
      <c r="N765" s="3"/>
      <c r="O765" s="3"/>
      <c r="P765" s="3"/>
      <c r="Q765" s="3"/>
      <c r="R765" s="3"/>
      <c r="S765" s="3"/>
      <c r="T765" s="3"/>
    </row>
    <row r="766">
      <c r="A766" s="3"/>
      <c r="B766" s="3"/>
      <c r="C766" s="3"/>
      <c r="D766" s="3"/>
      <c r="E766" s="3"/>
      <c r="F766" s="3"/>
      <c r="G766" s="3"/>
      <c r="H766" s="3"/>
      <c r="I766" s="3"/>
      <c r="J766" s="3"/>
      <c r="K766" s="3"/>
      <c r="L766" s="3"/>
      <c r="M766" s="3"/>
      <c r="N766" s="3"/>
      <c r="O766" s="3"/>
      <c r="P766" s="3"/>
      <c r="Q766" s="3"/>
      <c r="R766" s="3"/>
      <c r="S766" s="3"/>
      <c r="T766" s="3"/>
    </row>
    <row r="767">
      <c r="A767" s="3"/>
      <c r="B767" s="3"/>
      <c r="C767" s="3"/>
      <c r="D767" s="3"/>
      <c r="E767" s="3"/>
      <c r="F767" s="3"/>
      <c r="G767" s="3"/>
      <c r="H767" s="3"/>
      <c r="I767" s="3"/>
      <c r="J767" s="3"/>
      <c r="K767" s="3"/>
      <c r="L767" s="3"/>
      <c r="M767" s="3"/>
      <c r="N767" s="3"/>
      <c r="O767" s="3"/>
      <c r="P767" s="3"/>
      <c r="Q767" s="3"/>
      <c r="R767" s="3"/>
      <c r="S767" s="3"/>
      <c r="T767" s="3"/>
    </row>
    <row r="768">
      <c r="A768" s="3"/>
      <c r="B768" s="3"/>
      <c r="C768" s="3"/>
      <c r="D768" s="3"/>
      <c r="E768" s="3"/>
      <c r="F768" s="3"/>
      <c r="G768" s="3"/>
      <c r="H768" s="3"/>
      <c r="I768" s="3"/>
      <c r="J768" s="3"/>
      <c r="K768" s="3"/>
      <c r="L768" s="3"/>
      <c r="M768" s="3"/>
      <c r="N768" s="3"/>
      <c r="O768" s="3"/>
      <c r="P768" s="3"/>
      <c r="Q768" s="3"/>
      <c r="R768" s="3"/>
      <c r="S768" s="3"/>
      <c r="T768" s="3"/>
    </row>
    <row r="769">
      <c r="A769" s="3"/>
      <c r="B769" s="3"/>
      <c r="C769" s="3"/>
      <c r="D769" s="3"/>
      <c r="E769" s="3"/>
      <c r="F769" s="3"/>
      <c r="G769" s="3"/>
      <c r="H769" s="3"/>
      <c r="I769" s="3"/>
      <c r="J769" s="3"/>
      <c r="K769" s="3"/>
      <c r="L769" s="3"/>
      <c r="M769" s="3"/>
      <c r="N769" s="3"/>
      <c r="O769" s="3"/>
      <c r="P769" s="3"/>
      <c r="Q769" s="3"/>
      <c r="R769" s="3"/>
      <c r="S769" s="3"/>
      <c r="T769" s="3"/>
    </row>
    <row r="770">
      <c r="A770" s="3"/>
      <c r="B770" s="3"/>
      <c r="C770" s="3"/>
      <c r="D770" s="3"/>
      <c r="E770" s="3"/>
      <c r="F770" s="3"/>
      <c r="G770" s="3"/>
      <c r="H770" s="3"/>
      <c r="I770" s="3"/>
      <c r="J770" s="3"/>
      <c r="K770" s="3"/>
      <c r="L770" s="3"/>
      <c r="M770" s="3"/>
      <c r="N770" s="3"/>
      <c r="O770" s="3"/>
      <c r="P770" s="3"/>
      <c r="Q770" s="3"/>
      <c r="R770" s="3"/>
      <c r="S770" s="3"/>
      <c r="T770" s="3"/>
    </row>
    <row r="771">
      <c r="A771" s="3"/>
      <c r="B771" s="3"/>
      <c r="C771" s="3"/>
      <c r="D771" s="3"/>
      <c r="E771" s="3"/>
      <c r="F771" s="3"/>
      <c r="G771" s="3"/>
      <c r="H771" s="3"/>
      <c r="I771" s="3"/>
      <c r="J771" s="3"/>
      <c r="K771" s="3"/>
      <c r="L771" s="3"/>
      <c r="M771" s="3"/>
      <c r="N771" s="3"/>
      <c r="O771" s="3"/>
      <c r="P771" s="3"/>
      <c r="Q771" s="3"/>
      <c r="R771" s="3"/>
      <c r="S771" s="3"/>
      <c r="T771" s="3"/>
    </row>
    <row r="772">
      <c r="A772" s="3"/>
      <c r="B772" s="3"/>
      <c r="C772" s="3"/>
      <c r="D772" s="3"/>
      <c r="E772" s="3"/>
      <c r="F772" s="3"/>
      <c r="G772" s="3"/>
      <c r="H772" s="3"/>
      <c r="I772" s="3"/>
      <c r="J772" s="3"/>
      <c r="K772" s="3"/>
      <c r="L772" s="3"/>
      <c r="M772" s="3"/>
      <c r="N772" s="3"/>
      <c r="O772" s="3"/>
      <c r="P772" s="3"/>
      <c r="Q772" s="3"/>
      <c r="R772" s="3"/>
      <c r="S772" s="3"/>
      <c r="T772" s="3"/>
    </row>
    <row r="773">
      <c r="A773" s="3"/>
      <c r="B773" s="3"/>
      <c r="C773" s="3"/>
      <c r="D773" s="3"/>
      <c r="E773" s="3"/>
      <c r="F773" s="3"/>
      <c r="G773" s="3"/>
      <c r="H773" s="3"/>
      <c r="I773" s="3"/>
      <c r="J773" s="3"/>
      <c r="K773" s="3"/>
      <c r="L773" s="3"/>
      <c r="M773" s="3"/>
      <c r="N773" s="3"/>
      <c r="O773" s="3"/>
      <c r="P773" s="3"/>
      <c r="Q773" s="3"/>
      <c r="R773" s="3"/>
      <c r="S773" s="3"/>
      <c r="T773" s="3"/>
    </row>
    <row r="774">
      <c r="A774" s="3"/>
      <c r="B774" s="3"/>
      <c r="C774" s="3"/>
      <c r="D774" s="3"/>
      <c r="E774" s="3"/>
      <c r="F774" s="3"/>
      <c r="G774" s="3"/>
      <c r="H774" s="3"/>
      <c r="I774" s="3"/>
      <c r="J774" s="3"/>
      <c r="K774" s="3"/>
      <c r="L774" s="3"/>
      <c r="M774" s="3"/>
      <c r="N774" s="3"/>
      <c r="O774" s="3"/>
      <c r="P774" s="3"/>
      <c r="Q774" s="3"/>
      <c r="R774" s="3"/>
      <c r="S774" s="3"/>
      <c r="T774" s="3"/>
    </row>
    <row r="775">
      <c r="A775" s="3"/>
      <c r="B775" s="3"/>
      <c r="C775" s="3"/>
      <c r="D775" s="3"/>
      <c r="E775" s="3"/>
      <c r="F775" s="3"/>
      <c r="G775" s="3"/>
      <c r="H775" s="3"/>
      <c r="I775" s="3"/>
      <c r="J775" s="3"/>
      <c r="K775" s="3"/>
      <c r="L775" s="3"/>
      <c r="M775" s="3"/>
      <c r="N775" s="3"/>
      <c r="O775" s="3"/>
      <c r="P775" s="3"/>
      <c r="Q775" s="3"/>
      <c r="R775" s="3"/>
      <c r="S775" s="3"/>
      <c r="T775" s="3"/>
    </row>
    <row r="776">
      <c r="A776" s="3"/>
      <c r="B776" s="3"/>
      <c r="C776" s="3"/>
      <c r="D776" s="3"/>
      <c r="E776" s="3"/>
      <c r="F776" s="3"/>
      <c r="G776" s="3"/>
      <c r="H776" s="3"/>
      <c r="I776" s="3"/>
      <c r="J776" s="3"/>
      <c r="K776" s="3"/>
      <c r="L776" s="3"/>
      <c r="M776" s="3"/>
      <c r="N776" s="3"/>
      <c r="O776" s="3"/>
      <c r="P776" s="3"/>
      <c r="Q776" s="3"/>
      <c r="R776" s="3"/>
      <c r="S776" s="3"/>
      <c r="T776" s="3"/>
    </row>
    <row r="777">
      <c r="A777" s="3"/>
      <c r="B777" s="3"/>
      <c r="C777" s="3"/>
      <c r="D777" s="3"/>
      <c r="E777" s="3"/>
      <c r="F777" s="3"/>
      <c r="G777" s="3"/>
      <c r="H777" s="3"/>
      <c r="I777" s="3"/>
      <c r="J777" s="3"/>
      <c r="K777" s="3"/>
      <c r="L777" s="3"/>
      <c r="M777" s="3"/>
      <c r="N777" s="3"/>
      <c r="O777" s="3"/>
      <c r="P777" s="3"/>
      <c r="Q777" s="3"/>
      <c r="R777" s="3"/>
      <c r="S777" s="3"/>
      <c r="T777" s="3"/>
    </row>
    <row r="778">
      <c r="A778" s="3"/>
      <c r="B778" s="3"/>
      <c r="C778" s="3"/>
      <c r="D778" s="3"/>
      <c r="E778" s="3"/>
      <c r="F778" s="3"/>
      <c r="G778" s="3"/>
      <c r="H778" s="3"/>
      <c r="I778" s="3"/>
      <c r="J778" s="3"/>
      <c r="K778" s="3"/>
      <c r="L778" s="3"/>
      <c r="M778" s="3"/>
      <c r="N778" s="3"/>
      <c r="O778" s="3"/>
      <c r="P778" s="3"/>
      <c r="Q778" s="3"/>
      <c r="R778" s="3"/>
      <c r="S778" s="3"/>
      <c r="T778" s="3"/>
    </row>
    <row r="779">
      <c r="A779" s="3"/>
      <c r="B779" s="3"/>
      <c r="C779" s="3"/>
      <c r="D779" s="3"/>
      <c r="E779" s="3"/>
      <c r="F779" s="3"/>
      <c r="G779" s="3"/>
      <c r="H779" s="3"/>
      <c r="I779" s="3"/>
      <c r="J779" s="3"/>
      <c r="K779" s="3"/>
      <c r="L779" s="3"/>
      <c r="M779" s="3"/>
      <c r="N779" s="3"/>
      <c r="O779" s="3"/>
      <c r="P779" s="3"/>
      <c r="Q779" s="3"/>
      <c r="R779" s="3"/>
      <c r="S779" s="3"/>
      <c r="T779" s="3"/>
    </row>
    <row r="780">
      <c r="A780" s="3"/>
      <c r="B780" s="3"/>
      <c r="C780" s="3"/>
      <c r="D780" s="3"/>
      <c r="E780" s="3"/>
      <c r="F780" s="3"/>
      <c r="G780" s="3"/>
      <c r="H780" s="3"/>
      <c r="I780" s="3"/>
      <c r="J780" s="3"/>
      <c r="K780" s="3"/>
      <c r="L780" s="3"/>
      <c r="M780" s="3"/>
      <c r="N780" s="3"/>
      <c r="O780" s="3"/>
      <c r="P780" s="3"/>
      <c r="Q780" s="3"/>
      <c r="R780" s="3"/>
      <c r="S780" s="3"/>
      <c r="T780" s="3"/>
    </row>
    <row r="781">
      <c r="A781" s="3"/>
      <c r="B781" s="3"/>
      <c r="C781" s="3"/>
      <c r="D781" s="3"/>
      <c r="E781" s="3"/>
      <c r="F781" s="3"/>
      <c r="G781" s="3"/>
      <c r="H781" s="3"/>
      <c r="I781" s="3"/>
      <c r="J781" s="3"/>
      <c r="K781" s="3"/>
      <c r="L781" s="3"/>
      <c r="M781" s="3"/>
      <c r="N781" s="3"/>
      <c r="O781" s="3"/>
      <c r="P781" s="3"/>
      <c r="Q781" s="3"/>
      <c r="R781" s="3"/>
      <c r="S781" s="3"/>
      <c r="T781" s="3"/>
    </row>
    <row r="782">
      <c r="A782" s="3"/>
      <c r="B782" s="3"/>
      <c r="C782" s="3"/>
      <c r="D782" s="3"/>
      <c r="E782" s="3"/>
      <c r="F782" s="3"/>
      <c r="G782" s="3"/>
      <c r="H782" s="3"/>
      <c r="I782" s="3"/>
      <c r="J782" s="3"/>
      <c r="K782" s="3"/>
      <c r="L782" s="3"/>
      <c r="M782" s="3"/>
      <c r="N782" s="3"/>
      <c r="O782" s="3"/>
      <c r="P782" s="3"/>
      <c r="Q782" s="3"/>
      <c r="R782" s="3"/>
      <c r="S782" s="3"/>
      <c r="T782" s="3"/>
    </row>
    <row r="783">
      <c r="A783" s="3"/>
      <c r="B783" s="3"/>
      <c r="C783" s="3"/>
      <c r="D783" s="3"/>
      <c r="E783" s="3"/>
      <c r="F783" s="3"/>
      <c r="G783" s="3"/>
      <c r="H783" s="3"/>
      <c r="I783" s="3"/>
      <c r="J783" s="3"/>
      <c r="K783" s="3"/>
      <c r="L783" s="3"/>
      <c r="M783" s="3"/>
      <c r="N783" s="3"/>
      <c r="O783" s="3"/>
      <c r="P783" s="3"/>
      <c r="Q783" s="3"/>
      <c r="R783" s="3"/>
      <c r="S783" s="3"/>
      <c r="T783" s="3"/>
    </row>
    <row r="784">
      <c r="A784" s="3"/>
      <c r="B784" s="3"/>
      <c r="C784" s="3"/>
      <c r="D784" s="3"/>
      <c r="E784" s="3"/>
      <c r="F784" s="3"/>
      <c r="G784" s="3"/>
      <c r="H784" s="3"/>
      <c r="I784" s="3"/>
      <c r="J784" s="3"/>
      <c r="K784" s="3"/>
      <c r="L784" s="3"/>
      <c r="M784" s="3"/>
      <c r="N784" s="3"/>
      <c r="O784" s="3"/>
      <c r="P784" s="3"/>
      <c r="Q784" s="3"/>
      <c r="R784" s="3"/>
      <c r="S784" s="3"/>
      <c r="T784" s="3"/>
    </row>
    <row r="785">
      <c r="A785" s="3"/>
      <c r="B785" s="3"/>
      <c r="C785" s="3"/>
      <c r="D785" s="3"/>
      <c r="E785" s="3"/>
      <c r="F785" s="3"/>
      <c r="G785" s="3"/>
      <c r="H785" s="3"/>
      <c r="I785" s="3"/>
      <c r="J785" s="3"/>
      <c r="K785" s="3"/>
      <c r="L785" s="3"/>
      <c r="M785" s="3"/>
      <c r="N785" s="3"/>
      <c r="O785" s="3"/>
      <c r="P785" s="3"/>
      <c r="Q785" s="3"/>
      <c r="R785" s="3"/>
      <c r="S785" s="3"/>
      <c r="T785" s="3"/>
    </row>
    <row r="786">
      <c r="A786" s="3"/>
      <c r="B786" s="3"/>
      <c r="C786" s="3"/>
      <c r="D786" s="3"/>
      <c r="E786" s="3"/>
      <c r="F786" s="3"/>
      <c r="G786" s="3"/>
      <c r="H786" s="3"/>
      <c r="I786" s="3"/>
      <c r="J786" s="3"/>
      <c r="K786" s="3"/>
      <c r="L786" s="3"/>
      <c r="M786" s="3"/>
      <c r="N786" s="3"/>
      <c r="O786" s="3"/>
      <c r="P786" s="3"/>
      <c r="Q786" s="3"/>
      <c r="R786" s="3"/>
      <c r="S786" s="3"/>
      <c r="T786" s="3"/>
    </row>
    <row r="787">
      <c r="A787" s="3"/>
      <c r="B787" s="3"/>
      <c r="C787" s="3"/>
      <c r="D787" s="3"/>
      <c r="E787" s="3"/>
      <c r="F787" s="3"/>
      <c r="G787" s="3"/>
      <c r="H787" s="3"/>
      <c r="I787" s="3"/>
      <c r="J787" s="3"/>
      <c r="K787" s="3"/>
      <c r="L787" s="3"/>
      <c r="M787" s="3"/>
      <c r="N787" s="3"/>
      <c r="O787" s="3"/>
      <c r="P787" s="3"/>
      <c r="Q787" s="3"/>
      <c r="R787" s="3"/>
      <c r="S787" s="3"/>
      <c r="T787" s="3"/>
    </row>
    <row r="788">
      <c r="A788" s="3"/>
      <c r="B788" s="3"/>
      <c r="C788" s="3"/>
      <c r="D788" s="3"/>
      <c r="E788" s="3"/>
      <c r="F788" s="3"/>
      <c r="G788" s="3"/>
      <c r="H788" s="3"/>
      <c r="I788" s="3"/>
      <c r="J788" s="3"/>
      <c r="K788" s="3"/>
      <c r="L788" s="3"/>
      <c r="M788" s="3"/>
      <c r="N788" s="3"/>
      <c r="O788" s="3"/>
      <c r="P788" s="3"/>
      <c r="Q788" s="3"/>
      <c r="R788" s="3"/>
      <c r="S788" s="3"/>
      <c r="T788" s="3"/>
    </row>
    <row r="789">
      <c r="A789" s="3"/>
      <c r="B789" s="3"/>
      <c r="C789" s="3"/>
      <c r="D789" s="3"/>
      <c r="E789" s="3"/>
      <c r="F789" s="3"/>
      <c r="G789" s="3"/>
      <c r="H789" s="3"/>
      <c r="I789" s="3"/>
      <c r="J789" s="3"/>
      <c r="K789" s="3"/>
      <c r="L789" s="3"/>
      <c r="M789" s="3"/>
      <c r="N789" s="3"/>
      <c r="O789" s="3"/>
      <c r="P789" s="3"/>
      <c r="Q789" s="3"/>
      <c r="R789" s="3"/>
      <c r="S789" s="3"/>
      <c r="T789" s="3"/>
    </row>
    <row r="790">
      <c r="A790" s="3"/>
      <c r="B790" s="3"/>
      <c r="C790" s="3"/>
      <c r="D790" s="3"/>
      <c r="E790" s="3"/>
      <c r="F790" s="3"/>
      <c r="G790" s="3"/>
      <c r="H790" s="3"/>
      <c r="I790" s="3"/>
      <c r="J790" s="3"/>
      <c r="K790" s="3"/>
      <c r="L790" s="3"/>
      <c r="M790" s="3"/>
      <c r="N790" s="3"/>
      <c r="O790" s="3"/>
      <c r="P790" s="3"/>
      <c r="Q790" s="3"/>
      <c r="R790" s="3"/>
      <c r="S790" s="3"/>
      <c r="T790" s="3"/>
    </row>
    <row r="791">
      <c r="A791" s="3"/>
      <c r="B791" s="3"/>
      <c r="C791" s="3"/>
      <c r="D791" s="3"/>
      <c r="E791" s="3"/>
      <c r="F791" s="3"/>
      <c r="G791" s="3"/>
      <c r="H791" s="3"/>
      <c r="I791" s="3"/>
      <c r="J791" s="3"/>
      <c r="K791" s="3"/>
      <c r="L791" s="3"/>
      <c r="M791" s="3"/>
      <c r="N791" s="3"/>
      <c r="O791" s="3"/>
      <c r="P791" s="3"/>
      <c r="Q791" s="3"/>
      <c r="R791" s="3"/>
      <c r="S791" s="3"/>
      <c r="T791" s="3"/>
    </row>
    <row r="792">
      <c r="A792" s="3"/>
      <c r="B792" s="3"/>
      <c r="C792" s="3"/>
      <c r="D792" s="3"/>
      <c r="E792" s="3"/>
      <c r="F792" s="3"/>
      <c r="G792" s="3"/>
      <c r="H792" s="3"/>
      <c r="I792" s="3"/>
      <c r="J792" s="3"/>
      <c r="K792" s="3"/>
      <c r="L792" s="3"/>
      <c r="M792" s="3"/>
      <c r="N792" s="3"/>
      <c r="O792" s="3"/>
      <c r="P792" s="3"/>
      <c r="Q792" s="3"/>
      <c r="R792" s="3"/>
      <c r="S792" s="3"/>
      <c r="T792" s="3"/>
    </row>
    <row r="793">
      <c r="A793" s="3"/>
      <c r="B793" s="3"/>
      <c r="C793" s="3"/>
      <c r="D793" s="3"/>
      <c r="E793" s="3"/>
      <c r="F793" s="3"/>
      <c r="G793" s="3"/>
      <c r="H793" s="3"/>
      <c r="I793" s="3"/>
      <c r="J793" s="3"/>
      <c r="K793" s="3"/>
      <c r="L793" s="3"/>
      <c r="M793" s="3"/>
      <c r="N793" s="3"/>
      <c r="O793" s="3"/>
      <c r="P793" s="3"/>
      <c r="Q793" s="3"/>
      <c r="R793" s="3"/>
      <c r="S793" s="3"/>
      <c r="T793" s="3"/>
    </row>
    <row r="794">
      <c r="A794" s="3"/>
      <c r="B794" s="3"/>
      <c r="C794" s="3"/>
      <c r="D794" s="3"/>
      <c r="E794" s="3"/>
      <c r="F794" s="3"/>
      <c r="G794" s="3"/>
      <c r="H794" s="3"/>
      <c r="I794" s="3"/>
      <c r="J794" s="3"/>
      <c r="K794" s="3"/>
      <c r="L794" s="3"/>
      <c r="M794" s="3"/>
      <c r="N794" s="3"/>
      <c r="O794" s="3"/>
      <c r="P794" s="3"/>
      <c r="Q794" s="3"/>
      <c r="R794" s="3"/>
      <c r="S794" s="3"/>
      <c r="T794" s="3"/>
    </row>
    <row r="795">
      <c r="A795" s="3"/>
      <c r="B795" s="3"/>
      <c r="C795" s="3"/>
      <c r="D795" s="3"/>
      <c r="E795" s="3"/>
      <c r="F795" s="3"/>
      <c r="G795" s="3"/>
      <c r="H795" s="3"/>
      <c r="I795" s="3"/>
      <c r="J795" s="3"/>
      <c r="K795" s="3"/>
      <c r="L795" s="3"/>
      <c r="M795" s="3"/>
      <c r="N795" s="3"/>
      <c r="O795" s="3"/>
      <c r="P795" s="3"/>
      <c r="Q795" s="3"/>
      <c r="R795" s="3"/>
      <c r="S795" s="3"/>
      <c r="T795" s="3"/>
    </row>
    <row r="796">
      <c r="A796" s="3"/>
      <c r="B796" s="3"/>
      <c r="C796" s="3"/>
      <c r="D796" s="3"/>
      <c r="E796" s="3"/>
      <c r="F796" s="3"/>
      <c r="G796" s="3"/>
      <c r="H796" s="3"/>
      <c r="I796" s="3"/>
      <c r="J796" s="3"/>
      <c r="K796" s="3"/>
      <c r="L796" s="3"/>
      <c r="M796" s="3"/>
      <c r="N796" s="3"/>
      <c r="O796" s="3"/>
      <c r="P796" s="3"/>
      <c r="Q796" s="3"/>
      <c r="R796" s="3"/>
      <c r="S796" s="3"/>
      <c r="T796" s="3"/>
    </row>
    <row r="797">
      <c r="A797" s="3"/>
      <c r="B797" s="3"/>
      <c r="C797" s="3"/>
      <c r="D797" s="3"/>
      <c r="E797" s="3"/>
      <c r="F797" s="3"/>
      <c r="G797" s="3"/>
      <c r="H797" s="3"/>
      <c r="I797" s="3"/>
      <c r="J797" s="3"/>
      <c r="K797" s="3"/>
      <c r="L797" s="3"/>
      <c r="M797" s="3"/>
      <c r="N797" s="3"/>
      <c r="O797" s="3"/>
      <c r="P797" s="3"/>
      <c r="Q797" s="3"/>
      <c r="R797" s="3"/>
      <c r="S797" s="3"/>
      <c r="T797" s="3"/>
    </row>
    <row r="798">
      <c r="A798" s="3"/>
      <c r="B798" s="3"/>
      <c r="C798" s="3"/>
      <c r="D798" s="3"/>
      <c r="E798" s="3"/>
      <c r="F798" s="3"/>
      <c r="G798" s="3"/>
      <c r="H798" s="3"/>
      <c r="I798" s="3"/>
      <c r="J798" s="3"/>
      <c r="K798" s="3"/>
      <c r="L798" s="3"/>
      <c r="M798" s="3"/>
      <c r="N798" s="3"/>
      <c r="O798" s="3"/>
      <c r="P798" s="3"/>
      <c r="Q798" s="3"/>
      <c r="R798" s="3"/>
      <c r="S798" s="3"/>
      <c r="T798" s="3"/>
    </row>
    <row r="799">
      <c r="A799" s="3"/>
      <c r="B799" s="3"/>
      <c r="C799" s="3"/>
      <c r="D799" s="3"/>
      <c r="E799" s="3"/>
      <c r="F799" s="3"/>
      <c r="G799" s="3"/>
      <c r="H799" s="3"/>
      <c r="I799" s="3"/>
      <c r="J799" s="3"/>
      <c r="K799" s="3"/>
      <c r="L799" s="3"/>
      <c r="M799" s="3"/>
      <c r="N799" s="3"/>
      <c r="O799" s="3"/>
      <c r="P799" s="3"/>
      <c r="Q799" s="3"/>
      <c r="R799" s="3"/>
      <c r="S799" s="3"/>
      <c r="T799" s="3"/>
    </row>
    <row r="800">
      <c r="A800" s="3"/>
      <c r="B800" s="3"/>
      <c r="C800" s="3"/>
      <c r="D800" s="3"/>
      <c r="E800" s="3"/>
      <c r="F800" s="3"/>
      <c r="G800" s="3"/>
      <c r="H800" s="3"/>
      <c r="I800" s="3"/>
      <c r="J800" s="3"/>
      <c r="K800" s="3"/>
      <c r="L800" s="3"/>
      <c r="M800" s="3"/>
      <c r="N800" s="3"/>
      <c r="O800" s="3"/>
      <c r="P800" s="3"/>
      <c r="Q800" s="3"/>
      <c r="R800" s="3"/>
      <c r="S800" s="3"/>
      <c r="T800" s="3"/>
    </row>
    <row r="801">
      <c r="A801" s="3"/>
      <c r="B801" s="3"/>
      <c r="C801" s="3"/>
      <c r="D801" s="3"/>
      <c r="E801" s="3"/>
      <c r="F801" s="3"/>
      <c r="G801" s="3"/>
      <c r="H801" s="3"/>
      <c r="I801" s="3"/>
      <c r="J801" s="3"/>
      <c r="K801" s="3"/>
      <c r="L801" s="3"/>
      <c r="M801" s="3"/>
      <c r="N801" s="3"/>
      <c r="O801" s="3"/>
      <c r="P801" s="3"/>
      <c r="Q801" s="3"/>
      <c r="R801" s="3"/>
      <c r="S801" s="3"/>
      <c r="T801" s="3"/>
    </row>
    <row r="802">
      <c r="A802" s="3"/>
      <c r="B802" s="3"/>
      <c r="C802" s="3"/>
      <c r="D802" s="3"/>
      <c r="E802" s="3"/>
      <c r="F802" s="3"/>
      <c r="G802" s="3"/>
      <c r="H802" s="3"/>
      <c r="I802" s="3"/>
      <c r="J802" s="3"/>
      <c r="K802" s="3"/>
      <c r="L802" s="3"/>
      <c r="M802" s="3"/>
      <c r="N802" s="3"/>
      <c r="O802" s="3"/>
      <c r="P802" s="3"/>
      <c r="Q802" s="3"/>
      <c r="R802" s="3"/>
      <c r="S802" s="3"/>
      <c r="T802" s="3"/>
    </row>
    <row r="803">
      <c r="A803" s="3"/>
      <c r="B803" s="3"/>
      <c r="C803" s="3"/>
      <c r="D803" s="3"/>
      <c r="E803" s="3"/>
      <c r="F803" s="3"/>
      <c r="G803" s="3"/>
      <c r="H803" s="3"/>
      <c r="I803" s="3"/>
      <c r="J803" s="3"/>
      <c r="K803" s="3"/>
      <c r="L803" s="3"/>
      <c r="M803" s="3"/>
      <c r="N803" s="3"/>
      <c r="O803" s="3"/>
      <c r="P803" s="3"/>
      <c r="Q803" s="3"/>
      <c r="R803" s="3"/>
      <c r="S803" s="3"/>
      <c r="T803" s="3"/>
    </row>
    <row r="804">
      <c r="A804" s="3"/>
      <c r="B804" s="3"/>
      <c r="C804" s="3"/>
      <c r="D804" s="3"/>
      <c r="E804" s="3"/>
      <c r="F804" s="3"/>
      <c r="G804" s="3"/>
      <c r="H804" s="3"/>
      <c r="I804" s="3"/>
      <c r="J804" s="3"/>
      <c r="K804" s="3"/>
      <c r="L804" s="3"/>
      <c r="M804" s="3"/>
      <c r="N804" s="3"/>
      <c r="O804" s="3"/>
      <c r="P804" s="3"/>
      <c r="Q804" s="3"/>
      <c r="R804" s="3"/>
      <c r="S804" s="3"/>
      <c r="T804" s="3"/>
    </row>
    <row r="805">
      <c r="A805" s="3"/>
      <c r="B805" s="3"/>
      <c r="C805" s="3"/>
      <c r="D805" s="3"/>
      <c r="E805" s="3"/>
      <c r="F805" s="3"/>
      <c r="G805" s="3"/>
      <c r="H805" s="3"/>
      <c r="I805" s="3"/>
      <c r="J805" s="3"/>
      <c r="K805" s="3"/>
      <c r="L805" s="3"/>
      <c r="M805" s="3"/>
      <c r="N805" s="3"/>
      <c r="O805" s="3"/>
      <c r="P805" s="3"/>
      <c r="Q805" s="3"/>
      <c r="R805" s="3"/>
      <c r="S805" s="3"/>
      <c r="T805" s="3"/>
    </row>
    <row r="806">
      <c r="A806" s="3"/>
      <c r="B806" s="3"/>
      <c r="C806" s="3"/>
      <c r="D806" s="3"/>
      <c r="E806" s="3"/>
      <c r="F806" s="3"/>
      <c r="G806" s="3"/>
      <c r="H806" s="3"/>
      <c r="I806" s="3"/>
      <c r="J806" s="3"/>
      <c r="K806" s="3"/>
      <c r="L806" s="3"/>
      <c r="M806" s="3"/>
      <c r="N806" s="3"/>
      <c r="O806" s="3"/>
      <c r="P806" s="3"/>
      <c r="Q806" s="3"/>
      <c r="R806" s="3"/>
      <c r="S806" s="3"/>
      <c r="T806" s="3"/>
    </row>
    <row r="807">
      <c r="A807" s="3"/>
      <c r="B807" s="3"/>
      <c r="C807" s="3"/>
      <c r="D807" s="3"/>
      <c r="E807" s="3"/>
      <c r="F807" s="3"/>
      <c r="G807" s="3"/>
      <c r="H807" s="3"/>
      <c r="I807" s="3"/>
      <c r="J807" s="3"/>
      <c r="K807" s="3"/>
      <c r="L807" s="3"/>
      <c r="M807" s="3"/>
      <c r="N807" s="3"/>
      <c r="O807" s="3"/>
      <c r="P807" s="3"/>
      <c r="Q807" s="3"/>
      <c r="R807" s="3"/>
      <c r="S807" s="3"/>
      <c r="T807" s="3"/>
    </row>
    <row r="808">
      <c r="A808" s="3"/>
      <c r="B808" s="3"/>
      <c r="C808" s="3"/>
      <c r="D808" s="3"/>
      <c r="E808" s="3"/>
      <c r="F808" s="3"/>
      <c r="G808" s="3"/>
      <c r="H808" s="3"/>
      <c r="I808" s="3"/>
      <c r="J808" s="3"/>
      <c r="K808" s="3"/>
      <c r="L808" s="3"/>
      <c r="M808" s="3"/>
      <c r="N808" s="3"/>
      <c r="O808" s="3"/>
      <c r="P808" s="3"/>
      <c r="Q808" s="3"/>
      <c r="R808" s="3"/>
      <c r="S808" s="3"/>
      <c r="T808" s="3"/>
    </row>
    <row r="809">
      <c r="A809" s="3"/>
      <c r="B809" s="3"/>
      <c r="C809" s="3"/>
      <c r="D809" s="3"/>
      <c r="E809" s="3"/>
      <c r="F809" s="3"/>
      <c r="G809" s="3"/>
      <c r="H809" s="3"/>
      <c r="I809" s="3"/>
      <c r="J809" s="3"/>
      <c r="K809" s="3"/>
      <c r="L809" s="3"/>
      <c r="M809" s="3"/>
      <c r="N809" s="3"/>
      <c r="O809" s="3"/>
      <c r="P809" s="3"/>
      <c r="Q809" s="3"/>
      <c r="R809" s="3"/>
      <c r="S809" s="3"/>
      <c r="T809" s="3"/>
    </row>
    <row r="810">
      <c r="A810" s="3"/>
      <c r="B810" s="3"/>
      <c r="C810" s="3"/>
      <c r="D810" s="3"/>
      <c r="E810" s="3"/>
      <c r="F810" s="3"/>
      <c r="G810" s="3"/>
      <c r="H810" s="3"/>
      <c r="I810" s="3"/>
      <c r="J810" s="3"/>
      <c r="K810" s="3"/>
      <c r="L810" s="3"/>
      <c r="M810" s="3"/>
      <c r="N810" s="3"/>
      <c r="O810" s="3"/>
      <c r="P810" s="3"/>
      <c r="Q810" s="3"/>
      <c r="R810" s="3"/>
      <c r="S810" s="3"/>
      <c r="T810" s="3"/>
    </row>
    <row r="811">
      <c r="A811" s="3"/>
      <c r="B811" s="3"/>
      <c r="C811" s="3"/>
      <c r="D811" s="3"/>
      <c r="E811" s="3"/>
      <c r="F811" s="3"/>
      <c r="G811" s="3"/>
      <c r="H811" s="3"/>
      <c r="I811" s="3"/>
      <c r="J811" s="3"/>
      <c r="K811" s="3"/>
      <c r="L811" s="3"/>
      <c r="M811" s="3"/>
      <c r="N811" s="3"/>
      <c r="O811" s="3"/>
      <c r="P811" s="3"/>
      <c r="Q811" s="3"/>
      <c r="R811" s="3"/>
      <c r="S811" s="3"/>
      <c r="T811" s="3"/>
    </row>
    <row r="812">
      <c r="A812" s="3"/>
      <c r="B812" s="3"/>
      <c r="C812" s="3"/>
      <c r="D812" s="3"/>
      <c r="E812" s="3"/>
      <c r="F812" s="3"/>
      <c r="G812" s="3"/>
      <c r="H812" s="3"/>
      <c r="I812" s="3"/>
      <c r="J812" s="3"/>
      <c r="K812" s="3"/>
      <c r="L812" s="3"/>
      <c r="M812" s="3"/>
      <c r="N812" s="3"/>
      <c r="O812" s="3"/>
      <c r="P812" s="3"/>
      <c r="Q812" s="3"/>
      <c r="R812" s="3"/>
      <c r="S812" s="3"/>
      <c r="T812" s="3"/>
    </row>
    <row r="813">
      <c r="A813" s="3"/>
      <c r="B813" s="3"/>
      <c r="C813" s="3"/>
      <c r="D813" s="3"/>
      <c r="E813" s="3"/>
      <c r="F813" s="3"/>
      <c r="G813" s="3"/>
      <c r="H813" s="3"/>
      <c r="I813" s="3"/>
      <c r="J813" s="3"/>
      <c r="K813" s="3"/>
      <c r="L813" s="3"/>
      <c r="M813" s="3"/>
      <c r="N813" s="3"/>
      <c r="O813" s="3"/>
      <c r="P813" s="3"/>
      <c r="Q813" s="3"/>
      <c r="R813" s="3"/>
      <c r="S813" s="3"/>
      <c r="T813" s="3"/>
    </row>
    <row r="814">
      <c r="A814" s="3"/>
      <c r="B814" s="3"/>
      <c r="C814" s="3"/>
      <c r="D814" s="3"/>
      <c r="E814" s="3"/>
      <c r="F814" s="3"/>
      <c r="G814" s="3"/>
      <c r="H814" s="3"/>
      <c r="I814" s="3"/>
      <c r="J814" s="3"/>
      <c r="K814" s="3"/>
      <c r="L814" s="3"/>
      <c r="M814" s="3"/>
      <c r="N814" s="3"/>
      <c r="O814" s="3"/>
      <c r="P814" s="3"/>
      <c r="Q814" s="3"/>
      <c r="R814" s="3"/>
      <c r="S814" s="3"/>
      <c r="T814" s="3"/>
    </row>
    <row r="815">
      <c r="A815" s="3"/>
      <c r="B815" s="3"/>
      <c r="C815" s="3"/>
      <c r="D815" s="3"/>
      <c r="E815" s="3"/>
      <c r="F815" s="3"/>
      <c r="G815" s="3"/>
      <c r="H815" s="3"/>
      <c r="I815" s="3"/>
      <c r="J815" s="3"/>
      <c r="K815" s="3"/>
      <c r="L815" s="3"/>
      <c r="M815" s="3"/>
      <c r="N815" s="3"/>
      <c r="O815" s="3"/>
      <c r="P815" s="3"/>
      <c r="Q815" s="3"/>
      <c r="R815" s="3"/>
      <c r="S815" s="3"/>
      <c r="T815" s="3"/>
    </row>
    <row r="816">
      <c r="A816" s="3"/>
      <c r="B816" s="3"/>
      <c r="C816" s="3"/>
      <c r="D816" s="3"/>
      <c r="E816" s="3"/>
      <c r="F816" s="3"/>
      <c r="G816" s="3"/>
      <c r="H816" s="3"/>
      <c r="I816" s="3"/>
      <c r="J816" s="3"/>
      <c r="K816" s="3"/>
      <c r="L816" s="3"/>
      <c r="M816" s="3"/>
      <c r="N816" s="3"/>
      <c r="O816" s="3"/>
      <c r="P816" s="3"/>
      <c r="Q816" s="3"/>
      <c r="R816" s="3"/>
      <c r="S816" s="3"/>
      <c r="T816" s="3"/>
    </row>
    <row r="817">
      <c r="A817" s="3"/>
      <c r="B817" s="3"/>
      <c r="C817" s="3"/>
      <c r="D817" s="3"/>
      <c r="E817" s="3"/>
      <c r="F817" s="3"/>
      <c r="G817" s="3"/>
      <c r="H817" s="3"/>
      <c r="I817" s="3"/>
      <c r="J817" s="3"/>
      <c r="K817" s="3"/>
      <c r="L817" s="3"/>
      <c r="M817" s="3"/>
      <c r="N817" s="3"/>
      <c r="O817" s="3"/>
      <c r="P817" s="3"/>
      <c r="Q817" s="3"/>
      <c r="R817" s="3"/>
      <c r="S817" s="3"/>
      <c r="T817" s="3"/>
    </row>
    <row r="818">
      <c r="A818" s="3"/>
      <c r="B818" s="3"/>
      <c r="C818" s="3"/>
      <c r="D818" s="3"/>
      <c r="E818" s="3"/>
      <c r="F818" s="3"/>
      <c r="G818" s="3"/>
      <c r="H818" s="3"/>
      <c r="I818" s="3"/>
      <c r="J818" s="3"/>
      <c r="K818" s="3"/>
      <c r="L818" s="3"/>
      <c r="M818" s="3"/>
      <c r="N818" s="3"/>
      <c r="O818" s="3"/>
      <c r="P818" s="3"/>
      <c r="Q818" s="3"/>
      <c r="R818" s="3"/>
      <c r="S818" s="3"/>
      <c r="T818" s="3"/>
    </row>
    <row r="819">
      <c r="A819" s="3"/>
      <c r="B819" s="3"/>
      <c r="C819" s="3"/>
      <c r="D819" s="3"/>
      <c r="E819" s="3"/>
      <c r="F819" s="3"/>
      <c r="G819" s="3"/>
      <c r="H819" s="3"/>
      <c r="I819" s="3"/>
      <c r="J819" s="3"/>
      <c r="K819" s="3"/>
      <c r="L819" s="3"/>
      <c r="M819" s="3"/>
      <c r="N819" s="3"/>
      <c r="O819" s="3"/>
      <c r="P819" s="3"/>
      <c r="Q819" s="3"/>
      <c r="R819" s="3"/>
      <c r="S819" s="3"/>
      <c r="T819" s="3"/>
    </row>
    <row r="820">
      <c r="A820" s="3"/>
      <c r="B820" s="3"/>
      <c r="C820" s="3"/>
      <c r="D820" s="3"/>
      <c r="E820" s="3"/>
      <c r="F820" s="3"/>
      <c r="G820" s="3"/>
      <c r="H820" s="3"/>
      <c r="I820" s="3"/>
      <c r="J820" s="3"/>
      <c r="K820" s="3"/>
      <c r="L820" s="3"/>
      <c r="M820" s="3"/>
      <c r="N820" s="3"/>
      <c r="O820" s="3"/>
      <c r="P820" s="3"/>
      <c r="Q820" s="3"/>
      <c r="R820" s="3"/>
      <c r="S820" s="3"/>
      <c r="T820" s="3"/>
    </row>
    <row r="821">
      <c r="A821" s="3"/>
      <c r="B821" s="3"/>
      <c r="C821" s="3"/>
      <c r="D821" s="3"/>
      <c r="E821" s="3"/>
      <c r="F821" s="3"/>
      <c r="G821" s="3"/>
      <c r="H821" s="3"/>
      <c r="I821" s="3"/>
      <c r="J821" s="3"/>
      <c r="K821" s="3"/>
      <c r="L821" s="3"/>
      <c r="M821" s="3"/>
      <c r="N821" s="3"/>
      <c r="O821" s="3"/>
      <c r="P821" s="3"/>
      <c r="Q821" s="3"/>
      <c r="R821" s="3"/>
      <c r="S821" s="3"/>
      <c r="T821" s="3"/>
    </row>
    <row r="822">
      <c r="A822" s="3"/>
      <c r="B822" s="3"/>
      <c r="C822" s="3"/>
      <c r="D822" s="3"/>
      <c r="E822" s="3"/>
      <c r="F822" s="3"/>
      <c r="G822" s="3"/>
      <c r="H822" s="3"/>
      <c r="I822" s="3"/>
      <c r="J822" s="3"/>
      <c r="K822" s="3"/>
      <c r="L822" s="3"/>
      <c r="M822" s="3"/>
      <c r="N822" s="3"/>
      <c r="O822" s="3"/>
      <c r="P822" s="3"/>
      <c r="Q822" s="3"/>
      <c r="R822" s="3"/>
      <c r="S822" s="3"/>
      <c r="T822" s="3"/>
    </row>
    <row r="823">
      <c r="A823" s="3"/>
      <c r="B823" s="3"/>
      <c r="C823" s="3"/>
      <c r="D823" s="3"/>
      <c r="E823" s="3"/>
      <c r="F823" s="3"/>
      <c r="G823" s="3"/>
      <c r="H823" s="3"/>
      <c r="I823" s="3"/>
      <c r="J823" s="3"/>
      <c r="K823" s="3"/>
      <c r="L823" s="3"/>
      <c r="M823" s="3"/>
      <c r="N823" s="3"/>
      <c r="O823" s="3"/>
      <c r="P823" s="3"/>
      <c r="Q823" s="3"/>
      <c r="R823" s="3"/>
      <c r="S823" s="3"/>
      <c r="T823" s="3"/>
    </row>
    <row r="824">
      <c r="A824" s="3"/>
      <c r="B824" s="3"/>
      <c r="C824" s="3"/>
      <c r="D824" s="3"/>
      <c r="E824" s="3"/>
      <c r="F824" s="3"/>
      <c r="G824" s="3"/>
      <c r="H824" s="3"/>
      <c r="I824" s="3"/>
      <c r="J824" s="3"/>
      <c r="K824" s="3"/>
      <c r="L824" s="3"/>
      <c r="M824" s="3"/>
      <c r="N824" s="3"/>
      <c r="O824" s="3"/>
      <c r="P824" s="3"/>
      <c r="Q824" s="3"/>
      <c r="R824" s="3"/>
      <c r="S824" s="3"/>
      <c r="T824" s="3"/>
    </row>
    <row r="825">
      <c r="A825" s="3"/>
      <c r="B825" s="3"/>
      <c r="C825" s="3"/>
      <c r="D825" s="3"/>
      <c r="E825" s="3"/>
      <c r="F825" s="3"/>
      <c r="G825" s="3"/>
      <c r="H825" s="3"/>
      <c r="I825" s="3"/>
      <c r="J825" s="3"/>
      <c r="K825" s="3"/>
      <c r="L825" s="3"/>
      <c r="M825" s="3"/>
      <c r="N825" s="3"/>
      <c r="O825" s="3"/>
      <c r="P825" s="3"/>
      <c r="Q825" s="3"/>
      <c r="R825" s="3"/>
      <c r="S825" s="3"/>
      <c r="T825" s="3"/>
    </row>
    <row r="826">
      <c r="A826" s="3"/>
      <c r="B826" s="3"/>
      <c r="C826" s="3"/>
      <c r="D826" s="3"/>
      <c r="E826" s="3"/>
      <c r="F826" s="3"/>
      <c r="G826" s="3"/>
      <c r="H826" s="3"/>
      <c r="I826" s="3"/>
      <c r="J826" s="3"/>
      <c r="K826" s="3"/>
      <c r="L826" s="3"/>
      <c r="M826" s="3"/>
      <c r="N826" s="3"/>
      <c r="O826" s="3"/>
      <c r="P826" s="3"/>
      <c r="Q826" s="3"/>
      <c r="R826" s="3"/>
      <c r="S826" s="3"/>
      <c r="T826" s="3"/>
    </row>
    <row r="827">
      <c r="A827" s="3"/>
      <c r="B827" s="3"/>
      <c r="C827" s="3"/>
      <c r="D827" s="3"/>
      <c r="E827" s="3"/>
      <c r="F827" s="3"/>
      <c r="G827" s="3"/>
      <c r="H827" s="3"/>
      <c r="I827" s="3"/>
      <c r="J827" s="3"/>
      <c r="K827" s="3"/>
      <c r="L827" s="3"/>
      <c r="M827" s="3"/>
      <c r="N827" s="3"/>
      <c r="O827" s="3"/>
      <c r="P827" s="3"/>
      <c r="Q827" s="3"/>
      <c r="R827" s="3"/>
      <c r="S827" s="3"/>
      <c r="T827" s="3"/>
    </row>
    <row r="828">
      <c r="A828" s="3"/>
      <c r="B828" s="3"/>
      <c r="C828" s="3"/>
      <c r="D828" s="3"/>
      <c r="E828" s="3"/>
      <c r="F828" s="3"/>
      <c r="G828" s="3"/>
      <c r="H828" s="3"/>
      <c r="I828" s="3"/>
      <c r="J828" s="3"/>
      <c r="K828" s="3"/>
      <c r="L828" s="3"/>
      <c r="M828" s="3"/>
      <c r="N828" s="3"/>
      <c r="O828" s="3"/>
      <c r="P828" s="3"/>
      <c r="Q828" s="3"/>
      <c r="R828" s="3"/>
      <c r="S828" s="3"/>
      <c r="T828" s="3"/>
    </row>
    <row r="829">
      <c r="A829" s="3"/>
      <c r="B829" s="3"/>
      <c r="C829" s="3"/>
      <c r="D829" s="3"/>
      <c r="E829" s="3"/>
      <c r="F829" s="3"/>
      <c r="G829" s="3"/>
      <c r="H829" s="3"/>
      <c r="I829" s="3"/>
      <c r="J829" s="3"/>
      <c r="K829" s="3"/>
      <c r="L829" s="3"/>
      <c r="M829" s="3"/>
      <c r="N829" s="3"/>
      <c r="O829" s="3"/>
      <c r="P829" s="3"/>
      <c r="Q829" s="3"/>
      <c r="R829" s="3"/>
      <c r="S829" s="3"/>
      <c r="T829" s="3"/>
    </row>
    <row r="830">
      <c r="A830" s="3"/>
      <c r="B830" s="3"/>
      <c r="C830" s="3"/>
      <c r="D830" s="3"/>
      <c r="E830" s="3"/>
      <c r="F830" s="3"/>
      <c r="G830" s="3"/>
      <c r="H830" s="3"/>
      <c r="I830" s="3"/>
      <c r="J830" s="3"/>
      <c r="K830" s="3"/>
      <c r="L830" s="3"/>
      <c r="M830" s="3"/>
      <c r="N830" s="3"/>
      <c r="O830" s="3"/>
      <c r="P830" s="3"/>
      <c r="Q830" s="3"/>
      <c r="R830" s="3"/>
      <c r="S830" s="3"/>
      <c r="T830" s="3"/>
    </row>
    <row r="831">
      <c r="A831" s="3"/>
      <c r="B831" s="3"/>
      <c r="C831" s="3"/>
      <c r="D831" s="3"/>
      <c r="E831" s="3"/>
      <c r="F831" s="3"/>
      <c r="G831" s="3"/>
      <c r="H831" s="3"/>
      <c r="I831" s="3"/>
      <c r="J831" s="3"/>
      <c r="K831" s="3"/>
      <c r="L831" s="3"/>
      <c r="M831" s="3"/>
      <c r="N831" s="3"/>
      <c r="O831" s="3"/>
      <c r="P831" s="3"/>
      <c r="Q831" s="3"/>
      <c r="R831" s="3"/>
      <c r="S831" s="3"/>
      <c r="T831" s="3"/>
    </row>
    <row r="832">
      <c r="A832" s="3"/>
      <c r="B832" s="3"/>
      <c r="C832" s="3"/>
      <c r="D832" s="3"/>
      <c r="E832" s="3"/>
      <c r="F832" s="3"/>
      <c r="G832" s="3"/>
      <c r="H832" s="3"/>
      <c r="I832" s="3"/>
      <c r="J832" s="3"/>
      <c r="K832" s="3"/>
      <c r="L832" s="3"/>
      <c r="M832" s="3"/>
      <c r="N832" s="3"/>
      <c r="O832" s="3"/>
      <c r="P832" s="3"/>
      <c r="Q832" s="3"/>
      <c r="R832" s="3"/>
      <c r="S832" s="3"/>
      <c r="T832" s="3"/>
    </row>
    <row r="833">
      <c r="A833" s="3"/>
      <c r="B833" s="3"/>
      <c r="C833" s="3"/>
      <c r="D833" s="3"/>
      <c r="E833" s="3"/>
      <c r="F833" s="3"/>
      <c r="G833" s="3"/>
      <c r="H833" s="3"/>
      <c r="I833" s="3"/>
      <c r="J833" s="3"/>
      <c r="K833" s="3"/>
      <c r="L833" s="3"/>
      <c r="M833" s="3"/>
      <c r="N833" s="3"/>
      <c r="O833" s="3"/>
      <c r="P833" s="3"/>
      <c r="Q833" s="3"/>
      <c r="R833" s="3"/>
      <c r="S833" s="3"/>
      <c r="T833" s="3"/>
    </row>
    <row r="834">
      <c r="A834" s="3"/>
      <c r="B834" s="3"/>
      <c r="C834" s="3"/>
      <c r="D834" s="3"/>
      <c r="E834" s="3"/>
      <c r="F834" s="3"/>
      <c r="G834" s="3"/>
      <c r="H834" s="3"/>
      <c r="I834" s="3"/>
      <c r="J834" s="3"/>
      <c r="K834" s="3"/>
      <c r="L834" s="3"/>
      <c r="M834" s="3"/>
      <c r="N834" s="3"/>
      <c r="O834" s="3"/>
      <c r="P834" s="3"/>
      <c r="Q834" s="3"/>
      <c r="R834" s="3"/>
      <c r="S834" s="3"/>
      <c r="T834" s="3"/>
    </row>
    <row r="835">
      <c r="A835" s="3"/>
      <c r="B835" s="3"/>
      <c r="C835" s="3"/>
      <c r="D835" s="3"/>
      <c r="E835" s="3"/>
      <c r="F835" s="3"/>
      <c r="G835" s="3"/>
      <c r="H835" s="3"/>
      <c r="I835" s="3"/>
      <c r="J835" s="3"/>
      <c r="K835" s="3"/>
      <c r="L835" s="3"/>
      <c r="M835" s="3"/>
      <c r="N835" s="3"/>
      <c r="O835" s="3"/>
      <c r="P835" s="3"/>
      <c r="Q835" s="3"/>
      <c r="R835" s="3"/>
      <c r="S835" s="3"/>
      <c r="T835" s="3"/>
    </row>
    <row r="836">
      <c r="A836" s="3"/>
      <c r="B836" s="3"/>
      <c r="C836" s="3"/>
      <c r="D836" s="3"/>
      <c r="E836" s="3"/>
      <c r="F836" s="3"/>
      <c r="G836" s="3"/>
      <c r="H836" s="3"/>
      <c r="I836" s="3"/>
      <c r="J836" s="3"/>
      <c r="K836" s="3"/>
      <c r="L836" s="3"/>
      <c r="M836" s="3"/>
      <c r="N836" s="3"/>
      <c r="O836" s="3"/>
      <c r="P836" s="3"/>
      <c r="Q836" s="3"/>
      <c r="R836" s="3"/>
      <c r="S836" s="3"/>
      <c r="T836" s="3"/>
    </row>
    <row r="837">
      <c r="A837" s="3"/>
      <c r="B837" s="3"/>
      <c r="C837" s="3"/>
      <c r="D837" s="3"/>
      <c r="E837" s="3"/>
      <c r="F837" s="3"/>
      <c r="G837" s="3"/>
      <c r="H837" s="3"/>
      <c r="I837" s="3"/>
      <c r="J837" s="3"/>
      <c r="K837" s="3"/>
      <c r="L837" s="3"/>
      <c r="M837" s="3"/>
      <c r="N837" s="3"/>
      <c r="O837" s="3"/>
      <c r="P837" s="3"/>
      <c r="Q837" s="3"/>
      <c r="R837" s="3"/>
      <c r="S837" s="3"/>
      <c r="T837" s="3"/>
    </row>
    <row r="838">
      <c r="A838" s="3"/>
      <c r="B838" s="3"/>
      <c r="C838" s="3"/>
      <c r="D838" s="3"/>
      <c r="E838" s="3"/>
      <c r="F838" s="3"/>
      <c r="G838" s="3"/>
      <c r="H838" s="3"/>
      <c r="I838" s="3"/>
      <c r="J838" s="3"/>
      <c r="K838" s="3"/>
      <c r="L838" s="3"/>
      <c r="M838" s="3"/>
      <c r="N838" s="3"/>
      <c r="O838" s="3"/>
      <c r="P838" s="3"/>
      <c r="Q838" s="3"/>
      <c r="R838" s="3"/>
      <c r="S838" s="3"/>
      <c r="T838" s="3"/>
    </row>
    <row r="839">
      <c r="A839" s="3"/>
      <c r="B839" s="3"/>
      <c r="C839" s="3"/>
      <c r="D839" s="3"/>
      <c r="E839" s="3"/>
      <c r="F839" s="3"/>
      <c r="G839" s="3"/>
      <c r="H839" s="3"/>
      <c r="I839" s="3"/>
      <c r="J839" s="3"/>
      <c r="K839" s="3"/>
      <c r="L839" s="3"/>
      <c r="M839" s="3"/>
      <c r="N839" s="3"/>
      <c r="O839" s="3"/>
      <c r="P839" s="3"/>
      <c r="Q839" s="3"/>
      <c r="R839" s="3"/>
      <c r="S839" s="3"/>
      <c r="T839" s="3"/>
    </row>
    <row r="840">
      <c r="A840" s="3"/>
      <c r="B840" s="3"/>
      <c r="C840" s="3"/>
      <c r="D840" s="3"/>
      <c r="E840" s="3"/>
      <c r="F840" s="3"/>
      <c r="G840" s="3"/>
      <c r="H840" s="3"/>
      <c r="I840" s="3"/>
      <c r="J840" s="3"/>
      <c r="K840" s="3"/>
      <c r="L840" s="3"/>
      <c r="M840" s="3"/>
      <c r="N840" s="3"/>
      <c r="O840" s="3"/>
      <c r="P840" s="3"/>
      <c r="Q840" s="3"/>
      <c r="R840" s="3"/>
      <c r="S840" s="3"/>
      <c r="T840" s="3"/>
    </row>
    <row r="841">
      <c r="A841" s="3"/>
      <c r="B841" s="3"/>
      <c r="C841" s="3"/>
      <c r="D841" s="3"/>
      <c r="E841" s="3"/>
      <c r="F841" s="3"/>
      <c r="G841" s="3"/>
      <c r="H841" s="3"/>
      <c r="I841" s="3"/>
      <c r="J841" s="3"/>
      <c r="K841" s="3"/>
      <c r="L841" s="3"/>
      <c r="M841" s="3"/>
      <c r="N841" s="3"/>
      <c r="O841" s="3"/>
      <c r="P841" s="3"/>
      <c r="Q841" s="3"/>
      <c r="R841" s="3"/>
      <c r="S841" s="3"/>
      <c r="T841" s="3"/>
    </row>
    <row r="842">
      <c r="A842" s="3"/>
      <c r="B842" s="3"/>
      <c r="C842" s="3"/>
      <c r="D842" s="3"/>
      <c r="E842" s="3"/>
      <c r="F842" s="3"/>
      <c r="G842" s="3"/>
      <c r="H842" s="3"/>
      <c r="I842" s="3"/>
      <c r="J842" s="3"/>
      <c r="K842" s="3"/>
      <c r="L842" s="3"/>
      <c r="M842" s="3"/>
      <c r="N842" s="3"/>
      <c r="O842" s="3"/>
      <c r="P842" s="3"/>
      <c r="Q842" s="3"/>
      <c r="R842" s="3"/>
      <c r="S842" s="3"/>
      <c r="T842" s="3"/>
    </row>
    <row r="843">
      <c r="A843" s="3"/>
      <c r="B843" s="3"/>
      <c r="C843" s="3"/>
      <c r="D843" s="3"/>
      <c r="E843" s="3"/>
      <c r="F843" s="3"/>
      <c r="G843" s="3"/>
      <c r="H843" s="3"/>
      <c r="I843" s="3"/>
      <c r="J843" s="3"/>
      <c r="K843" s="3"/>
      <c r="L843" s="3"/>
      <c r="M843" s="3"/>
      <c r="N843" s="3"/>
      <c r="O843" s="3"/>
      <c r="P843" s="3"/>
      <c r="Q843" s="3"/>
      <c r="R843" s="3"/>
      <c r="S843" s="3"/>
      <c r="T843" s="3"/>
    </row>
    <row r="844">
      <c r="A844" s="3"/>
      <c r="B844" s="3"/>
      <c r="C844" s="3"/>
      <c r="D844" s="3"/>
      <c r="E844" s="3"/>
      <c r="F844" s="3"/>
      <c r="G844" s="3"/>
      <c r="H844" s="3"/>
      <c r="I844" s="3"/>
      <c r="J844" s="3"/>
      <c r="K844" s="3"/>
      <c r="L844" s="3"/>
      <c r="M844" s="3"/>
      <c r="N844" s="3"/>
      <c r="O844" s="3"/>
      <c r="P844" s="3"/>
      <c r="Q844" s="3"/>
      <c r="R844" s="3"/>
      <c r="S844" s="3"/>
      <c r="T844" s="3"/>
    </row>
    <row r="845">
      <c r="A845" s="3"/>
      <c r="B845" s="3"/>
      <c r="C845" s="3"/>
      <c r="D845" s="3"/>
      <c r="E845" s="3"/>
      <c r="F845" s="3"/>
      <c r="G845" s="3"/>
      <c r="H845" s="3"/>
      <c r="I845" s="3"/>
      <c r="J845" s="3"/>
      <c r="K845" s="3"/>
      <c r="L845" s="3"/>
      <c r="M845" s="3"/>
      <c r="N845" s="3"/>
      <c r="O845" s="3"/>
      <c r="P845" s="3"/>
      <c r="Q845" s="3"/>
      <c r="R845" s="3"/>
      <c r="S845" s="3"/>
      <c r="T845" s="3"/>
    </row>
    <row r="846">
      <c r="A846" s="3"/>
      <c r="B846" s="3"/>
      <c r="C846" s="3"/>
      <c r="D846" s="3"/>
      <c r="E846" s="3"/>
      <c r="F846" s="3"/>
      <c r="G846" s="3"/>
      <c r="H846" s="3"/>
      <c r="I846" s="3"/>
      <c r="J846" s="3"/>
      <c r="K846" s="3"/>
      <c r="L846" s="3"/>
      <c r="M846" s="3"/>
      <c r="N846" s="3"/>
      <c r="O846" s="3"/>
      <c r="P846" s="3"/>
      <c r="Q846" s="3"/>
      <c r="R846" s="3"/>
      <c r="S846" s="3"/>
      <c r="T846" s="3"/>
    </row>
    <row r="847">
      <c r="A847" s="3"/>
      <c r="B847" s="3"/>
      <c r="C847" s="3"/>
      <c r="D847" s="3"/>
      <c r="E847" s="3"/>
      <c r="F847" s="3"/>
      <c r="G847" s="3"/>
      <c r="H847" s="3"/>
      <c r="I847" s="3"/>
      <c r="J847" s="3"/>
      <c r="K847" s="3"/>
      <c r="L847" s="3"/>
      <c r="M847" s="3"/>
      <c r="N847" s="3"/>
      <c r="O847" s="3"/>
      <c r="P847" s="3"/>
      <c r="Q847" s="3"/>
      <c r="R847" s="3"/>
      <c r="S847" s="3"/>
      <c r="T847" s="3"/>
    </row>
    <row r="848">
      <c r="A848" s="3"/>
      <c r="B848" s="3"/>
      <c r="C848" s="3"/>
      <c r="D848" s="3"/>
      <c r="E848" s="3"/>
      <c r="F848" s="3"/>
      <c r="G848" s="3"/>
      <c r="H848" s="3"/>
      <c r="I848" s="3"/>
      <c r="J848" s="3"/>
      <c r="K848" s="3"/>
      <c r="L848" s="3"/>
      <c r="M848" s="3"/>
      <c r="N848" s="3"/>
      <c r="O848" s="3"/>
      <c r="P848" s="3"/>
      <c r="Q848" s="3"/>
      <c r="R848" s="3"/>
      <c r="S848" s="3"/>
      <c r="T848" s="3"/>
    </row>
    <row r="849">
      <c r="A849" s="3"/>
      <c r="B849" s="3"/>
      <c r="C849" s="3"/>
      <c r="D849" s="3"/>
      <c r="E849" s="3"/>
      <c r="F849" s="3"/>
      <c r="G849" s="3"/>
      <c r="H849" s="3"/>
      <c r="I849" s="3"/>
      <c r="J849" s="3"/>
      <c r="K849" s="3"/>
      <c r="L849" s="3"/>
      <c r="M849" s="3"/>
      <c r="N849" s="3"/>
      <c r="O849" s="3"/>
      <c r="P849" s="3"/>
      <c r="Q849" s="3"/>
      <c r="R849" s="3"/>
      <c r="S849" s="3"/>
      <c r="T849" s="3"/>
    </row>
    <row r="850">
      <c r="A850" s="3"/>
      <c r="B850" s="3"/>
      <c r="C850" s="3"/>
      <c r="D850" s="3"/>
      <c r="E850" s="3"/>
      <c r="F850" s="3"/>
      <c r="G850" s="3"/>
      <c r="H850" s="3"/>
      <c r="I850" s="3"/>
      <c r="J850" s="3"/>
      <c r="K850" s="3"/>
      <c r="L850" s="3"/>
      <c r="M850" s="3"/>
      <c r="N850" s="3"/>
      <c r="O850" s="3"/>
      <c r="P850" s="3"/>
      <c r="Q850" s="3"/>
      <c r="R850" s="3"/>
      <c r="S850" s="3"/>
      <c r="T850" s="3"/>
    </row>
    <row r="851">
      <c r="A851" s="3"/>
      <c r="B851" s="3"/>
      <c r="C851" s="3"/>
      <c r="D851" s="3"/>
      <c r="E851" s="3"/>
      <c r="F851" s="3"/>
      <c r="G851" s="3"/>
      <c r="H851" s="3"/>
      <c r="I851" s="3"/>
      <c r="J851" s="3"/>
      <c r="K851" s="3"/>
      <c r="L851" s="3"/>
      <c r="M851" s="3"/>
      <c r="N851" s="3"/>
      <c r="O851" s="3"/>
      <c r="P851" s="3"/>
      <c r="Q851" s="3"/>
      <c r="R851" s="3"/>
      <c r="S851" s="3"/>
      <c r="T851" s="3"/>
    </row>
    <row r="852">
      <c r="A852" s="3"/>
      <c r="B852" s="3"/>
      <c r="C852" s="3"/>
      <c r="D852" s="3"/>
      <c r="E852" s="3"/>
      <c r="F852" s="3"/>
      <c r="G852" s="3"/>
      <c r="H852" s="3"/>
      <c r="I852" s="3"/>
      <c r="J852" s="3"/>
      <c r="K852" s="3"/>
      <c r="L852" s="3"/>
      <c r="M852" s="3"/>
      <c r="N852" s="3"/>
      <c r="O852" s="3"/>
      <c r="P852" s="3"/>
      <c r="Q852" s="3"/>
      <c r="R852" s="3"/>
      <c r="S852" s="3"/>
      <c r="T852" s="3"/>
    </row>
    <row r="853">
      <c r="A853" s="3"/>
      <c r="B853" s="3"/>
      <c r="C853" s="3"/>
      <c r="D853" s="3"/>
      <c r="E853" s="3"/>
      <c r="F853" s="3"/>
      <c r="G853" s="3"/>
      <c r="H853" s="3"/>
      <c r="I853" s="3"/>
      <c r="J853" s="3"/>
      <c r="K853" s="3"/>
      <c r="L853" s="3"/>
      <c r="M853" s="3"/>
      <c r="N853" s="3"/>
      <c r="O853" s="3"/>
      <c r="P853" s="3"/>
      <c r="Q853" s="3"/>
      <c r="R853" s="3"/>
      <c r="S853" s="3"/>
      <c r="T853" s="3"/>
    </row>
    <row r="854">
      <c r="A854" s="3"/>
      <c r="B854" s="3"/>
      <c r="C854" s="3"/>
      <c r="D854" s="3"/>
      <c r="E854" s="3"/>
      <c r="F854" s="3"/>
      <c r="G854" s="3"/>
      <c r="H854" s="3"/>
      <c r="I854" s="3"/>
      <c r="J854" s="3"/>
      <c r="K854" s="3"/>
      <c r="L854" s="3"/>
      <c r="M854" s="3"/>
      <c r="N854" s="3"/>
      <c r="O854" s="3"/>
      <c r="P854" s="3"/>
      <c r="Q854" s="3"/>
      <c r="R854" s="3"/>
      <c r="S854" s="3"/>
      <c r="T854" s="3"/>
    </row>
    <row r="855">
      <c r="A855" s="3"/>
      <c r="B855" s="3"/>
      <c r="C855" s="3"/>
      <c r="D855" s="3"/>
      <c r="E855" s="3"/>
      <c r="F855" s="3"/>
      <c r="G855" s="3"/>
      <c r="H855" s="3"/>
      <c r="I855" s="3"/>
      <c r="J855" s="3"/>
      <c r="K855" s="3"/>
      <c r="L855" s="3"/>
      <c r="M855" s="3"/>
      <c r="N855" s="3"/>
      <c r="O855" s="3"/>
      <c r="P855" s="3"/>
      <c r="Q855" s="3"/>
      <c r="R855" s="3"/>
      <c r="S855" s="3"/>
      <c r="T855" s="3"/>
    </row>
    <row r="856">
      <c r="A856" s="3"/>
      <c r="B856" s="3"/>
      <c r="C856" s="3"/>
      <c r="D856" s="3"/>
      <c r="E856" s="3"/>
      <c r="F856" s="3"/>
      <c r="G856" s="3"/>
      <c r="H856" s="3"/>
      <c r="I856" s="3"/>
      <c r="J856" s="3"/>
      <c r="K856" s="3"/>
      <c r="L856" s="3"/>
      <c r="M856" s="3"/>
      <c r="N856" s="3"/>
      <c r="O856" s="3"/>
      <c r="P856" s="3"/>
      <c r="Q856" s="3"/>
      <c r="R856" s="3"/>
      <c r="S856" s="3"/>
      <c r="T856" s="3"/>
    </row>
    <row r="857">
      <c r="A857" s="3"/>
      <c r="B857" s="3"/>
      <c r="C857" s="3"/>
      <c r="D857" s="3"/>
      <c r="E857" s="3"/>
      <c r="F857" s="3"/>
      <c r="G857" s="3"/>
      <c r="H857" s="3"/>
      <c r="I857" s="3"/>
      <c r="J857" s="3"/>
      <c r="K857" s="3"/>
      <c r="L857" s="3"/>
      <c r="M857" s="3"/>
      <c r="N857" s="3"/>
      <c r="O857" s="3"/>
      <c r="P857" s="3"/>
      <c r="Q857" s="3"/>
      <c r="R857" s="3"/>
      <c r="S857" s="3"/>
      <c r="T857" s="3"/>
    </row>
    <row r="858">
      <c r="A858" s="3"/>
      <c r="B858" s="3"/>
      <c r="C858" s="3"/>
      <c r="D858" s="3"/>
      <c r="E858" s="3"/>
      <c r="F858" s="3"/>
      <c r="G858" s="3"/>
      <c r="H858" s="3"/>
      <c r="I858" s="3"/>
      <c r="J858" s="3"/>
      <c r="K858" s="3"/>
      <c r="L858" s="3"/>
      <c r="M858" s="3"/>
      <c r="N858" s="3"/>
      <c r="O858" s="3"/>
      <c r="P858" s="3"/>
      <c r="Q858" s="3"/>
      <c r="R858" s="3"/>
      <c r="S858" s="3"/>
      <c r="T858" s="3"/>
    </row>
    <row r="859">
      <c r="A859" s="3"/>
      <c r="B859" s="3"/>
      <c r="C859" s="3"/>
      <c r="D859" s="3"/>
      <c r="E859" s="3"/>
      <c r="F859" s="3"/>
      <c r="G859" s="3"/>
      <c r="H859" s="3"/>
      <c r="I859" s="3"/>
      <c r="J859" s="3"/>
      <c r="K859" s="3"/>
      <c r="L859" s="3"/>
      <c r="M859" s="3"/>
      <c r="N859" s="3"/>
      <c r="O859" s="3"/>
      <c r="P859" s="3"/>
      <c r="Q859" s="3"/>
      <c r="R859" s="3"/>
      <c r="S859" s="3"/>
      <c r="T859" s="3"/>
    </row>
    <row r="860">
      <c r="A860" s="3"/>
      <c r="B860" s="3"/>
      <c r="C860" s="3"/>
      <c r="D860" s="3"/>
      <c r="E860" s="3"/>
      <c r="F860" s="3"/>
      <c r="G860" s="3"/>
      <c r="H860" s="3"/>
      <c r="I860" s="3"/>
      <c r="J860" s="3"/>
      <c r="K860" s="3"/>
      <c r="L860" s="3"/>
      <c r="M860" s="3"/>
      <c r="N860" s="3"/>
      <c r="O860" s="3"/>
      <c r="P860" s="3"/>
      <c r="Q860" s="3"/>
      <c r="R860" s="3"/>
      <c r="S860" s="3"/>
      <c r="T860" s="3"/>
    </row>
    <row r="861">
      <c r="A861" s="3"/>
      <c r="B861" s="3"/>
      <c r="C861" s="3"/>
      <c r="D861" s="3"/>
      <c r="E861" s="3"/>
      <c r="F861" s="3"/>
      <c r="G861" s="3"/>
      <c r="H861" s="3"/>
      <c r="I861" s="3"/>
      <c r="J861" s="3"/>
      <c r="K861" s="3"/>
      <c r="L861" s="3"/>
      <c r="M861" s="3"/>
      <c r="N861" s="3"/>
      <c r="O861" s="3"/>
      <c r="P861" s="3"/>
      <c r="Q861" s="3"/>
      <c r="R861" s="3"/>
      <c r="S861" s="3"/>
      <c r="T861" s="3"/>
    </row>
    <row r="862">
      <c r="A862" s="3"/>
      <c r="B862" s="3"/>
      <c r="C862" s="3"/>
      <c r="D862" s="3"/>
      <c r="E862" s="3"/>
      <c r="F862" s="3"/>
      <c r="G862" s="3"/>
      <c r="H862" s="3"/>
      <c r="I862" s="3"/>
      <c r="J862" s="3"/>
      <c r="K862" s="3"/>
      <c r="L862" s="3"/>
      <c r="M862" s="3"/>
      <c r="N862" s="3"/>
      <c r="O862" s="3"/>
      <c r="P862" s="3"/>
      <c r="Q862" s="3"/>
      <c r="R862" s="3"/>
      <c r="S862" s="3"/>
      <c r="T862" s="3"/>
    </row>
    <row r="863">
      <c r="A863" s="3"/>
      <c r="B863" s="3"/>
      <c r="C863" s="3"/>
      <c r="D863" s="3"/>
      <c r="E863" s="3"/>
      <c r="F863" s="3"/>
      <c r="G863" s="3"/>
      <c r="H863" s="3"/>
      <c r="I863" s="3"/>
      <c r="J863" s="3"/>
      <c r="K863" s="3"/>
      <c r="L863" s="3"/>
      <c r="M863" s="3"/>
      <c r="N863" s="3"/>
      <c r="O863" s="3"/>
      <c r="P863" s="3"/>
      <c r="Q863" s="3"/>
      <c r="R863" s="3"/>
      <c r="S863" s="3"/>
      <c r="T863" s="3"/>
    </row>
    <row r="864">
      <c r="A864" s="3"/>
      <c r="B864" s="3"/>
      <c r="C864" s="3"/>
      <c r="D864" s="3"/>
      <c r="E864" s="3"/>
      <c r="F864" s="3"/>
      <c r="G864" s="3"/>
      <c r="H864" s="3"/>
      <c r="I864" s="3"/>
      <c r="J864" s="3"/>
      <c r="K864" s="3"/>
      <c r="L864" s="3"/>
      <c r="M864" s="3"/>
      <c r="N864" s="3"/>
      <c r="O864" s="3"/>
      <c r="P864" s="3"/>
      <c r="Q864" s="3"/>
      <c r="R864" s="3"/>
      <c r="S864" s="3"/>
      <c r="T864" s="3"/>
    </row>
    <row r="865">
      <c r="A865" s="3"/>
      <c r="B865" s="3"/>
      <c r="C865" s="3"/>
      <c r="D865" s="3"/>
      <c r="E865" s="3"/>
      <c r="F865" s="3"/>
      <c r="G865" s="3"/>
      <c r="H865" s="3"/>
      <c r="I865" s="3"/>
      <c r="J865" s="3"/>
      <c r="K865" s="3"/>
      <c r="L865" s="3"/>
      <c r="M865" s="3"/>
      <c r="N865" s="3"/>
      <c r="O865" s="3"/>
      <c r="P865" s="3"/>
      <c r="Q865" s="3"/>
      <c r="R865" s="3"/>
      <c r="S865" s="3"/>
      <c r="T865" s="3"/>
    </row>
    <row r="866">
      <c r="A866" s="3"/>
      <c r="B866" s="3"/>
      <c r="C866" s="3"/>
      <c r="D866" s="3"/>
      <c r="E866" s="3"/>
      <c r="F866" s="3"/>
      <c r="G866" s="3"/>
      <c r="H866" s="3"/>
      <c r="I866" s="3"/>
      <c r="J866" s="3"/>
      <c r="K866" s="3"/>
      <c r="L866" s="3"/>
      <c r="M866" s="3"/>
      <c r="N866" s="3"/>
      <c r="O866" s="3"/>
      <c r="P866" s="3"/>
      <c r="Q866" s="3"/>
      <c r="R866" s="3"/>
      <c r="S866" s="3"/>
      <c r="T866" s="3"/>
    </row>
    <row r="867">
      <c r="A867" s="3"/>
      <c r="B867" s="3"/>
      <c r="C867" s="3"/>
      <c r="D867" s="3"/>
      <c r="E867" s="3"/>
      <c r="F867" s="3"/>
      <c r="G867" s="3"/>
      <c r="H867" s="3"/>
      <c r="I867" s="3"/>
      <c r="J867" s="3"/>
      <c r="K867" s="3"/>
      <c r="L867" s="3"/>
      <c r="M867" s="3"/>
      <c r="N867" s="3"/>
      <c r="O867" s="3"/>
      <c r="P867" s="3"/>
      <c r="Q867" s="3"/>
      <c r="R867" s="3"/>
      <c r="S867" s="3"/>
      <c r="T867" s="3"/>
    </row>
    <row r="868">
      <c r="A868" s="3"/>
      <c r="B868" s="3"/>
      <c r="C868" s="3"/>
      <c r="D868" s="3"/>
      <c r="E868" s="3"/>
      <c r="F868" s="3"/>
      <c r="G868" s="3"/>
      <c r="H868" s="3"/>
      <c r="I868" s="3"/>
      <c r="J868" s="3"/>
      <c r="K868" s="3"/>
      <c r="L868" s="3"/>
      <c r="M868" s="3"/>
      <c r="N868" s="3"/>
      <c r="O868" s="3"/>
      <c r="P868" s="3"/>
      <c r="Q868" s="3"/>
      <c r="R868" s="3"/>
      <c r="S868" s="3"/>
      <c r="T868" s="3"/>
    </row>
    <row r="869">
      <c r="A869" s="3"/>
      <c r="B869" s="3"/>
      <c r="C869" s="3"/>
      <c r="D869" s="3"/>
      <c r="E869" s="3"/>
      <c r="F869" s="3"/>
      <c r="G869" s="3"/>
      <c r="H869" s="3"/>
      <c r="I869" s="3"/>
      <c r="J869" s="3"/>
      <c r="K869" s="3"/>
      <c r="L869" s="3"/>
      <c r="M869" s="3"/>
      <c r="N869" s="3"/>
      <c r="O869" s="3"/>
      <c r="P869" s="3"/>
      <c r="Q869" s="3"/>
      <c r="R869" s="3"/>
      <c r="S869" s="3"/>
      <c r="T869" s="3"/>
    </row>
    <row r="870">
      <c r="A870" s="3"/>
      <c r="B870" s="3"/>
      <c r="C870" s="3"/>
      <c r="D870" s="3"/>
      <c r="E870" s="3"/>
      <c r="F870" s="3"/>
      <c r="G870" s="3"/>
      <c r="H870" s="3"/>
      <c r="I870" s="3"/>
      <c r="J870" s="3"/>
      <c r="K870" s="3"/>
      <c r="L870" s="3"/>
      <c r="M870" s="3"/>
      <c r="N870" s="3"/>
      <c r="O870" s="3"/>
      <c r="P870" s="3"/>
      <c r="Q870" s="3"/>
      <c r="R870" s="3"/>
      <c r="S870" s="3"/>
      <c r="T870" s="3"/>
    </row>
    <row r="871">
      <c r="A871" s="3"/>
      <c r="B871" s="3"/>
      <c r="C871" s="3"/>
      <c r="D871" s="3"/>
      <c r="E871" s="3"/>
      <c r="F871" s="3"/>
      <c r="G871" s="3"/>
      <c r="H871" s="3"/>
      <c r="I871" s="3"/>
      <c r="J871" s="3"/>
      <c r="K871" s="3"/>
      <c r="L871" s="3"/>
      <c r="M871" s="3"/>
      <c r="N871" s="3"/>
      <c r="O871" s="3"/>
      <c r="P871" s="3"/>
      <c r="Q871" s="3"/>
      <c r="R871" s="3"/>
      <c r="S871" s="3"/>
      <c r="T871" s="3"/>
    </row>
    <row r="872">
      <c r="A872" s="3"/>
      <c r="B872" s="3"/>
      <c r="C872" s="3"/>
      <c r="D872" s="3"/>
      <c r="E872" s="3"/>
      <c r="F872" s="3"/>
      <c r="G872" s="3"/>
      <c r="H872" s="3"/>
      <c r="I872" s="3"/>
      <c r="J872" s="3"/>
      <c r="K872" s="3"/>
      <c r="L872" s="3"/>
      <c r="M872" s="3"/>
      <c r="N872" s="3"/>
      <c r="O872" s="3"/>
      <c r="P872" s="3"/>
      <c r="Q872" s="3"/>
      <c r="R872" s="3"/>
      <c r="S872" s="3"/>
      <c r="T872" s="3"/>
    </row>
    <row r="873">
      <c r="A873" s="3"/>
      <c r="B873" s="3"/>
      <c r="C873" s="3"/>
      <c r="D873" s="3"/>
      <c r="E873" s="3"/>
      <c r="F873" s="3"/>
      <c r="G873" s="3"/>
      <c r="H873" s="3"/>
      <c r="I873" s="3"/>
      <c r="J873" s="3"/>
      <c r="K873" s="3"/>
      <c r="L873" s="3"/>
      <c r="M873" s="3"/>
      <c r="N873" s="3"/>
      <c r="O873" s="3"/>
      <c r="P873" s="3"/>
      <c r="Q873" s="3"/>
      <c r="R873" s="3"/>
      <c r="S873" s="3"/>
      <c r="T873" s="3"/>
    </row>
    <row r="874">
      <c r="A874" s="3"/>
      <c r="B874" s="3"/>
      <c r="C874" s="3"/>
      <c r="D874" s="3"/>
      <c r="E874" s="3"/>
      <c r="F874" s="3"/>
      <c r="G874" s="3"/>
      <c r="H874" s="3"/>
      <c r="I874" s="3"/>
      <c r="J874" s="3"/>
      <c r="K874" s="3"/>
      <c r="L874" s="3"/>
      <c r="M874" s="3"/>
      <c r="N874" s="3"/>
      <c r="O874" s="3"/>
      <c r="P874" s="3"/>
      <c r="Q874" s="3"/>
      <c r="R874" s="3"/>
      <c r="S874" s="3"/>
      <c r="T874" s="3"/>
    </row>
    <row r="875">
      <c r="A875" s="3"/>
      <c r="B875" s="3"/>
      <c r="C875" s="3"/>
      <c r="D875" s="3"/>
      <c r="E875" s="3"/>
      <c r="F875" s="3"/>
      <c r="G875" s="3"/>
      <c r="H875" s="3"/>
      <c r="I875" s="3"/>
      <c r="J875" s="3"/>
      <c r="K875" s="3"/>
      <c r="L875" s="3"/>
      <c r="M875" s="3"/>
      <c r="N875" s="3"/>
      <c r="O875" s="3"/>
      <c r="P875" s="3"/>
      <c r="Q875" s="3"/>
      <c r="R875" s="3"/>
      <c r="S875" s="3"/>
      <c r="T875" s="3"/>
    </row>
    <row r="876">
      <c r="A876" s="3"/>
      <c r="B876" s="3"/>
      <c r="C876" s="3"/>
      <c r="D876" s="3"/>
      <c r="E876" s="3"/>
      <c r="F876" s="3"/>
      <c r="G876" s="3"/>
      <c r="H876" s="3"/>
      <c r="I876" s="3"/>
      <c r="J876" s="3"/>
      <c r="K876" s="3"/>
      <c r="L876" s="3"/>
      <c r="M876" s="3"/>
      <c r="N876" s="3"/>
      <c r="O876" s="3"/>
      <c r="P876" s="3"/>
      <c r="Q876" s="3"/>
      <c r="R876" s="3"/>
      <c r="S876" s="3"/>
      <c r="T876" s="3"/>
    </row>
    <row r="877">
      <c r="A877" s="3"/>
      <c r="B877" s="3"/>
      <c r="C877" s="3"/>
      <c r="D877" s="3"/>
      <c r="E877" s="3"/>
      <c r="F877" s="3"/>
      <c r="G877" s="3"/>
      <c r="H877" s="3"/>
      <c r="I877" s="3"/>
      <c r="J877" s="3"/>
      <c r="K877" s="3"/>
      <c r="L877" s="3"/>
      <c r="M877" s="3"/>
      <c r="N877" s="3"/>
      <c r="O877" s="3"/>
      <c r="P877" s="3"/>
      <c r="Q877" s="3"/>
      <c r="R877" s="3"/>
      <c r="S877" s="3"/>
      <c r="T877" s="3"/>
    </row>
    <row r="878">
      <c r="A878" s="3"/>
      <c r="B878" s="3"/>
      <c r="C878" s="3"/>
      <c r="D878" s="3"/>
      <c r="E878" s="3"/>
      <c r="F878" s="3"/>
      <c r="G878" s="3"/>
      <c r="H878" s="3"/>
      <c r="I878" s="3"/>
      <c r="J878" s="3"/>
      <c r="K878" s="3"/>
      <c r="L878" s="3"/>
      <c r="M878" s="3"/>
      <c r="N878" s="3"/>
      <c r="O878" s="3"/>
      <c r="P878" s="3"/>
      <c r="Q878" s="3"/>
      <c r="R878" s="3"/>
      <c r="S878" s="3"/>
      <c r="T878" s="3"/>
    </row>
    <row r="879">
      <c r="A879" s="3"/>
      <c r="B879" s="3"/>
      <c r="C879" s="3"/>
      <c r="D879" s="3"/>
      <c r="E879" s="3"/>
      <c r="F879" s="3"/>
      <c r="G879" s="3"/>
      <c r="H879" s="3"/>
      <c r="I879" s="3"/>
      <c r="J879" s="3"/>
      <c r="K879" s="3"/>
      <c r="L879" s="3"/>
      <c r="M879" s="3"/>
      <c r="N879" s="3"/>
      <c r="O879" s="3"/>
      <c r="P879" s="3"/>
      <c r="Q879" s="3"/>
      <c r="R879" s="3"/>
      <c r="S879" s="3"/>
      <c r="T879" s="3"/>
    </row>
    <row r="880">
      <c r="A880" s="3"/>
      <c r="B880" s="3"/>
      <c r="C880" s="3"/>
      <c r="D880" s="3"/>
      <c r="E880" s="3"/>
      <c r="F880" s="3"/>
      <c r="G880" s="3"/>
      <c r="H880" s="3"/>
      <c r="I880" s="3"/>
      <c r="J880" s="3"/>
      <c r="K880" s="3"/>
      <c r="L880" s="3"/>
      <c r="M880" s="3"/>
      <c r="N880" s="3"/>
      <c r="O880" s="3"/>
      <c r="P880" s="3"/>
      <c r="Q880" s="3"/>
      <c r="R880" s="3"/>
      <c r="S880" s="3"/>
      <c r="T880" s="3"/>
    </row>
    <row r="881">
      <c r="A881" s="3"/>
      <c r="B881" s="3"/>
      <c r="C881" s="3"/>
      <c r="D881" s="3"/>
      <c r="E881" s="3"/>
      <c r="F881" s="3"/>
      <c r="G881" s="3"/>
      <c r="H881" s="3"/>
      <c r="I881" s="3"/>
      <c r="J881" s="3"/>
      <c r="K881" s="3"/>
      <c r="L881" s="3"/>
      <c r="M881" s="3"/>
      <c r="N881" s="3"/>
      <c r="O881" s="3"/>
      <c r="P881" s="3"/>
      <c r="Q881" s="3"/>
      <c r="R881" s="3"/>
      <c r="S881" s="3"/>
      <c r="T881" s="3"/>
    </row>
    <row r="882">
      <c r="A882" s="3"/>
      <c r="B882" s="3"/>
      <c r="C882" s="3"/>
      <c r="D882" s="3"/>
      <c r="E882" s="3"/>
      <c r="F882" s="3"/>
      <c r="G882" s="3"/>
      <c r="H882" s="3"/>
      <c r="I882" s="3"/>
      <c r="J882" s="3"/>
      <c r="K882" s="3"/>
      <c r="L882" s="3"/>
      <c r="M882" s="3"/>
      <c r="N882" s="3"/>
      <c r="O882" s="3"/>
      <c r="P882" s="3"/>
      <c r="Q882" s="3"/>
      <c r="R882" s="3"/>
      <c r="S882" s="3"/>
      <c r="T882" s="3"/>
    </row>
    <row r="883">
      <c r="A883" s="3"/>
      <c r="B883" s="3"/>
      <c r="C883" s="3"/>
      <c r="D883" s="3"/>
      <c r="E883" s="3"/>
      <c r="F883" s="3"/>
      <c r="G883" s="3"/>
      <c r="H883" s="3"/>
      <c r="I883" s="3"/>
      <c r="J883" s="3"/>
      <c r="K883" s="3"/>
      <c r="L883" s="3"/>
      <c r="M883" s="3"/>
      <c r="N883" s="3"/>
      <c r="O883" s="3"/>
      <c r="P883" s="3"/>
      <c r="Q883" s="3"/>
      <c r="R883" s="3"/>
      <c r="S883" s="3"/>
      <c r="T883" s="3"/>
    </row>
    <row r="884">
      <c r="A884" s="3"/>
      <c r="B884" s="3"/>
      <c r="C884" s="3"/>
      <c r="D884" s="3"/>
      <c r="E884" s="3"/>
      <c r="F884" s="3"/>
      <c r="G884" s="3"/>
      <c r="H884" s="3"/>
      <c r="I884" s="3"/>
      <c r="J884" s="3"/>
      <c r="K884" s="3"/>
      <c r="L884" s="3"/>
      <c r="M884" s="3"/>
      <c r="N884" s="3"/>
      <c r="O884" s="3"/>
      <c r="P884" s="3"/>
      <c r="Q884" s="3"/>
      <c r="R884" s="3"/>
      <c r="S884" s="3"/>
      <c r="T884" s="3"/>
    </row>
    <row r="885">
      <c r="A885" s="3"/>
      <c r="B885" s="3"/>
      <c r="C885" s="3"/>
      <c r="D885" s="3"/>
      <c r="E885" s="3"/>
      <c r="F885" s="3"/>
      <c r="G885" s="3"/>
      <c r="H885" s="3"/>
      <c r="I885" s="3"/>
      <c r="J885" s="3"/>
      <c r="K885" s="3"/>
      <c r="L885" s="3"/>
      <c r="M885" s="3"/>
      <c r="N885" s="3"/>
      <c r="O885" s="3"/>
      <c r="P885" s="3"/>
      <c r="Q885" s="3"/>
      <c r="R885" s="3"/>
      <c r="S885" s="3"/>
      <c r="T885" s="3"/>
    </row>
    <row r="886">
      <c r="A886" s="3"/>
      <c r="B886" s="3"/>
      <c r="C886" s="3"/>
      <c r="D886" s="3"/>
      <c r="E886" s="3"/>
      <c r="F886" s="3"/>
      <c r="G886" s="3"/>
      <c r="H886" s="3"/>
      <c r="I886" s="3"/>
      <c r="J886" s="3"/>
      <c r="K886" s="3"/>
      <c r="L886" s="3"/>
      <c r="M886" s="3"/>
      <c r="N886" s="3"/>
      <c r="O886" s="3"/>
      <c r="P886" s="3"/>
      <c r="Q886" s="3"/>
      <c r="R886" s="3"/>
      <c r="S886" s="3"/>
      <c r="T886" s="3"/>
    </row>
    <row r="887">
      <c r="A887" s="3"/>
      <c r="B887" s="3"/>
      <c r="C887" s="3"/>
      <c r="D887" s="3"/>
      <c r="E887" s="3"/>
      <c r="F887" s="3"/>
      <c r="G887" s="3"/>
      <c r="H887" s="3"/>
      <c r="I887" s="3"/>
      <c r="J887" s="3"/>
      <c r="K887" s="3"/>
      <c r="L887" s="3"/>
      <c r="M887" s="3"/>
      <c r="N887" s="3"/>
      <c r="O887" s="3"/>
      <c r="P887" s="3"/>
      <c r="Q887" s="3"/>
      <c r="R887" s="3"/>
      <c r="S887" s="3"/>
      <c r="T887" s="3"/>
    </row>
    <row r="888">
      <c r="A888" s="3"/>
      <c r="B888" s="3"/>
      <c r="C888" s="3"/>
      <c r="D888" s="3"/>
      <c r="E888" s="3"/>
      <c r="F888" s="3"/>
      <c r="G888" s="3"/>
      <c r="H888" s="3"/>
      <c r="I888" s="3"/>
      <c r="J888" s="3"/>
      <c r="K888" s="3"/>
      <c r="L888" s="3"/>
      <c r="M888" s="3"/>
      <c r="N888" s="3"/>
      <c r="O888" s="3"/>
      <c r="P888" s="3"/>
      <c r="Q888" s="3"/>
      <c r="R888" s="3"/>
      <c r="S888" s="3"/>
      <c r="T888" s="3"/>
    </row>
    <row r="889">
      <c r="A889" s="3"/>
      <c r="B889" s="3"/>
      <c r="C889" s="3"/>
      <c r="D889" s="3"/>
      <c r="E889" s="3"/>
      <c r="F889" s="3"/>
      <c r="G889" s="3"/>
      <c r="H889" s="3"/>
      <c r="I889" s="3"/>
      <c r="J889" s="3"/>
      <c r="K889" s="3"/>
      <c r="L889" s="3"/>
      <c r="M889" s="3"/>
      <c r="N889" s="3"/>
      <c r="O889" s="3"/>
      <c r="P889" s="3"/>
      <c r="Q889" s="3"/>
      <c r="R889" s="3"/>
      <c r="S889" s="3"/>
      <c r="T889" s="3"/>
    </row>
    <row r="890">
      <c r="A890" s="3"/>
      <c r="B890" s="3"/>
      <c r="C890" s="3"/>
      <c r="D890" s="3"/>
      <c r="E890" s="3"/>
      <c r="F890" s="3"/>
      <c r="G890" s="3"/>
      <c r="H890" s="3"/>
      <c r="I890" s="3"/>
      <c r="J890" s="3"/>
      <c r="K890" s="3"/>
      <c r="L890" s="3"/>
      <c r="M890" s="3"/>
      <c r="N890" s="3"/>
      <c r="O890" s="3"/>
      <c r="P890" s="3"/>
      <c r="Q890" s="3"/>
      <c r="R890" s="3"/>
      <c r="S890" s="3"/>
      <c r="T890" s="3"/>
    </row>
    <row r="891">
      <c r="A891" s="3"/>
      <c r="B891" s="3"/>
      <c r="C891" s="3"/>
      <c r="D891" s="3"/>
      <c r="E891" s="3"/>
      <c r="F891" s="3"/>
      <c r="G891" s="3"/>
      <c r="H891" s="3"/>
      <c r="I891" s="3"/>
      <c r="J891" s="3"/>
      <c r="K891" s="3"/>
      <c r="L891" s="3"/>
      <c r="M891" s="3"/>
      <c r="N891" s="3"/>
      <c r="O891" s="3"/>
      <c r="P891" s="3"/>
      <c r="Q891" s="3"/>
      <c r="R891" s="3"/>
      <c r="S891" s="3"/>
      <c r="T891" s="3"/>
    </row>
    <row r="892">
      <c r="A892" s="3"/>
      <c r="B892" s="3"/>
      <c r="C892" s="3"/>
      <c r="D892" s="3"/>
      <c r="E892" s="3"/>
      <c r="F892" s="3"/>
      <c r="G892" s="3"/>
      <c r="H892" s="3"/>
      <c r="I892" s="3"/>
      <c r="J892" s="3"/>
      <c r="K892" s="3"/>
      <c r="L892" s="3"/>
      <c r="M892" s="3"/>
      <c r="N892" s="3"/>
      <c r="O892" s="3"/>
      <c r="P892" s="3"/>
      <c r="Q892" s="3"/>
      <c r="R892" s="3"/>
      <c r="S892" s="3"/>
      <c r="T892" s="3"/>
    </row>
    <row r="893">
      <c r="A893" s="3"/>
      <c r="B893" s="3"/>
      <c r="C893" s="3"/>
      <c r="D893" s="3"/>
      <c r="E893" s="3"/>
      <c r="F893" s="3"/>
      <c r="G893" s="3"/>
      <c r="H893" s="3"/>
      <c r="I893" s="3"/>
      <c r="J893" s="3"/>
      <c r="K893" s="3"/>
      <c r="L893" s="3"/>
      <c r="M893" s="3"/>
      <c r="N893" s="3"/>
      <c r="O893" s="3"/>
      <c r="P893" s="3"/>
      <c r="Q893" s="3"/>
      <c r="R893" s="3"/>
      <c r="S893" s="3"/>
      <c r="T893" s="3"/>
    </row>
    <row r="894">
      <c r="A894" s="3"/>
      <c r="B894" s="3"/>
      <c r="C894" s="3"/>
      <c r="D894" s="3"/>
      <c r="E894" s="3"/>
      <c r="F894" s="3"/>
      <c r="G894" s="3"/>
      <c r="H894" s="3"/>
      <c r="I894" s="3"/>
      <c r="J894" s="3"/>
      <c r="K894" s="3"/>
      <c r="L894" s="3"/>
      <c r="M894" s="3"/>
      <c r="N894" s="3"/>
      <c r="O894" s="3"/>
      <c r="P894" s="3"/>
      <c r="Q894" s="3"/>
      <c r="R894" s="3"/>
      <c r="S894" s="3"/>
      <c r="T894" s="3"/>
    </row>
    <row r="895">
      <c r="A895" s="3"/>
      <c r="B895" s="3"/>
      <c r="C895" s="3"/>
      <c r="D895" s="3"/>
      <c r="E895" s="3"/>
      <c r="F895" s="3"/>
      <c r="G895" s="3"/>
      <c r="H895" s="3"/>
      <c r="I895" s="3"/>
      <c r="J895" s="3"/>
      <c r="K895" s="3"/>
      <c r="L895" s="3"/>
      <c r="M895" s="3"/>
      <c r="N895" s="3"/>
      <c r="O895" s="3"/>
      <c r="P895" s="3"/>
      <c r="Q895" s="3"/>
      <c r="R895" s="3"/>
      <c r="S895" s="3"/>
      <c r="T895" s="3"/>
    </row>
    <row r="896">
      <c r="A896" s="3"/>
      <c r="B896" s="3"/>
      <c r="C896" s="3"/>
      <c r="D896" s="3"/>
      <c r="E896" s="3"/>
      <c r="F896" s="3"/>
      <c r="G896" s="3"/>
      <c r="H896" s="3"/>
      <c r="I896" s="3"/>
      <c r="J896" s="3"/>
      <c r="K896" s="3"/>
      <c r="L896" s="3"/>
      <c r="M896" s="3"/>
      <c r="N896" s="3"/>
      <c r="O896" s="3"/>
      <c r="P896" s="3"/>
      <c r="Q896" s="3"/>
      <c r="R896" s="3"/>
      <c r="S896" s="3"/>
      <c r="T896" s="3"/>
    </row>
    <row r="897">
      <c r="A897" s="3"/>
      <c r="B897" s="3"/>
      <c r="C897" s="3"/>
      <c r="D897" s="3"/>
      <c r="E897" s="3"/>
      <c r="F897" s="3"/>
      <c r="G897" s="3"/>
      <c r="H897" s="3"/>
      <c r="I897" s="3"/>
      <c r="J897" s="3"/>
      <c r="K897" s="3"/>
      <c r="L897" s="3"/>
      <c r="M897" s="3"/>
      <c r="N897" s="3"/>
      <c r="O897" s="3"/>
      <c r="P897" s="3"/>
      <c r="Q897" s="3"/>
      <c r="R897" s="3"/>
      <c r="S897" s="3"/>
      <c r="T897" s="3"/>
    </row>
    <row r="898">
      <c r="A898" s="3"/>
      <c r="B898" s="3"/>
      <c r="C898" s="3"/>
      <c r="D898" s="3"/>
      <c r="E898" s="3"/>
      <c r="F898" s="3"/>
      <c r="G898" s="3"/>
      <c r="H898" s="3"/>
      <c r="I898" s="3"/>
      <c r="J898" s="3"/>
      <c r="K898" s="3"/>
      <c r="L898" s="3"/>
      <c r="M898" s="3"/>
      <c r="N898" s="3"/>
      <c r="O898" s="3"/>
      <c r="P898" s="3"/>
      <c r="Q898" s="3"/>
      <c r="R898" s="3"/>
      <c r="S898" s="3"/>
      <c r="T898" s="3"/>
    </row>
    <row r="899">
      <c r="A899" s="3"/>
      <c r="B899" s="3"/>
      <c r="C899" s="3"/>
      <c r="D899" s="3"/>
      <c r="E899" s="3"/>
      <c r="F899" s="3"/>
      <c r="G899" s="3"/>
      <c r="H899" s="3"/>
      <c r="I899" s="3"/>
      <c r="J899" s="3"/>
      <c r="K899" s="3"/>
      <c r="L899" s="3"/>
      <c r="M899" s="3"/>
      <c r="N899" s="3"/>
      <c r="O899" s="3"/>
      <c r="P899" s="3"/>
      <c r="Q899" s="3"/>
      <c r="R899" s="3"/>
      <c r="S899" s="3"/>
      <c r="T899" s="3"/>
    </row>
    <row r="900">
      <c r="A900" s="3"/>
      <c r="B900" s="3"/>
      <c r="C900" s="3"/>
      <c r="D900" s="3"/>
      <c r="E900" s="3"/>
      <c r="F900" s="3"/>
      <c r="G900" s="3"/>
      <c r="H900" s="3"/>
      <c r="I900" s="3"/>
      <c r="J900" s="3"/>
      <c r="K900" s="3"/>
      <c r="L900" s="3"/>
      <c r="M900" s="3"/>
      <c r="N900" s="3"/>
      <c r="O900" s="3"/>
      <c r="P900" s="3"/>
      <c r="Q900" s="3"/>
      <c r="R900" s="3"/>
      <c r="S900" s="3"/>
      <c r="T900" s="3"/>
    </row>
    <row r="901">
      <c r="A901" s="3"/>
      <c r="B901" s="3"/>
      <c r="C901" s="3"/>
      <c r="D901" s="3"/>
      <c r="E901" s="3"/>
      <c r="F901" s="3"/>
      <c r="G901" s="3"/>
      <c r="H901" s="3"/>
      <c r="I901" s="3"/>
      <c r="J901" s="3"/>
      <c r="K901" s="3"/>
      <c r="L901" s="3"/>
      <c r="M901" s="3"/>
      <c r="N901" s="3"/>
      <c r="O901" s="3"/>
      <c r="P901" s="3"/>
      <c r="Q901" s="3"/>
      <c r="R901" s="3"/>
      <c r="S901" s="3"/>
      <c r="T901" s="3"/>
    </row>
    <row r="902">
      <c r="A902" s="3"/>
      <c r="B902" s="3"/>
      <c r="C902" s="3"/>
      <c r="D902" s="3"/>
      <c r="E902" s="3"/>
      <c r="F902" s="3"/>
      <c r="G902" s="3"/>
      <c r="H902" s="3"/>
      <c r="I902" s="3"/>
      <c r="J902" s="3"/>
      <c r="K902" s="3"/>
      <c r="L902" s="3"/>
      <c r="M902" s="3"/>
      <c r="N902" s="3"/>
      <c r="O902" s="3"/>
      <c r="P902" s="3"/>
      <c r="Q902" s="3"/>
      <c r="R902" s="3"/>
      <c r="S902" s="3"/>
      <c r="T902" s="3"/>
    </row>
    <row r="903">
      <c r="A903" s="3"/>
      <c r="B903" s="3"/>
      <c r="C903" s="3"/>
      <c r="D903" s="3"/>
      <c r="E903" s="3"/>
      <c r="F903" s="3"/>
      <c r="G903" s="3"/>
      <c r="H903" s="3"/>
      <c r="I903" s="3"/>
      <c r="J903" s="3"/>
      <c r="K903" s="3"/>
      <c r="L903" s="3"/>
      <c r="M903" s="3"/>
      <c r="N903" s="3"/>
      <c r="O903" s="3"/>
      <c r="P903" s="3"/>
      <c r="Q903" s="3"/>
      <c r="R903" s="3"/>
      <c r="S903" s="3"/>
      <c r="T903" s="3"/>
    </row>
    <row r="904">
      <c r="A904" s="3"/>
      <c r="B904" s="3"/>
      <c r="C904" s="3"/>
      <c r="D904" s="3"/>
      <c r="E904" s="3"/>
      <c r="F904" s="3"/>
      <c r="G904" s="3"/>
      <c r="H904" s="3"/>
      <c r="I904" s="3"/>
      <c r="J904" s="3"/>
      <c r="K904" s="3"/>
      <c r="L904" s="3"/>
      <c r="M904" s="3"/>
      <c r="N904" s="3"/>
      <c r="O904" s="3"/>
      <c r="P904" s="3"/>
      <c r="Q904" s="3"/>
      <c r="R904" s="3"/>
      <c r="S904" s="3"/>
      <c r="T904" s="3"/>
    </row>
    <row r="905">
      <c r="A905" s="3"/>
      <c r="B905" s="3"/>
      <c r="C905" s="3"/>
      <c r="D905" s="3"/>
      <c r="E905" s="3"/>
      <c r="F905" s="3"/>
      <c r="G905" s="3"/>
      <c r="H905" s="3"/>
      <c r="I905" s="3"/>
      <c r="J905" s="3"/>
      <c r="K905" s="3"/>
      <c r="L905" s="3"/>
      <c r="M905" s="3"/>
      <c r="N905" s="3"/>
      <c r="O905" s="3"/>
      <c r="P905" s="3"/>
      <c r="Q905" s="3"/>
      <c r="R905" s="3"/>
      <c r="S905" s="3"/>
      <c r="T905" s="3"/>
    </row>
    <row r="906">
      <c r="A906" s="3"/>
      <c r="B906" s="3"/>
      <c r="C906" s="3"/>
      <c r="D906" s="3"/>
      <c r="E906" s="3"/>
      <c r="F906" s="3"/>
      <c r="G906" s="3"/>
      <c r="H906" s="3"/>
      <c r="I906" s="3"/>
      <c r="J906" s="3"/>
      <c r="K906" s="3"/>
      <c r="L906" s="3"/>
      <c r="M906" s="3"/>
      <c r="N906" s="3"/>
      <c r="O906" s="3"/>
      <c r="P906" s="3"/>
      <c r="Q906" s="3"/>
      <c r="R906" s="3"/>
      <c r="S906" s="3"/>
      <c r="T906" s="3"/>
    </row>
    <row r="907">
      <c r="A907" s="3"/>
      <c r="B907" s="3"/>
      <c r="C907" s="3"/>
      <c r="D907" s="3"/>
      <c r="E907" s="3"/>
      <c r="F907" s="3"/>
      <c r="G907" s="3"/>
      <c r="H907" s="3"/>
      <c r="I907" s="3"/>
      <c r="J907" s="3"/>
      <c r="K907" s="3"/>
      <c r="L907" s="3"/>
      <c r="M907" s="3"/>
      <c r="N907" s="3"/>
      <c r="O907" s="3"/>
      <c r="P907" s="3"/>
      <c r="Q907" s="3"/>
      <c r="R907" s="3"/>
      <c r="S907" s="3"/>
      <c r="T907" s="3"/>
    </row>
    <row r="908">
      <c r="A908" s="3"/>
      <c r="B908" s="3"/>
      <c r="C908" s="3"/>
      <c r="D908" s="3"/>
      <c r="E908" s="3"/>
      <c r="F908" s="3"/>
      <c r="G908" s="3"/>
      <c r="H908" s="3"/>
      <c r="I908" s="3"/>
      <c r="J908" s="3"/>
      <c r="K908" s="3"/>
      <c r="L908" s="3"/>
      <c r="M908" s="3"/>
      <c r="N908" s="3"/>
      <c r="O908" s="3"/>
      <c r="P908" s="3"/>
      <c r="Q908" s="3"/>
      <c r="R908" s="3"/>
      <c r="S908" s="3"/>
      <c r="T908" s="3"/>
    </row>
    <row r="909">
      <c r="A909" s="3"/>
      <c r="B909" s="3"/>
      <c r="C909" s="3"/>
      <c r="D909" s="3"/>
      <c r="E909" s="3"/>
      <c r="F909" s="3"/>
      <c r="G909" s="3"/>
      <c r="H909" s="3"/>
      <c r="I909" s="3"/>
      <c r="J909" s="3"/>
      <c r="K909" s="3"/>
      <c r="L909" s="3"/>
      <c r="M909" s="3"/>
      <c r="N909" s="3"/>
      <c r="O909" s="3"/>
      <c r="P909" s="3"/>
      <c r="Q909" s="3"/>
      <c r="R909" s="3"/>
      <c r="S909" s="3"/>
      <c r="T909" s="3"/>
    </row>
    <row r="910">
      <c r="A910" s="3"/>
      <c r="B910" s="3"/>
      <c r="C910" s="3"/>
      <c r="D910" s="3"/>
      <c r="E910" s="3"/>
      <c r="F910" s="3"/>
      <c r="G910" s="3"/>
      <c r="H910" s="3"/>
      <c r="I910" s="3"/>
      <c r="J910" s="3"/>
      <c r="K910" s="3"/>
      <c r="L910" s="3"/>
      <c r="M910" s="3"/>
      <c r="N910" s="3"/>
      <c r="O910" s="3"/>
      <c r="P910" s="3"/>
      <c r="Q910" s="3"/>
      <c r="R910" s="3"/>
      <c r="S910" s="3"/>
      <c r="T910" s="3"/>
    </row>
    <row r="911">
      <c r="A911" s="3"/>
      <c r="B911" s="3"/>
      <c r="C911" s="3"/>
      <c r="D911" s="3"/>
      <c r="E911" s="3"/>
      <c r="F911" s="3"/>
      <c r="G911" s="3"/>
      <c r="H911" s="3"/>
      <c r="I911" s="3"/>
      <c r="J911" s="3"/>
      <c r="K911" s="3"/>
      <c r="L911" s="3"/>
      <c r="M911" s="3"/>
      <c r="N911" s="3"/>
      <c r="O911" s="3"/>
      <c r="P911" s="3"/>
      <c r="Q911" s="3"/>
      <c r="R911" s="3"/>
      <c r="S911" s="3"/>
      <c r="T911" s="3"/>
    </row>
    <row r="912">
      <c r="A912" s="3"/>
      <c r="B912" s="3"/>
      <c r="C912" s="3"/>
      <c r="D912" s="3"/>
      <c r="E912" s="3"/>
      <c r="F912" s="3"/>
      <c r="G912" s="3"/>
      <c r="H912" s="3"/>
      <c r="I912" s="3"/>
      <c r="J912" s="3"/>
      <c r="K912" s="3"/>
      <c r="L912" s="3"/>
      <c r="M912" s="3"/>
      <c r="N912" s="3"/>
      <c r="O912" s="3"/>
      <c r="P912" s="3"/>
      <c r="Q912" s="3"/>
      <c r="R912" s="3"/>
      <c r="S912" s="3"/>
      <c r="T912" s="3"/>
    </row>
    <row r="913">
      <c r="A913" s="3"/>
      <c r="B913" s="3"/>
      <c r="C913" s="3"/>
      <c r="D913" s="3"/>
      <c r="E913" s="3"/>
      <c r="F913" s="3"/>
      <c r="G913" s="3"/>
      <c r="H913" s="3"/>
      <c r="I913" s="3"/>
      <c r="J913" s="3"/>
      <c r="K913" s="3"/>
      <c r="L913" s="3"/>
      <c r="M913" s="3"/>
      <c r="N913" s="3"/>
      <c r="O913" s="3"/>
      <c r="P913" s="3"/>
      <c r="Q913" s="3"/>
      <c r="R913" s="3"/>
      <c r="S913" s="3"/>
      <c r="T913" s="3"/>
    </row>
    <row r="914">
      <c r="A914" s="3"/>
      <c r="B914" s="3"/>
      <c r="C914" s="3"/>
      <c r="D914" s="3"/>
      <c r="E914" s="3"/>
      <c r="F914" s="3"/>
      <c r="G914" s="3"/>
      <c r="H914" s="3"/>
      <c r="I914" s="3"/>
      <c r="J914" s="3"/>
      <c r="K914" s="3"/>
      <c r="L914" s="3"/>
      <c r="M914" s="3"/>
      <c r="N914" s="3"/>
      <c r="O914" s="3"/>
      <c r="P914" s="3"/>
      <c r="Q914" s="3"/>
      <c r="R914" s="3"/>
      <c r="S914" s="3"/>
      <c r="T914" s="3"/>
    </row>
    <row r="915">
      <c r="A915" s="3"/>
      <c r="B915" s="3"/>
      <c r="C915" s="3"/>
      <c r="D915" s="3"/>
      <c r="E915" s="3"/>
      <c r="F915" s="3"/>
      <c r="G915" s="3"/>
      <c r="H915" s="3"/>
      <c r="I915" s="3"/>
      <c r="J915" s="3"/>
      <c r="K915" s="3"/>
      <c r="L915" s="3"/>
      <c r="M915" s="3"/>
      <c r="N915" s="3"/>
      <c r="O915" s="3"/>
      <c r="P915" s="3"/>
      <c r="Q915" s="3"/>
      <c r="R915" s="3"/>
      <c r="S915" s="3"/>
      <c r="T915" s="3"/>
    </row>
    <row r="916">
      <c r="A916" s="3"/>
      <c r="B916" s="3"/>
      <c r="C916" s="3"/>
      <c r="D916" s="3"/>
      <c r="E916" s="3"/>
      <c r="F916" s="3"/>
      <c r="G916" s="3"/>
      <c r="H916" s="3"/>
      <c r="I916" s="3"/>
      <c r="J916" s="3"/>
      <c r="K916" s="3"/>
      <c r="L916" s="3"/>
      <c r="M916" s="3"/>
      <c r="N916" s="3"/>
      <c r="O916" s="3"/>
      <c r="P916" s="3"/>
      <c r="Q916" s="3"/>
      <c r="R916" s="3"/>
      <c r="S916" s="3"/>
      <c r="T916" s="3"/>
    </row>
    <row r="917">
      <c r="A917" s="3"/>
      <c r="B917" s="3"/>
      <c r="C917" s="3"/>
      <c r="D917" s="3"/>
      <c r="E917" s="3"/>
      <c r="F917" s="3"/>
      <c r="G917" s="3"/>
      <c r="H917" s="3"/>
      <c r="I917" s="3"/>
      <c r="J917" s="3"/>
      <c r="K917" s="3"/>
      <c r="L917" s="3"/>
      <c r="M917" s="3"/>
      <c r="N917" s="3"/>
      <c r="O917" s="3"/>
      <c r="P917" s="3"/>
      <c r="Q917" s="3"/>
      <c r="R917" s="3"/>
      <c r="S917" s="3"/>
      <c r="T917" s="3"/>
    </row>
    <row r="918">
      <c r="A918" s="3"/>
      <c r="B918" s="3"/>
      <c r="C918" s="3"/>
      <c r="D918" s="3"/>
      <c r="E918" s="3"/>
      <c r="F918" s="3"/>
      <c r="G918" s="3"/>
      <c r="H918" s="3"/>
      <c r="I918" s="3"/>
      <c r="J918" s="3"/>
      <c r="K918" s="3"/>
      <c r="L918" s="3"/>
      <c r="M918" s="3"/>
      <c r="N918" s="3"/>
      <c r="O918" s="3"/>
      <c r="P918" s="3"/>
      <c r="Q918" s="3"/>
      <c r="R918" s="3"/>
      <c r="S918" s="3"/>
      <c r="T918" s="3"/>
    </row>
    <row r="919">
      <c r="A919" s="3"/>
      <c r="B919" s="3"/>
      <c r="C919" s="3"/>
      <c r="D919" s="3"/>
      <c r="E919" s="3"/>
      <c r="F919" s="3"/>
      <c r="G919" s="3"/>
      <c r="H919" s="3"/>
      <c r="I919" s="3"/>
      <c r="J919" s="3"/>
      <c r="K919" s="3"/>
      <c r="L919" s="3"/>
      <c r="M919" s="3"/>
      <c r="N919" s="3"/>
      <c r="O919" s="3"/>
      <c r="P919" s="3"/>
      <c r="Q919" s="3"/>
      <c r="R919" s="3"/>
      <c r="S919" s="3"/>
      <c r="T919" s="3"/>
    </row>
    <row r="920">
      <c r="A920" s="3"/>
      <c r="B920" s="3"/>
      <c r="C920" s="3"/>
      <c r="D920" s="3"/>
      <c r="E920" s="3"/>
      <c r="F920" s="3"/>
      <c r="G920" s="3"/>
      <c r="H920" s="3"/>
      <c r="I920" s="3"/>
      <c r="J920" s="3"/>
      <c r="K920" s="3"/>
      <c r="L920" s="3"/>
      <c r="M920" s="3"/>
      <c r="N920" s="3"/>
      <c r="O920" s="3"/>
      <c r="P920" s="3"/>
      <c r="Q920" s="3"/>
      <c r="R920" s="3"/>
      <c r="S920" s="3"/>
      <c r="T920" s="3"/>
    </row>
    <row r="921">
      <c r="A921" s="3"/>
      <c r="B921" s="3"/>
      <c r="C921" s="3"/>
      <c r="D921" s="3"/>
      <c r="E921" s="3"/>
      <c r="F921" s="3"/>
      <c r="G921" s="3"/>
      <c r="H921" s="3"/>
      <c r="I921" s="3"/>
      <c r="J921" s="3"/>
      <c r="K921" s="3"/>
      <c r="L921" s="3"/>
      <c r="M921" s="3"/>
      <c r="N921" s="3"/>
      <c r="O921" s="3"/>
      <c r="P921" s="3"/>
      <c r="Q921" s="3"/>
      <c r="R921" s="3"/>
      <c r="S921" s="3"/>
      <c r="T921" s="3"/>
    </row>
    <row r="922">
      <c r="A922" s="3"/>
      <c r="B922" s="3"/>
      <c r="C922" s="3"/>
      <c r="D922" s="3"/>
      <c r="E922" s="3"/>
      <c r="F922" s="3"/>
      <c r="G922" s="3"/>
      <c r="H922" s="3"/>
      <c r="I922" s="3"/>
      <c r="J922" s="3"/>
      <c r="K922" s="3"/>
      <c r="L922" s="3"/>
      <c r="M922" s="3"/>
      <c r="N922" s="3"/>
      <c r="O922" s="3"/>
      <c r="P922" s="3"/>
      <c r="Q922" s="3"/>
      <c r="R922" s="3"/>
      <c r="S922" s="3"/>
      <c r="T922" s="3"/>
    </row>
    <row r="923">
      <c r="A923" s="3"/>
      <c r="B923" s="3"/>
      <c r="C923" s="3"/>
      <c r="D923" s="3"/>
      <c r="E923" s="3"/>
      <c r="F923" s="3"/>
      <c r="G923" s="3"/>
      <c r="H923" s="3"/>
      <c r="I923" s="3"/>
      <c r="J923" s="3"/>
      <c r="K923" s="3"/>
      <c r="L923" s="3"/>
      <c r="M923" s="3"/>
      <c r="N923" s="3"/>
      <c r="O923" s="3"/>
      <c r="P923" s="3"/>
      <c r="Q923" s="3"/>
      <c r="R923" s="3"/>
      <c r="S923" s="3"/>
      <c r="T923" s="3"/>
    </row>
    <row r="924">
      <c r="A924" s="3"/>
      <c r="B924" s="3"/>
      <c r="C924" s="3"/>
      <c r="D924" s="3"/>
      <c r="E924" s="3"/>
      <c r="F924" s="3"/>
      <c r="G924" s="3"/>
      <c r="H924" s="3"/>
      <c r="I924" s="3"/>
      <c r="J924" s="3"/>
      <c r="K924" s="3"/>
      <c r="L924" s="3"/>
      <c r="M924" s="3"/>
      <c r="N924" s="3"/>
      <c r="O924" s="3"/>
      <c r="P924" s="3"/>
      <c r="Q924" s="3"/>
      <c r="R924" s="3"/>
      <c r="S924" s="3"/>
      <c r="T924" s="3"/>
    </row>
    <row r="925">
      <c r="A925" s="3"/>
      <c r="B925" s="3"/>
      <c r="C925" s="3"/>
      <c r="D925" s="3"/>
      <c r="E925" s="3"/>
      <c r="F925" s="3"/>
      <c r="G925" s="3"/>
      <c r="H925" s="3"/>
      <c r="I925" s="3"/>
      <c r="J925" s="3"/>
      <c r="K925" s="3"/>
      <c r="L925" s="3"/>
      <c r="M925" s="3"/>
      <c r="N925" s="3"/>
      <c r="O925" s="3"/>
      <c r="P925" s="3"/>
      <c r="Q925" s="3"/>
      <c r="R925" s="3"/>
      <c r="S925" s="3"/>
      <c r="T925" s="3"/>
    </row>
    <row r="926">
      <c r="A926" s="3"/>
      <c r="B926" s="3"/>
      <c r="C926" s="3"/>
      <c r="D926" s="3"/>
      <c r="E926" s="3"/>
      <c r="F926" s="3"/>
      <c r="G926" s="3"/>
      <c r="H926" s="3"/>
      <c r="I926" s="3"/>
      <c r="J926" s="3"/>
      <c r="K926" s="3"/>
      <c r="L926" s="3"/>
      <c r="M926" s="3"/>
      <c r="N926" s="3"/>
      <c r="O926" s="3"/>
      <c r="P926" s="3"/>
      <c r="Q926" s="3"/>
      <c r="R926" s="3"/>
      <c r="S926" s="3"/>
      <c r="T926" s="3"/>
    </row>
    <row r="927">
      <c r="A927" s="3"/>
      <c r="B927" s="3"/>
      <c r="C927" s="3"/>
      <c r="D927" s="3"/>
      <c r="E927" s="3"/>
      <c r="F927" s="3"/>
      <c r="G927" s="3"/>
      <c r="H927" s="3"/>
      <c r="I927" s="3"/>
      <c r="J927" s="3"/>
      <c r="K927" s="3"/>
      <c r="L927" s="3"/>
      <c r="M927" s="3"/>
      <c r="N927" s="3"/>
      <c r="O927" s="3"/>
      <c r="P927" s="3"/>
      <c r="Q927" s="3"/>
      <c r="R927" s="3"/>
      <c r="S927" s="3"/>
      <c r="T927" s="3"/>
    </row>
    <row r="928">
      <c r="A928" s="3"/>
      <c r="B928" s="3"/>
      <c r="C928" s="3"/>
      <c r="D928" s="3"/>
      <c r="E928" s="3"/>
      <c r="F928" s="3"/>
      <c r="G928" s="3"/>
      <c r="H928" s="3"/>
      <c r="I928" s="3"/>
      <c r="J928" s="3"/>
      <c r="K928" s="3"/>
      <c r="L928" s="3"/>
      <c r="M928" s="3"/>
      <c r="N928" s="3"/>
      <c r="O928" s="3"/>
      <c r="P928" s="3"/>
      <c r="Q928" s="3"/>
      <c r="R928" s="3"/>
      <c r="S928" s="3"/>
      <c r="T928" s="3"/>
    </row>
    <row r="929">
      <c r="A929" s="3"/>
      <c r="B929" s="3"/>
      <c r="C929" s="3"/>
      <c r="D929" s="3"/>
      <c r="E929" s="3"/>
      <c r="F929" s="3"/>
      <c r="G929" s="3"/>
      <c r="H929" s="3"/>
      <c r="I929" s="3"/>
      <c r="J929" s="3"/>
      <c r="K929" s="3"/>
      <c r="L929" s="3"/>
      <c r="M929" s="3"/>
      <c r="N929" s="3"/>
      <c r="O929" s="3"/>
      <c r="P929" s="3"/>
      <c r="Q929" s="3"/>
      <c r="R929" s="3"/>
      <c r="S929" s="3"/>
      <c r="T929" s="3"/>
    </row>
    <row r="930">
      <c r="A930" s="3"/>
      <c r="B930" s="3"/>
      <c r="C930" s="3"/>
      <c r="D930" s="3"/>
      <c r="E930" s="3"/>
      <c r="F930" s="3"/>
      <c r="G930" s="3"/>
      <c r="H930" s="3"/>
      <c r="I930" s="3"/>
      <c r="J930" s="3"/>
      <c r="K930" s="3"/>
      <c r="L930" s="3"/>
      <c r="M930" s="3"/>
      <c r="N930" s="3"/>
      <c r="O930" s="3"/>
      <c r="P930" s="3"/>
      <c r="Q930" s="3"/>
      <c r="R930" s="3"/>
      <c r="S930" s="3"/>
      <c r="T930" s="3"/>
    </row>
    <row r="931">
      <c r="A931" s="3"/>
      <c r="B931" s="3"/>
      <c r="C931" s="3"/>
      <c r="D931" s="3"/>
      <c r="E931" s="3"/>
      <c r="F931" s="3"/>
      <c r="G931" s="3"/>
      <c r="H931" s="3"/>
      <c r="I931" s="3"/>
      <c r="J931" s="3"/>
      <c r="K931" s="3"/>
      <c r="L931" s="3"/>
      <c r="M931" s="3"/>
      <c r="N931" s="3"/>
      <c r="O931" s="3"/>
      <c r="P931" s="3"/>
      <c r="Q931" s="3"/>
      <c r="R931" s="3"/>
      <c r="S931" s="3"/>
      <c r="T931" s="3"/>
    </row>
    <row r="932">
      <c r="A932" s="3"/>
      <c r="B932" s="3"/>
      <c r="C932" s="3"/>
      <c r="D932" s="3"/>
      <c r="E932" s="3"/>
      <c r="F932" s="3"/>
      <c r="G932" s="3"/>
      <c r="H932" s="3"/>
      <c r="I932" s="3"/>
      <c r="J932" s="3"/>
      <c r="K932" s="3"/>
      <c r="L932" s="3"/>
      <c r="M932" s="3"/>
      <c r="N932" s="3"/>
      <c r="O932" s="3"/>
      <c r="P932" s="3"/>
      <c r="Q932" s="3"/>
      <c r="R932" s="3"/>
      <c r="S932" s="3"/>
      <c r="T932" s="3"/>
    </row>
    <row r="933">
      <c r="A933" s="3"/>
      <c r="B933" s="3"/>
      <c r="C933" s="3"/>
      <c r="D933" s="3"/>
      <c r="E933" s="3"/>
      <c r="F933" s="3"/>
      <c r="G933" s="3"/>
      <c r="H933" s="3"/>
      <c r="I933" s="3"/>
      <c r="J933" s="3"/>
      <c r="K933" s="3"/>
      <c r="L933" s="3"/>
      <c r="M933" s="3"/>
      <c r="N933" s="3"/>
      <c r="O933" s="3"/>
      <c r="P933" s="3"/>
      <c r="Q933" s="3"/>
      <c r="R933" s="3"/>
      <c r="S933" s="3"/>
      <c r="T933" s="3"/>
    </row>
    <row r="934">
      <c r="A934" s="3"/>
      <c r="B934" s="3"/>
      <c r="C934" s="3"/>
      <c r="D934" s="3"/>
      <c r="E934" s="3"/>
      <c r="F934" s="3"/>
      <c r="G934" s="3"/>
      <c r="H934" s="3"/>
      <c r="I934" s="3"/>
      <c r="J934" s="3"/>
      <c r="K934" s="3"/>
      <c r="L934" s="3"/>
      <c r="M934" s="3"/>
      <c r="N934" s="3"/>
      <c r="O934" s="3"/>
      <c r="P934" s="3"/>
      <c r="Q934" s="3"/>
      <c r="R934" s="3"/>
      <c r="S934" s="3"/>
      <c r="T934" s="3"/>
    </row>
    <row r="935">
      <c r="A935" s="3"/>
      <c r="B935" s="3"/>
      <c r="C935" s="3"/>
      <c r="D935" s="3"/>
      <c r="E935" s="3"/>
      <c r="F935" s="3"/>
      <c r="G935" s="3"/>
      <c r="H935" s="3"/>
      <c r="I935" s="3"/>
      <c r="J935" s="3"/>
      <c r="K935" s="3"/>
      <c r="L935" s="3"/>
      <c r="M935" s="3"/>
      <c r="N935" s="3"/>
      <c r="O935" s="3"/>
      <c r="P935" s="3"/>
      <c r="Q935" s="3"/>
      <c r="R935" s="3"/>
      <c r="S935" s="3"/>
      <c r="T935" s="3"/>
    </row>
    <row r="936">
      <c r="A936" s="3"/>
      <c r="B936" s="3"/>
      <c r="C936" s="3"/>
      <c r="D936" s="3"/>
      <c r="E936" s="3"/>
      <c r="F936" s="3"/>
      <c r="G936" s="3"/>
      <c r="H936" s="3"/>
      <c r="I936" s="3"/>
      <c r="J936" s="3"/>
      <c r="K936" s="3"/>
      <c r="L936" s="3"/>
      <c r="M936" s="3"/>
      <c r="N936" s="3"/>
      <c r="O936" s="3"/>
      <c r="P936" s="3"/>
      <c r="Q936" s="3"/>
      <c r="R936" s="3"/>
      <c r="S936" s="3"/>
      <c r="T936" s="3"/>
    </row>
    <row r="937">
      <c r="A937" s="3"/>
      <c r="B937" s="3"/>
      <c r="C937" s="3"/>
      <c r="D937" s="3"/>
      <c r="E937" s="3"/>
      <c r="F937" s="3"/>
      <c r="G937" s="3"/>
      <c r="H937" s="3"/>
      <c r="I937" s="3"/>
      <c r="J937" s="3"/>
      <c r="K937" s="3"/>
      <c r="L937" s="3"/>
      <c r="M937" s="3"/>
      <c r="N937" s="3"/>
      <c r="O937" s="3"/>
      <c r="P937" s="3"/>
      <c r="Q937" s="3"/>
      <c r="R937" s="3"/>
      <c r="S937" s="3"/>
      <c r="T937" s="3"/>
    </row>
    <row r="938">
      <c r="A938" s="3"/>
      <c r="B938" s="3"/>
      <c r="C938" s="3"/>
      <c r="D938" s="3"/>
      <c r="E938" s="3"/>
      <c r="F938" s="3"/>
      <c r="G938" s="3"/>
      <c r="H938" s="3"/>
      <c r="I938" s="3"/>
      <c r="J938" s="3"/>
      <c r="K938" s="3"/>
      <c r="L938" s="3"/>
      <c r="M938" s="3"/>
      <c r="N938" s="3"/>
      <c r="O938" s="3"/>
      <c r="P938" s="3"/>
      <c r="Q938" s="3"/>
      <c r="R938" s="3"/>
      <c r="S938" s="3"/>
      <c r="T938" s="3"/>
    </row>
    <row r="939">
      <c r="A939" s="3"/>
      <c r="B939" s="3"/>
      <c r="C939" s="3"/>
      <c r="D939" s="3"/>
      <c r="E939" s="3"/>
      <c r="F939" s="3"/>
      <c r="G939" s="3"/>
      <c r="H939" s="3"/>
      <c r="I939" s="3"/>
      <c r="J939" s="3"/>
      <c r="K939" s="3"/>
      <c r="L939" s="3"/>
      <c r="M939" s="3"/>
      <c r="N939" s="3"/>
      <c r="O939" s="3"/>
      <c r="P939" s="3"/>
      <c r="Q939" s="3"/>
      <c r="R939" s="3"/>
      <c r="S939" s="3"/>
      <c r="T939" s="3"/>
    </row>
    <row r="940">
      <c r="A940" s="3"/>
      <c r="B940" s="3"/>
      <c r="C940" s="3"/>
      <c r="D940" s="3"/>
      <c r="E940" s="3"/>
      <c r="F940" s="3"/>
      <c r="G940" s="3"/>
      <c r="H940" s="3"/>
      <c r="I940" s="3"/>
      <c r="J940" s="3"/>
      <c r="K940" s="3"/>
      <c r="L940" s="3"/>
      <c r="M940" s="3"/>
      <c r="N940" s="3"/>
      <c r="O940" s="3"/>
      <c r="P940" s="3"/>
      <c r="Q940" s="3"/>
      <c r="R940" s="3"/>
      <c r="S940" s="3"/>
      <c r="T940" s="3"/>
    </row>
    <row r="941">
      <c r="A941" s="3"/>
      <c r="B941" s="3"/>
      <c r="C941" s="3"/>
      <c r="D941" s="3"/>
      <c r="E941" s="3"/>
      <c r="F941" s="3"/>
      <c r="G941" s="3"/>
      <c r="H941" s="3"/>
      <c r="I941" s="3"/>
      <c r="J941" s="3"/>
      <c r="K941" s="3"/>
      <c r="L941" s="3"/>
      <c r="M941" s="3"/>
      <c r="N941" s="3"/>
      <c r="O941" s="3"/>
      <c r="P941" s="3"/>
      <c r="Q941" s="3"/>
      <c r="R941" s="3"/>
      <c r="S941" s="3"/>
      <c r="T941" s="3"/>
    </row>
    <row r="942">
      <c r="A942" s="3"/>
      <c r="B942" s="3"/>
      <c r="C942" s="3"/>
      <c r="D942" s="3"/>
      <c r="E942" s="3"/>
      <c r="F942" s="3"/>
      <c r="G942" s="3"/>
      <c r="H942" s="3"/>
      <c r="I942" s="3"/>
      <c r="J942" s="3"/>
      <c r="K942" s="3"/>
      <c r="L942" s="3"/>
      <c r="M942" s="3"/>
      <c r="N942" s="3"/>
      <c r="O942" s="3"/>
      <c r="P942" s="3"/>
      <c r="Q942" s="3"/>
      <c r="R942" s="3"/>
      <c r="S942" s="3"/>
      <c r="T942" s="3"/>
    </row>
    <row r="943">
      <c r="A943" s="3"/>
      <c r="B943" s="3"/>
      <c r="C943" s="3"/>
      <c r="D943" s="3"/>
      <c r="E943" s="3"/>
      <c r="F943" s="3"/>
      <c r="G943" s="3"/>
      <c r="H943" s="3"/>
      <c r="I943" s="3"/>
      <c r="J943" s="3"/>
      <c r="K943" s="3"/>
      <c r="L943" s="3"/>
      <c r="M943" s="3"/>
      <c r="N943" s="3"/>
      <c r="O943" s="3"/>
      <c r="P943" s="3"/>
      <c r="Q943" s="3"/>
      <c r="R943" s="3"/>
      <c r="S943" s="3"/>
      <c r="T943" s="3"/>
    </row>
    <row r="944">
      <c r="A944" s="3"/>
      <c r="B944" s="3"/>
      <c r="C944" s="3"/>
      <c r="D944" s="3"/>
      <c r="E944" s="3"/>
      <c r="F944" s="3"/>
      <c r="G944" s="3"/>
      <c r="H944" s="3"/>
      <c r="I944" s="3"/>
      <c r="J944" s="3"/>
      <c r="K944" s="3"/>
      <c r="L944" s="3"/>
      <c r="M944" s="3"/>
      <c r="N944" s="3"/>
      <c r="O944" s="3"/>
      <c r="P944" s="3"/>
      <c r="Q944" s="3"/>
      <c r="R944" s="3"/>
      <c r="S944" s="3"/>
      <c r="T944" s="3"/>
    </row>
    <row r="945">
      <c r="A945" s="3"/>
      <c r="B945" s="3"/>
      <c r="C945" s="3"/>
      <c r="D945" s="3"/>
      <c r="E945" s="3"/>
      <c r="F945" s="3"/>
      <c r="G945" s="3"/>
      <c r="H945" s="3"/>
      <c r="I945" s="3"/>
      <c r="J945" s="3"/>
      <c r="K945" s="3"/>
      <c r="L945" s="3"/>
      <c r="M945" s="3"/>
      <c r="N945" s="3"/>
      <c r="O945" s="3"/>
      <c r="P945" s="3"/>
      <c r="Q945" s="3"/>
      <c r="R945" s="3"/>
      <c r="S945" s="3"/>
      <c r="T945" s="3"/>
    </row>
    <row r="946">
      <c r="A946" s="3"/>
      <c r="B946" s="3"/>
      <c r="C946" s="3"/>
      <c r="D946" s="3"/>
      <c r="E946" s="3"/>
      <c r="F946" s="3"/>
      <c r="G946" s="3"/>
      <c r="H946" s="3"/>
      <c r="I946" s="3"/>
      <c r="J946" s="3"/>
      <c r="K946" s="3"/>
      <c r="L946" s="3"/>
      <c r="M946" s="3"/>
      <c r="N946" s="3"/>
      <c r="O946" s="3"/>
      <c r="P946" s="3"/>
      <c r="Q946" s="3"/>
      <c r="R946" s="3"/>
      <c r="S946" s="3"/>
      <c r="T946" s="3"/>
    </row>
    <row r="947">
      <c r="A947" s="3"/>
      <c r="B947" s="3"/>
      <c r="C947" s="3"/>
      <c r="D947" s="3"/>
      <c r="E947" s="3"/>
      <c r="F947" s="3"/>
      <c r="G947" s="3"/>
      <c r="H947" s="3"/>
      <c r="I947" s="3"/>
      <c r="J947" s="3"/>
      <c r="K947" s="3"/>
      <c r="L947" s="3"/>
      <c r="M947" s="3"/>
      <c r="N947" s="3"/>
      <c r="O947" s="3"/>
      <c r="P947" s="3"/>
      <c r="Q947" s="3"/>
      <c r="R947" s="3"/>
      <c r="S947" s="3"/>
      <c r="T947" s="3"/>
    </row>
    <row r="948">
      <c r="A948" s="3"/>
      <c r="B948" s="3"/>
      <c r="C948" s="3"/>
      <c r="D948" s="3"/>
      <c r="E948" s="3"/>
      <c r="F948" s="3"/>
      <c r="G948" s="3"/>
      <c r="H948" s="3"/>
      <c r="I948" s="3"/>
      <c r="J948" s="3"/>
      <c r="K948" s="3"/>
      <c r="L948" s="3"/>
      <c r="M948" s="3"/>
      <c r="N948" s="3"/>
      <c r="O948" s="3"/>
      <c r="P948" s="3"/>
      <c r="Q948" s="3"/>
      <c r="R948" s="3"/>
      <c r="S948" s="3"/>
      <c r="T948" s="3"/>
    </row>
    <row r="949">
      <c r="A949" s="3"/>
      <c r="B949" s="3"/>
      <c r="C949" s="3"/>
      <c r="D949" s="3"/>
      <c r="E949" s="3"/>
      <c r="F949" s="3"/>
      <c r="G949" s="3"/>
      <c r="H949" s="3"/>
      <c r="I949" s="3"/>
      <c r="J949" s="3"/>
      <c r="K949" s="3"/>
      <c r="L949" s="3"/>
      <c r="M949" s="3"/>
      <c r="N949" s="3"/>
      <c r="O949" s="3"/>
      <c r="P949" s="3"/>
      <c r="Q949" s="3"/>
      <c r="R949" s="3"/>
      <c r="S949" s="3"/>
      <c r="T949" s="3"/>
    </row>
    <row r="950">
      <c r="A950" s="3"/>
      <c r="B950" s="3"/>
      <c r="C950" s="3"/>
      <c r="D950" s="3"/>
      <c r="E950" s="3"/>
      <c r="F950" s="3"/>
      <c r="G950" s="3"/>
      <c r="H950" s="3"/>
      <c r="I950" s="3"/>
      <c r="J950" s="3"/>
      <c r="K950" s="3"/>
      <c r="L950" s="3"/>
      <c r="M950" s="3"/>
      <c r="N950" s="3"/>
      <c r="O950" s="3"/>
      <c r="P950" s="3"/>
      <c r="Q950" s="3"/>
      <c r="R950" s="3"/>
      <c r="S950" s="3"/>
      <c r="T950" s="3"/>
    </row>
    <row r="951">
      <c r="A951" s="3"/>
      <c r="B951" s="3"/>
      <c r="C951" s="3"/>
      <c r="D951" s="3"/>
      <c r="E951" s="3"/>
      <c r="F951" s="3"/>
      <c r="G951" s="3"/>
      <c r="H951" s="3"/>
      <c r="I951" s="3"/>
      <c r="J951" s="3"/>
      <c r="K951" s="3"/>
      <c r="L951" s="3"/>
      <c r="M951" s="3"/>
      <c r="N951" s="3"/>
      <c r="O951" s="3"/>
      <c r="P951" s="3"/>
      <c r="Q951" s="3"/>
      <c r="R951" s="3"/>
      <c r="S951" s="3"/>
      <c r="T951" s="3"/>
    </row>
    <row r="952">
      <c r="A952" s="3"/>
      <c r="B952" s="3"/>
      <c r="C952" s="3"/>
      <c r="D952" s="3"/>
      <c r="E952" s="3"/>
      <c r="F952" s="3"/>
      <c r="G952" s="3"/>
      <c r="H952" s="3"/>
      <c r="I952" s="3"/>
      <c r="J952" s="3"/>
      <c r="K952" s="3"/>
      <c r="L952" s="3"/>
      <c r="M952" s="3"/>
      <c r="N952" s="3"/>
      <c r="O952" s="3"/>
      <c r="P952" s="3"/>
      <c r="Q952" s="3"/>
      <c r="R952" s="3"/>
      <c r="S952" s="3"/>
      <c r="T952" s="3"/>
    </row>
    <row r="953">
      <c r="A953" s="3"/>
      <c r="B953" s="3"/>
      <c r="C953" s="3"/>
      <c r="D953" s="3"/>
      <c r="E953" s="3"/>
      <c r="F953" s="3"/>
      <c r="G953" s="3"/>
      <c r="H953" s="3"/>
      <c r="I953" s="3"/>
      <c r="J953" s="3"/>
      <c r="K953" s="3"/>
      <c r="L953" s="3"/>
      <c r="M953" s="3"/>
      <c r="N953" s="3"/>
      <c r="O953" s="3"/>
      <c r="P953" s="3"/>
      <c r="Q953" s="3"/>
      <c r="R953" s="3"/>
      <c r="S953" s="3"/>
      <c r="T953" s="3"/>
    </row>
    <row r="954">
      <c r="A954" s="3"/>
      <c r="B954" s="3"/>
      <c r="C954" s="3"/>
      <c r="D954" s="3"/>
      <c r="E954" s="3"/>
      <c r="F954" s="3"/>
      <c r="G954" s="3"/>
      <c r="H954" s="3"/>
      <c r="I954" s="3"/>
      <c r="J954" s="3"/>
      <c r="K954" s="3"/>
      <c r="L954" s="3"/>
      <c r="M954" s="3"/>
      <c r="N954" s="3"/>
      <c r="O954" s="3"/>
      <c r="P954" s="3"/>
      <c r="Q954" s="3"/>
      <c r="R954" s="3"/>
      <c r="S954" s="3"/>
      <c r="T954" s="3"/>
    </row>
    <row r="955">
      <c r="A955" s="3"/>
      <c r="B955" s="3"/>
      <c r="C955" s="3"/>
      <c r="D955" s="3"/>
      <c r="E955" s="3"/>
      <c r="F955" s="3"/>
      <c r="G955" s="3"/>
      <c r="H955" s="3"/>
      <c r="I955" s="3"/>
      <c r="J955" s="3"/>
      <c r="K955" s="3"/>
      <c r="L955" s="3"/>
      <c r="M955" s="3"/>
      <c r="N955" s="3"/>
      <c r="O955" s="3"/>
      <c r="P955" s="3"/>
      <c r="Q955" s="3"/>
      <c r="R955" s="3"/>
      <c r="S955" s="3"/>
      <c r="T955" s="3"/>
    </row>
    <row r="956">
      <c r="A956" s="3"/>
      <c r="B956" s="3"/>
      <c r="C956" s="3"/>
      <c r="D956" s="3"/>
      <c r="E956" s="3"/>
      <c r="F956" s="3"/>
      <c r="G956" s="3"/>
      <c r="H956" s="3"/>
      <c r="I956" s="3"/>
      <c r="J956" s="3"/>
      <c r="K956" s="3"/>
      <c r="L956" s="3"/>
      <c r="M956" s="3"/>
      <c r="N956" s="3"/>
      <c r="O956" s="3"/>
      <c r="P956" s="3"/>
      <c r="Q956" s="3"/>
      <c r="R956" s="3"/>
      <c r="S956" s="3"/>
      <c r="T956" s="3"/>
    </row>
    <row r="957">
      <c r="A957" s="3"/>
      <c r="B957" s="3"/>
      <c r="C957" s="3"/>
      <c r="D957" s="3"/>
      <c r="E957" s="3"/>
      <c r="F957" s="3"/>
      <c r="G957" s="3"/>
      <c r="H957" s="3"/>
      <c r="I957" s="3"/>
      <c r="J957" s="3"/>
      <c r="K957" s="3"/>
      <c r="L957" s="3"/>
      <c r="M957" s="3"/>
      <c r="N957" s="3"/>
      <c r="O957" s="3"/>
      <c r="P957" s="3"/>
      <c r="Q957" s="3"/>
      <c r="R957" s="3"/>
      <c r="S957" s="3"/>
      <c r="T957" s="3"/>
    </row>
    <row r="958">
      <c r="A958" s="3"/>
      <c r="B958" s="3"/>
      <c r="C958" s="3"/>
      <c r="D958" s="3"/>
      <c r="E958" s="3"/>
      <c r="F958" s="3"/>
      <c r="G958" s="3"/>
      <c r="H958" s="3"/>
      <c r="I958" s="3"/>
      <c r="J958" s="3"/>
      <c r="K958" s="3"/>
      <c r="L958" s="3"/>
      <c r="M958" s="3"/>
      <c r="N958" s="3"/>
      <c r="O958" s="3"/>
      <c r="P958" s="3"/>
      <c r="Q958" s="3"/>
      <c r="R958" s="3"/>
      <c r="S958" s="3"/>
      <c r="T958" s="3"/>
    </row>
    <row r="959">
      <c r="A959" s="3"/>
      <c r="B959" s="3"/>
      <c r="C959" s="3"/>
      <c r="D959" s="3"/>
      <c r="E959" s="3"/>
      <c r="F959" s="3"/>
      <c r="G959" s="3"/>
      <c r="H959" s="3"/>
      <c r="I959" s="3"/>
      <c r="J959" s="3"/>
      <c r="K959" s="3"/>
      <c r="L959" s="3"/>
      <c r="M959" s="3"/>
      <c r="N959" s="3"/>
      <c r="O959" s="3"/>
      <c r="P959" s="3"/>
      <c r="Q959" s="3"/>
      <c r="R959" s="3"/>
      <c r="S959" s="3"/>
      <c r="T959" s="3"/>
    </row>
    <row r="960">
      <c r="A960" s="3"/>
      <c r="B960" s="3"/>
      <c r="C960" s="3"/>
      <c r="D960" s="3"/>
      <c r="E960" s="3"/>
      <c r="F960" s="3"/>
      <c r="G960" s="3"/>
      <c r="H960" s="3"/>
      <c r="I960" s="3"/>
      <c r="J960" s="3"/>
      <c r="K960" s="3"/>
      <c r="L960" s="3"/>
      <c r="M960" s="3"/>
      <c r="N960" s="3"/>
      <c r="O960" s="3"/>
      <c r="P960" s="3"/>
      <c r="Q960" s="3"/>
      <c r="R960" s="3"/>
      <c r="S960" s="3"/>
      <c r="T960" s="3"/>
    </row>
    <row r="961">
      <c r="A961" s="3"/>
      <c r="B961" s="3"/>
      <c r="C961" s="3"/>
      <c r="D961" s="3"/>
      <c r="E961" s="3"/>
      <c r="F961" s="3"/>
      <c r="G961" s="3"/>
      <c r="H961" s="3"/>
      <c r="I961" s="3"/>
      <c r="J961" s="3"/>
      <c r="K961" s="3"/>
      <c r="L961" s="3"/>
      <c r="M961" s="3"/>
      <c r="N961" s="3"/>
      <c r="O961" s="3"/>
      <c r="P961" s="3"/>
      <c r="Q961" s="3"/>
      <c r="R961" s="3"/>
      <c r="S961" s="3"/>
      <c r="T961" s="3"/>
    </row>
    <row r="962">
      <c r="A962" s="3"/>
      <c r="B962" s="3"/>
      <c r="C962" s="3"/>
      <c r="D962" s="3"/>
      <c r="E962" s="3"/>
      <c r="F962" s="3"/>
      <c r="G962" s="3"/>
      <c r="H962" s="3"/>
      <c r="I962" s="3"/>
      <c r="J962" s="3"/>
      <c r="K962" s="3"/>
      <c r="L962" s="3"/>
      <c r="M962" s="3"/>
      <c r="N962" s="3"/>
      <c r="O962" s="3"/>
      <c r="P962" s="3"/>
      <c r="Q962" s="3"/>
      <c r="R962" s="3"/>
      <c r="S962" s="3"/>
      <c r="T962" s="3"/>
    </row>
    <row r="963">
      <c r="A963" s="3"/>
      <c r="B963" s="3"/>
      <c r="C963" s="3"/>
      <c r="D963" s="3"/>
      <c r="E963" s="3"/>
      <c r="F963" s="3"/>
      <c r="G963" s="3"/>
      <c r="H963" s="3"/>
      <c r="I963" s="3"/>
      <c r="J963" s="3"/>
      <c r="K963" s="3"/>
      <c r="L963" s="3"/>
      <c r="M963" s="3"/>
      <c r="N963" s="3"/>
      <c r="O963" s="3"/>
      <c r="P963" s="3"/>
      <c r="Q963" s="3"/>
      <c r="R963" s="3"/>
      <c r="S963" s="3"/>
      <c r="T963" s="3"/>
    </row>
    <row r="964">
      <c r="A964" s="3"/>
      <c r="B964" s="3"/>
      <c r="C964" s="3"/>
      <c r="D964" s="3"/>
      <c r="E964" s="3"/>
      <c r="F964" s="3"/>
      <c r="G964" s="3"/>
      <c r="H964" s="3"/>
      <c r="I964" s="3"/>
      <c r="J964" s="3"/>
      <c r="K964" s="3"/>
      <c r="L964" s="3"/>
      <c r="M964" s="3"/>
      <c r="N964" s="3"/>
      <c r="O964" s="3"/>
      <c r="P964" s="3"/>
      <c r="Q964" s="3"/>
      <c r="R964" s="3"/>
      <c r="S964" s="3"/>
      <c r="T964" s="3"/>
    </row>
    <row r="965">
      <c r="A965" s="3"/>
      <c r="B965" s="3"/>
      <c r="C965" s="3"/>
      <c r="D965" s="3"/>
      <c r="E965" s="3"/>
      <c r="F965" s="3"/>
      <c r="G965" s="3"/>
      <c r="H965" s="3"/>
      <c r="I965" s="3"/>
      <c r="J965" s="3"/>
      <c r="K965" s="3"/>
      <c r="L965" s="3"/>
      <c r="M965" s="3"/>
      <c r="N965" s="3"/>
      <c r="O965" s="3"/>
      <c r="P965" s="3"/>
      <c r="Q965" s="3"/>
      <c r="R965" s="3"/>
      <c r="S965" s="3"/>
      <c r="T965" s="3"/>
    </row>
    <row r="966">
      <c r="A966" s="3"/>
      <c r="B966" s="3"/>
      <c r="C966" s="3"/>
      <c r="D966" s="3"/>
      <c r="E966" s="3"/>
      <c r="F966" s="3"/>
      <c r="G966" s="3"/>
      <c r="H966" s="3"/>
      <c r="I966" s="3"/>
      <c r="J966" s="3"/>
      <c r="K966" s="3"/>
      <c r="L966" s="3"/>
      <c r="M966" s="3"/>
      <c r="N966" s="3"/>
      <c r="O966" s="3"/>
      <c r="P966" s="3"/>
      <c r="Q966" s="3"/>
      <c r="R966" s="3"/>
      <c r="S966" s="3"/>
      <c r="T966" s="3"/>
    </row>
    <row r="967">
      <c r="A967" s="3"/>
      <c r="B967" s="3"/>
      <c r="C967" s="3"/>
      <c r="D967" s="3"/>
      <c r="E967" s="3"/>
      <c r="F967" s="3"/>
      <c r="G967" s="3"/>
      <c r="H967" s="3"/>
      <c r="I967" s="3"/>
      <c r="J967" s="3"/>
      <c r="K967" s="3"/>
      <c r="L967" s="3"/>
      <c r="M967" s="3"/>
      <c r="N967" s="3"/>
      <c r="O967" s="3"/>
      <c r="P967" s="3"/>
      <c r="Q967" s="3"/>
      <c r="R967" s="3"/>
      <c r="S967" s="3"/>
      <c r="T967" s="3"/>
    </row>
    <row r="968">
      <c r="A968" s="3"/>
      <c r="B968" s="3"/>
      <c r="C968" s="3"/>
      <c r="D968" s="3"/>
      <c r="E968" s="3"/>
      <c r="F968" s="3"/>
      <c r="G968" s="3"/>
      <c r="H968" s="3"/>
      <c r="I968" s="3"/>
      <c r="J968" s="3"/>
      <c r="K968" s="3"/>
      <c r="L968" s="3"/>
      <c r="M968" s="3"/>
      <c r="N968" s="3"/>
      <c r="O968" s="3"/>
      <c r="P968" s="3"/>
      <c r="Q968" s="3"/>
      <c r="R968" s="3"/>
      <c r="S968" s="3"/>
      <c r="T968" s="3"/>
    </row>
    <row r="969">
      <c r="A969" s="3"/>
      <c r="B969" s="3"/>
      <c r="C969" s="3"/>
      <c r="D969" s="3"/>
      <c r="E969" s="3"/>
      <c r="F969" s="3"/>
      <c r="G969" s="3"/>
      <c r="H969" s="3"/>
      <c r="I969" s="3"/>
      <c r="J969" s="3"/>
      <c r="K969" s="3"/>
      <c r="L969" s="3"/>
      <c r="M969" s="3"/>
      <c r="N969" s="3"/>
      <c r="O969" s="3"/>
      <c r="P969" s="3"/>
      <c r="Q969" s="3"/>
      <c r="R969" s="3"/>
      <c r="S969" s="3"/>
      <c r="T969" s="3"/>
    </row>
    <row r="970">
      <c r="A970" s="3"/>
      <c r="B970" s="3"/>
      <c r="C970" s="3"/>
      <c r="D970" s="3"/>
      <c r="E970" s="3"/>
      <c r="F970" s="3"/>
      <c r="G970" s="3"/>
      <c r="H970" s="3"/>
      <c r="I970" s="3"/>
      <c r="J970" s="3"/>
      <c r="K970" s="3"/>
      <c r="L970" s="3"/>
      <c r="M970" s="3"/>
      <c r="N970" s="3"/>
      <c r="O970" s="3"/>
      <c r="P970" s="3"/>
      <c r="Q970" s="3"/>
      <c r="R970" s="3"/>
      <c r="S970" s="3"/>
      <c r="T970" s="3"/>
    </row>
    <row r="971">
      <c r="A971" s="3"/>
      <c r="B971" s="3"/>
      <c r="C971" s="3"/>
      <c r="D971" s="3"/>
      <c r="E971" s="3"/>
      <c r="F971" s="3"/>
      <c r="G971" s="3"/>
      <c r="H971" s="3"/>
      <c r="I971" s="3"/>
      <c r="J971" s="3"/>
      <c r="K971" s="3"/>
      <c r="L971" s="3"/>
      <c r="M971" s="3"/>
      <c r="N971" s="3"/>
      <c r="O971" s="3"/>
      <c r="P971" s="3"/>
      <c r="Q971" s="3"/>
      <c r="R971" s="3"/>
      <c r="S971" s="3"/>
      <c r="T971" s="3"/>
    </row>
    <row r="972">
      <c r="A972" s="3"/>
      <c r="B972" s="3"/>
      <c r="C972" s="3"/>
      <c r="D972" s="3"/>
      <c r="E972" s="3"/>
      <c r="F972" s="3"/>
      <c r="G972" s="3"/>
      <c r="H972" s="3"/>
      <c r="I972" s="3"/>
      <c r="J972" s="3"/>
      <c r="K972" s="3"/>
      <c r="L972" s="3"/>
      <c r="M972" s="3"/>
      <c r="N972" s="3"/>
      <c r="O972" s="3"/>
      <c r="P972" s="3"/>
      <c r="Q972" s="3"/>
      <c r="R972" s="3"/>
      <c r="S972" s="3"/>
      <c r="T972" s="3"/>
    </row>
    <row r="973">
      <c r="A973" s="3"/>
      <c r="B973" s="3"/>
      <c r="C973" s="3"/>
      <c r="D973" s="3"/>
      <c r="E973" s="3"/>
      <c r="F973" s="3"/>
      <c r="G973" s="3"/>
      <c r="H973" s="3"/>
      <c r="I973" s="3"/>
      <c r="J973" s="3"/>
      <c r="K973" s="3"/>
      <c r="L973" s="3"/>
      <c r="M973" s="3"/>
      <c r="N973" s="3"/>
      <c r="O973" s="3"/>
      <c r="P973" s="3"/>
      <c r="Q973" s="3"/>
      <c r="R973" s="3"/>
      <c r="S973" s="3"/>
      <c r="T973" s="3"/>
    </row>
    <row r="974">
      <c r="A974" s="3"/>
      <c r="B974" s="3"/>
      <c r="C974" s="3"/>
      <c r="D974" s="3"/>
      <c r="E974" s="3"/>
      <c r="F974" s="3"/>
      <c r="G974" s="3"/>
      <c r="H974" s="3"/>
      <c r="I974" s="3"/>
      <c r="J974" s="3"/>
      <c r="K974" s="3"/>
      <c r="L974" s="3"/>
      <c r="M974" s="3"/>
      <c r="N974" s="3"/>
      <c r="O974" s="3"/>
      <c r="P974" s="3"/>
      <c r="Q974" s="3"/>
      <c r="R974" s="3"/>
      <c r="S974" s="3"/>
      <c r="T974" s="3"/>
    </row>
    <row r="975">
      <c r="A975" s="3"/>
      <c r="B975" s="3"/>
      <c r="C975" s="3"/>
      <c r="D975" s="3"/>
      <c r="E975" s="3"/>
      <c r="F975" s="3"/>
      <c r="G975" s="3"/>
      <c r="H975" s="3"/>
      <c r="I975" s="3"/>
      <c r="J975" s="3"/>
      <c r="K975" s="3"/>
      <c r="L975" s="3"/>
      <c r="M975" s="3"/>
      <c r="N975" s="3"/>
      <c r="O975" s="3"/>
      <c r="P975" s="3"/>
      <c r="Q975" s="3"/>
      <c r="R975" s="3"/>
      <c r="S975" s="3"/>
      <c r="T975" s="3"/>
    </row>
    <row r="976">
      <c r="A976" s="3"/>
      <c r="B976" s="3"/>
      <c r="C976" s="3"/>
      <c r="D976" s="3"/>
      <c r="E976" s="3"/>
      <c r="F976" s="3"/>
      <c r="G976" s="3"/>
      <c r="H976" s="3"/>
      <c r="I976" s="3"/>
      <c r="J976" s="3"/>
      <c r="K976" s="3"/>
      <c r="L976" s="3"/>
      <c r="M976" s="3"/>
      <c r="N976" s="3"/>
      <c r="O976" s="3"/>
      <c r="P976" s="3"/>
      <c r="Q976" s="3"/>
      <c r="R976" s="3"/>
      <c r="S976" s="3"/>
      <c r="T976" s="3"/>
    </row>
    <row r="977">
      <c r="A977" s="3"/>
      <c r="B977" s="3"/>
      <c r="C977" s="3"/>
      <c r="D977" s="3"/>
      <c r="E977" s="3"/>
      <c r="F977" s="3"/>
      <c r="G977" s="3"/>
      <c r="H977" s="3"/>
      <c r="I977" s="3"/>
      <c r="J977" s="3"/>
      <c r="K977" s="3"/>
      <c r="L977" s="3"/>
      <c r="M977" s="3"/>
      <c r="N977" s="3"/>
      <c r="O977" s="3"/>
      <c r="P977" s="3"/>
      <c r="Q977" s="3"/>
      <c r="R977" s="3"/>
      <c r="S977" s="3"/>
      <c r="T977" s="3"/>
    </row>
    <row r="978">
      <c r="A978" s="3"/>
      <c r="B978" s="3"/>
      <c r="C978" s="3"/>
      <c r="D978" s="3"/>
      <c r="E978" s="3"/>
      <c r="F978" s="3"/>
      <c r="G978" s="3"/>
      <c r="H978" s="3"/>
      <c r="I978" s="3"/>
      <c r="J978" s="3"/>
      <c r="K978" s="3"/>
      <c r="L978" s="3"/>
      <c r="M978" s="3"/>
      <c r="N978" s="3"/>
      <c r="O978" s="3"/>
      <c r="P978" s="3"/>
      <c r="Q978" s="3"/>
      <c r="R978" s="3"/>
      <c r="S978" s="3"/>
      <c r="T978" s="3"/>
    </row>
    <row r="979">
      <c r="A979" s="3"/>
      <c r="B979" s="3"/>
      <c r="C979" s="3"/>
      <c r="D979" s="3"/>
      <c r="E979" s="3"/>
      <c r="F979" s="3"/>
      <c r="G979" s="3"/>
      <c r="H979" s="3"/>
      <c r="I979" s="3"/>
      <c r="J979" s="3"/>
      <c r="K979" s="3"/>
      <c r="L979" s="3"/>
      <c r="M979" s="3"/>
      <c r="N979" s="3"/>
      <c r="O979" s="3"/>
      <c r="P979" s="3"/>
      <c r="Q979" s="3"/>
      <c r="R979" s="3"/>
      <c r="S979" s="3"/>
      <c r="T979" s="3"/>
    </row>
    <row r="980">
      <c r="A980" s="3"/>
      <c r="B980" s="3"/>
      <c r="C980" s="3"/>
      <c r="D980" s="3"/>
      <c r="E980" s="3"/>
      <c r="F980" s="3"/>
      <c r="G980" s="3"/>
      <c r="H980" s="3"/>
      <c r="I980" s="3"/>
      <c r="J980" s="3"/>
      <c r="K980" s="3"/>
      <c r="L980" s="3"/>
      <c r="M980" s="3"/>
      <c r="N980" s="3"/>
      <c r="O980" s="3"/>
      <c r="P980" s="3"/>
      <c r="Q980" s="3"/>
      <c r="R980" s="3"/>
      <c r="S980" s="3"/>
      <c r="T980" s="3"/>
    </row>
    <row r="981">
      <c r="A981" s="3"/>
      <c r="B981" s="3"/>
      <c r="C981" s="3"/>
      <c r="D981" s="3"/>
      <c r="E981" s="3"/>
      <c r="F981" s="3"/>
      <c r="G981" s="3"/>
      <c r="H981" s="3"/>
      <c r="I981" s="3"/>
      <c r="J981" s="3"/>
      <c r="K981" s="3"/>
      <c r="L981" s="3"/>
      <c r="M981" s="3"/>
      <c r="N981" s="3"/>
      <c r="O981" s="3"/>
      <c r="P981" s="3"/>
      <c r="Q981" s="3"/>
      <c r="R981" s="3"/>
      <c r="S981" s="3"/>
      <c r="T981" s="3"/>
    </row>
    <row r="982">
      <c r="A982" s="3"/>
      <c r="B982" s="3"/>
      <c r="C982" s="3"/>
      <c r="D982" s="3"/>
      <c r="E982" s="3"/>
      <c r="F982" s="3"/>
      <c r="G982" s="3"/>
      <c r="H982" s="3"/>
      <c r="I982" s="3"/>
      <c r="J982" s="3"/>
      <c r="K982" s="3"/>
      <c r="L982" s="3"/>
      <c r="M982" s="3"/>
      <c r="N982" s="3"/>
      <c r="O982" s="3"/>
      <c r="P982" s="3"/>
      <c r="Q982" s="3"/>
      <c r="R982" s="3"/>
      <c r="S982" s="3"/>
      <c r="T982" s="3"/>
    </row>
    <row r="983">
      <c r="A983" s="3"/>
      <c r="B983" s="3"/>
      <c r="C983" s="3"/>
      <c r="D983" s="3"/>
      <c r="E983" s="3"/>
      <c r="F983" s="3"/>
      <c r="G983" s="3"/>
      <c r="H983" s="3"/>
      <c r="I983" s="3"/>
      <c r="J983" s="3"/>
      <c r="K983" s="3"/>
      <c r="L983" s="3"/>
      <c r="M983" s="3"/>
      <c r="N983" s="3"/>
      <c r="O983" s="3"/>
      <c r="P983" s="3"/>
      <c r="Q983" s="3"/>
      <c r="R983" s="3"/>
      <c r="S983" s="3"/>
      <c r="T983" s="3"/>
    </row>
    <row r="984">
      <c r="A984" s="3"/>
      <c r="B984" s="3"/>
      <c r="C984" s="3"/>
      <c r="D984" s="3"/>
      <c r="E984" s="3"/>
      <c r="F984" s="3"/>
      <c r="G984" s="3"/>
      <c r="H984" s="3"/>
      <c r="I984" s="3"/>
      <c r="J984" s="3"/>
      <c r="K984" s="3"/>
      <c r="L984" s="3"/>
      <c r="M984" s="3"/>
      <c r="N984" s="3"/>
      <c r="O984" s="3"/>
      <c r="P984" s="3"/>
      <c r="Q984" s="3"/>
      <c r="R984" s="3"/>
      <c r="S984" s="3"/>
      <c r="T984" s="3"/>
    </row>
    <row r="985">
      <c r="A985" s="3"/>
      <c r="B985" s="3"/>
      <c r="C985" s="3"/>
      <c r="D985" s="3"/>
      <c r="E985" s="3"/>
      <c r="F985" s="3"/>
      <c r="G985" s="3"/>
      <c r="H985" s="3"/>
      <c r="I985" s="3"/>
      <c r="J985" s="3"/>
      <c r="K985" s="3"/>
      <c r="L985" s="3"/>
      <c r="M985" s="3"/>
      <c r="N985" s="3"/>
      <c r="O985" s="3"/>
      <c r="P985" s="3"/>
      <c r="Q985" s="3"/>
      <c r="R985" s="3"/>
      <c r="S985" s="3"/>
      <c r="T985" s="3"/>
    </row>
    <row r="986">
      <c r="A986" s="3"/>
      <c r="B986" s="3"/>
      <c r="C986" s="3"/>
      <c r="D986" s="3"/>
      <c r="E986" s="3"/>
      <c r="F986" s="3"/>
      <c r="G986" s="3"/>
      <c r="H986" s="3"/>
      <c r="I986" s="3"/>
      <c r="J986" s="3"/>
      <c r="K986" s="3"/>
      <c r="L986" s="3"/>
      <c r="M986" s="3"/>
      <c r="N986" s="3"/>
      <c r="O986" s="3"/>
      <c r="P986" s="3"/>
      <c r="Q986" s="3"/>
      <c r="R986" s="3"/>
      <c r="S986" s="3"/>
      <c r="T986" s="3"/>
    </row>
    <row r="987">
      <c r="A987" s="3"/>
      <c r="B987" s="3"/>
      <c r="C987" s="3"/>
      <c r="D987" s="3"/>
      <c r="E987" s="3"/>
      <c r="F987" s="3"/>
      <c r="G987" s="3"/>
      <c r="H987" s="3"/>
      <c r="I987" s="3"/>
      <c r="J987" s="3"/>
      <c r="K987" s="3"/>
      <c r="L987" s="3"/>
      <c r="M987" s="3"/>
      <c r="N987" s="3"/>
      <c r="O987" s="3"/>
      <c r="P987" s="3"/>
      <c r="Q987" s="3"/>
      <c r="R987" s="3"/>
      <c r="S987" s="3"/>
      <c r="T987" s="3"/>
    </row>
    <row r="988">
      <c r="A988" s="3"/>
      <c r="B988" s="3"/>
      <c r="C988" s="3"/>
      <c r="D988" s="3"/>
      <c r="E988" s="3"/>
      <c r="F988" s="3"/>
      <c r="G988" s="3"/>
      <c r="H988" s="3"/>
      <c r="I988" s="3"/>
      <c r="J988" s="3"/>
      <c r="K988" s="3"/>
      <c r="L988" s="3"/>
      <c r="M988" s="3"/>
      <c r="N988" s="3"/>
      <c r="O988" s="3"/>
      <c r="P988" s="3"/>
      <c r="Q988" s="3"/>
      <c r="R988" s="3"/>
      <c r="S988" s="3"/>
      <c r="T988" s="3"/>
    </row>
    <row r="989">
      <c r="A989" s="3"/>
      <c r="B989" s="3"/>
      <c r="C989" s="3"/>
      <c r="D989" s="3"/>
      <c r="E989" s="3"/>
      <c r="F989" s="3"/>
      <c r="G989" s="3"/>
      <c r="H989" s="3"/>
      <c r="I989" s="3"/>
      <c r="J989" s="3"/>
      <c r="K989" s="3"/>
      <c r="L989" s="3"/>
      <c r="M989" s="3"/>
      <c r="N989" s="3"/>
      <c r="O989" s="3"/>
      <c r="P989" s="3"/>
      <c r="Q989" s="3"/>
      <c r="R989" s="3"/>
      <c r="S989" s="3"/>
      <c r="T989" s="3"/>
    </row>
    <row r="990">
      <c r="A990" s="3"/>
      <c r="B990" s="3"/>
      <c r="C990" s="3"/>
      <c r="D990" s="3"/>
      <c r="E990" s="3"/>
      <c r="F990" s="3"/>
      <c r="G990" s="3"/>
      <c r="H990" s="3"/>
      <c r="I990" s="3"/>
      <c r="J990" s="3"/>
      <c r="K990" s="3"/>
      <c r="L990" s="3"/>
      <c r="M990" s="3"/>
      <c r="N990" s="3"/>
      <c r="O990" s="3"/>
      <c r="P990" s="3"/>
      <c r="Q990" s="3"/>
      <c r="R990" s="3"/>
      <c r="S990" s="3"/>
      <c r="T990" s="3"/>
    </row>
    <row r="991">
      <c r="A991" s="3"/>
      <c r="B991" s="3"/>
      <c r="C991" s="3"/>
      <c r="D991" s="3"/>
      <c r="E991" s="3"/>
      <c r="F991" s="3"/>
      <c r="G991" s="3"/>
      <c r="H991" s="3"/>
      <c r="I991" s="3"/>
      <c r="J991" s="3"/>
      <c r="K991" s="3"/>
      <c r="L991" s="3"/>
      <c r="M991" s="3"/>
      <c r="N991" s="3"/>
      <c r="O991" s="3"/>
      <c r="P991" s="3"/>
      <c r="Q991" s="3"/>
      <c r="R991" s="3"/>
      <c r="S991" s="3"/>
      <c r="T991" s="3"/>
    </row>
    <row r="992">
      <c r="A992" s="3"/>
      <c r="B992" s="3"/>
      <c r="C992" s="3"/>
      <c r="D992" s="3"/>
      <c r="E992" s="3"/>
      <c r="F992" s="3"/>
      <c r="G992" s="3"/>
      <c r="H992" s="3"/>
      <c r="I992" s="3"/>
      <c r="J992" s="3"/>
      <c r="K992" s="3"/>
      <c r="L992" s="3"/>
      <c r="M992" s="3"/>
      <c r="N992" s="3"/>
      <c r="O992" s="3"/>
      <c r="P992" s="3"/>
      <c r="Q992" s="3"/>
      <c r="R992" s="3"/>
      <c r="S992" s="3"/>
      <c r="T992" s="3"/>
    </row>
    <row r="993">
      <c r="A993" s="3"/>
      <c r="B993" s="3"/>
      <c r="C993" s="3"/>
      <c r="D993" s="3"/>
      <c r="E993" s="3"/>
      <c r="F993" s="3"/>
      <c r="G993" s="3"/>
      <c r="H993" s="3"/>
      <c r="I993" s="3"/>
      <c r="J993" s="3"/>
      <c r="K993" s="3"/>
      <c r="L993" s="3"/>
      <c r="M993" s="3"/>
      <c r="N993" s="3"/>
      <c r="O993" s="3"/>
      <c r="P993" s="3"/>
      <c r="Q993" s="3"/>
      <c r="R993" s="3"/>
      <c r="S993" s="3"/>
      <c r="T993" s="3"/>
    </row>
    <row r="994">
      <c r="A994" s="3"/>
      <c r="B994" s="3"/>
      <c r="C994" s="3"/>
      <c r="D994" s="3"/>
      <c r="E994" s="3"/>
      <c r="F994" s="3"/>
      <c r="G994" s="3"/>
      <c r="H994" s="3"/>
      <c r="I994" s="3"/>
      <c r="J994" s="3"/>
      <c r="K994" s="3"/>
      <c r="L994" s="3"/>
      <c r="M994" s="3"/>
      <c r="N994" s="3"/>
      <c r="O994" s="3"/>
      <c r="P994" s="3"/>
      <c r="Q994" s="3"/>
      <c r="R994" s="3"/>
      <c r="S994" s="3"/>
      <c r="T994" s="3"/>
    </row>
    <row r="995">
      <c r="A995" s="3"/>
      <c r="B995" s="3"/>
      <c r="C995" s="3"/>
      <c r="D995" s="3"/>
      <c r="E995" s="3"/>
      <c r="F995" s="3"/>
      <c r="G995" s="3"/>
      <c r="H995" s="3"/>
      <c r="I995" s="3"/>
      <c r="J995" s="3"/>
      <c r="K995" s="3"/>
      <c r="L995" s="3"/>
      <c r="M995" s="3"/>
      <c r="N995" s="3"/>
      <c r="O995" s="3"/>
      <c r="P995" s="3"/>
      <c r="Q995" s="3"/>
      <c r="R995" s="3"/>
      <c r="S995" s="3"/>
      <c r="T995" s="3"/>
    </row>
    <row r="996">
      <c r="A996" s="3"/>
      <c r="B996" s="3"/>
      <c r="C996" s="3"/>
      <c r="D996" s="3"/>
      <c r="E996" s="3"/>
      <c r="F996" s="3"/>
      <c r="G996" s="3"/>
      <c r="H996" s="3"/>
      <c r="I996" s="3"/>
      <c r="J996" s="3"/>
      <c r="K996" s="3"/>
      <c r="L996" s="3"/>
      <c r="M996" s="3"/>
      <c r="N996" s="3"/>
      <c r="O996" s="3"/>
      <c r="P996" s="3"/>
      <c r="Q996" s="3"/>
      <c r="R996" s="3"/>
      <c r="S996" s="3"/>
      <c r="T996" s="3"/>
    </row>
    <row r="997">
      <c r="A997" s="3"/>
      <c r="B997" s="3"/>
      <c r="C997" s="3"/>
      <c r="D997" s="3"/>
      <c r="E997" s="3"/>
      <c r="F997" s="3"/>
      <c r="G997" s="3"/>
      <c r="H997" s="3"/>
      <c r="I997" s="3"/>
      <c r="J997" s="3"/>
      <c r="K997" s="3"/>
      <c r="L997" s="3"/>
      <c r="M997" s="3"/>
      <c r="N997" s="3"/>
      <c r="O997" s="3"/>
      <c r="P997" s="3"/>
      <c r="Q997" s="3"/>
      <c r="R997" s="3"/>
      <c r="S997" s="3"/>
      <c r="T997" s="3"/>
    </row>
    <row r="998">
      <c r="A998" s="3"/>
      <c r="B998" s="3"/>
      <c r="C998" s="3"/>
      <c r="D998" s="3"/>
      <c r="E998" s="3"/>
      <c r="F998" s="3"/>
      <c r="G998" s="3"/>
      <c r="H998" s="3"/>
      <c r="I998" s="3"/>
      <c r="J998" s="3"/>
      <c r="K998" s="3"/>
      <c r="L998" s="3"/>
      <c r="M998" s="3"/>
      <c r="N998" s="3"/>
      <c r="O998" s="3"/>
      <c r="P998" s="3"/>
      <c r="Q998" s="3"/>
      <c r="R998" s="3"/>
      <c r="S998" s="3"/>
      <c r="T998" s="3"/>
    </row>
    <row r="999">
      <c r="A999" s="3"/>
      <c r="B999" s="3"/>
      <c r="C999" s="3"/>
      <c r="D999" s="3"/>
      <c r="E999" s="3"/>
      <c r="F999" s="3"/>
      <c r="G999" s="3"/>
      <c r="H999" s="3"/>
      <c r="I999" s="3"/>
      <c r="J999" s="3"/>
      <c r="K999" s="3"/>
      <c r="L999" s="3"/>
      <c r="M999" s="3"/>
      <c r="N999" s="3"/>
      <c r="O999" s="3"/>
      <c r="P999" s="3"/>
      <c r="Q999" s="3"/>
      <c r="R999" s="3"/>
      <c r="S999" s="3"/>
      <c r="T999" s="3"/>
    </row>
    <row r="1000">
      <c r="A1000" s="3"/>
      <c r="B1000" s="3"/>
      <c r="C1000" s="3"/>
      <c r="D1000" s="3"/>
      <c r="E1000" s="3"/>
      <c r="F1000" s="3"/>
      <c r="G1000" s="3"/>
      <c r="H1000" s="3"/>
      <c r="I1000" s="3"/>
      <c r="J1000" s="3"/>
      <c r="K1000" s="3"/>
      <c r="L1000" s="3"/>
      <c r="M1000" s="3"/>
      <c r="N1000" s="3"/>
      <c r="O1000" s="3"/>
      <c r="P1000" s="3"/>
      <c r="Q1000" s="3"/>
      <c r="R1000" s="3"/>
      <c r="S1000" s="3"/>
      <c r="T1000" s="3"/>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hidden="1" min="1" max="1" width="6.29"/>
    <col customWidth="1" hidden="1" min="2" max="2" width="11.43"/>
    <col customWidth="1" hidden="1" min="3" max="3" width="1.14"/>
    <col customWidth="1" min="4" max="4" width="1.14"/>
    <col customWidth="1" min="5" max="5" width="11.86"/>
    <col customWidth="1" hidden="1" min="6" max="6" width="34.71"/>
    <col customWidth="1" hidden="1" min="7" max="8" width="11.43"/>
    <col customWidth="1" hidden="1" min="9" max="9" width="30.71"/>
    <col customWidth="1" min="10" max="10" width="1.57"/>
    <col customWidth="1" min="11" max="11" width="0.29"/>
    <col customWidth="1" min="12" max="12" width="35.14"/>
    <col customWidth="1" min="13" max="14" width="11.57"/>
    <col customWidth="1" min="15" max="15" width="34.43"/>
    <col customWidth="1" min="16" max="16" width="1.43"/>
    <col customWidth="1" min="17" max="17" width="34.29"/>
    <col customWidth="1" min="18" max="25" width="10.71"/>
  </cols>
  <sheetData>
    <row r="1" ht="11.25" customHeight="1">
      <c r="M1" s="4"/>
    </row>
    <row r="2" ht="15.0" customHeight="1">
      <c r="F2" s="540" t="s">
        <v>484</v>
      </c>
      <c r="G2" s="95"/>
      <c r="H2" s="95"/>
      <c r="I2" s="91"/>
      <c r="L2" s="540"/>
      <c r="M2" s="95"/>
      <c r="N2" s="95"/>
      <c r="O2" s="91"/>
    </row>
    <row r="3" ht="15.75" customHeight="1">
      <c r="F3" s="195"/>
      <c r="G3" s="198"/>
      <c r="H3" s="198"/>
      <c r="I3" s="196"/>
      <c r="L3" s="195"/>
      <c r="M3" s="198"/>
      <c r="N3" s="198"/>
      <c r="O3" s="196"/>
    </row>
    <row r="4" ht="14.25" customHeight="1">
      <c r="L4" s="542" t="s">
        <v>485</v>
      </c>
      <c r="M4" s="543">
        <f>TODAY()</f>
        <v>46262</v>
      </c>
      <c r="N4" s="9"/>
      <c r="O4" s="542" t="s">
        <v>486</v>
      </c>
    </row>
    <row r="5" ht="14.25" customHeight="1">
      <c r="L5" s="544"/>
      <c r="M5" s="545" t="s">
        <v>487</v>
      </c>
      <c r="N5" s="545" t="s">
        <v>488</v>
      </c>
      <c r="O5" s="544"/>
    </row>
    <row r="6" ht="14.25" customHeight="1">
      <c r="L6" s="169"/>
      <c r="M6" s="546"/>
      <c r="N6" s="547"/>
      <c r="O6" s="169"/>
      <c r="Q6" s="62" t="s">
        <v>489</v>
      </c>
    </row>
    <row r="7" ht="14.25" customHeight="1">
      <c r="L7" s="169"/>
      <c r="M7" s="546"/>
      <c r="N7" s="547"/>
      <c r="O7" s="169"/>
      <c r="Q7" s="62" t="s">
        <v>490</v>
      </c>
    </row>
    <row r="8" ht="14.25" customHeight="1">
      <c r="L8" s="169"/>
      <c r="M8" s="546"/>
      <c r="N8" s="547"/>
      <c r="O8" s="62"/>
      <c r="Q8" s="62" t="s">
        <v>491</v>
      </c>
    </row>
    <row r="9" ht="14.25" customHeight="1">
      <c r="L9" s="169"/>
      <c r="M9" s="546"/>
      <c r="N9" s="548"/>
      <c r="O9" s="62"/>
    </row>
    <row r="10" ht="14.25" customHeight="1">
      <c r="L10" s="169"/>
      <c r="M10" s="546"/>
      <c r="N10" s="548"/>
      <c r="O10" s="62"/>
    </row>
    <row r="11" ht="14.25" customHeight="1">
      <c r="L11" s="169"/>
      <c r="M11" s="549"/>
      <c r="N11" s="547"/>
      <c r="O11" s="62"/>
    </row>
    <row r="12" ht="14.25" customHeight="1">
      <c r="L12" s="169"/>
      <c r="M12" s="546"/>
      <c r="N12" s="548"/>
      <c r="O12" s="62"/>
    </row>
    <row r="13" ht="14.25" customHeight="1">
      <c r="L13" s="169"/>
      <c r="M13" s="546"/>
      <c r="N13" s="548"/>
      <c r="O13" s="62"/>
      <c r="R13" s="550"/>
    </row>
    <row r="14" ht="14.25" customHeight="1">
      <c r="L14" s="62"/>
      <c r="M14" s="549"/>
      <c r="N14" s="548"/>
      <c r="O14" s="62"/>
    </row>
    <row r="15" ht="14.25" customHeight="1">
      <c r="L15" s="62"/>
      <c r="M15" s="549"/>
      <c r="N15" s="548"/>
      <c r="O15" s="62"/>
      <c r="T15" s="112" t="s">
        <v>27</v>
      </c>
    </row>
    <row r="16" ht="14.25" customHeight="1">
      <c r="L16" s="62"/>
      <c r="M16" s="549"/>
      <c r="N16" s="548"/>
      <c r="O16" s="62"/>
      <c r="T16" s="112" t="s">
        <v>27</v>
      </c>
    </row>
    <row r="17" ht="14.25" customHeight="1">
      <c r="L17" s="62"/>
      <c r="M17" s="549"/>
      <c r="N17" s="548"/>
      <c r="O17" s="62"/>
    </row>
    <row r="18" ht="14.25" customHeight="1">
      <c r="L18" s="62"/>
      <c r="M18" s="549"/>
      <c r="N18" s="548"/>
      <c r="O18" s="62"/>
    </row>
    <row r="19" ht="14.25" customHeight="1">
      <c r="L19" s="62"/>
      <c r="M19" s="551"/>
      <c r="N19" s="552"/>
      <c r="O19" s="62"/>
    </row>
    <row r="20" ht="14.25" customHeight="1">
      <c r="L20" s="62"/>
      <c r="M20" s="551"/>
      <c r="N20" s="552"/>
      <c r="O20" s="62"/>
    </row>
    <row r="21" ht="14.25" customHeight="1">
      <c r="L21" s="62"/>
      <c r="M21" s="551"/>
      <c r="N21" s="552"/>
      <c r="O21" s="62"/>
    </row>
    <row r="22" ht="14.25" customHeight="1">
      <c r="L22" s="62"/>
      <c r="M22" s="551"/>
      <c r="N22" s="552"/>
      <c r="O22" s="62"/>
    </row>
    <row r="23" ht="14.25" customHeight="1">
      <c r="L23" s="62"/>
      <c r="M23" s="551"/>
      <c r="N23" s="552"/>
      <c r="O23" s="62"/>
    </row>
    <row r="24" ht="14.25" customHeight="1">
      <c r="L24" s="62"/>
      <c r="M24" s="551"/>
      <c r="N24" s="552"/>
      <c r="O24" s="62"/>
    </row>
    <row r="25" ht="14.25" customHeight="1">
      <c r="L25" s="62"/>
      <c r="M25" s="551"/>
      <c r="N25" s="552"/>
      <c r="O25" s="62"/>
    </row>
    <row r="26" ht="14.25" customHeight="1">
      <c r="L26" s="62"/>
      <c r="M26" s="551"/>
      <c r="N26" s="552"/>
      <c r="O26" s="62"/>
    </row>
    <row r="27" ht="14.25" customHeight="1">
      <c r="L27" s="62"/>
      <c r="M27" s="551"/>
      <c r="N27" s="552"/>
      <c r="O27" s="62"/>
    </row>
    <row r="28" ht="14.25" customHeight="1">
      <c r="L28" s="62"/>
      <c r="M28" s="551"/>
      <c r="N28" s="552"/>
      <c r="O28" s="62"/>
    </row>
    <row r="29" ht="14.25" customHeight="1">
      <c r="L29" s="62"/>
      <c r="M29" s="551"/>
      <c r="N29" s="552"/>
      <c r="O29" s="62"/>
    </row>
    <row r="30" ht="14.25" customHeight="1">
      <c r="L30" s="62"/>
      <c r="M30" s="551"/>
      <c r="N30" s="552"/>
      <c r="O30" s="62"/>
    </row>
    <row r="31" ht="14.25" customHeight="1">
      <c r="L31" s="62"/>
      <c r="M31" s="551"/>
      <c r="N31" s="552"/>
      <c r="O31" s="62"/>
    </row>
    <row r="32" ht="14.25" customHeight="1">
      <c r="L32" s="62"/>
      <c r="M32" s="551"/>
      <c r="N32" s="552"/>
      <c r="O32" s="62"/>
    </row>
    <row r="33" ht="14.25" customHeight="1">
      <c r="L33" s="62"/>
      <c r="M33" s="551"/>
      <c r="N33" s="552"/>
      <c r="O33" s="62"/>
    </row>
    <row r="34" ht="14.25" customHeight="1">
      <c r="L34" s="62"/>
      <c r="M34" s="551"/>
      <c r="N34" s="552"/>
      <c r="O34" s="62"/>
    </row>
    <row r="35" ht="14.25" customHeight="1">
      <c r="L35" s="62"/>
      <c r="M35" s="551"/>
      <c r="N35" s="552"/>
      <c r="O35" s="62"/>
    </row>
    <row r="36" ht="14.25" customHeight="1">
      <c r="L36" s="62"/>
      <c r="M36" s="551"/>
      <c r="N36" s="552"/>
      <c r="O36" s="62"/>
    </row>
    <row r="37" ht="14.25" customHeight="1">
      <c r="L37" s="62"/>
      <c r="M37" s="551"/>
      <c r="N37" s="552"/>
      <c r="O37" s="62"/>
    </row>
    <row r="38" ht="14.25" customHeight="1">
      <c r="L38" s="62"/>
      <c r="M38" s="551"/>
      <c r="N38" s="552"/>
      <c r="O38" s="62"/>
    </row>
    <row r="39" ht="14.25" customHeight="1">
      <c r="L39" s="62"/>
      <c r="M39" s="551"/>
      <c r="N39" s="552"/>
      <c r="O39" s="62"/>
    </row>
    <row r="40" ht="14.25" customHeight="1">
      <c r="L40" s="62"/>
      <c r="M40" s="551"/>
      <c r="N40" s="552"/>
      <c r="O40" s="62"/>
    </row>
    <row r="41" ht="14.25" customHeight="1">
      <c r="L41" s="62"/>
      <c r="M41" s="551"/>
      <c r="N41" s="552"/>
      <c r="O41" s="62"/>
    </row>
    <row r="42" ht="14.25" customHeight="1">
      <c r="L42" s="62"/>
      <c r="M42" s="551"/>
      <c r="N42" s="552"/>
      <c r="O42" s="62"/>
    </row>
    <row r="43" ht="14.25" customHeight="1">
      <c r="L43" s="62"/>
      <c r="M43" s="551"/>
      <c r="N43" s="552"/>
      <c r="O43" s="62"/>
    </row>
    <row r="44" ht="14.25" customHeight="1">
      <c r="L44" s="62"/>
      <c r="M44" s="551"/>
      <c r="N44" s="552"/>
      <c r="O44" s="62"/>
    </row>
    <row r="45" ht="14.25" customHeight="1">
      <c r="L45" s="62"/>
      <c r="M45" s="551"/>
      <c r="N45" s="552"/>
      <c r="O45" s="62"/>
    </row>
    <row r="46" ht="14.25" customHeight="1">
      <c r="L46" s="62"/>
      <c r="M46" s="553"/>
      <c r="N46" s="554"/>
      <c r="O46" s="62"/>
    </row>
    <row r="47" ht="14.25" customHeight="1">
      <c r="L47" s="62"/>
      <c r="M47" s="553"/>
      <c r="N47" s="554"/>
      <c r="O47" s="62"/>
    </row>
    <row r="48" ht="14.25" customHeight="1">
      <c r="L48" s="62"/>
      <c r="M48" s="553"/>
      <c r="N48" s="554"/>
      <c r="O48" s="62"/>
    </row>
    <row r="49" ht="14.25" customHeight="1">
      <c r="L49" s="62"/>
      <c r="M49" s="553"/>
      <c r="N49" s="554"/>
      <c r="O49" s="62"/>
      <c r="Q49" s="184"/>
    </row>
    <row r="50" ht="14.25" customHeight="1">
      <c r="L50" s="62"/>
      <c r="M50" s="553"/>
      <c r="N50" s="554"/>
      <c r="O50" s="62"/>
    </row>
    <row r="51" ht="14.25" customHeight="1">
      <c r="L51" s="62"/>
      <c r="M51" s="553"/>
      <c r="N51" s="554"/>
      <c r="O51" s="62"/>
    </row>
    <row r="52" ht="14.25" customHeight="1">
      <c r="L52" s="62"/>
      <c r="M52" s="553"/>
      <c r="N52" s="554"/>
      <c r="O52" s="62"/>
    </row>
    <row r="53" ht="14.25" customHeight="1">
      <c r="L53" s="62"/>
      <c r="M53" s="553"/>
      <c r="N53" s="554"/>
      <c r="O53" s="62"/>
    </row>
    <row r="54" ht="14.25" customHeight="1">
      <c r="L54" s="62"/>
      <c r="M54" s="553"/>
      <c r="N54" s="554"/>
      <c r="O54" s="62"/>
    </row>
    <row r="55" ht="14.25" customHeight="1">
      <c r="L55" s="62"/>
      <c r="M55" s="553"/>
      <c r="N55" s="554"/>
      <c r="O55" s="62"/>
    </row>
    <row r="56" ht="14.25" customHeight="1">
      <c r="L56" s="62"/>
      <c r="M56" s="553"/>
      <c r="N56" s="554"/>
      <c r="O56" s="62"/>
    </row>
    <row r="57" ht="14.25" customHeight="1">
      <c r="L57" s="62"/>
      <c r="M57" s="553"/>
      <c r="N57" s="554"/>
      <c r="O57" s="62"/>
    </row>
    <row r="58" ht="14.25" customHeight="1">
      <c r="L58" s="62"/>
      <c r="M58" s="553"/>
      <c r="N58" s="554"/>
      <c r="O58" s="62"/>
    </row>
    <row r="59" ht="14.25" customHeight="1">
      <c r="L59" s="62"/>
      <c r="M59" s="553"/>
      <c r="N59" s="554"/>
      <c r="O59" s="62"/>
    </row>
    <row r="60" ht="14.25" customHeight="1">
      <c r="L60" s="62"/>
      <c r="M60" s="553"/>
      <c r="N60" s="554"/>
      <c r="O60" s="62"/>
      <c r="Q60" s="184"/>
    </row>
    <row r="61" ht="14.25" customHeight="1">
      <c r="L61" s="62"/>
      <c r="M61" s="553"/>
      <c r="N61" s="554"/>
      <c r="O61" s="62"/>
    </row>
    <row r="62" ht="14.25" customHeight="1">
      <c r="L62" s="62"/>
      <c r="M62" s="553"/>
      <c r="N62" s="554"/>
      <c r="O62" s="62"/>
    </row>
    <row r="63" ht="14.25" customHeight="1">
      <c r="L63" s="62"/>
      <c r="M63" s="553"/>
      <c r="N63" s="554"/>
      <c r="O63" s="62"/>
    </row>
    <row r="64" ht="14.25" customHeight="1">
      <c r="L64" s="62"/>
      <c r="M64" s="553"/>
      <c r="N64" s="554"/>
      <c r="O64" s="62"/>
    </row>
    <row r="65" ht="14.25" customHeight="1">
      <c r="L65" s="62"/>
      <c r="M65" s="553"/>
      <c r="N65" s="554"/>
      <c r="O65" s="62"/>
    </row>
    <row r="66" ht="14.25" customHeight="1">
      <c r="L66" s="62"/>
      <c r="M66" s="553"/>
      <c r="N66" s="554"/>
      <c r="O66" s="62"/>
    </row>
    <row r="67" ht="14.25" customHeight="1">
      <c r="L67" s="62"/>
      <c r="M67" s="553"/>
      <c r="N67" s="554"/>
      <c r="O67" s="62"/>
    </row>
    <row r="68" ht="14.25" customHeight="1">
      <c r="L68" s="62"/>
      <c r="M68" s="553"/>
      <c r="N68" s="554"/>
      <c r="O68" s="62"/>
    </row>
    <row r="69" ht="14.25" customHeight="1">
      <c r="L69" s="62"/>
      <c r="M69" s="553"/>
      <c r="N69" s="554"/>
      <c r="O69" s="62"/>
    </row>
    <row r="70" ht="14.25" customHeight="1">
      <c r="L70" s="62"/>
      <c r="M70" s="553"/>
      <c r="N70" s="554"/>
      <c r="O70" s="62"/>
    </row>
    <row r="71" ht="14.25" customHeight="1">
      <c r="L71" s="62"/>
      <c r="M71" s="553"/>
      <c r="N71" s="554"/>
      <c r="O71" s="62"/>
    </row>
    <row r="72" ht="14.25" customHeight="1">
      <c r="L72" s="62"/>
      <c r="M72" s="553"/>
      <c r="N72" s="554"/>
      <c r="O72" s="62"/>
    </row>
    <row r="73" ht="14.25" customHeight="1">
      <c r="L73" s="62"/>
      <c r="M73" s="553"/>
      <c r="N73" s="554"/>
      <c r="O73" s="62"/>
    </row>
    <row r="74" ht="14.25" customHeight="1">
      <c r="L74" s="62"/>
      <c r="M74" s="553"/>
      <c r="N74" s="554"/>
      <c r="O74" s="62"/>
    </row>
    <row r="75" ht="14.25" customHeight="1">
      <c r="L75" s="62"/>
      <c r="M75" s="553"/>
      <c r="N75" s="554"/>
      <c r="O75" s="62"/>
    </row>
    <row r="76" ht="14.25" customHeight="1">
      <c r="L76" s="62"/>
      <c r="M76" s="553"/>
      <c r="N76" s="554"/>
      <c r="O76" s="62"/>
    </row>
    <row r="77" ht="14.25" customHeight="1">
      <c r="L77" s="62"/>
      <c r="M77" s="553"/>
      <c r="N77" s="554"/>
      <c r="O77" s="62"/>
    </row>
    <row r="78" ht="14.25" customHeight="1">
      <c r="L78" s="62"/>
      <c r="M78" s="553"/>
      <c r="N78" s="554"/>
      <c r="O78" s="62"/>
    </row>
    <row r="79" ht="14.25" customHeight="1">
      <c r="L79" s="62"/>
      <c r="M79" s="553"/>
      <c r="N79" s="554"/>
      <c r="O79" s="62"/>
    </row>
    <row r="80" ht="14.25" customHeight="1">
      <c r="L80" s="62"/>
      <c r="M80" s="553"/>
      <c r="N80" s="554"/>
      <c r="O80" s="62"/>
    </row>
    <row r="81" ht="14.25" customHeight="1">
      <c r="L81" s="62"/>
      <c r="M81" s="553"/>
      <c r="N81" s="554"/>
      <c r="O81" s="62"/>
      <c r="Q81" s="184"/>
    </row>
    <row r="82" ht="14.25" customHeight="1">
      <c r="L82" s="62"/>
      <c r="M82" s="553"/>
      <c r="N82" s="554"/>
      <c r="O82" s="62"/>
    </row>
    <row r="83" ht="14.25" customHeight="1">
      <c r="L83" s="62"/>
      <c r="M83" s="553"/>
      <c r="N83" s="554"/>
      <c r="O83" s="62"/>
    </row>
    <row r="84" ht="14.25" customHeight="1">
      <c r="L84" s="62"/>
      <c r="M84" s="553"/>
      <c r="N84" s="554"/>
      <c r="O84" s="62"/>
    </row>
    <row r="85" ht="14.25" customHeight="1">
      <c r="L85" s="62"/>
      <c r="M85" s="553"/>
      <c r="N85" s="554"/>
      <c r="O85" s="62"/>
    </row>
    <row r="86" ht="14.25" customHeight="1">
      <c r="L86" s="62"/>
      <c r="M86" s="553"/>
      <c r="N86" s="554"/>
      <c r="O86" s="62"/>
    </row>
    <row r="87" ht="14.25" customHeight="1">
      <c r="L87" s="62"/>
      <c r="M87" s="553"/>
      <c r="N87" s="554"/>
      <c r="O87" s="62"/>
    </row>
    <row r="88" ht="14.25" customHeight="1">
      <c r="L88" s="62"/>
      <c r="M88" s="553"/>
      <c r="N88" s="554"/>
      <c r="O88" s="62"/>
    </row>
    <row r="89" ht="14.25" customHeight="1">
      <c r="L89" s="62"/>
      <c r="M89" s="553"/>
      <c r="N89" s="554"/>
      <c r="O89" s="62"/>
    </row>
    <row r="90" ht="14.25" customHeight="1">
      <c r="L90" s="62"/>
      <c r="M90" s="553"/>
      <c r="N90" s="554"/>
      <c r="O90" s="62"/>
    </row>
    <row r="91" ht="14.25" customHeight="1">
      <c r="L91" s="62"/>
      <c r="M91" s="553"/>
      <c r="N91" s="554"/>
      <c r="O91" s="62"/>
    </row>
    <row r="92" ht="14.25" customHeight="1">
      <c r="L92" s="62"/>
      <c r="M92" s="553"/>
      <c r="N92" s="554"/>
      <c r="O92" s="62"/>
    </row>
    <row r="93" ht="14.25" customHeight="1">
      <c r="L93" s="62"/>
      <c r="M93" s="553"/>
      <c r="N93" s="554"/>
      <c r="O93" s="62"/>
    </row>
    <row r="94" ht="14.25" customHeight="1">
      <c r="L94" s="62"/>
      <c r="M94" s="553"/>
      <c r="N94" s="554"/>
      <c r="O94" s="62"/>
    </row>
    <row r="95" ht="14.25" customHeight="1">
      <c r="L95" s="62"/>
      <c r="M95" s="553"/>
      <c r="N95" s="554"/>
      <c r="O95" s="62"/>
    </row>
    <row r="96" ht="14.25" customHeight="1">
      <c r="L96" s="62"/>
      <c r="M96" s="553"/>
      <c r="N96" s="554"/>
      <c r="O96" s="62"/>
    </row>
    <row r="97" ht="14.25" customHeight="1">
      <c r="L97" s="62"/>
      <c r="M97" s="553"/>
      <c r="N97" s="554"/>
      <c r="O97" s="62"/>
    </row>
    <row r="98" ht="14.25" customHeight="1">
      <c r="L98" s="62"/>
      <c r="M98" s="553"/>
      <c r="N98" s="554"/>
      <c r="O98" s="62"/>
    </row>
    <row r="99" ht="14.25" customHeight="1">
      <c r="L99" s="62"/>
      <c r="M99" s="553"/>
      <c r="N99" s="554"/>
      <c r="O99" s="62"/>
    </row>
    <row r="100" ht="14.25" customHeight="1">
      <c r="L100" s="62"/>
      <c r="M100" s="553"/>
      <c r="N100" s="554"/>
      <c r="O100" s="62"/>
    </row>
    <row r="101" ht="14.25" customHeight="1">
      <c r="L101" s="62"/>
      <c r="M101" s="553"/>
      <c r="N101" s="554"/>
      <c r="O101" s="62"/>
    </row>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F2:I3"/>
    <mergeCell ref="L2:O3"/>
    <mergeCell ref="L4:L5"/>
    <mergeCell ref="M4:N4"/>
    <mergeCell ref="O4:O5"/>
  </mergeCells>
  <conditionalFormatting sqref="M6:N45">
    <cfRule type="notContainsBlanks" dxfId="13" priority="1">
      <formula>LEN(TRIM(M6))&gt;0</formula>
    </cfRule>
  </conditionalFormatting>
  <printOptions/>
  <pageMargins bottom="0.75" footer="0.0" header="0.0" left="0.7" right="0.7" top="0.75"/>
  <pageSetup paperSize="9" orientation="portrait"/>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
    <col customWidth="1" min="2" max="2" width="10.71"/>
    <col customWidth="1" min="3" max="3" width="8.57"/>
    <col customWidth="1" min="4" max="5" width="10.71"/>
    <col customWidth="1" min="6" max="6" width="2.57"/>
    <col customWidth="1" min="7" max="8" width="10.71"/>
    <col customWidth="1" min="9" max="9" width="3.0"/>
    <col customWidth="1" min="10" max="10" width="13.29"/>
    <col customWidth="1" min="11" max="11" width="2.57"/>
    <col customWidth="1" min="12" max="12" width="10.71"/>
  </cols>
  <sheetData>
    <row r="1" ht="6.75" customHeight="1"/>
    <row r="2">
      <c r="B2" s="556"/>
      <c r="C2" s="91"/>
      <c r="D2" s="557" t="s">
        <v>492</v>
      </c>
      <c r="E2" s="8"/>
      <c r="F2" s="8"/>
      <c r="G2" s="8"/>
      <c r="H2" s="8"/>
      <c r="I2" s="9"/>
      <c r="J2" s="558" t="s">
        <v>493</v>
      </c>
    </row>
    <row r="3">
      <c r="B3" s="121"/>
      <c r="C3" s="122"/>
      <c r="D3" s="557" t="s">
        <v>494</v>
      </c>
      <c r="E3" s="8"/>
      <c r="F3" s="8"/>
      <c r="G3" s="8"/>
      <c r="H3" s="8"/>
      <c r="I3" s="9"/>
      <c r="J3" s="559"/>
    </row>
    <row r="4">
      <c r="B4" s="195"/>
      <c r="C4" s="196"/>
      <c r="D4" s="557" t="s">
        <v>69</v>
      </c>
      <c r="E4" s="8"/>
      <c r="F4" s="8"/>
      <c r="G4" s="8"/>
      <c r="H4" s="8"/>
      <c r="I4" s="9"/>
      <c r="J4" s="544"/>
    </row>
    <row r="5">
      <c r="B5" s="557" t="s">
        <v>349</v>
      </c>
      <c r="C5" s="9"/>
      <c r="D5" s="560">
        <f>TODAY()</f>
        <v>46262</v>
      </c>
      <c r="E5" s="8"/>
      <c r="F5" s="8"/>
      <c r="G5" s="8"/>
      <c r="H5" s="8"/>
      <c r="I5" s="8"/>
      <c r="J5" s="9"/>
    </row>
    <row r="6">
      <c r="B6" s="557" t="s">
        <v>495</v>
      </c>
      <c r="C6" s="9"/>
      <c r="D6" s="557" t="s">
        <v>496</v>
      </c>
      <c r="E6" s="8"/>
      <c r="F6" s="8"/>
      <c r="G6" s="8"/>
      <c r="H6" s="8"/>
      <c r="I6" s="8"/>
      <c r="J6" s="9"/>
    </row>
    <row r="7">
      <c r="B7" s="557" t="s">
        <v>497</v>
      </c>
      <c r="C7" s="9"/>
      <c r="D7" s="557"/>
      <c r="E7" s="8"/>
      <c r="F7" s="8"/>
      <c r="G7" s="8"/>
      <c r="H7" s="8"/>
      <c r="I7" s="8"/>
      <c r="J7" s="9"/>
    </row>
    <row r="8" ht="7.5" customHeight="1">
      <c r="B8" s="561"/>
      <c r="C8" s="8"/>
      <c r="D8" s="8"/>
      <c r="E8" s="8"/>
      <c r="F8" s="8"/>
      <c r="G8" s="8"/>
      <c r="H8" s="8"/>
      <c r="I8" s="8"/>
      <c r="J8" s="9"/>
    </row>
    <row r="9" ht="15.75" customHeight="1">
      <c r="B9" s="557" t="s">
        <v>498</v>
      </c>
      <c r="C9" s="9"/>
      <c r="D9" s="557" t="s">
        <v>499</v>
      </c>
      <c r="E9" s="8"/>
      <c r="F9" s="9"/>
      <c r="G9" s="557" t="s">
        <v>500</v>
      </c>
      <c r="H9" s="8"/>
      <c r="I9" s="8"/>
      <c r="J9" s="9"/>
    </row>
    <row r="10" ht="27.75" customHeight="1">
      <c r="B10" s="562" t="s">
        <v>501</v>
      </c>
      <c r="C10" s="9"/>
      <c r="D10" s="562" t="s">
        <v>502</v>
      </c>
      <c r="E10" s="8"/>
      <c r="F10" s="9"/>
      <c r="G10" s="561" t="s">
        <v>503</v>
      </c>
      <c r="H10" s="8"/>
      <c r="I10" s="8"/>
      <c r="J10" s="9"/>
    </row>
    <row r="11" ht="21.75" customHeight="1">
      <c r="B11" s="561"/>
      <c r="C11" s="9"/>
      <c r="D11" s="561"/>
      <c r="E11" s="8"/>
      <c r="F11" s="9"/>
      <c r="G11" s="563" t="s">
        <v>504</v>
      </c>
      <c r="H11" s="8"/>
      <c r="I11" s="8"/>
      <c r="J11" s="9"/>
    </row>
    <row r="12" ht="21.75" customHeight="1">
      <c r="B12" s="561"/>
      <c r="C12" s="9"/>
      <c r="D12" s="556"/>
      <c r="E12" s="95"/>
      <c r="F12" s="91"/>
      <c r="G12" s="561" t="s">
        <v>505</v>
      </c>
      <c r="H12" s="8"/>
      <c r="I12" s="8"/>
      <c r="J12" s="9"/>
    </row>
    <row r="13" ht="24.0" customHeight="1">
      <c r="B13" s="561"/>
      <c r="C13" s="9"/>
      <c r="D13" s="121"/>
      <c r="F13" s="122"/>
      <c r="G13" s="561" t="s">
        <v>506</v>
      </c>
      <c r="H13" s="8"/>
      <c r="I13" s="8"/>
      <c r="J13" s="9"/>
    </row>
    <row r="14" ht="23.25" customHeight="1">
      <c r="B14" s="561"/>
      <c r="C14" s="9"/>
      <c r="D14" s="121"/>
      <c r="F14" s="122"/>
      <c r="G14" s="561" t="s">
        <v>507</v>
      </c>
      <c r="H14" s="8"/>
      <c r="I14" s="8"/>
      <c r="J14" s="9"/>
    </row>
    <row r="15" ht="23.25" customHeight="1">
      <c r="B15" s="561"/>
      <c r="C15" s="9"/>
      <c r="D15" s="121"/>
      <c r="F15" s="122"/>
      <c r="G15" s="561" t="s">
        <v>508</v>
      </c>
      <c r="H15" s="8"/>
      <c r="I15" s="8"/>
      <c r="J15" s="9"/>
      <c r="L15" s="4" t="s">
        <v>509</v>
      </c>
    </row>
    <row r="16" ht="22.5" customHeight="1">
      <c r="B16" s="561"/>
      <c r="C16" s="9"/>
      <c r="D16" s="195"/>
      <c r="E16" s="198"/>
      <c r="F16" s="196"/>
      <c r="G16" s="561" t="s">
        <v>510</v>
      </c>
      <c r="H16" s="8"/>
      <c r="I16" s="8"/>
      <c r="J16" s="9"/>
    </row>
    <row r="17">
      <c r="B17" s="564"/>
      <c r="C17" s="95"/>
      <c r="D17" s="95"/>
      <c r="E17" s="95"/>
      <c r="F17" s="95"/>
      <c r="G17" s="95"/>
      <c r="H17" s="95"/>
      <c r="I17" s="95"/>
      <c r="J17" s="95"/>
    </row>
    <row r="18" ht="21.0" customHeight="1"/>
    <row r="19">
      <c r="B19" s="564" t="s">
        <v>511</v>
      </c>
      <c r="C19" s="95"/>
      <c r="D19" s="95"/>
      <c r="G19" s="564" t="s">
        <v>512</v>
      </c>
      <c r="H19" s="95"/>
      <c r="I19" s="95"/>
      <c r="J19" s="95"/>
    </row>
    <row r="20">
      <c r="B20"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C4"/>
    <mergeCell ref="D2:I2"/>
    <mergeCell ref="J2:J4"/>
    <mergeCell ref="D3:I3"/>
    <mergeCell ref="D4:I4"/>
    <mergeCell ref="B5:C5"/>
    <mergeCell ref="D5:J5"/>
    <mergeCell ref="B6:C6"/>
    <mergeCell ref="D6:J6"/>
    <mergeCell ref="B7:C7"/>
    <mergeCell ref="D7:J7"/>
    <mergeCell ref="B8:J8"/>
    <mergeCell ref="D9:F9"/>
    <mergeCell ref="G9:J9"/>
    <mergeCell ref="D11:F11"/>
    <mergeCell ref="D12:F16"/>
    <mergeCell ref="B12:C12"/>
    <mergeCell ref="B13:C13"/>
    <mergeCell ref="B14:C14"/>
    <mergeCell ref="B15:C15"/>
    <mergeCell ref="B16:C16"/>
    <mergeCell ref="G13:J13"/>
    <mergeCell ref="G14:J14"/>
    <mergeCell ref="G15:J15"/>
    <mergeCell ref="G16:J16"/>
    <mergeCell ref="B17:J18"/>
    <mergeCell ref="B19:D19"/>
    <mergeCell ref="G19:J19"/>
    <mergeCell ref="B20:J20"/>
    <mergeCell ref="B9:C9"/>
    <mergeCell ref="B10:C10"/>
    <mergeCell ref="D10:F10"/>
    <mergeCell ref="G10:J10"/>
    <mergeCell ref="B11:C11"/>
    <mergeCell ref="G11:J11"/>
    <mergeCell ref="G12:J12"/>
  </mergeCells>
  <printOptions/>
  <pageMargins bottom="0.75" footer="0.0" header="0.0" left="0.7" right="0.7" top="0.75"/>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34.43"/>
    <col customWidth="1" min="3" max="3" width="6.14"/>
    <col customWidth="1" min="4" max="4" width="6.0"/>
    <col customWidth="1" min="5" max="5" width="5.43"/>
    <col customWidth="1" min="6" max="6" width="5.14"/>
    <col customWidth="1" min="7" max="7" width="5.43"/>
    <col customWidth="1" min="8" max="8" width="5.71"/>
    <col customWidth="1" min="9" max="9" width="5.86"/>
    <col customWidth="1" min="10" max="10" width="6.14"/>
    <col customWidth="1" min="11" max="11" width="6.29"/>
    <col customWidth="1" min="12" max="12" width="6.86"/>
    <col customWidth="1" min="13" max="13" width="5.43"/>
    <col customWidth="1" min="14" max="26" width="10.71"/>
  </cols>
  <sheetData>
    <row r="1" ht="14.25" customHeight="1"/>
    <row r="2" ht="14.25" customHeight="1">
      <c r="B2" s="62" t="s">
        <v>513</v>
      </c>
      <c r="C2" s="561" t="s">
        <v>514</v>
      </c>
      <c r="D2" s="8"/>
      <c r="E2" s="8"/>
      <c r="F2" s="8"/>
      <c r="G2" s="8"/>
      <c r="H2" s="8"/>
      <c r="I2" s="8"/>
      <c r="J2" s="9"/>
      <c r="K2" s="561" t="s">
        <v>139</v>
      </c>
      <c r="L2" s="8"/>
      <c r="M2" s="9"/>
    </row>
    <row r="3" ht="14.25" customHeight="1">
      <c r="B3" s="62" t="s">
        <v>515</v>
      </c>
      <c r="C3" s="62"/>
      <c r="D3" s="62"/>
      <c r="E3" s="62"/>
      <c r="F3" s="62"/>
      <c r="G3" s="62"/>
      <c r="H3" s="62"/>
      <c r="I3" s="62"/>
      <c r="J3" s="62"/>
      <c r="K3" s="561"/>
      <c r="L3" s="8"/>
      <c r="M3" s="9"/>
    </row>
    <row r="4" ht="14.25" customHeight="1">
      <c r="B4" s="62" t="s">
        <v>516</v>
      </c>
      <c r="C4" s="62"/>
      <c r="D4" s="62"/>
      <c r="E4" s="62"/>
      <c r="F4" s="62"/>
      <c r="G4" s="62"/>
      <c r="H4" s="62"/>
      <c r="I4" s="62"/>
      <c r="J4" s="62"/>
      <c r="K4" s="561"/>
      <c r="L4" s="8"/>
      <c r="M4" s="9"/>
    </row>
    <row r="5" ht="14.25" customHeight="1">
      <c r="B5" s="62" t="s">
        <v>517</v>
      </c>
      <c r="C5" s="62"/>
      <c r="D5" s="62"/>
      <c r="E5" s="62"/>
      <c r="F5" s="62"/>
      <c r="G5" s="62"/>
      <c r="H5" s="62"/>
      <c r="I5" s="62"/>
      <c r="J5" s="62"/>
      <c r="K5" s="561"/>
      <c r="L5" s="8"/>
      <c r="M5" s="9"/>
    </row>
    <row r="6" ht="14.25" customHeight="1">
      <c r="B6" s="62" t="s">
        <v>518</v>
      </c>
      <c r="C6" s="62"/>
      <c r="D6" s="62"/>
      <c r="E6" s="62"/>
      <c r="F6" s="62"/>
      <c r="G6" s="62"/>
      <c r="H6" s="62"/>
      <c r="I6" s="62"/>
      <c r="J6" s="62"/>
      <c r="K6" s="561"/>
      <c r="L6" s="8"/>
      <c r="M6" s="9"/>
    </row>
    <row r="7" ht="14.25" customHeight="1">
      <c r="B7" s="62" t="s">
        <v>519</v>
      </c>
      <c r="C7" s="62"/>
      <c r="D7" s="62"/>
      <c r="E7" s="62"/>
      <c r="F7" s="62"/>
      <c r="G7" s="62"/>
      <c r="H7" s="62"/>
      <c r="I7" s="62"/>
      <c r="J7" s="62"/>
      <c r="K7" s="561"/>
      <c r="L7" s="8"/>
      <c r="M7" s="9"/>
    </row>
    <row r="8" ht="14.25" customHeight="1">
      <c r="B8" s="62" t="s">
        <v>520</v>
      </c>
      <c r="C8" s="62"/>
      <c r="D8" s="62"/>
      <c r="E8" s="62"/>
      <c r="F8" s="62"/>
      <c r="G8" s="62"/>
      <c r="H8" s="62"/>
      <c r="I8" s="62"/>
      <c r="J8" s="62"/>
      <c r="K8" s="561"/>
      <c r="L8" s="8"/>
      <c r="M8" s="9"/>
    </row>
    <row r="9" ht="14.25" customHeight="1">
      <c r="B9" s="62" t="s">
        <v>521</v>
      </c>
      <c r="C9" s="62"/>
      <c r="D9" s="62"/>
      <c r="E9" s="62"/>
      <c r="F9" s="62"/>
      <c r="G9" s="62"/>
      <c r="H9" s="62"/>
      <c r="I9" s="62"/>
      <c r="J9" s="62"/>
      <c r="K9" s="561"/>
      <c r="L9" s="8"/>
      <c r="M9" s="9"/>
    </row>
    <row r="10" ht="14.25" customHeight="1">
      <c r="B10" s="62" t="s">
        <v>522</v>
      </c>
      <c r="C10" s="62"/>
      <c r="D10" s="62"/>
      <c r="E10" s="62"/>
      <c r="F10" s="62"/>
      <c r="G10" s="62"/>
      <c r="H10" s="62"/>
      <c r="I10" s="62"/>
      <c r="J10" s="62"/>
      <c r="K10" s="561"/>
      <c r="L10" s="8"/>
      <c r="M10" s="9"/>
    </row>
    <row r="11" ht="14.25" customHeight="1">
      <c r="B11" s="62" t="s">
        <v>523</v>
      </c>
      <c r="C11" s="62"/>
      <c r="D11" s="62"/>
      <c r="E11" s="62"/>
      <c r="F11" s="62"/>
      <c r="G11" s="62"/>
      <c r="H11" s="62"/>
      <c r="I11" s="62"/>
      <c r="J11" s="62"/>
      <c r="K11" s="561"/>
      <c r="L11" s="8"/>
      <c r="M11" s="9"/>
    </row>
    <row r="12" ht="14.25" customHeight="1">
      <c r="B12" s="62" t="s">
        <v>524</v>
      </c>
      <c r="C12" s="62"/>
      <c r="D12" s="62"/>
      <c r="E12" s="62"/>
      <c r="F12" s="62"/>
      <c r="G12" s="62"/>
      <c r="H12" s="62"/>
      <c r="I12" s="62"/>
      <c r="J12" s="62"/>
      <c r="K12" s="561"/>
      <c r="L12" s="8"/>
      <c r="M12" s="9"/>
    </row>
    <row r="13" ht="14.25" customHeight="1">
      <c r="B13" s="62" t="s">
        <v>525</v>
      </c>
      <c r="C13" s="62"/>
      <c r="D13" s="62"/>
      <c r="E13" s="62"/>
      <c r="F13" s="62"/>
      <c r="G13" s="62"/>
      <c r="H13" s="62"/>
      <c r="I13" s="62"/>
      <c r="J13" s="62"/>
      <c r="K13" s="561"/>
      <c r="L13" s="8"/>
      <c r="M13" s="9"/>
    </row>
    <row r="14" ht="14.25" customHeight="1">
      <c r="B14" s="62" t="s">
        <v>526</v>
      </c>
      <c r="C14" s="62"/>
      <c r="D14" s="62"/>
      <c r="E14" s="62"/>
      <c r="F14" s="62"/>
      <c r="G14" s="62"/>
      <c r="H14" s="62"/>
      <c r="I14" s="62"/>
      <c r="J14" s="62"/>
      <c r="K14" s="561"/>
      <c r="L14" s="8"/>
      <c r="M14" s="9"/>
    </row>
    <row r="15" ht="14.25" customHeight="1">
      <c r="B15" s="62" t="s">
        <v>527</v>
      </c>
      <c r="C15" s="62"/>
      <c r="D15" s="62"/>
      <c r="E15" s="62"/>
      <c r="F15" s="62"/>
      <c r="G15" s="62"/>
      <c r="H15" s="62"/>
      <c r="I15" s="62"/>
      <c r="J15" s="62"/>
      <c r="K15" s="561"/>
      <c r="L15" s="8"/>
      <c r="M15" s="9"/>
    </row>
    <row r="16" ht="14.25" customHeight="1">
      <c r="B16" s="62" t="s">
        <v>528</v>
      </c>
      <c r="C16" s="62"/>
      <c r="D16" s="62"/>
      <c r="E16" s="62"/>
      <c r="F16" s="62"/>
      <c r="G16" s="62"/>
      <c r="H16" s="62"/>
      <c r="I16" s="62"/>
      <c r="J16" s="62"/>
      <c r="K16" s="561"/>
      <c r="L16" s="8"/>
      <c r="M16" s="9"/>
    </row>
    <row r="17" ht="14.25" customHeight="1">
      <c r="B17" s="62" t="s">
        <v>529</v>
      </c>
      <c r="C17" s="62"/>
      <c r="D17" s="62"/>
      <c r="E17" s="62"/>
      <c r="F17" s="62"/>
      <c r="G17" s="62"/>
      <c r="H17" s="62"/>
      <c r="I17" s="62"/>
      <c r="J17" s="62"/>
      <c r="K17" s="561"/>
      <c r="L17" s="8"/>
      <c r="M17" s="9"/>
    </row>
    <row r="18" ht="14.25" customHeight="1">
      <c r="B18" s="62" t="s">
        <v>530</v>
      </c>
      <c r="C18" s="62"/>
      <c r="D18" s="62"/>
      <c r="E18" s="62"/>
      <c r="F18" s="62"/>
      <c r="G18" s="62"/>
      <c r="H18" s="62"/>
      <c r="I18" s="62"/>
      <c r="J18" s="62"/>
      <c r="K18" s="561"/>
      <c r="L18" s="8"/>
      <c r="M18" s="9"/>
    </row>
    <row r="19" ht="14.25" customHeight="1">
      <c r="B19" s="62" t="s">
        <v>531</v>
      </c>
      <c r="C19" s="62"/>
      <c r="D19" s="62"/>
      <c r="E19" s="62"/>
      <c r="F19" s="62"/>
      <c r="G19" s="62"/>
      <c r="H19" s="62"/>
      <c r="I19" s="62"/>
      <c r="J19" s="62"/>
      <c r="K19" s="561"/>
      <c r="L19" s="8"/>
      <c r="M19" s="9"/>
    </row>
    <row r="20" ht="14.25" customHeight="1">
      <c r="B20" s="62" t="s">
        <v>532</v>
      </c>
      <c r="C20" s="62"/>
      <c r="D20" s="62"/>
      <c r="E20" s="62"/>
      <c r="F20" s="62"/>
      <c r="G20" s="62"/>
      <c r="H20" s="62"/>
      <c r="I20" s="62"/>
      <c r="J20" s="62"/>
      <c r="K20" s="561"/>
      <c r="L20" s="8"/>
      <c r="M20" s="9"/>
    </row>
    <row r="21" ht="14.25" customHeight="1">
      <c r="B21" s="62" t="s">
        <v>533</v>
      </c>
      <c r="C21" s="62"/>
      <c r="D21" s="62"/>
      <c r="E21" s="62"/>
      <c r="F21" s="62"/>
      <c r="G21" s="62"/>
      <c r="H21" s="62"/>
      <c r="I21" s="62"/>
      <c r="J21" s="62"/>
      <c r="K21" s="561"/>
      <c r="L21" s="8"/>
      <c r="M21" s="9"/>
    </row>
    <row r="22" ht="14.25" customHeight="1">
      <c r="B22" s="62" t="s">
        <v>534</v>
      </c>
      <c r="C22" s="62"/>
      <c r="D22" s="62"/>
      <c r="E22" s="62"/>
      <c r="F22" s="62"/>
      <c r="G22" s="62"/>
      <c r="H22" s="62"/>
      <c r="I22" s="62"/>
      <c r="J22" s="62"/>
      <c r="K22" s="561"/>
      <c r="L22" s="8"/>
      <c r="M22" s="9"/>
    </row>
    <row r="23" ht="14.25" customHeight="1">
      <c r="B23" s="62" t="s">
        <v>535</v>
      </c>
      <c r="C23" s="62"/>
      <c r="D23" s="62"/>
      <c r="E23" s="62"/>
      <c r="F23" s="62"/>
      <c r="G23" s="62"/>
      <c r="H23" s="62"/>
      <c r="I23" s="62"/>
      <c r="J23" s="62"/>
      <c r="K23" s="561"/>
      <c r="L23" s="8"/>
      <c r="M23" s="9"/>
    </row>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B$2:$M$23"/>
  <mergeCells count="23">
    <mergeCell ref="C2:J2"/>
    <mergeCell ref="K2:M2"/>
    <mergeCell ref="K3:M3"/>
    <mergeCell ref="K4:M4"/>
    <mergeCell ref="K5:M5"/>
    <mergeCell ref="K6:M6"/>
    <mergeCell ref="K7:M7"/>
    <mergeCell ref="K8:M8"/>
    <mergeCell ref="K9:M9"/>
    <mergeCell ref="K10:M10"/>
    <mergeCell ref="K11:M11"/>
    <mergeCell ref="K12:M12"/>
    <mergeCell ref="K13:M13"/>
    <mergeCell ref="K14:M14"/>
    <mergeCell ref="K22:M22"/>
    <mergeCell ref="K23:M23"/>
    <mergeCell ref="K15:M15"/>
    <mergeCell ref="K16:M16"/>
    <mergeCell ref="K17:M17"/>
    <mergeCell ref="K18:M18"/>
    <mergeCell ref="K19:M19"/>
    <mergeCell ref="K20:M20"/>
    <mergeCell ref="K21:M21"/>
  </mergeCells>
  <printOptions/>
  <pageMargins bottom="0.75" footer="0.0" header="0.0" left="0.7" right="0.7" top="0.75"/>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57"/>
    <col customWidth="1" min="2" max="2" width="4.57"/>
    <col customWidth="1" min="3" max="3" width="11.86"/>
    <col customWidth="1" min="4" max="4" width="13.0"/>
    <col customWidth="1" min="5" max="5" width="34.86"/>
    <col customWidth="1" min="6" max="6" width="96.14"/>
    <col customWidth="1" min="7" max="26" width="10.71"/>
  </cols>
  <sheetData>
    <row r="1" ht="7.5" customHeight="1">
      <c r="B1" s="1"/>
    </row>
    <row r="2" ht="14.25" customHeight="1">
      <c r="B2" s="565" t="s">
        <v>5</v>
      </c>
      <c r="C2" s="565" t="s">
        <v>207</v>
      </c>
      <c r="D2" s="565" t="s">
        <v>536</v>
      </c>
      <c r="E2" s="565" t="s">
        <v>537</v>
      </c>
      <c r="F2" s="565" t="s">
        <v>48</v>
      </c>
    </row>
    <row r="3" ht="14.25" customHeight="1">
      <c r="B3" s="566" t="s">
        <v>538</v>
      </c>
      <c r="C3" s="8"/>
      <c r="D3" s="8"/>
      <c r="E3" s="8"/>
      <c r="F3" s="9"/>
    </row>
    <row r="4" ht="14.25" customHeight="1">
      <c r="B4" s="62">
        <v>1.0</v>
      </c>
      <c r="C4" s="291" t="s">
        <v>539</v>
      </c>
      <c r="D4" s="62">
        <v>2.0</v>
      </c>
      <c r="E4" s="62" t="s">
        <v>540</v>
      </c>
      <c r="F4" s="62" t="s">
        <v>541</v>
      </c>
    </row>
    <row r="5" ht="14.25" customHeight="1">
      <c r="B5" s="62">
        <v>2.0</v>
      </c>
      <c r="C5" s="291">
        <v>45576.0</v>
      </c>
      <c r="D5" s="62">
        <v>1.0</v>
      </c>
      <c r="E5" s="62" t="s">
        <v>542</v>
      </c>
      <c r="F5" s="62" t="s">
        <v>543</v>
      </c>
    </row>
    <row r="6" ht="14.25" customHeight="1">
      <c r="B6" s="62">
        <v>3.0</v>
      </c>
      <c r="C6" s="291">
        <v>45576.0</v>
      </c>
      <c r="D6" s="62">
        <v>1.0</v>
      </c>
      <c r="E6" s="62" t="s">
        <v>544</v>
      </c>
      <c r="F6" s="62" t="s">
        <v>545</v>
      </c>
    </row>
    <row r="7" ht="14.25" customHeight="1">
      <c r="B7" s="62">
        <v>4.0</v>
      </c>
      <c r="C7" s="291">
        <v>45576.0</v>
      </c>
      <c r="D7" s="62">
        <v>1.0</v>
      </c>
      <c r="E7" s="62" t="s">
        <v>546</v>
      </c>
      <c r="F7" s="62" t="s">
        <v>547</v>
      </c>
    </row>
    <row r="8" ht="14.25" customHeight="1">
      <c r="B8" s="62">
        <v>5.0</v>
      </c>
      <c r="C8" s="291">
        <v>45577.0</v>
      </c>
      <c r="D8" s="62">
        <v>1.0</v>
      </c>
      <c r="E8" s="62" t="s">
        <v>548</v>
      </c>
      <c r="F8" s="62" t="s">
        <v>549</v>
      </c>
    </row>
    <row r="9" ht="14.25" customHeight="1">
      <c r="B9" s="62">
        <v>6.0</v>
      </c>
      <c r="C9" s="291">
        <v>45579.0</v>
      </c>
      <c r="D9" s="62">
        <v>1.0</v>
      </c>
      <c r="E9" s="62" t="s">
        <v>550</v>
      </c>
      <c r="F9" s="62" t="s">
        <v>551</v>
      </c>
    </row>
    <row r="10" ht="14.25" customHeight="1">
      <c r="B10" s="62">
        <v>7.0</v>
      </c>
      <c r="C10" s="291">
        <v>45579.0</v>
      </c>
      <c r="D10" s="62">
        <v>1.0</v>
      </c>
      <c r="E10" s="62" t="s">
        <v>542</v>
      </c>
      <c r="F10" s="62" t="s">
        <v>543</v>
      </c>
    </row>
    <row r="11" ht="14.25" customHeight="1">
      <c r="B11" s="62">
        <v>8.0</v>
      </c>
      <c r="C11" s="291">
        <v>45581.0</v>
      </c>
      <c r="D11" s="62">
        <v>2.0</v>
      </c>
      <c r="E11" s="62" t="s">
        <v>548</v>
      </c>
      <c r="F11" s="62" t="s">
        <v>549</v>
      </c>
    </row>
    <row r="12" ht="14.25" customHeight="1">
      <c r="B12" s="62">
        <v>9.0</v>
      </c>
      <c r="C12" s="291">
        <v>45588.0</v>
      </c>
      <c r="D12" s="62">
        <v>3.0</v>
      </c>
      <c r="E12" s="62" t="s">
        <v>542</v>
      </c>
      <c r="F12" s="62" t="s">
        <v>543</v>
      </c>
    </row>
    <row r="13" ht="14.25" customHeight="1">
      <c r="B13" s="62">
        <v>10.0</v>
      </c>
      <c r="C13" s="291">
        <v>45589.0</v>
      </c>
      <c r="D13" s="62">
        <v>1.0</v>
      </c>
      <c r="E13" s="62" t="s">
        <v>546</v>
      </c>
      <c r="F13" s="62" t="s">
        <v>547</v>
      </c>
    </row>
    <row r="14" ht="14.25" customHeight="1">
      <c r="B14" s="62">
        <v>11.0</v>
      </c>
      <c r="C14" s="291">
        <v>45593.0</v>
      </c>
      <c r="D14" s="62">
        <v>1.0</v>
      </c>
      <c r="E14" s="62" t="s">
        <v>542</v>
      </c>
      <c r="F14" s="62" t="s">
        <v>545</v>
      </c>
    </row>
    <row r="15" ht="14.25" customHeight="1">
      <c r="B15" s="62">
        <v>12.0</v>
      </c>
      <c r="C15" s="291">
        <v>45595.0</v>
      </c>
      <c r="D15" s="62">
        <v>3.0</v>
      </c>
      <c r="E15" s="62" t="s">
        <v>542</v>
      </c>
      <c r="F15" s="62" t="s">
        <v>545</v>
      </c>
    </row>
    <row r="16" ht="14.25" customHeight="1">
      <c r="B16" s="566" t="s">
        <v>552</v>
      </c>
      <c r="C16" s="8"/>
      <c r="D16" s="8"/>
      <c r="E16" s="8"/>
      <c r="F16" s="9"/>
    </row>
    <row r="17" ht="14.25" customHeight="1">
      <c r="B17" s="62">
        <v>1.0</v>
      </c>
      <c r="C17" s="291">
        <v>45604.0</v>
      </c>
      <c r="D17" s="62">
        <v>1.0</v>
      </c>
      <c r="E17" s="62" t="s">
        <v>553</v>
      </c>
      <c r="F17" s="62" t="s">
        <v>554</v>
      </c>
    </row>
    <row r="18" ht="14.25" customHeight="1">
      <c r="B18" s="62">
        <v>2.0</v>
      </c>
      <c r="C18" s="291">
        <v>45605.0</v>
      </c>
      <c r="D18" s="62">
        <v>2.0</v>
      </c>
      <c r="E18" s="62" t="s">
        <v>555</v>
      </c>
      <c r="F18" s="62" t="s">
        <v>556</v>
      </c>
    </row>
    <row r="19" ht="14.25" customHeight="1">
      <c r="B19" s="62">
        <v>3.0</v>
      </c>
      <c r="C19" s="291">
        <v>45617.0</v>
      </c>
      <c r="D19" s="62">
        <v>1.0</v>
      </c>
      <c r="E19" s="62" t="s">
        <v>555</v>
      </c>
      <c r="F19" s="62" t="s">
        <v>556</v>
      </c>
    </row>
    <row r="20" ht="14.25" customHeight="1">
      <c r="B20" s="62">
        <v>4.0</v>
      </c>
      <c r="C20" s="291">
        <v>45622.0</v>
      </c>
      <c r="D20" s="62">
        <v>3.0</v>
      </c>
      <c r="E20" s="62" t="s">
        <v>557</v>
      </c>
      <c r="F20" s="62" t="s">
        <v>558</v>
      </c>
    </row>
    <row r="21" ht="14.25" customHeight="1">
      <c r="B21" s="566" t="s">
        <v>559</v>
      </c>
      <c r="C21" s="8"/>
      <c r="D21" s="8"/>
      <c r="E21" s="8"/>
      <c r="F21" s="9"/>
    </row>
    <row r="22" ht="14.25" customHeight="1">
      <c r="B22" s="62">
        <v>1.0</v>
      </c>
      <c r="C22" s="291">
        <v>45629.0</v>
      </c>
      <c r="D22" s="62">
        <v>3.0</v>
      </c>
      <c r="E22" s="62" t="s">
        <v>555</v>
      </c>
      <c r="F22" s="62" t="s">
        <v>556</v>
      </c>
    </row>
    <row r="23" ht="14.25" customHeight="1">
      <c r="B23" s="62">
        <v>2.0</v>
      </c>
      <c r="C23" s="291">
        <v>45630.0</v>
      </c>
      <c r="D23" s="62">
        <v>1.0</v>
      </c>
      <c r="E23" s="62" t="s">
        <v>557</v>
      </c>
      <c r="F23" s="62" t="s">
        <v>560</v>
      </c>
    </row>
    <row r="24" ht="14.25" customHeight="1">
      <c r="B24" s="62">
        <v>3.0</v>
      </c>
      <c r="C24" s="291">
        <v>45635.0</v>
      </c>
      <c r="D24" s="62">
        <v>1.0</v>
      </c>
      <c r="E24" s="62" t="s">
        <v>557</v>
      </c>
      <c r="F24" s="62" t="s">
        <v>560</v>
      </c>
    </row>
    <row r="25" ht="14.25" customHeight="1">
      <c r="B25" s="62">
        <v>4.0</v>
      </c>
      <c r="C25" s="291">
        <v>45640.0</v>
      </c>
      <c r="D25" s="62">
        <v>5.0</v>
      </c>
      <c r="E25" s="62" t="s">
        <v>557</v>
      </c>
      <c r="F25" s="62" t="s">
        <v>561</v>
      </c>
    </row>
    <row r="26" ht="14.25" customHeight="1">
      <c r="B26" s="62">
        <v>5.0</v>
      </c>
      <c r="C26" s="291">
        <v>45643.0</v>
      </c>
      <c r="D26" s="62">
        <v>3.0</v>
      </c>
      <c r="E26" s="62" t="s">
        <v>562</v>
      </c>
      <c r="F26" s="62" t="s">
        <v>563</v>
      </c>
    </row>
    <row r="27" ht="14.25" customHeight="1">
      <c r="B27" s="62">
        <v>6.0</v>
      </c>
      <c r="C27" s="291">
        <v>45645.0</v>
      </c>
      <c r="D27" s="62">
        <v>1.0</v>
      </c>
      <c r="E27" s="62" t="s">
        <v>546</v>
      </c>
      <c r="F27" s="62" t="s">
        <v>547</v>
      </c>
    </row>
    <row r="28" ht="14.25" customHeight="1">
      <c r="B28" s="62">
        <v>7.0</v>
      </c>
      <c r="C28" s="291">
        <v>45647.0</v>
      </c>
      <c r="D28" s="62">
        <v>1.0</v>
      </c>
      <c r="E28" s="62" t="s">
        <v>546</v>
      </c>
      <c r="F28" s="62" t="s">
        <v>547</v>
      </c>
    </row>
    <row r="29" ht="14.25" customHeight="1">
      <c r="B29" s="62">
        <v>8.0</v>
      </c>
      <c r="C29" s="291">
        <v>45655.0</v>
      </c>
      <c r="D29" s="62">
        <v>1.0</v>
      </c>
      <c r="E29" s="62" t="s">
        <v>564</v>
      </c>
      <c r="F29" s="62" t="s">
        <v>565</v>
      </c>
    </row>
    <row r="30" ht="14.25" customHeight="1">
      <c r="B30" s="566" t="s">
        <v>566</v>
      </c>
      <c r="C30" s="8"/>
      <c r="D30" s="8"/>
      <c r="E30" s="8"/>
      <c r="F30" s="9"/>
    </row>
    <row r="31" ht="14.25" customHeight="1">
      <c r="B31" s="62">
        <v>1.0</v>
      </c>
      <c r="C31" s="291">
        <v>45659.0</v>
      </c>
      <c r="D31" s="62">
        <v>1.0</v>
      </c>
      <c r="E31" s="62" t="s">
        <v>546</v>
      </c>
      <c r="F31" s="62" t="s">
        <v>547</v>
      </c>
    </row>
    <row r="32" ht="14.25" customHeight="1">
      <c r="B32" s="62">
        <v>2.0</v>
      </c>
      <c r="C32" s="291">
        <v>45659.0</v>
      </c>
      <c r="D32" s="62">
        <v>1.0</v>
      </c>
      <c r="E32" s="62" t="s">
        <v>564</v>
      </c>
      <c r="F32" s="62" t="s">
        <v>565</v>
      </c>
    </row>
    <row r="33" ht="14.25" customHeight="1">
      <c r="B33" s="62">
        <v>3.0</v>
      </c>
      <c r="C33" s="291">
        <v>45661.0</v>
      </c>
      <c r="D33" s="62">
        <v>4.0</v>
      </c>
      <c r="E33" s="62" t="s">
        <v>562</v>
      </c>
      <c r="F33" s="62" t="s">
        <v>563</v>
      </c>
    </row>
    <row r="34" ht="14.25" customHeight="1">
      <c r="B34" s="62">
        <v>4.0</v>
      </c>
      <c r="C34" s="291">
        <v>45661.0</v>
      </c>
      <c r="D34" s="62">
        <v>2.0</v>
      </c>
      <c r="E34" s="62" t="s">
        <v>546</v>
      </c>
      <c r="F34" s="62" t="s">
        <v>547</v>
      </c>
    </row>
    <row r="35" ht="14.25" customHeight="1">
      <c r="B35" s="62">
        <v>5.0</v>
      </c>
      <c r="C35" s="291">
        <v>45662.0</v>
      </c>
      <c r="D35" s="62">
        <v>1.0</v>
      </c>
      <c r="E35" s="62" t="s">
        <v>562</v>
      </c>
      <c r="F35" s="62" t="s">
        <v>563</v>
      </c>
    </row>
    <row r="36" ht="14.25" customHeight="1">
      <c r="B36" s="62">
        <v>6.0</v>
      </c>
      <c r="C36" s="291">
        <v>45671.0</v>
      </c>
      <c r="D36" s="62">
        <v>1.0</v>
      </c>
      <c r="E36" s="62" t="s">
        <v>546</v>
      </c>
      <c r="F36" s="62" t="s">
        <v>547</v>
      </c>
    </row>
    <row r="37" ht="14.25" customHeight="1">
      <c r="B37" s="62">
        <v>7.0</v>
      </c>
      <c r="C37" s="291">
        <v>45671.0</v>
      </c>
      <c r="D37" s="62">
        <v>2.0</v>
      </c>
      <c r="E37" s="62" t="s">
        <v>555</v>
      </c>
      <c r="F37" s="62"/>
    </row>
    <row r="38" ht="14.25" customHeight="1">
      <c r="B38" s="62">
        <v>8.0</v>
      </c>
      <c r="C38" s="291">
        <v>45673.0</v>
      </c>
      <c r="D38" s="62">
        <v>1.0</v>
      </c>
      <c r="E38" s="62" t="s">
        <v>555</v>
      </c>
      <c r="F38" s="62"/>
    </row>
    <row r="39" ht="14.25" customHeight="1">
      <c r="B39" s="62">
        <v>9.0</v>
      </c>
      <c r="C39" s="291">
        <v>45678.0</v>
      </c>
      <c r="D39" s="62">
        <v>1.0</v>
      </c>
      <c r="E39" s="62" t="s">
        <v>567</v>
      </c>
      <c r="F39" s="62" t="s">
        <v>568</v>
      </c>
    </row>
    <row r="40" ht="14.25" customHeight="1">
      <c r="B40" s="62">
        <v>10.0</v>
      </c>
      <c r="C40" s="291">
        <v>45682.0</v>
      </c>
      <c r="D40" s="62">
        <v>2.0</v>
      </c>
      <c r="E40" s="62" t="s">
        <v>542</v>
      </c>
      <c r="F40" s="62" t="s">
        <v>543</v>
      </c>
    </row>
    <row r="41" ht="14.25" customHeight="1">
      <c r="B41" s="62">
        <v>11.0</v>
      </c>
      <c r="C41" s="291">
        <v>45684.0</v>
      </c>
      <c r="D41" s="62">
        <v>1.0</v>
      </c>
      <c r="E41" s="62" t="s">
        <v>555</v>
      </c>
      <c r="F41" s="62" t="s">
        <v>543</v>
      </c>
    </row>
    <row r="42" ht="14.25" customHeight="1">
      <c r="B42" s="566" t="s">
        <v>91</v>
      </c>
      <c r="C42" s="8"/>
      <c r="D42" s="8"/>
      <c r="E42" s="8"/>
      <c r="F42" s="9"/>
    </row>
    <row r="43" ht="14.25" customHeight="1">
      <c r="B43" s="62">
        <v>1.0</v>
      </c>
      <c r="C43" s="291">
        <v>45689.0</v>
      </c>
      <c r="D43" s="62">
        <v>1.0</v>
      </c>
      <c r="E43" s="62" t="s">
        <v>546</v>
      </c>
      <c r="F43" s="62" t="s">
        <v>547</v>
      </c>
    </row>
    <row r="44" ht="14.25" customHeight="1">
      <c r="B44" s="62">
        <v>2.0</v>
      </c>
      <c r="C44" s="291">
        <v>45692.0</v>
      </c>
      <c r="D44" s="62">
        <v>1.0</v>
      </c>
      <c r="E44" s="62" t="s">
        <v>548</v>
      </c>
      <c r="F44" s="62" t="s">
        <v>549</v>
      </c>
    </row>
    <row r="45" ht="14.25" customHeight="1">
      <c r="B45" s="62">
        <v>3.0</v>
      </c>
      <c r="C45" s="291">
        <v>45695.0</v>
      </c>
      <c r="D45" s="62">
        <v>1.0</v>
      </c>
      <c r="E45" s="62" t="s">
        <v>546</v>
      </c>
      <c r="F45" s="62" t="s">
        <v>547</v>
      </c>
    </row>
    <row r="46" ht="14.25" customHeight="1">
      <c r="B46" s="62">
        <v>4.0</v>
      </c>
      <c r="C46" s="291">
        <v>45699.0</v>
      </c>
      <c r="D46" s="62">
        <v>1.0</v>
      </c>
      <c r="E46" s="62" t="s">
        <v>562</v>
      </c>
      <c r="F46" s="62" t="s">
        <v>563</v>
      </c>
    </row>
    <row r="47" ht="14.25" customHeight="1">
      <c r="B47" s="62">
        <v>5.0</v>
      </c>
      <c r="C47" s="291">
        <v>45701.0</v>
      </c>
      <c r="D47" s="62">
        <v>4.0</v>
      </c>
      <c r="E47" s="62" t="s">
        <v>569</v>
      </c>
      <c r="F47" s="62" t="s">
        <v>570</v>
      </c>
    </row>
    <row r="48" ht="14.25" customHeight="1">
      <c r="B48" s="62">
        <v>6.0</v>
      </c>
      <c r="C48" s="291">
        <v>45702.0</v>
      </c>
      <c r="D48" s="62">
        <v>1.0</v>
      </c>
      <c r="E48" s="62" t="s">
        <v>546</v>
      </c>
      <c r="F48" s="62" t="s">
        <v>547</v>
      </c>
    </row>
    <row r="49" ht="14.25" customHeight="1">
      <c r="B49" s="62"/>
      <c r="C49" s="291"/>
      <c r="D49" s="62"/>
      <c r="E49" s="62"/>
      <c r="F49" s="62"/>
    </row>
    <row r="50" ht="14.25" customHeight="1">
      <c r="B50" s="62"/>
      <c r="C50" s="291"/>
      <c r="D50" s="62"/>
      <c r="E50" s="62"/>
      <c r="F50" s="62"/>
    </row>
    <row r="51" ht="14.25" customHeight="1">
      <c r="B51" s="62"/>
      <c r="C51" s="291"/>
      <c r="D51" s="62"/>
      <c r="E51" s="62"/>
      <c r="F51" s="62"/>
    </row>
    <row r="52" ht="14.25" customHeight="1">
      <c r="B52" s="62"/>
      <c r="C52" s="291"/>
      <c r="D52" s="62"/>
      <c r="E52" s="62"/>
      <c r="F52" s="62"/>
    </row>
    <row r="53" ht="14.25" customHeight="1">
      <c r="B53" s="62"/>
      <c r="C53" s="291"/>
      <c r="D53" s="62"/>
      <c r="E53" s="62"/>
      <c r="F53" s="62"/>
    </row>
    <row r="54" ht="14.25" customHeight="1">
      <c r="B54" s="62"/>
      <c r="C54" s="291"/>
      <c r="D54" s="62"/>
      <c r="E54" s="62"/>
      <c r="F54" s="62"/>
    </row>
    <row r="55" ht="14.25" customHeight="1">
      <c r="B55" s="62"/>
      <c r="C55" s="291"/>
      <c r="D55" s="62"/>
      <c r="E55" s="62"/>
      <c r="F55" s="62"/>
    </row>
    <row r="56" ht="14.25" customHeight="1">
      <c r="B56" s="62"/>
      <c r="C56" s="291"/>
      <c r="D56" s="62"/>
      <c r="E56" s="62"/>
      <c r="F56" s="62"/>
    </row>
    <row r="57" ht="14.25" customHeight="1">
      <c r="B57" s="62"/>
      <c r="C57" s="291"/>
      <c r="D57" s="62"/>
      <c r="E57" s="62"/>
      <c r="F57" s="62"/>
    </row>
    <row r="58" ht="14.25" customHeight="1">
      <c r="B58" s="62"/>
      <c r="C58" s="291"/>
      <c r="D58" s="62"/>
      <c r="E58" s="62"/>
      <c r="F58" s="62"/>
    </row>
    <row r="59" ht="14.25" customHeight="1">
      <c r="B59" s="62"/>
      <c r="C59" s="291"/>
      <c r="D59" s="62"/>
      <c r="E59" s="62"/>
      <c r="F59" s="62"/>
    </row>
    <row r="60" ht="14.25" customHeight="1">
      <c r="B60" s="62"/>
      <c r="C60" s="291"/>
      <c r="D60" s="62"/>
      <c r="E60" s="62"/>
      <c r="F60" s="62"/>
    </row>
    <row r="61" ht="14.25" customHeight="1">
      <c r="B61" s="1"/>
    </row>
    <row r="62" ht="14.25" customHeight="1">
      <c r="B62" s="1"/>
    </row>
    <row r="63" ht="14.25" customHeight="1">
      <c r="B63" s="1"/>
    </row>
    <row r="64" ht="14.25" customHeight="1">
      <c r="B64" s="1"/>
    </row>
    <row r="65" ht="14.25" customHeight="1">
      <c r="B65" s="1"/>
    </row>
    <row r="66" ht="14.25" customHeight="1">
      <c r="B66" s="1"/>
    </row>
    <row r="67" ht="14.25" customHeight="1">
      <c r="B67" s="1"/>
    </row>
    <row r="68" ht="14.25" customHeight="1">
      <c r="B68" s="1"/>
    </row>
    <row r="69" ht="14.25" customHeight="1">
      <c r="B69" s="1"/>
    </row>
    <row r="70" ht="14.25" customHeight="1">
      <c r="B70" s="1"/>
    </row>
    <row r="71" ht="14.25" customHeight="1">
      <c r="B71" s="1"/>
    </row>
    <row r="72" ht="14.25" customHeight="1">
      <c r="B72" s="1"/>
    </row>
    <row r="73" ht="14.25" customHeight="1">
      <c r="B73" s="1"/>
    </row>
    <row r="74" ht="14.25" customHeight="1">
      <c r="B74" s="1"/>
    </row>
    <row r="75" ht="14.25" customHeight="1">
      <c r="B75" s="1"/>
    </row>
    <row r="76" ht="14.25" customHeight="1">
      <c r="B76" s="1"/>
    </row>
    <row r="77" ht="14.25" customHeight="1">
      <c r="B77" s="1"/>
    </row>
    <row r="78" ht="14.25" customHeight="1">
      <c r="B78" s="1"/>
    </row>
    <row r="79" ht="14.25" customHeight="1">
      <c r="B79" s="1"/>
    </row>
    <row r="80" ht="14.25" customHeight="1">
      <c r="B80" s="1"/>
    </row>
    <row r="81" ht="14.25" customHeight="1">
      <c r="B81" s="1"/>
    </row>
    <row r="82" ht="14.25" customHeight="1">
      <c r="B82" s="1"/>
    </row>
    <row r="83" ht="14.25" customHeight="1">
      <c r="B83" s="1"/>
    </row>
    <row r="84" ht="14.25" customHeight="1">
      <c r="B84" s="1"/>
    </row>
    <row r="85" ht="14.25" customHeight="1">
      <c r="B85" s="1"/>
    </row>
    <row r="86" ht="14.25" customHeight="1">
      <c r="B86" s="1"/>
    </row>
    <row r="87" ht="14.25" customHeight="1">
      <c r="B87" s="1"/>
    </row>
    <row r="88" ht="14.25" customHeight="1">
      <c r="B88" s="1"/>
    </row>
    <row r="89" ht="14.25" customHeight="1">
      <c r="B89" s="1"/>
    </row>
    <row r="90" ht="14.25" customHeight="1">
      <c r="B90" s="1"/>
    </row>
    <row r="91" ht="14.25" customHeight="1">
      <c r="B91" s="1"/>
    </row>
    <row r="92" ht="14.25" customHeight="1">
      <c r="B92" s="1"/>
    </row>
    <row r="93" ht="14.25" customHeight="1">
      <c r="B93" s="1"/>
    </row>
    <row r="94" ht="14.25" customHeight="1">
      <c r="B94" s="1"/>
    </row>
    <row r="95" ht="14.25" customHeight="1">
      <c r="B95" s="1"/>
    </row>
    <row r="96" ht="14.25" customHeight="1">
      <c r="B96" s="1"/>
    </row>
    <row r="97" ht="14.25" customHeight="1">
      <c r="B97" s="1"/>
    </row>
    <row r="98" ht="14.25" customHeight="1">
      <c r="B98" s="1"/>
    </row>
    <row r="99" ht="14.25" customHeight="1">
      <c r="B99" s="1"/>
    </row>
    <row r="100" ht="14.25" customHeight="1">
      <c r="B100" s="1"/>
    </row>
    <row r="101" ht="14.25" customHeight="1">
      <c r="B101" s="1"/>
    </row>
    <row r="102" ht="14.25" customHeight="1">
      <c r="B102" s="1"/>
    </row>
    <row r="103" ht="14.25" customHeight="1">
      <c r="B103" s="1"/>
    </row>
    <row r="104" ht="14.25" customHeight="1">
      <c r="B104" s="1"/>
    </row>
    <row r="105" ht="14.25" customHeight="1">
      <c r="B105" s="1"/>
    </row>
    <row r="106" ht="14.25" customHeight="1">
      <c r="B106" s="1"/>
    </row>
    <row r="107" ht="14.25" customHeight="1">
      <c r="B107" s="1"/>
    </row>
    <row r="108" ht="14.25" customHeight="1">
      <c r="B108" s="1"/>
    </row>
    <row r="109" ht="14.25" customHeight="1">
      <c r="B109" s="1"/>
    </row>
    <row r="110" ht="14.25" customHeight="1">
      <c r="B110" s="1"/>
    </row>
    <row r="111" ht="14.25" customHeight="1">
      <c r="B111" s="1"/>
    </row>
    <row r="112" ht="14.25" customHeight="1">
      <c r="B112" s="1"/>
    </row>
    <row r="113" ht="14.25" customHeight="1">
      <c r="B113" s="1"/>
    </row>
    <row r="114" ht="14.25" customHeight="1">
      <c r="B114" s="1"/>
    </row>
    <row r="115" ht="14.25" customHeight="1">
      <c r="B115" s="1"/>
    </row>
    <row r="116" ht="14.25" customHeight="1">
      <c r="B116" s="1"/>
    </row>
    <row r="117" ht="14.25" customHeight="1">
      <c r="B117" s="1"/>
    </row>
    <row r="118" ht="14.25" customHeight="1">
      <c r="B118" s="1"/>
    </row>
    <row r="119" ht="14.25" customHeight="1">
      <c r="B119" s="1"/>
    </row>
    <row r="120" ht="14.25" customHeight="1">
      <c r="B120" s="1"/>
    </row>
    <row r="121" ht="14.25" customHeight="1">
      <c r="B121" s="1"/>
    </row>
    <row r="122" ht="14.25" customHeight="1">
      <c r="B122" s="1"/>
    </row>
    <row r="123" ht="14.25" customHeight="1">
      <c r="B123" s="1"/>
    </row>
    <row r="124" ht="14.25" customHeight="1">
      <c r="B124" s="1"/>
    </row>
    <row r="125" ht="14.25" customHeight="1">
      <c r="B125" s="1"/>
    </row>
    <row r="126" ht="14.25" customHeight="1">
      <c r="B126" s="1"/>
    </row>
    <row r="127" ht="14.25" customHeight="1">
      <c r="B127" s="1"/>
    </row>
    <row r="128" ht="14.25" customHeight="1">
      <c r="B128" s="1"/>
    </row>
    <row r="129" ht="14.25" customHeight="1">
      <c r="B129" s="1"/>
    </row>
    <row r="130" ht="14.25" customHeight="1">
      <c r="B130" s="1"/>
    </row>
    <row r="131" ht="14.25" customHeight="1">
      <c r="B131" s="1"/>
    </row>
    <row r="132" ht="14.25" customHeight="1">
      <c r="B132" s="1"/>
    </row>
    <row r="133" ht="14.25" customHeight="1">
      <c r="B133" s="1"/>
    </row>
    <row r="134" ht="14.25" customHeight="1">
      <c r="B134" s="1"/>
    </row>
    <row r="135" ht="14.25" customHeight="1">
      <c r="B135" s="1"/>
    </row>
    <row r="136" ht="14.25" customHeight="1">
      <c r="B136" s="1"/>
    </row>
    <row r="137" ht="14.25" customHeight="1">
      <c r="B137" s="1"/>
    </row>
    <row r="138" ht="14.25" customHeight="1">
      <c r="B138" s="1"/>
    </row>
    <row r="139" ht="14.25" customHeight="1">
      <c r="B139" s="1"/>
    </row>
    <row r="140" ht="14.25" customHeight="1">
      <c r="B140" s="1"/>
    </row>
    <row r="141" ht="14.25" customHeight="1">
      <c r="B141" s="1"/>
    </row>
    <row r="142" ht="14.25" customHeight="1">
      <c r="B142" s="1"/>
    </row>
    <row r="143" ht="14.25" customHeight="1">
      <c r="B143" s="1"/>
    </row>
    <row r="144" ht="14.25" customHeight="1">
      <c r="B144" s="1"/>
    </row>
    <row r="145" ht="14.25" customHeight="1">
      <c r="B145" s="1"/>
    </row>
    <row r="146" ht="14.25" customHeight="1">
      <c r="B146" s="1"/>
    </row>
    <row r="147" ht="14.25" customHeight="1">
      <c r="B147" s="1"/>
    </row>
    <row r="148" ht="14.25" customHeight="1">
      <c r="B148" s="1"/>
    </row>
    <row r="149" ht="14.25" customHeight="1">
      <c r="B149" s="1"/>
    </row>
    <row r="150" ht="14.25" customHeight="1">
      <c r="B150" s="1"/>
    </row>
    <row r="151" ht="14.25" customHeight="1">
      <c r="B151" s="1"/>
    </row>
    <row r="152" ht="14.25" customHeight="1">
      <c r="B152" s="1"/>
    </row>
    <row r="153" ht="14.25" customHeight="1">
      <c r="B153" s="1"/>
    </row>
    <row r="154" ht="14.25" customHeight="1">
      <c r="B154" s="1"/>
    </row>
    <row r="155" ht="14.25" customHeight="1">
      <c r="B155" s="1"/>
    </row>
    <row r="156" ht="14.25" customHeight="1">
      <c r="B156" s="1"/>
    </row>
    <row r="157" ht="14.25" customHeight="1">
      <c r="B157" s="1"/>
    </row>
    <row r="158" ht="14.25" customHeight="1">
      <c r="B158" s="1"/>
    </row>
    <row r="159" ht="14.25" customHeight="1">
      <c r="B159" s="1"/>
    </row>
    <row r="160" ht="14.25" customHeight="1">
      <c r="B160" s="1"/>
    </row>
    <row r="161" ht="14.25" customHeight="1">
      <c r="B161" s="1"/>
    </row>
    <row r="162" ht="14.25" customHeight="1">
      <c r="B162" s="1"/>
    </row>
    <row r="163" ht="14.25" customHeight="1">
      <c r="B163" s="1"/>
    </row>
    <row r="164" ht="14.25" customHeight="1">
      <c r="B164" s="1"/>
    </row>
    <row r="165" ht="14.25" customHeight="1">
      <c r="B165" s="1"/>
    </row>
    <row r="166" ht="14.25" customHeight="1">
      <c r="B166" s="1"/>
    </row>
    <row r="167" ht="14.25" customHeight="1">
      <c r="B167" s="1"/>
    </row>
    <row r="168" ht="14.25" customHeight="1">
      <c r="B168" s="1"/>
    </row>
    <row r="169" ht="14.25" customHeight="1">
      <c r="B169" s="1"/>
    </row>
    <row r="170" ht="14.25" customHeight="1">
      <c r="B170" s="1"/>
    </row>
    <row r="171" ht="14.25" customHeight="1">
      <c r="B171" s="1"/>
    </row>
    <row r="172" ht="14.25" customHeight="1">
      <c r="B172" s="1"/>
    </row>
    <row r="173" ht="14.25" customHeight="1">
      <c r="B173" s="1"/>
    </row>
    <row r="174" ht="14.25" customHeight="1">
      <c r="B174" s="1"/>
    </row>
    <row r="175" ht="14.25" customHeight="1">
      <c r="B175" s="1"/>
    </row>
    <row r="176" ht="14.25" customHeight="1">
      <c r="B176" s="1"/>
    </row>
    <row r="177" ht="14.25" customHeight="1">
      <c r="B177" s="1"/>
    </row>
    <row r="178" ht="14.25" customHeight="1">
      <c r="B178" s="1"/>
    </row>
    <row r="179" ht="14.25" customHeight="1">
      <c r="B179" s="1"/>
    </row>
    <row r="180" ht="14.25" customHeight="1">
      <c r="B180" s="1"/>
    </row>
    <row r="181" ht="14.25" customHeight="1">
      <c r="B181" s="1"/>
    </row>
    <row r="182" ht="14.25" customHeight="1">
      <c r="B182" s="1"/>
    </row>
    <row r="183" ht="14.25" customHeight="1">
      <c r="B183" s="1"/>
    </row>
    <row r="184" ht="14.25" customHeight="1">
      <c r="B184" s="1"/>
    </row>
    <row r="185" ht="14.25" customHeight="1">
      <c r="B185" s="1"/>
    </row>
    <row r="186" ht="14.25" customHeight="1">
      <c r="B186" s="1"/>
    </row>
    <row r="187" ht="14.25" customHeight="1">
      <c r="B187" s="1"/>
    </row>
    <row r="188" ht="14.25" customHeight="1">
      <c r="B188" s="1"/>
    </row>
    <row r="189" ht="14.25" customHeight="1">
      <c r="B189" s="1"/>
    </row>
    <row r="190" ht="14.25" customHeight="1">
      <c r="B190" s="1"/>
    </row>
    <row r="191" ht="14.25" customHeight="1">
      <c r="B191" s="1"/>
    </row>
    <row r="192" ht="14.25" customHeight="1">
      <c r="B192" s="1"/>
    </row>
    <row r="193" ht="14.25" customHeight="1">
      <c r="B193" s="1"/>
    </row>
    <row r="194" ht="14.25" customHeight="1">
      <c r="B194" s="1"/>
    </row>
    <row r="195" ht="14.25" customHeight="1">
      <c r="B195" s="1"/>
    </row>
    <row r="196" ht="14.25" customHeight="1">
      <c r="B196" s="1"/>
    </row>
    <row r="197" ht="14.25" customHeight="1">
      <c r="B197" s="1"/>
    </row>
    <row r="198" ht="14.25" customHeight="1">
      <c r="B198" s="1"/>
    </row>
    <row r="199" ht="14.25" customHeight="1">
      <c r="B199" s="1"/>
    </row>
    <row r="200" ht="14.25" customHeight="1">
      <c r="B200" s="1"/>
    </row>
    <row r="201" ht="14.25" customHeight="1">
      <c r="B201" s="1"/>
    </row>
    <row r="202" ht="14.25" customHeight="1">
      <c r="B202" s="1"/>
    </row>
    <row r="203" ht="14.25" customHeight="1">
      <c r="B203" s="1"/>
    </row>
    <row r="204" ht="14.25" customHeight="1">
      <c r="B204" s="1"/>
    </row>
    <row r="205" ht="14.25" customHeight="1">
      <c r="B205" s="1"/>
    </row>
    <row r="206" ht="14.25" customHeight="1">
      <c r="B206" s="1"/>
    </row>
    <row r="207" ht="14.25" customHeight="1">
      <c r="B207" s="1"/>
    </row>
    <row r="208" ht="14.25" customHeight="1">
      <c r="B208" s="1"/>
    </row>
    <row r="209" ht="14.25" customHeight="1">
      <c r="B209" s="1"/>
    </row>
    <row r="210" ht="14.25" customHeight="1">
      <c r="B210" s="1"/>
    </row>
    <row r="211" ht="14.25" customHeight="1">
      <c r="B211" s="1"/>
    </row>
    <row r="212" ht="14.25" customHeight="1">
      <c r="B212" s="1"/>
    </row>
    <row r="213" ht="14.25" customHeight="1">
      <c r="B213" s="1"/>
    </row>
    <row r="214" ht="14.25" customHeight="1">
      <c r="B214" s="1"/>
    </row>
    <row r="215" ht="14.25" customHeight="1">
      <c r="B215" s="1"/>
    </row>
    <row r="216" ht="14.25" customHeight="1">
      <c r="B216" s="1"/>
    </row>
    <row r="217" ht="14.25" customHeight="1">
      <c r="B217" s="1"/>
    </row>
    <row r="218" ht="14.25" customHeight="1">
      <c r="B218" s="1"/>
    </row>
    <row r="219" ht="14.25" customHeight="1">
      <c r="B219" s="1"/>
    </row>
    <row r="220" ht="14.25" customHeight="1">
      <c r="B220" s="1"/>
    </row>
    <row r="221" ht="14.25" customHeight="1">
      <c r="B221" s="1"/>
    </row>
    <row r="222" ht="14.25" customHeight="1">
      <c r="B222" s="1"/>
    </row>
    <row r="223" ht="14.25" customHeight="1">
      <c r="B223" s="1"/>
    </row>
    <row r="224" ht="14.25" customHeight="1">
      <c r="B224" s="1"/>
    </row>
    <row r="225" ht="14.25" customHeight="1">
      <c r="B225" s="1"/>
    </row>
    <row r="226" ht="14.25" customHeight="1">
      <c r="B226" s="1"/>
    </row>
    <row r="227" ht="14.25" customHeight="1">
      <c r="B227" s="1"/>
    </row>
    <row r="228" ht="14.25" customHeight="1">
      <c r="B228" s="1"/>
    </row>
    <row r="229" ht="14.25" customHeight="1">
      <c r="B229" s="1"/>
    </row>
    <row r="230" ht="14.25" customHeight="1">
      <c r="B230" s="1"/>
    </row>
    <row r="231" ht="14.25" customHeight="1">
      <c r="B231" s="1"/>
    </row>
    <row r="232" ht="14.25" customHeight="1">
      <c r="B232" s="1"/>
    </row>
    <row r="233" ht="14.25" customHeight="1">
      <c r="B233" s="1"/>
    </row>
    <row r="234" ht="14.25" customHeight="1">
      <c r="B234" s="1"/>
    </row>
    <row r="235" ht="14.25" customHeight="1">
      <c r="B235" s="1"/>
    </row>
    <row r="236" ht="14.25" customHeight="1">
      <c r="B236" s="1"/>
    </row>
    <row r="237" ht="14.25" customHeight="1">
      <c r="B237" s="1"/>
    </row>
    <row r="238" ht="14.25" customHeight="1">
      <c r="B238" s="1"/>
    </row>
    <row r="239" ht="14.25" customHeight="1">
      <c r="B239" s="1"/>
    </row>
    <row r="240" ht="14.25" customHeight="1">
      <c r="B240" s="1"/>
    </row>
    <row r="241" ht="14.25" customHeight="1">
      <c r="B241" s="1"/>
    </row>
    <row r="242" ht="14.25" customHeight="1">
      <c r="B242" s="1"/>
    </row>
    <row r="243" ht="14.25" customHeight="1">
      <c r="B243" s="1"/>
    </row>
    <row r="244" ht="14.25" customHeight="1">
      <c r="B244" s="1"/>
    </row>
    <row r="245" ht="14.25" customHeight="1">
      <c r="B245" s="1"/>
    </row>
    <row r="246" ht="14.25" customHeight="1">
      <c r="B246" s="1"/>
    </row>
    <row r="247" ht="14.25" customHeight="1">
      <c r="B247" s="1"/>
    </row>
    <row r="248" ht="14.25" customHeight="1">
      <c r="B248" s="1"/>
    </row>
    <row r="249" ht="14.25" customHeight="1">
      <c r="B249" s="1"/>
    </row>
    <row r="250" ht="14.25" customHeight="1">
      <c r="B250" s="1"/>
    </row>
    <row r="251" ht="14.25" customHeight="1">
      <c r="B251" s="1"/>
    </row>
    <row r="252" ht="14.25" customHeight="1">
      <c r="B252" s="1"/>
    </row>
    <row r="253" ht="14.25" customHeight="1">
      <c r="B253" s="1"/>
    </row>
    <row r="254" ht="14.25" customHeight="1">
      <c r="B254" s="1"/>
    </row>
    <row r="255" ht="14.25" customHeight="1">
      <c r="B255" s="1"/>
    </row>
    <row r="256" ht="14.25" customHeight="1">
      <c r="B256" s="1"/>
    </row>
    <row r="257" ht="14.25" customHeight="1">
      <c r="B257" s="1"/>
    </row>
    <row r="258" ht="14.25" customHeight="1">
      <c r="B258" s="1"/>
    </row>
    <row r="259" ht="14.25" customHeight="1">
      <c r="B259" s="1"/>
    </row>
    <row r="260" ht="14.25" customHeight="1">
      <c r="B260" s="1"/>
    </row>
    <row r="261" ht="14.25" customHeight="1">
      <c r="B261" s="1"/>
    </row>
    <row r="262" ht="14.25" customHeight="1">
      <c r="B262" s="1"/>
    </row>
    <row r="263" ht="14.25" customHeight="1">
      <c r="B263" s="1"/>
    </row>
    <row r="264" ht="14.25" customHeight="1">
      <c r="B264" s="1"/>
    </row>
    <row r="265" ht="14.25" customHeight="1">
      <c r="B265" s="1"/>
    </row>
    <row r="266" ht="14.25" customHeight="1">
      <c r="B266" s="1"/>
    </row>
    <row r="267" ht="14.25" customHeight="1">
      <c r="B267" s="1"/>
    </row>
    <row r="268" ht="14.25" customHeight="1">
      <c r="B268" s="1"/>
    </row>
    <row r="269" ht="14.25" customHeight="1">
      <c r="B269" s="1"/>
    </row>
    <row r="270" ht="14.25" customHeight="1">
      <c r="B270" s="1"/>
    </row>
    <row r="271" ht="14.25" customHeight="1">
      <c r="B271" s="1"/>
    </row>
    <row r="272" ht="14.25" customHeight="1">
      <c r="B272" s="1"/>
    </row>
    <row r="273" ht="14.25" customHeight="1">
      <c r="B273" s="1"/>
    </row>
    <row r="274" ht="14.25" customHeight="1">
      <c r="B274" s="1"/>
    </row>
    <row r="275" ht="14.25" customHeight="1">
      <c r="B275" s="1"/>
    </row>
    <row r="276" ht="14.25" customHeight="1">
      <c r="B276" s="1"/>
    </row>
    <row r="277" ht="14.25" customHeight="1">
      <c r="B277" s="1"/>
    </row>
    <row r="278" ht="14.25" customHeight="1">
      <c r="B278" s="1"/>
    </row>
    <row r="279" ht="14.25" customHeight="1">
      <c r="B279" s="1"/>
    </row>
    <row r="280" ht="14.25" customHeight="1">
      <c r="B280" s="1"/>
    </row>
    <row r="281" ht="14.25" customHeight="1">
      <c r="B281" s="1"/>
    </row>
    <row r="282" ht="14.25" customHeight="1">
      <c r="B282" s="1"/>
    </row>
    <row r="283" ht="14.25" customHeight="1">
      <c r="B283" s="1"/>
    </row>
    <row r="284" ht="14.25" customHeight="1">
      <c r="B284" s="1"/>
    </row>
    <row r="285" ht="14.25" customHeight="1">
      <c r="B285" s="1"/>
    </row>
    <row r="286" ht="14.25" customHeight="1">
      <c r="B286" s="1"/>
    </row>
    <row r="287" ht="14.25" customHeight="1">
      <c r="B287" s="1"/>
    </row>
    <row r="288" ht="14.25" customHeight="1">
      <c r="B288" s="1"/>
    </row>
    <row r="289" ht="14.25" customHeight="1">
      <c r="B289" s="1"/>
    </row>
    <row r="290" ht="14.25" customHeight="1">
      <c r="B290" s="1"/>
    </row>
    <row r="291" ht="14.25" customHeight="1">
      <c r="B291" s="1"/>
    </row>
    <row r="292" ht="14.25" customHeight="1">
      <c r="B292" s="1"/>
    </row>
    <row r="293" ht="14.25" customHeight="1">
      <c r="B293" s="1"/>
    </row>
    <row r="294" ht="14.25" customHeight="1">
      <c r="B294" s="1"/>
    </row>
    <row r="295" ht="14.25" customHeight="1">
      <c r="B295" s="1"/>
    </row>
    <row r="296" ht="14.25" customHeight="1">
      <c r="B296" s="1"/>
    </row>
    <row r="297" ht="14.25" customHeight="1">
      <c r="B297" s="1"/>
    </row>
    <row r="298" ht="14.25" customHeight="1">
      <c r="B298" s="1"/>
    </row>
    <row r="299" ht="14.25" customHeight="1">
      <c r="B299" s="1"/>
    </row>
    <row r="300" ht="14.25" customHeight="1">
      <c r="B300" s="1"/>
    </row>
    <row r="301" ht="14.25" customHeight="1">
      <c r="B301" s="1"/>
    </row>
    <row r="302" ht="14.25" customHeight="1">
      <c r="B302" s="1"/>
    </row>
    <row r="303" ht="14.25" customHeight="1">
      <c r="B303" s="1"/>
    </row>
    <row r="304" ht="14.25" customHeight="1">
      <c r="B304" s="1"/>
    </row>
    <row r="305" ht="14.25" customHeight="1">
      <c r="B305" s="1"/>
    </row>
    <row r="306" ht="14.25" customHeight="1">
      <c r="B306" s="1"/>
    </row>
    <row r="307" ht="14.25" customHeight="1">
      <c r="B307" s="1"/>
    </row>
    <row r="308" ht="14.25" customHeight="1">
      <c r="B308" s="1"/>
    </row>
    <row r="309" ht="14.25" customHeight="1">
      <c r="B309" s="1"/>
    </row>
    <row r="310" ht="14.25" customHeight="1">
      <c r="B310" s="1"/>
    </row>
    <row r="311" ht="14.25" customHeight="1">
      <c r="B311" s="1"/>
    </row>
    <row r="312" ht="14.25" customHeight="1">
      <c r="B312" s="1"/>
    </row>
    <row r="313" ht="14.25" customHeight="1">
      <c r="B313" s="1"/>
    </row>
    <row r="314" ht="14.25" customHeight="1">
      <c r="B314" s="1"/>
    </row>
    <row r="315" ht="14.25" customHeight="1">
      <c r="B315" s="1"/>
    </row>
    <row r="316" ht="14.25" customHeight="1">
      <c r="B316" s="1"/>
    </row>
    <row r="317" ht="14.25" customHeight="1">
      <c r="B317" s="1"/>
    </row>
    <row r="318" ht="14.25" customHeight="1">
      <c r="B318" s="1"/>
    </row>
    <row r="319" ht="14.25" customHeight="1">
      <c r="B319" s="1"/>
    </row>
    <row r="320" ht="14.25" customHeight="1">
      <c r="B320" s="1"/>
    </row>
    <row r="321" ht="14.25" customHeight="1">
      <c r="B321" s="1"/>
    </row>
    <row r="322" ht="14.25" customHeight="1">
      <c r="B322" s="1"/>
    </row>
    <row r="323" ht="14.25" customHeight="1">
      <c r="B323" s="1"/>
    </row>
    <row r="324" ht="14.25" customHeight="1">
      <c r="B324" s="1"/>
    </row>
    <row r="325" ht="14.25" customHeight="1">
      <c r="B325" s="1"/>
    </row>
    <row r="326" ht="14.25" customHeight="1">
      <c r="B326" s="1"/>
    </row>
    <row r="327" ht="14.25" customHeight="1">
      <c r="B327" s="1"/>
    </row>
    <row r="328" ht="14.25" customHeight="1">
      <c r="B328" s="1"/>
    </row>
    <row r="329" ht="14.25" customHeight="1">
      <c r="B329" s="1"/>
    </row>
    <row r="330" ht="14.25" customHeight="1">
      <c r="B330" s="1"/>
    </row>
    <row r="331" ht="14.25" customHeight="1">
      <c r="B331" s="1"/>
    </row>
    <row r="332" ht="14.25" customHeight="1">
      <c r="B332" s="1"/>
    </row>
    <row r="333" ht="14.25" customHeight="1">
      <c r="B333" s="1"/>
    </row>
    <row r="334" ht="14.25" customHeight="1">
      <c r="B334" s="1"/>
    </row>
    <row r="335" ht="14.25" customHeight="1">
      <c r="B335" s="1"/>
    </row>
    <row r="336" ht="14.25" customHeight="1">
      <c r="B336" s="1"/>
    </row>
    <row r="337" ht="14.25" customHeight="1">
      <c r="B337" s="1"/>
    </row>
    <row r="338" ht="14.25" customHeight="1">
      <c r="B338" s="1"/>
    </row>
    <row r="339" ht="14.25" customHeight="1">
      <c r="B339" s="1"/>
    </row>
    <row r="340" ht="14.25" customHeight="1">
      <c r="B340" s="1"/>
    </row>
    <row r="341" ht="14.25" customHeight="1">
      <c r="B341" s="1"/>
    </row>
    <row r="342" ht="14.25" customHeight="1">
      <c r="B342" s="1"/>
    </row>
    <row r="343" ht="14.25" customHeight="1">
      <c r="B343" s="1"/>
    </row>
    <row r="344" ht="14.25" customHeight="1">
      <c r="B344" s="1"/>
    </row>
    <row r="345" ht="14.25" customHeight="1">
      <c r="B345" s="1"/>
    </row>
    <row r="346" ht="14.25" customHeight="1">
      <c r="B346" s="1"/>
    </row>
    <row r="347" ht="14.25" customHeight="1">
      <c r="B347" s="1"/>
    </row>
    <row r="348" ht="14.25" customHeight="1">
      <c r="B348" s="1"/>
    </row>
    <row r="349" ht="14.25" customHeight="1">
      <c r="B349" s="1"/>
    </row>
    <row r="350" ht="14.25" customHeight="1">
      <c r="B350" s="1"/>
    </row>
    <row r="351" ht="14.25" customHeight="1">
      <c r="B351" s="1"/>
    </row>
    <row r="352" ht="14.25" customHeight="1">
      <c r="B352" s="1"/>
    </row>
    <row r="353" ht="14.25" customHeight="1">
      <c r="B353" s="1"/>
    </row>
    <row r="354" ht="14.25" customHeight="1">
      <c r="B354" s="1"/>
    </row>
    <row r="355" ht="14.25" customHeight="1">
      <c r="B355" s="1"/>
    </row>
    <row r="356" ht="14.25" customHeight="1">
      <c r="B356" s="1"/>
    </row>
    <row r="357" ht="14.25" customHeight="1">
      <c r="B357" s="1"/>
    </row>
    <row r="358" ht="14.25" customHeight="1">
      <c r="B358" s="1"/>
    </row>
    <row r="359" ht="14.25" customHeight="1">
      <c r="B359" s="1"/>
    </row>
    <row r="360" ht="14.25" customHeight="1">
      <c r="B360" s="1"/>
    </row>
    <row r="361" ht="14.25" customHeight="1">
      <c r="B361" s="1"/>
    </row>
    <row r="362" ht="14.25" customHeight="1">
      <c r="B362" s="1"/>
    </row>
    <row r="363" ht="14.25" customHeight="1">
      <c r="B363" s="1"/>
    </row>
    <row r="364" ht="14.25" customHeight="1">
      <c r="B364" s="1"/>
    </row>
    <row r="365" ht="14.25" customHeight="1">
      <c r="B365" s="1"/>
    </row>
    <row r="366" ht="14.25" customHeight="1">
      <c r="B366" s="1"/>
    </row>
    <row r="367" ht="14.25" customHeight="1">
      <c r="B367" s="1"/>
    </row>
    <row r="368" ht="14.25" customHeight="1">
      <c r="B368" s="1"/>
    </row>
    <row r="369" ht="14.25" customHeight="1">
      <c r="B369" s="1"/>
    </row>
    <row r="370" ht="14.25" customHeight="1">
      <c r="B370" s="1"/>
    </row>
    <row r="371" ht="14.25" customHeight="1">
      <c r="B371" s="1"/>
    </row>
    <row r="372" ht="14.25" customHeight="1">
      <c r="B372" s="1"/>
    </row>
    <row r="373" ht="14.25" customHeight="1">
      <c r="B373" s="1"/>
    </row>
    <row r="374" ht="14.25" customHeight="1">
      <c r="B374" s="1"/>
    </row>
    <row r="375" ht="14.25" customHeight="1">
      <c r="B375" s="1"/>
    </row>
    <row r="376" ht="14.25" customHeight="1">
      <c r="B376" s="1"/>
    </row>
    <row r="377" ht="14.25" customHeight="1">
      <c r="B377" s="1"/>
    </row>
    <row r="378" ht="14.25" customHeight="1">
      <c r="B378" s="1"/>
    </row>
    <row r="379" ht="14.25" customHeight="1">
      <c r="B379" s="1"/>
    </row>
    <row r="380" ht="14.25" customHeight="1">
      <c r="B380" s="1"/>
    </row>
    <row r="381" ht="14.25" customHeight="1">
      <c r="B381" s="1"/>
    </row>
    <row r="382" ht="14.25" customHeight="1">
      <c r="B382" s="1"/>
    </row>
    <row r="383" ht="14.25" customHeight="1">
      <c r="B383" s="1"/>
    </row>
    <row r="384" ht="14.25" customHeight="1">
      <c r="B384" s="1"/>
    </row>
    <row r="385" ht="14.25" customHeight="1">
      <c r="B385" s="1"/>
    </row>
    <row r="386" ht="14.25" customHeight="1">
      <c r="B386" s="1"/>
    </row>
    <row r="387" ht="14.25" customHeight="1">
      <c r="B387" s="1"/>
    </row>
    <row r="388" ht="14.25" customHeight="1">
      <c r="B388" s="1"/>
    </row>
    <row r="389" ht="14.25" customHeight="1">
      <c r="B389" s="1"/>
    </row>
    <row r="390" ht="14.25" customHeight="1">
      <c r="B390" s="1"/>
    </row>
    <row r="391" ht="14.25" customHeight="1">
      <c r="B391" s="1"/>
    </row>
    <row r="392" ht="14.25" customHeight="1">
      <c r="B392" s="1"/>
    </row>
    <row r="393" ht="14.25" customHeight="1">
      <c r="B393" s="1"/>
    </row>
    <row r="394" ht="14.25" customHeight="1">
      <c r="B394" s="1"/>
    </row>
    <row r="395" ht="14.25" customHeight="1">
      <c r="B395" s="1"/>
    </row>
    <row r="396" ht="14.25" customHeight="1">
      <c r="B396" s="1"/>
    </row>
    <row r="397" ht="14.25" customHeight="1">
      <c r="B397" s="1"/>
    </row>
    <row r="398" ht="14.25" customHeight="1">
      <c r="B398" s="1"/>
    </row>
    <row r="399" ht="14.25" customHeight="1">
      <c r="B399" s="1"/>
    </row>
    <row r="400" ht="14.25" customHeight="1">
      <c r="B400" s="1"/>
    </row>
    <row r="401" ht="14.25" customHeight="1">
      <c r="B401" s="1"/>
    </row>
    <row r="402" ht="14.25" customHeight="1">
      <c r="B402" s="1"/>
    </row>
    <row r="403" ht="14.25" customHeight="1">
      <c r="B403" s="1"/>
    </row>
    <row r="404" ht="14.25" customHeight="1">
      <c r="B404" s="1"/>
    </row>
    <row r="405" ht="14.25" customHeight="1">
      <c r="B405" s="1"/>
    </row>
    <row r="406" ht="14.25" customHeight="1">
      <c r="B406" s="1"/>
    </row>
    <row r="407" ht="14.25" customHeight="1">
      <c r="B407" s="1"/>
    </row>
    <row r="408" ht="14.25" customHeight="1">
      <c r="B408" s="1"/>
    </row>
    <row r="409" ht="14.25" customHeight="1">
      <c r="B409" s="1"/>
    </row>
    <row r="410" ht="14.25" customHeight="1">
      <c r="B410" s="1"/>
    </row>
    <row r="411" ht="14.25" customHeight="1">
      <c r="B411" s="1"/>
    </row>
    <row r="412" ht="14.25" customHeight="1">
      <c r="B412" s="1"/>
    </row>
    <row r="413" ht="14.25" customHeight="1">
      <c r="B413" s="1"/>
    </row>
    <row r="414" ht="14.25" customHeight="1">
      <c r="B414" s="1"/>
    </row>
    <row r="415" ht="14.25" customHeight="1">
      <c r="B415" s="1"/>
    </row>
    <row r="416" ht="14.25" customHeight="1">
      <c r="B416" s="1"/>
    </row>
    <row r="417" ht="14.25" customHeight="1">
      <c r="B417" s="1"/>
    </row>
    <row r="418" ht="14.25" customHeight="1">
      <c r="B418" s="1"/>
    </row>
    <row r="419" ht="14.25" customHeight="1">
      <c r="B419" s="1"/>
    </row>
    <row r="420" ht="14.25" customHeight="1">
      <c r="B420" s="1"/>
    </row>
    <row r="421" ht="14.25" customHeight="1">
      <c r="B421" s="1"/>
    </row>
    <row r="422" ht="14.25" customHeight="1">
      <c r="B422" s="1"/>
    </row>
    <row r="423" ht="14.25" customHeight="1">
      <c r="B423" s="1"/>
    </row>
    <row r="424" ht="14.25" customHeight="1">
      <c r="B424" s="1"/>
    </row>
    <row r="425" ht="14.25" customHeight="1">
      <c r="B425" s="1"/>
    </row>
    <row r="426" ht="14.25" customHeight="1">
      <c r="B426" s="1"/>
    </row>
    <row r="427" ht="14.25" customHeight="1">
      <c r="B427" s="1"/>
    </row>
    <row r="428" ht="14.25" customHeight="1">
      <c r="B428" s="1"/>
    </row>
    <row r="429" ht="14.25" customHeight="1">
      <c r="B429" s="1"/>
    </row>
    <row r="430" ht="14.25" customHeight="1">
      <c r="B430" s="1"/>
    </row>
    <row r="431" ht="14.25" customHeight="1">
      <c r="B431" s="1"/>
    </row>
    <row r="432" ht="14.25" customHeight="1">
      <c r="B432" s="1"/>
    </row>
    <row r="433" ht="14.25" customHeight="1">
      <c r="B433" s="1"/>
    </row>
    <row r="434" ht="14.25" customHeight="1">
      <c r="B434" s="1"/>
    </row>
    <row r="435" ht="14.25" customHeight="1">
      <c r="B435" s="1"/>
    </row>
    <row r="436" ht="14.25" customHeight="1">
      <c r="B436" s="1"/>
    </row>
    <row r="437" ht="14.25" customHeight="1">
      <c r="B437" s="1"/>
    </row>
    <row r="438" ht="14.25" customHeight="1">
      <c r="B438" s="1"/>
    </row>
    <row r="439" ht="14.25" customHeight="1">
      <c r="B439" s="1"/>
    </row>
    <row r="440" ht="14.25" customHeight="1">
      <c r="B440" s="1"/>
    </row>
    <row r="441" ht="14.25" customHeight="1">
      <c r="B441" s="1"/>
    </row>
    <row r="442" ht="14.25" customHeight="1">
      <c r="B442" s="1"/>
    </row>
    <row r="443" ht="14.25" customHeight="1">
      <c r="B443" s="1"/>
    </row>
    <row r="444" ht="14.25" customHeight="1">
      <c r="B444" s="1"/>
    </row>
    <row r="445" ht="14.25" customHeight="1">
      <c r="B445" s="1"/>
    </row>
    <row r="446" ht="14.25" customHeight="1">
      <c r="B446" s="1"/>
    </row>
    <row r="447" ht="14.25" customHeight="1">
      <c r="B447" s="1"/>
    </row>
    <row r="448" ht="14.25" customHeight="1">
      <c r="B448" s="1"/>
    </row>
    <row r="449" ht="14.25" customHeight="1">
      <c r="B449" s="1"/>
    </row>
    <row r="450" ht="14.25" customHeight="1">
      <c r="B450" s="1"/>
    </row>
    <row r="451" ht="14.25" customHeight="1">
      <c r="B451" s="1"/>
    </row>
    <row r="452" ht="14.25" customHeight="1">
      <c r="B452" s="1"/>
    </row>
    <row r="453" ht="14.25" customHeight="1">
      <c r="B453" s="1"/>
    </row>
    <row r="454" ht="14.25" customHeight="1">
      <c r="B454" s="1"/>
    </row>
    <row r="455" ht="14.25" customHeight="1">
      <c r="B455" s="1"/>
    </row>
    <row r="456" ht="14.25" customHeight="1">
      <c r="B456" s="1"/>
    </row>
    <row r="457" ht="14.25" customHeight="1">
      <c r="B457" s="1"/>
    </row>
    <row r="458" ht="14.25" customHeight="1">
      <c r="B458" s="1"/>
    </row>
    <row r="459" ht="14.25" customHeight="1">
      <c r="B459" s="1"/>
    </row>
    <row r="460" ht="14.25" customHeight="1">
      <c r="B460" s="1"/>
    </row>
    <row r="461" ht="14.25" customHeight="1">
      <c r="B461" s="1"/>
    </row>
    <row r="462" ht="14.25" customHeight="1">
      <c r="B462" s="1"/>
    </row>
    <row r="463" ht="14.25" customHeight="1">
      <c r="B463" s="1"/>
    </row>
    <row r="464" ht="14.25" customHeight="1">
      <c r="B464" s="1"/>
    </row>
    <row r="465" ht="14.25" customHeight="1">
      <c r="B465" s="1"/>
    </row>
    <row r="466" ht="14.25" customHeight="1">
      <c r="B466" s="1"/>
    </row>
    <row r="467" ht="14.25" customHeight="1">
      <c r="B467" s="1"/>
    </row>
    <row r="468" ht="14.25" customHeight="1">
      <c r="B468" s="1"/>
    </row>
    <row r="469" ht="14.25" customHeight="1">
      <c r="B469" s="1"/>
    </row>
    <row r="470" ht="14.25" customHeight="1">
      <c r="B470" s="1"/>
    </row>
    <row r="471" ht="14.25" customHeight="1">
      <c r="B471" s="1"/>
    </row>
    <row r="472" ht="14.25" customHeight="1">
      <c r="B472" s="1"/>
    </row>
    <row r="473" ht="14.25" customHeight="1">
      <c r="B473" s="1"/>
    </row>
    <row r="474" ht="14.25" customHeight="1">
      <c r="B474" s="1"/>
    </row>
    <row r="475" ht="14.25" customHeight="1">
      <c r="B475" s="1"/>
    </row>
    <row r="476" ht="14.25" customHeight="1">
      <c r="B476" s="1"/>
    </row>
    <row r="477" ht="14.25" customHeight="1">
      <c r="B477" s="1"/>
    </row>
    <row r="478" ht="14.25" customHeight="1">
      <c r="B478" s="1"/>
    </row>
    <row r="479" ht="14.25" customHeight="1">
      <c r="B479" s="1"/>
    </row>
    <row r="480" ht="14.25" customHeight="1">
      <c r="B480" s="1"/>
    </row>
    <row r="481" ht="14.25" customHeight="1">
      <c r="B481" s="1"/>
    </row>
    <row r="482" ht="14.25" customHeight="1">
      <c r="B482" s="1"/>
    </row>
    <row r="483" ht="14.25" customHeight="1">
      <c r="B483" s="1"/>
    </row>
    <row r="484" ht="14.25" customHeight="1">
      <c r="B484" s="1"/>
    </row>
    <row r="485" ht="14.25" customHeight="1">
      <c r="B485" s="1"/>
    </row>
    <row r="486" ht="14.25" customHeight="1">
      <c r="B486" s="1"/>
    </row>
    <row r="487" ht="14.25" customHeight="1">
      <c r="B487" s="1"/>
    </row>
    <row r="488" ht="14.25" customHeight="1">
      <c r="B488" s="1"/>
    </row>
    <row r="489" ht="14.25" customHeight="1">
      <c r="B489" s="1"/>
    </row>
    <row r="490" ht="14.25" customHeight="1">
      <c r="B490" s="1"/>
    </row>
    <row r="491" ht="14.25" customHeight="1">
      <c r="B491" s="1"/>
    </row>
    <row r="492" ht="14.25" customHeight="1">
      <c r="B492" s="1"/>
    </row>
    <row r="493" ht="14.25" customHeight="1">
      <c r="B493" s="1"/>
    </row>
    <row r="494" ht="14.25" customHeight="1">
      <c r="B494" s="1"/>
    </row>
    <row r="495" ht="14.25" customHeight="1">
      <c r="B495" s="1"/>
    </row>
    <row r="496" ht="14.25" customHeight="1">
      <c r="B496" s="1"/>
    </row>
    <row r="497" ht="14.25" customHeight="1">
      <c r="B497" s="1"/>
    </row>
    <row r="498" ht="14.25" customHeight="1">
      <c r="B498" s="1"/>
    </row>
    <row r="499" ht="14.25" customHeight="1">
      <c r="B499" s="1"/>
    </row>
    <row r="500" ht="14.25" customHeight="1">
      <c r="B500" s="1"/>
    </row>
    <row r="501" ht="14.25" customHeight="1">
      <c r="B501" s="1"/>
    </row>
    <row r="502" ht="14.25" customHeight="1">
      <c r="B502" s="1"/>
    </row>
    <row r="503" ht="14.25" customHeight="1">
      <c r="B503" s="1"/>
    </row>
    <row r="504" ht="14.25" customHeight="1">
      <c r="B504" s="1"/>
    </row>
    <row r="505" ht="14.25" customHeight="1">
      <c r="B505" s="1"/>
    </row>
    <row r="506" ht="14.25" customHeight="1">
      <c r="B506" s="1"/>
    </row>
    <row r="507" ht="14.25" customHeight="1">
      <c r="B507" s="1"/>
    </row>
    <row r="508" ht="14.25" customHeight="1">
      <c r="B508" s="1"/>
    </row>
    <row r="509" ht="14.25" customHeight="1">
      <c r="B509" s="1"/>
    </row>
    <row r="510" ht="14.25" customHeight="1">
      <c r="B510" s="1"/>
    </row>
    <row r="511" ht="14.25" customHeight="1">
      <c r="B511" s="1"/>
    </row>
    <row r="512" ht="14.25" customHeight="1">
      <c r="B512" s="1"/>
    </row>
    <row r="513" ht="14.25" customHeight="1">
      <c r="B513" s="1"/>
    </row>
    <row r="514" ht="14.25" customHeight="1">
      <c r="B514" s="1"/>
    </row>
    <row r="515" ht="14.25" customHeight="1">
      <c r="B515" s="1"/>
    </row>
    <row r="516" ht="14.25" customHeight="1">
      <c r="B516" s="1"/>
    </row>
    <row r="517" ht="14.25" customHeight="1">
      <c r="B517" s="1"/>
    </row>
    <row r="518" ht="14.25" customHeight="1">
      <c r="B518" s="1"/>
    </row>
    <row r="519" ht="14.25" customHeight="1">
      <c r="B519" s="1"/>
    </row>
    <row r="520" ht="14.25" customHeight="1">
      <c r="B520" s="1"/>
    </row>
    <row r="521" ht="14.25" customHeight="1">
      <c r="B521" s="1"/>
    </row>
    <row r="522" ht="14.25" customHeight="1">
      <c r="B522" s="1"/>
    </row>
    <row r="523" ht="14.25" customHeight="1">
      <c r="B523" s="1"/>
    </row>
    <row r="524" ht="14.25" customHeight="1">
      <c r="B524" s="1"/>
    </row>
    <row r="525" ht="14.25" customHeight="1">
      <c r="B525" s="1"/>
    </row>
    <row r="526" ht="14.25" customHeight="1">
      <c r="B526" s="1"/>
    </row>
    <row r="527" ht="14.25" customHeight="1">
      <c r="B527" s="1"/>
    </row>
    <row r="528" ht="14.25" customHeight="1">
      <c r="B528" s="1"/>
    </row>
    <row r="529" ht="14.25" customHeight="1">
      <c r="B529" s="1"/>
    </row>
    <row r="530" ht="14.25" customHeight="1">
      <c r="B530" s="1"/>
    </row>
    <row r="531" ht="14.25" customHeight="1">
      <c r="B531" s="1"/>
    </row>
    <row r="532" ht="14.25" customHeight="1">
      <c r="B532" s="1"/>
    </row>
    <row r="533" ht="14.25" customHeight="1">
      <c r="B533" s="1"/>
    </row>
    <row r="534" ht="14.25" customHeight="1">
      <c r="B534" s="1"/>
    </row>
    <row r="535" ht="14.25" customHeight="1">
      <c r="B535" s="1"/>
    </row>
    <row r="536" ht="14.25" customHeight="1">
      <c r="B536" s="1"/>
    </row>
    <row r="537" ht="14.25" customHeight="1">
      <c r="B537" s="1"/>
    </row>
    <row r="538" ht="14.25" customHeight="1">
      <c r="B538" s="1"/>
    </row>
    <row r="539" ht="14.25" customHeight="1">
      <c r="B539" s="1"/>
    </row>
    <row r="540" ht="14.25" customHeight="1">
      <c r="B540" s="1"/>
    </row>
    <row r="541" ht="14.25" customHeight="1">
      <c r="B541" s="1"/>
    </row>
    <row r="542" ht="14.25" customHeight="1">
      <c r="B542" s="1"/>
    </row>
    <row r="543" ht="14.25" customHeight="1">
      <c r="B543" s="1"/>
    </row>
    <row r="544" ht="14.25" customHeight="1">
      <c r="B544" s="1"/>
    </row>
    <row r="545" ht="14.25" customHeight="1">
      <c r="B545" s="1"/>
    </row>
    <row r="546" ht="14.25" customHeight="1">
      <c r="B546" s="1"/>
    </row>
    <row r="547" ht="14.25" customHeight="1">
      <c r="B547" s="1"/>
    </row>
    <row r="548" ht="14.25" customHeight="1">
      <c r="B548" s="1"/>
    </row>
    <row r="549" ht="14.25" customHeight="1">
      <c r="B549" s="1"/>
    </row>
    <row r="550" ht="14.25" customHeight="1">
      <c r="B550" s="1"/>
    </row>
    <row r="551" ht="14.25" customHeight="1">
      <c r="B551" s="1"/>
    </row>
    <row r="552" ht="14.25" customHeight="1">
      <c r="B552" s="1"/>
    </row>
    <row r="553" ht="14.25" customHeight="1">
      <c r="B553" s="1"/>
    </row>
    <row r="554" ht="14.25" customHeight="1">
      <c r="B554" s="1"/>
    </row>
    <row r="555" ht="14.25" customHeight="1">
      <c r="B555" s="1"/>
    </row>
    <row r="556" ht="14.25" customHeight="1">
      <c r="B556" s="1"/>
    </row>
    <row r="557" ht="14.25" customHeight="1">
      <c r="B557" s="1"/>
    </row>
    <row r="558" ht="14.25" customHeight="1">
      <c r="B558" s="1"/>
    </row>
    <row r="559" ht="14.25" customHeight="1">
      <c r="B559" s="1"/>
    </row>
    <row r="560" ht="14.25" customHeight="1">
      <c r="B560" s="1"/>
    </row>
    <row r="561" ht="14.25" customHeight="1">
      <c r="B561" s="1"/>
    </row>
    <row r="562" ht="14.25" customHeight="1">
      <c r="B562" s="1"/>
    </row>
    <row r="563" ht="14.25" customHeight="1">
      <c r="B563" s="1"/>
    </row>
    <row r="564" ht="14.25" customHeight="1">
      <c r="B564" s="1"/>
    </row>
    <row r="565" ht="14.25" customHeight="1">
      <c r="B565" s="1"/>
    </row>
    <row r="566" ht="14.25" customHeight="1">
      <c r="B566" s="1"/>
    </row>
    <row r="567" ht="14.25" customHeight="1">
      <c r="B567" s="1"/>
    </row>
    <row r="568" ht="14.25" customHeight="1">
      <c r="B568" s="1"/>
    </row>
    <row r="569" ht="14.25" customHeight="1">
      <c r="B569" s="1"/>
    </row>
    <row r="570" ht="14.25" customHeight="1">
      <c r="B570" s="1"/>
    </row>
    <row r="571" ht="14.25" customHeight="1">
      <c r="B571" s="1"/>
    </row>
    <row r="572" ht="14.25" customHeight="1">
      <c r="B572" s="1"/>
    </row>
    <row r="573" ht="14.25" customHeight="1">
      <c r="B573" s="1"/>
    </row>
    <row r="574" ht="14.25" customHeight="1">
      <c r="B574" s="1"/>
    </row>
    <row r="575" ht="14.25" customHeight="1">
      <c r="B575" s="1"/>
    </row>
    <row r="576" ht="14.25" customHeight="1">
      <c r="B576" s="1"/>
    </row>
    <row r="577" ht="14.25" customHeight="1">
      <c r="B577" s="1"/>
    </row>
    <row r="578" ht="14.25" customHeight="1">
      <c r="B578" s="1"/>
    </row>
    <row r="579" ht="14.25" customHeight="1">
      <c r="B579" s="1"/>
    </row>
    <row r="580" ht="14.25" customHeight="1">
      <c r="B580" s="1"/>
    </row>
    <row r="581" ht="14.25" customHeight="1">
      <c r="B581" s="1"/>
    </row>
    <row r="582" ht="14.25" customHeight="1">
      <c r="B582" s="1"/>
    </row>
    <row r="583" ht="14.25" customHeight="1">
      <c r="B583" s="1"/>
    </row>
    <row r="584" ht="14.25" customHeight="1">
      <c r="B584" s="1"/>
    </row>
    <row r="585" ht="14.25" customHeight="1">
      <c r="B585" s="1"/>
    </row>
    <row r="586" ht="14.25" customHeight="1">
      <c r="B586" s="1"/>
    </row>
    <row r="587" ht="14.25" customHeight="1">
      <c r="B587" s="1"/>
    </row>
    <row r="588" ht="14.25" customHeight="1">
      <c r="B588" s="1"/>
    </row>
    <row r="589" ht="14.25" customHeight="1">
      <c r="B589" s="1"/>
    </row>
    <row r="590" ht="14.25" customHeight="1">
      <c r="B590" s="1"/>
    </row>
    <row r="591" ht="14.25" customHeight="1">
      <c r="B591" s="1"/>
    </row>
    <row r="592" ht="14.25" customHeight="1">
      <c r="B592" s="1"/>
    </row>
    <row r="593" ht="14.25" customHeight="1">
      <c r="B593" s="1"/>
    </row>
    <row r="594" ht="14.25" customHeight="1">
      <c r="B594" s="1"/>
    </row>
    <row r="595" ht="14.25" customHeight="1">
      <c r="B595" s="1"/>
    </row>
    <row r="596" ht="14.25" customHeight="1">
      <c r="B596" s="1"/>
    </row>
    <row r="597" ht="14.25" customHeight="1">
      <c r="B597" s="1"/>
    </row>
    <row r="598" ht="14.25" customHeight="1">
      <c r="B598" s="1"/>
    </row>
    <row r="599" ht="14.25" customHeight="1">
      <c r="B599" s="1"/>
    </row>
    <row r="600" ht="14.25" customHeight="1">
      <c r="B600" s="1"/>
    </row>
    <row r="601" ht="14.25" customHeight="1">
      <c r="B601" s="1"/>
    </row>
    <row r="602" ht="14.25" customHeight="1">
      <c r="B602" s="1"/>
    </row>
    <row r="603" ht="14.25" customHeight="1">
      <c r="B603" s="1"/>
    </row>
    <row r="604" ht="14.25" customHeight="1">
      <c r="B604" s="1"/>
    </row>
    <row r="605" ht="14.25" customHeight="1">
      <c r="B605" s="1"/>
    </row>
    <row r="606" ht="14.25" customHeight="1">
      <c r="B606" s="1"/>
    </row>
    <row r="607" ht="14.25" customHeight="1">
      <c r="B607" s="1"/>
    </row>
    <row r="608" ht="14.25" customHeight="1">
      <c r="B608" s="1"/>
    </row>
    <row r="609" ht="14.25" customHeight="1">
      <c r="B609" s="1"/>
    </row>
    <row r="610" ht="14.25" customHeight="1">
      <c r="B610" s="1"/>
    </row>
    <row r="611" ht="14.25" customHeight="1">
      <c r="B611" s="1"/>
    </row>
    <row r="612" ht="14.25" customHeight="1">
      <c r="B612" s="1"/>
    </row>
    <row r="613" ht="14.25" customHeight="1">
      <c r="B613" s="1"/>
    </row>
    <row r="614" ht="14.25" customHeight="1">
      <c r="B614" s="1"/>
    </row>
    <row r="615" ht="14.25" customHeight="1">
      <c r="B615" s="1"/>
    </row>
    <row r="616" ht="14.25" customHeight="1">
      <c r="B616" s="1"/>
    </row>
    <row r="617" ht="14.25" customHeight="1">
      <c r="B617" s="1"/>
    </row>
    <row r="618" ht="14.25" customHeight="1">
      <c r="B618" s="1"/>
    </row>
    <row r="619" ht="14.25" customHeight="1">
      <c r="B619" s="1"/>
    </row>
    <row r="620" ht="14.25" customHeight="1">
      <c r="B620" s="1"/>
    </row>
    <row r="621" ht="14.25" customHeight="1">
      <c r="B621" s="1"/>
    </row>
    <row r="622" ht="14.25" customHeight="1">
      <c r="B622" s="1"/>
    </row>
    <row r="623" ht="14.25" customHeight="1">
      <c r="B623" s="1"/>
    </row>
    <row r="624" ht="14.25" customHeight="1">
      <c r="B624" s="1"/>
    </row>
    <row r="625" ht="14.25" customHeight="1">
      <c r="B625" s="1"/>
    </row>
    <row r="626" ht="14.25" customHeight="1">
      <c r="B626" s="1"/>
    </row>
    <row r="627" ht="14.25" customHeight="1">
      <c r="B627" s="1"/>
    </row>
    <row r="628" ht="14.25" customHeight="1">
      <c r="B628" s="1"/>
    </row>
    <row r="629" ht="14.25" customHeight="1">
      <c r="B629" s="1"/>
    </row>
    <row r="630" ht="14.25" customHeight="1">
      <c r="B630" s="1"/>
    </row>
    <row r="631" ht="14.25" customHeight="1">
      <c r="B631" s="1"/>
    </row>
    <row r="632" ht="14.25" customHeight="1">
      <c r="B632" s="1"/>
    </row>
    <row r="633" ht="14.25" customHeight="1">
      <c r="B633" s="1"/>
    </row>
    <row r="634" ht="14.25" customHeight="1">
      <c r="B634" s="1"/>
    </row>
    <row r="635" ht="14.25" customHeight="1">
      <c r="B635" s="1"/>
    </row>
    <row r="636" ht="14.25" customHeight="1">
      <c r="B636" s="1"/>
    </row>
    <row r="637" ht="14.25" customHeight="1">
      <c r="B637" s="1"/>
    </row>
    <row r="638" ht="14.25" customHeight="1">
      <c r="B638" s="1"/>
    </row>
    <row r="639" ht="14.25" customHeight="1">
      <c r="B639" s="1"/>
    </row>
    <row r="640" ht="14.25" customHeight="1">
      <c r="B640" s="1"/>
    </row>
    <row r="641" ht="14.25" customHeight="1">
      <c r="B641" s="1"/>
    </row>
    <row r="642" ht="14.25" customHeight="1">
      <c r="B642" s="1"/>
    </row>
    <row r="643" ht="14.25" customHeight="1">
      <c r="B643" s="1"/>
    </row>
    <row r="644" ht="14.25" customHeight="1">
      <c r="B644" s="1"/>
    </row>
    <row r="645" ht="14.25" customHeight="1">
      <c r="B645" s="1"/>
    </row>
    <row r="646" ht="14.25" customHeight="1">
      <c r="B646" s="1"/>
    </row>
    <row r="647" ht="14.25" customHeight="1">
      <c r="B647" s="1"/>
    </row>
    <row r="648" ht="14.25" customHeight="1">
      <c r="B648" s="1"/>
    </row>
    <row r="649" ht="14.25" customHeight="1">
      <c r="B649" s="1"/>
    </row>
    <row r="650" ht="14.25" customHeight="1">
      <c r="B650" s="1"/>
    </row>
    <row r="651" ht="14.25" customHeight="1">
      <c r="B651" s="1"/>
    </row>
    <row r="652" ht="14.25" customHeight="1">
      <c r="B652" s="1"/>
    </row>
    <row r="653" ht="14.25" customHeight="1">
      <c r="B653" s="1"/>
    </row>
    <row r="654" ht="14.25" customHeight="1">
      <c r="B654" s="1"/>
    </row>
    <row r="655" ht="14.25" customHeight="1">
      <c r="B655" s="1"/>
    </row>
    <row r="656" ht="14.25" customHeight="1">
      <c r="B656" s="1"/>
    </row>
    <row r="657" ht="14.25" customHeight="1">
      <c r="B657" s="1"/>
    </row>
    <row r="658" ht="14.25" customHeight="1">
      <c r="B658" s="1"/>
    </row>
    <row r="659" ht="14.25" customHeight="1">
      <c r="B659" s="1"/>
    </row>
    <row r="660" ht="14.25" customHeight="1">
      <c r="B660" s="1"/>
    </row>
    <row r="661" ht="14.25" customHeight="1">
      <c r="B661" s="1"/>
    </row>
    <row r="662" ht="14.25" customHeight="1">
      <c r="B662" s="1"/>
    </row>
    <row r="663" ht="14.25" customHeight="1">
      <c r="B663" s="1"/>
    </row>
    <row r="664" ht="14.25" customHeight="1">
      <c r="B664" s="1"/>
    </row>
    <row r="665" ht="14.25" customHeight="1">
      <c r="B665" s="1"/>
    </row>
    <row r="666" ht="14.25" customHeight="1">
      <c r="B666" s="1"/>
    </row>
    <row r="667" ht="14.25" customHeight="1">
      <c r="B667" s="1"/>
    </row>
    <row r="668" ht="14.25" customHeight="1">
      <c r="B668" s="1"/>
    </row>
    <row r="669" ht="14.25" customHeight="1">
      <c r="B669" s="1"/>
    </row>
    <row r="670" ht="14.25" customHeight="1">
      <c r="B670" s="1"/>
    </row>
    <row r="671" ht="14.25" customHeight="1">
      <c r="B671" s="1"/>
    </row>
    <row r="672" ht="14.25" customHeight="1">
      <c r="B672" s="1"/>
    </row>
    <row r="673" ht="14.25" customHeight="1">
      <c r="B673" s="1"/>
    </row>
    <row r="674" ht="14.25" customHeight="1">
      <c r="B674" s="1"/>
    </row>
    <row r="675" ht="14.25" customHeight="1">
      <c r="B675" s="1"/>
    </row>
    <row r="676" ht="14.25" customHeight="1">
      <c r="B676" s="1"/>
    </row>
    <row r="677" ht="14.25" customHeight="1">
      <c r="B677" s="1"/>
    </row>
    <row r="678" ht="14.25" customHeight="1">
      <c r="B678" s="1"/>
    </row>
    <row r="679" ht="14.25" customHeight="1">
      <c r="B679" s="1"/>
    </row>
    <row r="680" ht="14.25" customHeight="1">
      <c r="B680" s="1"/>
    </row>
    <row r="681" ht="14.25" customHeight="1">
      <c r="B681" s="1"/>
    </row>
    <row r="682" ht="14.25" customHeight="1">
      <c r="B682" s="1"/>
    </row>
    <row r="683" ht="14.25" customHeight="1">
      <c r="B683" s="1"/>
    </row>
    <row r="684" ht="14.25" customHeight="1">
      <c r="B684" s="1"/>
    </row>
    <row r="685" ht="14.25" customHeight="1">
      <c r="B685" s="1"/>
    </row>
    <row r="686" ht="14.25" customHeight="1">
      <c r="B686" s="1"/>
    </row>
    <row r="687" ht="14.25" customHeight="1">
      <c r="B687" s="1"/>
    </row>
    <row r="688" ht="14.25" customHeight="1">
      <c r="B688" s="1"/>
    </row>
    <row r="689" ht="14.25" customHeight="1">
      <c r="B689" s="1"/>
    </row>
    <row r="690" ht="14.25" customHeight="1">
      <c r="B690" s="1"/>
    </row>
    <row r="691" ht="14.25" customHeight="1">
      <c r="B691" s="1"/>
    </row>
    <row r="692" ht="14.25" customHeight="1">
      <c r="B692" s="1"/>
    </row>
    <row r="693" ht="14.25" customHeight="1">
      <c r="B693" s="1"/>
    </row>
    <row r="694" ht="14.25" customHeight="1">
      <c r="B694" s="1"/>
    </row>
    <row r="695" ht="14.25" customHeight="1">
      <c r="B695" s="1"/>
    </row>
    <row r="696" ht="14.25" customHeight="1">
      <c r="B696" s="1"/>
    </row>
    <row r="697" ht="14.25" customHeight="1">
      <c r="B697" s="1"/>
    </row>
    <row r="698" ht="14.25" customHeight="1">
      <c r="B698" s="1"/>
    </row>
    <row r="699" ht="14.25" customHeight="1">
      <c r="B699" s="1"/>
    </row>
    <row r="700" ht="14.25" customHeight="1">
      <c r="B700" s="1"/>
    </row>
    <row r="701" ht="14.25" customHeight="1">
      <c r="B701" s="1"/>
    </row>
    <row r="702" ht="14.25" customHeight="1">
      <c r="B702" s="1"/>
    </row>
    <row r="703" ht="14.25" customHeight="1">
      <c r="B703" s="1"/>
    </row>
    <row r="704" ht="14.25" customHeight="1">
      <c r="B704" s="1"/>
    </row>
    <row r="705" ht="14.25" customHeight="1">
      <c r="B705" s="1"/>
    </row>
    <row r="706" ht="14.25" customHeight="1">
      <c r="B706" s="1"/>
    </row>
    <row r="707" ht="14.25" customHeight="1">
      <c r="B707" s="1"/>
    </row>
    <row r="708" ht="14.25" customHeight="1">
      <c r="B708" s="1"/>
    </row>
    <row r="709" ht="14.25" customHeight="1">
      <c r="B709" s="1"/>
    </row>
    <row r="710" ht="14.25" customHeight="1">
      <c r="B710" s="1"/>
    </row>
    <row r="711" ht="14.25" customHeight="1">
      <c r="B711" s="1"/>
    </row>
    <row r="712" ht="14.25" customHeight="1">
      <c r="B712" s="1"/>
    </row>
    <row r="713" ht="14.25" customHeight="1">
      <c r="B713" s="1"/>
    </row>
    <row r="714" ht="14.25" customHeight="1">
      <c r="B714" s="1"/>
    </row>
    <row r="715" ht="14.25" customHeight="1">
      <c r="B715" s="1"/>
    </row>
    <row r="716" ht="14.25" customHeight="1">
      <c r="B716" s="1"/>
    </row>
    <row r="717" ht="14.25" customHeight="1">
      <c r="B717" s="1"/>
    </row>
    <row r="718" ht="14.25" customHeight="1">
      <c r="B718" s="1"/>
    </row>
    <row r="719" ht="14.25" customHeight="1">
      <c r="B719" s="1"/>
    </row>
    <row r="720" ht="14.25" customHeight="1">
      <c r="B720" s="1"/>
    </row>
    <row r="721" ht="14.25" customHeight="1">
      <c r="B721" s="1"/>
    </row>
    <row r="722" ht="14.25" customHeight="1">
      <c r="B722" s="1"/>
    </row>
    <row r="723" ht="14.25" customHeight="1">
      <c r="B723" s="1"/>
    </row>
    <row r="724" ht="14.25" customHeight="1">
      <c r="B724" s="1"/>
    </row>
    <row r="725" ht="14.25" customHeight="1">
      <c r="B725" s="1"/>
    </row>
    <row r="726" ht="14.25" customHeight="1">
      <c r="B726" s="1"/>
    </row>
    <row r="727" ht="14.25" customHeight="1">
      <c r="B727" s="1"/>
    </row>
    <row r="728" ht="14.25" customHeight="1">
      <c r="B728" s="1"/>
    </row>
    <row r="729" ht="14.25" customHeight="1">
      <c r="B729" s="1"/>
    </row>
    <row r="730" ht="14.25" customHeight="1">
      <c r="B730" s="1"/>
    </row>
    <row r="731" ht="14.25" customHeight="1">
      <c r="B731" s="1"/>
    </row>
    <row r="732" ht="14.25" customHeight="1">
      <c r="B732" s="1"/>
    </row>
    <row r="733" ht="14.25" customHeight="1">
      <c r="B733" s="1"/>
    </row>
    <row r="734" ht="14.25" customHeight="1">
      <c r="B734" s="1"/>
    </row>
    <row r="735" ht="14.25" customHeight="1">
      <c r="B735" s="1"/>
    </row>
    <row r="736" ht="14.25" customHeight="1">
      <c r="B736" s="1"/>
    </row>
    <row r="737" ht="14.25" customHeight="1">
      <c r="B737" s="1"/>
    </row>
    <row r="738" ht="14.25" customHeight="1">
      <c r="B738" s="1"/>
    </row>
    <row r="739" ht="14.25" customHeight="1">
      <c r="B739" s="1"/>
    </row>
    <row r="740" ht="14.25" customHeight="1">
      <c r="B740" s="1"/>
    </row>
    <row r="741" ht="14.25" customHeight="1">
      <c r="B741" s="1"/>
    </row>
    <row r="742" ht="14.25" customHeight="1">
      <c r="B742" s="1"/>
    </row>
    <row r="743" ht="14.25" customHeight="1">
      <c r="B743" s="1"/>
    </row>
    <row r="744" ht="14.25" customHeight="1">
      <c r="B744" s="1"/>
    </row>
    <row r="745" ht="14.25" customHeight="1">
      <c r="B745" s="1"/>
    </row>
    <row r="746" ht="14.25" customHeight="1">
      <c r="B746" s="1"/>
    </row>
    <row r="747" ht="14.25" customHeight="1">
      <c r="B747" s="1"/>
    </row>
    <row r="748" ht="14.25" customHeight="1">
      <c r="B748" s="1"/>
    </row>
    <row r="749" ht="14.25" customHeight="1">
      <c r="B749" s="1"/>
    </row>
    <row r="750" ht="14.25" customHeight="1">
      <c r="B750" s="1"/>
    </row>
    <row r="751" ht="14.25" customHeight="1">
      <c r="B751" s="1"/>
    </row>
    <row r="752" ht="14.25" customHeight="1">
      <c r="B752" s="1"/>
    </row>
    <row r="753" ht="14.25" customHeight="1">
      <c r="B753" s="1"/>
    </row>
    <row r="754" ht="14.25" customHeight="1">
      <c r="B754" s="1"/>
    </row>
    <row r="755" ht="14.25" customHeight="1">
      <c r="B755" s="1"/>
    </row>
    <row r="756" ht="14.25" customHeight="1">
      <c r="B756" s="1"/>
    </row>
    <row r="757" ht="14.25" customHeight="1">
      <c r="B757" s="1"/>
    </row>
    <row r="758" ht="14.25" customHeight="1">
      <c r="B758" s="1"/>
    </row>
    <row r="759" ht="14.25" customHeight="1">
      <c r="B759" s="1"/>
    </row>
    <row r="760" ht="14.25" customHeight="1">
      <c r="B760" s="1"/>
    </row>
    <row r="761" ht="14.25" customHeight="1">
      <c r="B761" s="1"/>
    </row>
    <row r="762" ht="14.25" customHeight="1">
      <c r="B762" s="1"/>
    </row>
    <row r="763" ht="14.25" customHeight="1">
      <c r="B763" s="1"/>
    </row>
    <row r="764" ht="14.25" customHeight="1">
      <c r="B764" s="1"/>
    </row>
    <row r="765" ht="14.25" customHeight="1">
      <c r="B765" s="1"/>
    </row>
    <row r="766" ht="14.25" customHeight="1">
      <c r="B766" s="1"/>
    </row>
    <row r="767" ht="14.25" customHeight="1">
      <c r="B767" s="1"/>
    </row>
    <row r="768" ht="14.25" customHeight="1">
      <c r="B768" s="1"/>
    </row>
    <row r="769" ht="14.25" customHeight="1">
      <c r="B769" s="1"/>
    </row>
    <row r="770" ht="14.25" customHeight="1">
      <c r="B770" s="1"/>
    </row>
    <row r="771" ht="14.25" customHeight="1">
      <c r="B771" s="1"/>
    </row>
    <row r="772" ht="14.25" customHeight="1">
      <c r="B772" s="1"/>
    </row>
    <row r="773" ht="14.25" customHeight="1">
      <c r="B773" s="1"/>
    </row>
    <row r="774" ht="14.25" customHeight="1">
      <c r="B774" s="1"/>
    </row>
    <row r="775" ht="14.25" customHeight="1">
      <c r="B775" s="1"/>
    </row>
    <row r="776" ht="14.25" customHeight="1">
      <c r="B776" s="1"/>
    </row>
    <row r="777" ht="14.25" customHeight="1">
      <c r="B777" s="1"/>
    </row>
    <row r="778" ht="14.25" customHeight="1">
      <c r="B778" s="1"/>
    </row>
    <row r="779" ht="14.25" customHeight="1">
      <c r="B779" s="1"/>
    </row>
    <row r="780" ht="14.25" customHeight="1">
      <c r="B780" s="1"/>
    </row>
    <row r="781" ht="14.25" customHeight="1">
      <c r="B781" s="1"/>
    </row>
    <row r="782" ht="14.25" customHeight="1">
      <c r="B782" s="1"/>
    </row>
    <row r="783" ht="14.25" customHeight="1">
      <c r="B783" s="1"/>
    </row>
    <row r="784" ht="14.25" customHeight="1">
      <c r="B784" s="1"/>
    </row>
    <row r="785" ht="14.25" customHeight="1">
      <c r="B785" s="1"/>
    </row>
    <row r="786" ht="14.25" customHeight="1">
      <c r="B786" s="1"/>
    </row>
    <row r="787" ht="14.25" customHeight="1">
      <c r="B787" s="1"/>
    </row>
    <row r="788" ht="14.25" customHeight="1">
      <c r="B788" s="1"/>
    </row>
    <row r="789" ht="14.25" customHeight="1">
      <c r="B789" s="1"/>
    </row>
    <row r="790" ht="14.25" customHeight="1">
      <c r="B790" s="1"/>
    </row>
    <row r="791" ht="14.25" customHeight="1">
      <c r="B791" s="1"/>
    </row>
    <row r="792" ht="14.25" customHeight="1">
      <c r="B792" s="1"/>
    </row>
    <row r="793" ht="14.25" customHeight="1">
      <c r="B793" s="1"/>
    </row>
    <row r="794" ht="14.25" customHeight="1">
      <c r="B794" s="1"/>
    </row>
    <row r="795" ht="14.25" customHeight="1">
      <c r="B795" s="1"/>
    </row>
    <row r="796" ht="14.25" customHeight="1">
      <c r="B796" s="1"/>
    </row>
    <row r="797" ht="14.25" customHeight="1">
      <c r="B797" s="1"/>
    </row>
    <row r="798" ht="14.25" customHeight="1">
      <c r="B798" s="1"/>
    </row>
    <row r="799" ht="14.25" customHeight="1">
      <c r="B799" s="1"/>
    </row>
    <row r="800" ht="14.25" customHeight="1">
      <c r="B800" s="1"/>
    </row>
    <row r="801" ht="14.25" customHeight="1">
      <c r="B801" s="1"/>
    </row>
    <row r="802" ht="14.25" customHeight="1">
      <c r="B802" s="1"/>
    </row>
    <row r="803" ht="14.25" customHeight="1">
      <c r="B803" s="1"/>
    </row>
    <row r="804" ht="14.25" customHeight="1">
      <c r="B804" s="1"/>
    </row>
    <row r="805" ht="14.25" customHeight="1">
      <c r="B805" s="1"/>
    </row>
    <row r="806" ht="14.25" customHeight="1">
      <c r="B806" s="1"/>
    </row>
    <row r="807" ht="14.25" customHeight="1">
      <c r="B807" s="1"/>
    </row>
    <row r="808" ht="14.25" customHeight="1">
      <c r="B808" s="1"/>
    </row>
    <row r="809" ht="14.25" customHeight="1">
      <c r="B809" s="1"/>
    </row>
    <row r="810" ht="14.25" customHeight="1">
      <c r="B810" s="1"/>
    </row>
    <row r="811" ht="14.25" customHeight="1">
      <c r="B811" s="1"/>
    </row>
    <row r="812" ht="14.25" customHeight="1">
      <c r="B812" s="1"/>
    </row>
    <row r="813" ht="14.25" customHeight="1">
      <c r="B813" s="1"/>
    </row>
    <row r="814" ht="14.25" customHeight="1">
      <c r="B814" s="1"/>
    </row>
    <row r="815" ht="14.25" customHeight="1">
      <c r="B815" s="1"/>
    </row>
    <row r="816" ht="14.25" customHeight="1">
      <c r="B816" s="1"/>
    </row>
    <row r="817" ht="14.25" customHeight="1">
      <c r="B817" s="1"/>
    </row>
    <row r="818" ht="14.25" customHeight="1">
      <c r="B818" s="1"/>
    </row>
    <row r="819" ht="14.25" customHeight="1">
      <c r="B819" s="1"/>
    </row>
    <row r="820" ht="14.25" customHeight="1">
      <c r="B820" s="1"/>
    </row>
    <row r="821" ht="14.25" customHeight="1">
      <c r="B821" s="1"/>
    </row>
    <row r="822" ht="14.25" customHeight="1">
      <c r="B822" s="1"/>
    </row>
    <row r="823" ht="14.25" customHeight="1">
      <c r="B823" s="1"/>
    </row>
    <row r="824" ht="14.25" customHeight="1">
      <c r="B824" s="1"/>
    </row>
    <row r="825" ht="14.25" customHeight="1">
      <c r="B825" s="1"/>
    </row>
    <row r="826" ht="14.25" customHeight="1">
      <c r="B826" s="1"/>
    </row>
    <row r="827" ht="14.25" customHeight="1">
      <c r="B827" s="1"/>
    </row>
    <row r="828" ht="14.25" customHeight="1">
      <c r="B828" s="1"/>
    </row>
    <row r="829" ht="14.25" customHeight="1">
      <c r="B829" s="1"/>
    </row>
    <row r="830" ht="14.25" customHeight="1">
      <c r="B830" s="1"/>
    </row>
    <row r="831" ht="14.25" customHeight="1">
      <c r="B831" s="1"/>
    </row>
    <row r="832" ht="14.25" customHeight="1">
      <c r="B832" s="1"/>
    </row>
    <row r="833" ht="14.25" customHeight="1">
      <c r="B833" s="1"/>
    </row>
    <row r="834" ht="14.25" customHeight="1">
      <c r="B834" s="1"/>
    </row>
    <row r="835" ht="14.25" customHeight="1">
      <c r="B835" s="1"/>
    </row>
    <row r="836" ht="14.25" customHeight="1">
      <c r="B836" s="1"/>
    </row>
    <row r="837" ht="14.25" customHeight="1">
      <c r="B837" s="1"/>
    </row>
    <row r="838" ht="14.25" customHeight="1">
      <c r="B838" s="1"/>
    </row>
    <row r="839" ht="14.25" customHeight="1">
      <c r="B839" s="1"/>
    </row>
    <row r="840" ht="14.25" customHeight="1">
      <c r="B840" s="1"/>
    </row>
    <row r="841" ht="14.25" customHeight="1">
      <c r="B841" s="1"/>
    </row>
    <row r="842" ht="14.25" customHeight="1">
      <c r="B842" s="1"/>
    </row>
    <row r="843" ht="14.25" customHeight="1">
      <c r="B843" s="1"/>
    </row>
    <row r="844" ht="14.25" customHeight="1">
      <c r="B844" s="1"/>
    </row>
    <row r="845" ht="14.25" customHeight="1">
      <c r="B845" s="1"/>
    </row>
    <row r="846" ht="14.25" customHeight="1">
      <c r="B846" s="1"/>
    </row>
    <row r="847" ht="14.25" customHeight="1">
      <c r="B847" s="1"/>
    </row>
    <row r="848" ht="14.25" customHeight="1">
      <c r="B848" s="1"/>
    </row>
    <row r="849" ht="14.25" customHeight="1">
      <c r="B849" s="1"/>
    </row>
    <row r="850" ht="14.25" customHeight="1">
      <c r="B850" s="1"/>
    </row>
    <row r="851" ht="14.25" customHeight="1">
      <c r="B851" s="1"/>
    </row>
    <row r="852" ht="14.25" customHeight="1">
      <c r="B852" s="1"/>
    </row>
    <row r="853" ht="14.25" customHeight="1">
      <c r="B853" s="1"/>
    </row>
    <row r="854" ht="14.25" customHeight="1">
      <c r="B854" s="1"/>
    </row>
    <row r="855" ht="14.25" customHeight="1">
      <c r="B855" s="1"/>
    </row>
    <row r="856" ht="14.25" customHeight="1">
      <c r="B856" s="1"/>
    </row>
    <row r="857" ht="14.25" customHeight="1">
      <c r="B857" s="1"/>
    </row>
    <row r="858" ht="14.25" customHeight="1">
      <c r="B858" s="1"/>
    </row>
    <row r="859" ht="14.25" customHeight="1">
      <c r="B859" s="1"/>
    </row>
    <row r="860" ht="14.25" customHeight="1">
      <c r="B860" s="1"/>
    </row>
    <row r="861" ht="14.25" customHeight="1">
      <c r="B861" s="1"/>
    </row>
    <row r="862" ht="14.25" customHeight="1">
      <c r="B862" s="1"/>
    </row>
    <row r="863" ht="14.25" customHeight="1">
      <c r="B863" s="1"/>
    </row>
    <row r="864" ht="14.25" customHeight="1">
      <c r="B864" s="1"/>
    </row>
    <row r="865" ht="14.25" customHeight="1">
      <c r="B865" s="1"/>
    </row>
    <row r="866" ht="14.25" customHeight="1">
      <c r="B866" s="1"/>
    </row>
    <row r="867" ht="14.25" customHeight="1">
      <c r="B867" s="1"/>
    </row>
    <row r="868" ht="14.25" customHeight="1">
      <c r="B868" s="1"/>
    </row>
    <row r="869" ht="14.25" customHeight="1">
      <c r="B869" s="1"/>
    </row>
    <row r="870" ht="14.25" customHeight="1">
      <c r="B870" s="1"/>
    </row>
    <row r="871" ht="14.25" customHeight="1">
      <c r="B871" s="1"/>
    </row>
    <row r="872" ht="14.25" customHeight="1">
      <c r="B872" s="1"/>
    </row>
    <row r="873" ht="14.25" customHeight="1">
      <c r="B873" s="1"/>
    </row>
    <row r="874" ht="14.25" customHeight="1">
      <c r="B874" s="1"/>
    </row>
    <row r="875" ht="14.25" customHeight="1">
      <c r="B875" s="1"/>
    </row>
    <row r="876" ht="14.25" customHeight="1">
      <c r="B876" s="1"/>
    </row>
    <row r="877" ht="14.25" customHeight="1">
      <c r="B877" s="1"/>
    </row>
    <row r="878" ht="14.25" customHeight="1">
      <c r="B878" s="1"/>
    </row>
    <row r="879" ht="14.25" customHeight="1">
      <c r="B879" s="1"/>
    </row>
    <row r="880" ht="14.25" customHeight="1">
      <c r="B880" s="1"/>
    </row>
    <row r="881" ht="14.25" customHeight="1">
      <c r="B881" s="1"/>
    </row>
    <row r="882" ht="14.25" customHeight="1">
      <c r="B882" s="1"/>
    </row>
    <row r="883" ht="14.25" customHeight="1">
      <c r="B883" s="1"/>
    </row>
    <row r="884" ht="14.25" customHeight="1">
      <c r="B884" s="1"/>
    </row>
    <row r="885" ht="14.25" customHeight="1">
      <c r="B885" s="1"/>
    </row>
    <row r="886" ht="14.25" customHeight="1">
      <c r="B886" s="1"/>
    </row>
    <row r="887" ht="14.25" customHeight="1">
      <c r="B887" s="1"/>
    </row>
    <row r="888" ht="14.25" customHeight="1">
      <c r="B888" s="1"/>
    </row>
    <row r="889" ht="14.25" customHeight="1">
      <c r="B889" s="1"/>
    </row>
    <row r="890" ht="14.25" customHeight="1">
      <c r="B890" s="1"/>
    </row>
    <row r="891" ht="14.25" customHeight="1">
      <c r="B891" s="1"/>
    </row>
    <row r="892" ht="14.25" customHeight="1">
      <c r="B892" s="1"/>
    </row>
    <row r="893" ht="14.25" customHeight="1">
      <c r="B893" s="1"/>
    </row>
    <row r="894" ht="14.25" customHeight="1">
      <c r="B894" s="1"/>
    </row>
    <row r="895" ht="14.25" customHeight="1">
      <c r="B895" s="1"/>
    </row>
    <row r="896" ht="14.25" customHeight="1">
      <c r="B896" s="1"/>
    </row>
    <row r="897" ht="14.25" customHeight="1">
      <c r="B897" s="1"/>
    </row>
    <row r="898" ht="14.25" customHeight="1">
      <c r="B898" s="1"/>
    </row>
    <row r="899" ht="14.25" customHeight="1">
      <c r="B899" s="1"/>
    </row>
    <row r="900" ht="14.25" customHeight="1">
      <c r="B900" s="1"/>
    </row>
    <row r="901" ht="14.25" customHeight="1">
      <c r="B901" s="1"/>
    </row>
    <row r="902" ht="14.25" customHeight="1">
      <c r="B902" s="1"/>
    </row>
    <row r="903" ht="14.25" customHeight="1">
      <c r="B903" s="1"/>
    </row>
    <row r="904" ht="14.25" customHeight="1">
      <c r="B904" s="1"/>
    </row>
    <row r="905" ht="14.25" customHeight="1">
      <c r="B905" s="1"/>
    </row>
    <row r="906" ht="14.25" customHeight="1">
      <c r="B906" s="1"/>
    </row>
    <row r="907" ht="14.25" customHeight="1">
      <c r="B907" s="1"/>
    </row>
    <row r="908" ht="14.25" customHeight="1">
      <c r="B908" s="1"/>
    </row>
    <row r="909" ht="14.25" customHeight="1">
      <c r="B909" s="1"/>
    </row>
    <row r="910" ht="14.25" customHeight="1">
      <c r="B910" s="1"/>
    </row>
    <row r="911" ht="14.25" customHeight="1">
      <c r="B911" s="1"/>
    </row>
    <row r="912" ht="14.25" customHeight="1">
      <c r="B912" s="1"/>
    </row>
    <row r="913" ht="14.25" customHeight="1">
      <c r="B913" s="1"/>
    </row>
    <row r="914" ht="14.25" customHeight="1">
      <c r="B914" s="1"/>
    </row>
    <row r="915" ht="14.25" customHeight="1">
      <c r="B915" s="1"/>
    </row>
    <row r="916" ht="14.25" customHeight="1">
      <c r="B916" s="1"/>
    </row>
    <row r="917" ht="14.25" customHeight="1">
      <c r="B917" s="1"/>
    </row>
    <row r="918" ht="14.25" customHeight="1">
      <c r="B918" s="1"/>
    </row>
    <row r="919" ht="14.25" customHeight="1">
      <c r="B919" s="1"/>
    </row>
    <row r="920" ht="14.25" customHeight="1">
      <c r="B920" s="1"/>
    </row>
    <row r="921" ht="14.25" customHeight="1">
      <c r="B921" s="1"/>
    </row>
    <row r="922" ht="14.25" customHeight="1">
      <c r="B922" s="1"/>
    </row>
    <row r="923" ht="14.25" customHeight="1">
      <c r="B923" s="1"/>
    </row>
    <row r="924" ht="14.25" customHeight="1">
      <c r="B924" s="1"/>
    </row>
    <row r="925" ht="14.25" customHeight="1">
      <c r="B925" s="1"/>
    </row>
    <row r="926" ht="14.25" customHeight="1">
      <c r="B926" s="1"/>
    </row>
    <row r="927" ht="14.25" customHeight="1">
      <c r="B927" s="1"/>
    </row>
    <row r="928" ht="14.25" customHeight="1">
      <c r="B928" s="1"/>
    </row>
    <row r="929" ht="14.25" customHeight="1">
      <c r="B929" s="1"/>
    </row>
    <row r="930" ht="14.25" customHeight="1">
      <c r="B930" s="1"/>
    </row>
    <row r="931" ht="14.25" customHeight="1">
      <c r="B931" s="1"/>
    </row>
    <row r="932" ht="14.25" customHeight="1">
      <c r="B932" s="1"/>
    </row>
    <row r="933" ht="14.25" customHeight="1">
      <c r="B933" s="1"/>
    </row>
    <row r="934" ht="14.25" customHeight="1">
      <c r="B934" s="1"/>
    </row>
    <row r="935" ht="14.25" customHeight="1">
      <c r="B935" s="1"/>
    </row>
    <row r="936" ht="14.25" customHeight="1">
      <c r="B936" s="1"/>
    </row>
    <row r="937" ht="14.25" customHeight="1">
      <c r="B937" s="1"/>
    </row>
    <row r="938" ht="14.25" customHeight="1">
      <c r="B938" s="1"/>
    </row>
    <row r="939" ht="14.25" customHeight="1">
      <c r="B939" s="1"/>
    </row>
    <row r="940" ht="14.25" customHeight="1">
      <c r="B940" s="1"/>
    </row>
    <row r="941" ht="14.25" customHeight="1">
      <c r="B941" s="1"/>
    </row>
    <row r="942" ht="14.25" customHeight="1">
      <c r="B942" s="1"/>
    </row>
    <row r="943" ht="14.25" customHeight="1">
      <c r="B943" s="1"/>
    </row>
    <row r="944" ht="14.25" customHeight="1">
      <c r="B944" s="1"/>
    </row>
    <row r="945" ht="14.25" customHeight="1">
      <c r="B945" s="1"/>
    </row>
    <row r="946" ht="14.25" customHeight="1">
      <c r="B946" s="1"/>
    </row>
    <row r="947" ht="14.25" customHeight="1">
      <c r="B947" s="1"/>
    </row>
    <row r="948" ht="14.25" customHeight="1">
      <c r="B948" s="1"/>
    </row>
    <row r="949" ht="14.25" customHeight="1">
      <c r="B949" s="1"/>
    </row>
    <row r="950" ht="14.25" customHeight="1">
      <c r="B950" s="1"/>
    </row>
    <row r="951" ht="14.25" customHeight="1">
      <c r="B951" s="1"/>
    </row>
    <row r="952" ht="14.25" customHeight="1">
      <c r="B952" s="1"/>
    </row>
    <row r="953" ht="14.25" customHeight="1">
      <c r="B953" s="1"/>
    </row>
    <row r="954" ht="14.25" customHeight="1">
      <c r="B954" s="1"/>
    </row>
    <row r="955" ht="14.25" customHeight="1">
      <c r="B955" s="1"/>
    </row>
    <row r="956" ht="14.25" customHeight="1">
      <c r="B956" s="1"/>
    </row>
    <row r="957" ht="14.25" customHeight="1">
      <c r="B957" s="1"/>
    </row>
    <row r="958" ht="14.25" customHeight="1">
      <c r="B958" s="1"/>
    </row>
    <row r="959" ht="14.25" customHeight="1">
      <c r="B959" s="1"/>
    </row>
    <row r="960" ht="14.25" customHeight="1">
      <c r="B960" s="1"/>
    </row>
    <row r="961" ht="14.25" customHeight="1">
      <c r="B961" s="1"/>
    </row>
    <row r="962" ht="14.25" customHeight="1">
      <c r="B962" s="1"/>
    </row>
    <row r="963" ht="14.25" customHeight="1">
      <c r="B963" s="1"/>
    </row>
    <row r="964" ht="14.25" customHeight="1">
      <c r="B964" s="1"/>
    </row>
    <row r="965" ht="14.25" customHeight="1">
      <c r="B965" s="1"/>
    </row>
    <row r="966" ht="14.25" customHeight="1">
      <c r="B966" s="1"/>
    </row>
    <row r="967" ht="14.25" customHeight="1">
      <c r="B967" s="1"/>
    </row>
    <row r="968" ht="14.25" customHeight="1">
      <c r="B968" s="1"/>
    </row>
    <row r="969" ht="14.25" customHeight="1">
      <c r="B969" s="1"/>
    </row>
    <row r="970" ht="14.25" customHeight="1">
      <c r="B970" s="1"/>
    </row>
    <row r="971" ht="14.25" customHeight="1">
      <c r="B971" s="1"/>
    </row>
    <row r="972" ht="14.25" customHeight="1">
      <c r="B972" s="1"/>
    </row>
    <row r="973" ht="14.25" customHeight="1">
      <c r="B973" s="1"/>
    </row>
    <row r="974" ht="14.25" customHeight="1">
      <c r="B974" s="1"/>
    </row>
    <row r="975" ht="14.25" customHeight="1">
      <c r="B975" s="1"/>
    </row>
    <row r="976" ht="14.25" customHeight="1">
      <c r="B976" s="1"/>
    </row>
    <row r="977" ht="14.25" customHeight="1">
      <c r="B977" s="1"/>
    </row>
    <row r="978" ht="14.25" customHeight="1">
      <c r="B978" s="1"/>
    </row>
    <row r="979" ht="14.25" customHeight="1">
      <c r="B979" s="1"/>
    </row>
    <row r="980" ht="14.25" customHeight="1">
      <c r="B980" s="1"/>
    </row>
    <row r="981" ht="14.25" customHeight="1">
      <c r="B981" s="1"/>
    </row>
    <row r="982" ht="14.25" customHeight="1">
      <c r="B982" s="1"/>
    </row>
    <row r="983" ht="14.25" customHeight="1">
      <c r="B983" s="1"/>
    </row>
    <row r="984" ht="14.25" customHeight="1">
      <c r="B984" s="1"/>
    </row>
    <row r="985" ht="14.25" customHeight="1">
      <c r="B985" s="1"/>
    </row>
    <row r="986" ht="14.25" customHeight="1">
      <c r="B986" s="1"/>
    </row>
    <row r="987" ht="14.25" customHeight="1">
      <c r="B987" s="1"/>
    </row>
    <row r="988" ht="14.25" customHeight="1">
      <c r="B988" s="1"/>
    </row>
    <row r="989" ht="14.25" customHeight="1">
      <c r="B989" s="1"/>
    </row>
    <row r="990" ht="14.25" customHeight="1">
      <c r="B990" s="1"/>
    </row>
    <row r="991" ht="14.25" customHeight="1">
      <c r="B991" s="1"/>
    </row>
    <row r="992" ht="14.25" customHeight="1">
      <c r="B992" s="1"/>
    </row>
    <row r="993" ht="14.25" customHeight="1">
      <c r="B993" s="1"/>
    </row>
    <row r="994" ht="14.25" customHeight="1">
      <c r="B994" s="1"/>
    </row>
    <row r="995" ht="14.25" customHeight="1">
      <c r="B995" s="1"/>
    </row>
    <row r="996" ht="14.25" customHeight="1">
      <c r="B996" s="1"/>
    </row>
    <row r="997" ht="14.25" customHeight="1">
      <c r="B997" s="1"/>
    </row>
    <row r="998" ht="14.25" customHeight="1">
      <c r="B998" s="1"/>
    </row>
    <row r="999" ht="14.25" customHeight="1">
      <c r="B999" s="1"/>
    </row>
    <row r="1000" ht="14.25" customHeight="1">
      <c r="B1000" s="1"/>
    </row>
  </sheetData>
  <mergeCells count="5">
    <mergeCell ref="B3:F3"/>
    <mergeCell ref="B16:F16"/>
    <mergeCell ref="B21:F21"/>
    <mergeCell ref="B30:F30"/>
    <mergeCell ref="B42:F42"/>
  </mergeCells>
  <printOptions/>
  <pageMargins bottom="0.75" footer="0.0" header="0.0" left="0.7" right="0.7" top="0.75"/>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43"/>
    <col customWidth="1" min="2" max="2" width="32.43"/>
    <col customWidth="1" min="3" max="3" width="8.29"/>
    <col customWidth="1" min="4" max="4" width="13.43"/>
    <col customWidth="1" min="5" max="5" width="10.71"/>
    <col customWidth="1" min="6" max="6" width="32.43"/>
    <col customWidth="1" min="7" max="7" width="10.71"/>
    <col customWidth="1" min="8" max="8" width="14.86"/>
    <col customWidth="1" min="9" max="26" width="10.71"/>
  </cols>
  <sheetData>
    <row r="1" ht="14.25" customHeight="1">
      <c r="B1" s="1"/>
      <c r="D1" s="1"/>
    </row>
    <row r="2" ht="14.25" customHeight="1">
      <c r="B2" s="568" t="s">
        <v>572</v>
      </c>
      <c r="C2" s="569"/>
      <c r="D2" s="569"/>
      <c r="E2" s="570"/>
      <c r="F2" s="571" t="s">
        <v>573</v>
      </c>
      <c r="G2" s="8"/>
      <c r="H2" s="9"/>
    </row>
    <row r="3" ht="14.25" customHeight="1">
      <c r="B3" s="572" t="s">
        <v>32</v>
      </c>
      <c r="C3" s="572" t="s">
        <v>74</v>
      </c>
      <c r="D3" s="572" t="s">
        <v>574</v>
      </c>
      <c r="E3" s="572" t="s">
        <v>233</v>
      </c>
      <c r="F3" s="572" t="s">
        <v>32</v>
      </c>
      <c r="G3" s="572" t="s">
        <v>74</v>
      </c>
      <c r="H3" s="572" t="s">
        <v>574</v>
      </c>
    </row>
    <row r="4" ht="14.25" customHeight="1">
      <c r="B4" s="62" t="s">
        <v>575</v>
      </c>
      <c r="C4" s="62" t="s">
        <v>576</v>
      </c>
      <c r="D4" s="62">
        <v>1.0</v>
      </c>
      <c r="E4" s="62">
        <v>2023.0</v>
      </c>
    </row>
    <row r="5" ht="14.25" customHeight="1">
      <c r="B5" s="62" t="s">
        <v>577</v>
      </c>
      <c r="C5" s="62" t="s">
        <v>576</v>
      </c>
      <c r="D5" s="62">
        <v>3.0</v>
      </c>
      <c r="E5" s="62">
        <v>2023.0</v>
      </c>
    </row>
    <row r="6" ht="14.25" customHeight="1">
      <c r="B6" s="62" t="s">
        <v>578</v>
      </c>
      <c r="C6" s="62" t="s">
        <v>576</v>
      </c>
      <c r="D6" s="62">
        <v>3.0</v>
      </c>
      <c r="E6" s="62">
        <v>2023.0</v>
      </c>
    </row>
    <row r="7" ht="14.25" customHeight="1">
      <c r="B7" s="62" t="s">
        <v>579</v>
      </c>
      <c r="C7" s="62" t="s">
        <v>576</v>
      </c>
      <c r="D7" s="62">
        <v>5.0</v>
      </c>
      <c r="E7" s="62">
        <v>2023.0</v>
      </c>
    </row>
    <row r="8" ht="14.25" customHeight="1">
      <c r="B8" s="62" t="s">
        <v>580</v>
      </c>
      <c r="C8" s="62" t="s">
        <v>581</v>
      </c>
      <c r="D8" s="62">
        <v>6.0</v>
      </c>
      <c r="E8" s="62">
        <v>2023.0</v>
      </c>
    </row>
    <row r="9" ht="14.25" customHeight="1">
      <c r="B9" s="62" t="s">
        <v>582</v>
      </c>
      <c r="C9" s="62" t="s">
        <v>581</v>
      </c>
      <c r="D9" s="62">
        <v>6.0</v>
      </c>
      <c r="E9" s="62">
        <v>2023.0</v>
      </c>
    </row>
    <row r="10" ht="14.25" customHeight="1">
      <c r="B10" s="62" t="s">
        <v>577</v>
      </c>
      <c r="C10" s="62" t="s">
        <v>581</v>
      </c>
      <c r="D10" s="62">
        <v>4.0</v>
      </c>
      <c r="E10" s="62">
        <v>2023.0</v>
      </c>
    </row>
    <row r="11" ht="14.25" customHeight="1">
      <c r="B11" s="62" t="s">
        <v>583</v>
      </c>
      <c r="C11" s="62" t="s">
        <v>581</v>
      </c>
      <c r="D11" s="62">
        <v>2.0</v>
      </c>
      <c r="E11" s="62">
        <v>2023.0</v>
      </c>
    </row>
    <row r="12" ht="14.25" customHeight="1">
      <c r="B12" s="62" t="s">
        <v>584</v>
      </c>
      <c r="C12" s="62" t="s">
        <v>581</v>
      </c>
      <c r="D12" s="62">
        <v>2.0</v>
      </c>
      <c r="E12" s="62">
        <v>2023.0</v>
      </c>
    </row>
    <row r="13" ht="14.25" customHeight="1">
      <c r="B13" s="62" t="s">
        <v>585</v>
      </c>
      <c r="C13" s="62" t="s">
        <v>581</v>
      </c>
      <c r="D13" s="62">
        <v>1.0</v>
      </c>
      <c r="E13" s="62">
        <v>2023.0</v>
      </c>
    </row>
    <row r="14" ht="14.25" customHeight="1">
      <c r="B14" s="62" t="s">
        <v>586</v>
      </c>
      <c r="C14" s="62" t="s">
        <v>581</v>
      </c>
      <c r="D14" s="62">
        <v>1.0</v>
      </c>
      <c r="E14" s="62">
        <v>2023.0</v>
      </c>
    </row>
    <row r="15" ht="14.25" customHeight="1">
      <c r="B15" s="62" t="s">
        <v>587</v>
      </c>
      <c r="C15" s="62" t="s">
        <v>581</v>
      </c>
      <c r="D15" s="62">
        <v>2.0</v>
      </c>
      <c r="E15" s="62">
        <v>2023.0</v>
      </c>
    </row>
    <row r="16" ht="14.25" customHeight="1">
      <c r="B16" s="62" t="s">
        <v>588</v>
      </c>
      <c r="C16" s="62" t="s">
        <v>581</v>
      </c>
      <c r="D16" s="62">
        <v>2.0</v>
      </c>
      <c r="E16" s="62">
        <v>2023.0</v>
      </c>
    </row>
    <row r="17" ht="14.25" customHeight="1">
      <c r="B17" s="62" t="s">
        <v>589</v>
      </c>
      <c r="C17" s="62" t="s">
        <v>590</v>
      </c>
      <c r="D17" s="62">
        <v>2.0</v>
      </c>
      <c r="E17" s="62">
        <v>2023.0</v>
      </c>
    </row>
    <row r="18" ht="14.25" customHeight="1">
      <c r="B18" s="62" t="s">
        <v>580</v>
      </c>
      <c r="C18" s="62" t="s">
        <v>590</v>
      </c>
      <c r="D18" s="62">
        <v>1.0</v>
      </c>
      <c r="E18" s="62">
        <v>2023.0</v>
      </c>
    </row>
    <row r="19" ht="14.25" customHeight="1">
      <c r="B19" s="62" t="s">
        <v>584</v>
      </c>
      <c r="C19" s="62" t="s">
        <v>590</v>
      </c>
      <c r="D19" s="62">
        <v>6.0</v>
      </c>
      <c r="E19" s="62">
        <v>2023.0</v>
      </c>
    </row>
    <row r="20" ht="14.25" customHeight="1">
      <c r="B20" s="62" t="s">
        <v>591</v>
      </c>
      <c r="C20" s="62" t="s">
        <v>590</v>
      </c>
      <c r="D20" s="62">
        <v>1.0</v>
      </c>
      <c r="E20" s="62">
        <v>2023.0</v>
      </c>
    </row>
    <row r="21" ht="14.25" customHeight="1">
      <c r="B21" s="62" t="s">
        <v>592</v>
      </c>
      <c r="C21" s="62" t="s">
        <v>590</v>
      </c>
      <c r="D21" s="62">
        <v>2.0</v>
      </c>
      <c r="E21" s="62">
        <v>2023.0</v>
      </c>
    </row>
    <row r="22" ht="14.25" customHeight="1">
      <c r="B22" s="62" t="s">
        <v>589</v>
      </c>
      <c r="C22" s="62" t="s">
        <v>593</v>
      </c>
      <c r="D22" s="62">
        <v>2.0</v>
      </c>
      <c r="E22" s="62">
        <v>2023.0</v>
      </c>
    </row>
    <row r="23" ht="14.25" customHeight="1">
      <c r="B23" s="62" t="s">
        <v>575</v>
      </c>
      <c r="C23" s="62" t="s">
        <v>593</v>
      </c>
      <c r="D23" s="62">
        <v>4.0</v>
      </c>
      <c r="E23" s="62">
        <v>2023.0</v>
      </c>
    </row>
    <row r="24" ht="14.25" customHeight="1">
      <c r="B24" s="62" t="s">
        <v>594</v>
      </c>
      <c r="C24" s="62" t="s">
        <v>593</v>
      </c>
      <c r="D24" s="62">
        <v>6.0</v>
      </c>
      <c r="E24" s="62">
        <v>2023.0</v>
      </c>
    </row>
    <row r="25" ht="14.25" customHeight="1">
      <c r="B25" s="62" t="s">
        <v>595</v>
      </c>
      <c r="C25" s="62" t="s">
        <v>593</v>
      </c>
      <c r="D25" s="62">
        <v>1.0</v>
      </c>
      <c r="E25" s="62">
        <v>2023.0</v>
      </c>
    </row>
    <row r="26" ht="14.25" customHeight="1">
      <c r="B26" s="62" t="s">
        <v>587</v>
      </c>
      <c r="C26" s="62" t="s">
        <v>593</v>
      </c>
      <c r="D26" s="62">
        <v>3.0</v>
      </c>
      <c r="E26" s="62">
        <v>2023.0</v>
      </c>
    </row>
    <row r="27" ht="14.25" customHeight="1">
      <c r="B27" s="62" t="s">
        <v>596</v>
      </c>
      <c r="C27" s="62" t="s">
        <v>593</v>
      </c>
      <c r="D27" s="62">
        <v>3.0</v>
      </c>
      <c r="E27" s="62">
        <v>2023.0</v>
      </c>
    </row>
    <row r="28" ht="14.25" customHeight="1">
      <c r="B28" s="62" t="s">
        <v>591</v>
      </c>
      <c r="C28" s="62" t="s">
        <v>593</v>
      </c>
      <c r="D28" s="62">
        <v>5.0</v>
      </c>
      <c r="E28" s="62">
        <v>2023.0</v>
      </c>
    </row>
    <row r="29" ht="14.25" customHeight="1">
      <c r="B29" s="62" t="s">
        <v>582</v>
      </c>
      <c r="C29" s="62" t="s">
        <v>593</v>
      </c>
      <c r="D29" s="62">
        <v>2.0</v>
      </c>
      <c r="E29" s="62">
        <v>2023.0</v>
      </c>
    </row>
    <row r="30" ht="14.25" customHeight="1">
      <c r="B30" s="62" t="s">
        <v>597</v>
      </c>
      <c r="C30" s="62" t="s">
        <v>593</v>
      </c>
      <c r="D30" s="62">
        <v>2.0</v>
      </c>
      <c r="E30" s="62">
        <v>2023.0</v>
      </c>
    </row>
    <row r="31" ht="14.25" customHeight="1">
      <c r="B31" s="62" t="s">
        <v>598</v>
      </c>
      <c r="C31" s="62" t="s">
        <v>593</v>
      </c>
      <c r="D31" s="62">
        <v>2.0</v>
      </c>
      <c r="E31" s="62">
        <v>2023.0</v>
      </c>
    </row>
    <row r="32" ht="14.25" customHeight="1">
      <c r="B32" s="62" t="s">
        <v>582</v>
      </c>
      <c r="C32" s="62" t="s">
        <v>599</v>
      </c>
      <c r="D32" s="62">
        <v>7.0</v>
      </c>
      <c r="E32" s="62">
        <v>2023.0</v>
      </c>
    </row>
    <row r="33" ht="14.25" customHeight="1">
      <c r="B33" s="62" t="s">
        <v>575</v>
      </c>
      <c r="C33" s="62" t="s">
        <v>599</v>
      </c>
      <c r="D33" s="62">
        <v>3.0</v>
      </c>
      <c r="E33" s="62">
        <v>2023.0</v>
      </c>
    </row>
    <row r="34" ht="14.25" customHeight="1">
      <c r="B34" s="62" t="s">
        <v>598</v>
      </c>
      <c r="C34" s="62" t="s">
        <v>599</v>
      </c>
      <c r="D34" s="62">
        <v>2.0</v>
      </c>
      <c r="E34" s="62">
        <v>2023.0</v>
      </c>
    </row>
    <row r="35" ht="14.25" customHeight="1">
      <c r="B35" s="62" t="s">
        <v>596</v>
      </c>
      <c r="C35" s="62" t="s">
        <v>599</v>
      </c>
      <c r="D35" s="62">
        <v>2.0</v>
      </c>
      <c r="E35" s="62">
        <v>2023.0</v>
      </c>
    </row>
    <row r="36" ht="14.25" customHeight="1">
      <c r="B36" s="62" t="s">
        <v>583</v>
      </c>
      <c r="C36" s="62" t="s">
        <v>599</v>
      </c>
      <c r="D36" s="62">
        <v>3.0</v>
      </c>
      <c r="E36" s="62">
        <v>2023.0</v>
      </c>
    </row>
    <row r="37" ht="14.25" customHeight="1">
      <c r="B37" s="62" t="s">
        <v>592</v>
      </c>
      <c r="C37" s="62" t="s">
        <v>599</v>
      </c>
      <c r="D37" s="62">
        <v>5.0</v>
      </c>
      <c r="E37" s="62">
        <v>2023.0</v>
      </c>
    </row>
    <row r="38" ht="14.25" customHeight="1">
      <c r="B38" s="62" t="s">
        <v>584</v>
      </c>
      <c r="C38" s="62" t="s">
        <v>600</v>
      </c>
      <c r="D38" s="62">
        <v>4.0</v>
      </c>
      <c r="E38" s="62">
        <v>2023.0</v>
      </c>
    </row>
    <row r="39" ht="14.25" customHeight="1">
      <c r="B39" s="62" t="s">
        <v>595</v>
      </c>
      <c r="C39" s="62" t="s">
        <v>600</v>
      </c>
      <c r="D39" s="62">
        <v>3.0</v>
      </c>
      <c r="E39" s="62">
        <v>2023.0</v>
      </c>
    </row>
    <row r="40" ht="14.25" customHeight="1">
      <c r="B40" s="62" t="s">
        <v>586</v>
      </c>
      <c r="C40" s="62" t="s">
        <v>600</v>
      </c>
      <c r="D40" s="62">
        <v>4.0</v>
      </c>
      <c r="E40" s="62">
        <v>2023.0</v>
      </c>
    </row>
    <row r="41" ht="14.25" customHeight="1">
      <c r="B41" s="62" t="s">
        <v>580</v>
      </c>
      <c r="C41" s="62" t="s">
        <v>600</v>
      </c>
      <c r="D41" s="62">
        <v>2.0</v>
      </c>
      <c r="E41" s="62">
        <v>2023.0</v>
      </c>
    </row>
    <row r="42" ht="14.25" customHeight="1">
      <c r="B42" s="62" t="s">
        <v>601</v>
      </c>
      <c r="C42" s="62" t="s">
        <v>600</v>
      </c>
      <c r="D42" s="62">
        <v>2.0</v>
      </c>
      <c r="E42" s="62">
        <v>2023.0</v>
      </c>
    </row>
    <row r="43" ht="14.25" customHeight="1">
      <c r="B43" s="62" t="s">
        <v>577</v>
      </c>
      <c r="C43" s="62" t="s">
        <v>602</v>
      </c>
      <c r="D43" s="62">
        <v>2.0</v>
      </c>
      <c r="E43" s="62">
        <v>2023.0</v>
      </c>
    </row>
    <row r="44" ht="14.25" customHeight="1">
      <c r="B44" s="62" t="s">
        <v>603</v>
      </c>
      <c r="C44" s="62" t="s">
        <v>602</v>
      </c>
      <c r="D44" s="62">
        <v>2.0</v>
      </c>
      <c r="E44" s="62">
        <v>2023.0</v>
      </c>
    </row>
    <row r="45" ht="14.25" customHeight="1">
      <c r="B45" s="62" t="s">
        <v>604</v>
      </c>
      <c r="C45" s="62" t="s">
        <v>602</v>
      </c>
      <c r="D45" s="62">
        <v>3.0</v>
      </c>
      <c r="E45" s="62">
        <v>2023.0</v>
      </c>
    </row>
    <row r="46" ht="14.25" customHeight="1">
      <c r="B46" s="62" t="s">
        <v>584</v>
      </c>
      <c r="C46" s="62" t="s">
        <v>602</v>
      </c>
      <c r="D46" s="62">
        <v>4.0</v>
      </c>
      <c r="E46" s="62">
        <v>2023.0</v>
      </c>
    </row>
    <row r="47" ht="14.25" customHeight="1">
      <c r="B47" s="62" t="s">
        <v>605</v>
      </c>
      <c r="C47" s="62" t="s">
        <v>602</v>
      </c>
      <c r="D47" s="62">
        <v>4.0</v>
      </c>
      <c r="E47" s="62">
        <v>2023.0</v>
      </c>
    </row>
    <row r="48" ht="14.25" customHeight="1">
      <c r="B48" s="62" t="s">
        <v>606</v>
      </c>
      <c r="C48" s="62" t="s">
        <v>602</v>
      </c>
      <c r="D48" s="62">
        <v>1.0</v>
      </c>
      <c r="E48" s="62">
        <v>2023.0</v>
      </c>
    </row>
    <row r="49" ht="14.25" customHeight="1">
      <c r="B49" s="62" t="s">
        <v>575</v>
      </c>
      <c r="C49" s="62" t="s">
        <v>602</v>
      </c>
      <c r="D49" s="62">
        <v>4.0</v>
      </c>
      <c r="E49" s="62">
        <v>2023.0</v>
      </c>
    </row>
    <row r="50" ht="14.25" customHeight="1">
      <c r="B50" s="62" t="s">
        <v>598</v>
      </c>
      <c r="C50" s="62" t="s">
        <v>602</v>
      </c>
      <c r="D50" s="62">
        <v>3.0</v>
      </c>
      <c r="E50" s="62">
        <v>2023.0</v>
      </c>
    </row>
    <row r="51" ht="14.25" customHeight="1">
      <c r="B51" s="62" t="s">
        <v>596</v>
      </c>
      <c r="C51" s="62" t="s">
        <v>602</v>
      </c>
      <c r="D51" s="62">
        <v>2.0</v>
      </c>
      <c r="E51" s="62">
        <v>2023.0</v>
      </c>
    </row>
    <row r="52" ht="14.25" customHeight="1">
      <c r="B52" s="62" t="s">
        <v>579</v>
      </c>
      <c r="C52" s="62" t="s">
        <v>602</v>
      </c>
      <c r="D52" s="62">
        <v>5.0</v>
      </c>
      <c r="E52" s="62">
        <v>2023.0</v>
      </c>
    </row>
    <row r="53" ht="14.25" customHeight="1">
      <c r="B53" s="62" t="s">
        <v>608</v>
      </c>
      <c r="C53" s="62" t="s">
        <v>609</v>
      </c>
      <c r="D53" s="62">
        <v>2.0</v>
      </c>
      <c r="E53" s="62">
        <v>2023.0</v>
      </c>
    </row>
    <row r="54" ht="14.25" customHeight="1">
      <c r="B54" s="62" t="s">
        <v>582</v>
      </c>
      <c r="C54" s="62" t="s">
        <v>609</v>
      </c>
      <c r="D54" s="62">
        <v>1.0</v>
      </c>
      <c r="E54" s="62">
        <v>2023.0</v>
      </c>
    </row>
    <row r="55" ht="14.25" customHeight="1">
      <c r="B55" s="62" t="s">
        <v>606</v>
      </c>
      <c r="C55" s="62" t="s">
        <v>609</v>
      </c>
      <c r="D55" s="62">
        <v>3.0</v>
      </c>
      <c r="E55" s="62">
        <v>2023.0</v>
      </c>
    </row>
    <row r="56" ht="14.25" customHeight="1">
      <c r="B56" s="62" t="s">
        <v>610</v>
      </c>
      <c r="C56" s="62" t="s">
        <v>609</v>
      </c>
      <c r="D56" s="62">
        <v>1.0</v>
      </c>
      <c r="E56" s="62">
        <v>2023.0</v>
      </c>
    </row>
    <row r="57" ht="14.25" customHeight="1">
      <c r="B57" s="62" t="s">
        <v>597</v>
      </c>
      <c r="C57" s="62" t="s">
        <v>609</v>
      </c>
      <c r="D57" s="62">
        <v>5.0</v>
      </c>
      <c r="E57" s="62">
        <v>2023.0</v>
      </c>
    </row>
    <row r="58" ht="14.25" customHeight="1">
      <c r="B58" s="62" t="s">
        <v>594</v>
      </c>
      <c r="C58" s="62" t="s">
        <v>609</v>
      </c>
      <c r="D58" s="62">
        <v>2.0</v>
      </c>
      <c r="E58" s="62">
        <v>2023.0</v>
      </c>
    </row>
    <row r="59" ht="14.25" customHeight="1">
      <c r="B59" s="62" t="s">
        <v>611</v>
      </c>
      <c r="C59" s="62" t="s">
        <v>609</v>
      </c>
      <c r="D59" s="62">
        <v>7.0</v>
      </c>
      <c r="E59" s="62">
        <v>2023.0</v>
      </c>
    </row>
    <row r="60" ht="14.25" customHeight="1">
      <c r="B60" s="62" t="s">
        <v>596</v>
      </c>
      <c r="C60" s="62" t="s">
        <v>609</v>
      </c>
      <c r="D60" s="62">
        <v>2.0</v>
      </c>
      <c r="E60" s="62">
        <v>2023.0</v>
      </c>
    </row>
    <row r="61" ht="14.25" customHeight="1">
      <c r="B61" s="62" t="s">
        <v>612</v>
      </c>
      <c r="C61" s="62" t="s">
        <v>609</v>
      </c>
      <c r="D61" s="62">
        <v>2.0</v>
      </c>
      <c r="E61" s="62">
        <v>2023.0</v>
      </c>
    </row>
    <row r="62" ht="14.25" customHeight="1">
      <c r="B62" s="62" t="s">
        <v>595</v>
      </c>
      <c r="C62" s="62" t="s">
        <v>609</v>
      </c>
      <c r="D62" s="62">
        <v>2.0</v>
      </c>
      <c r="E62" s="62">
        <v>2023.0</v>
      </c>
    </row>
    <row r="63" ht="14.25" customHeight="1">
      <c r="B63" s="62" t="s">
        <v>613</v>
      </c>
      <c r="C63" s="62" t="s">
        <v>609</v>
      </c>
      <c r="D63" s="62">
        <v>1.0</v>
      </c>
      <c r="E63" s="62">
        <v>2023.0</v>
      </c>
    </row>
    <row r="64" ht="14.25" customHeight="1">
      <c r="B64" s="62" t="s">
        <v>579</v>
      </c>
      <c r="C64" s="62" t="s">
        <v>609</v>
      </c>
      <c r="D64" s="62">
        <v>2.0</v>
      </c>
      <c r="E64" s="62">
        <v>2023.0</v>
      </c>
    </row>
    <row r="65" ht="14.25" customHeight="1">
      <c r="B65" s="62" t="s">
        <v>614</v>
      </c>
      <c r="C65" s="62" t="s">
        <v>615</v>
      </c>
      <c r="D65" s="62">
        <v>5.0</v>
      </c>
      <c r="E65" s="62">
        <v>2023.0</v>
      </c>
    </row>
    <row r="66" ht="14.25" customHeight="1">
      <c r="B66" s="62" t="s">
        <v>589</v>
      </c>
      <c r="C66" s="62" t="s">
        <v>615</v>
      </c>
      <c r="D66" s="62">
        <v>7.0</v>
      </c>
      <c r="E66" s="62">
        <v>2023.0</v>
      </c>
    </row>
    <row r="67" ht="14.25" customHeight="1">
      <c r="B67" s="62" t="s">
        <v>604</v>
      </c>
      <c r="C67" s="62" t="s">
        <v>615</v>
      </c>
      <c r="D67" s="62">
        <v>3.0</v>
      </c>
      <c r="E67" s="62">
        <v>2023.0</v>
      </c>
    </row>
    <row r="68" ht="14.25" customHeight="1">
      <c r="B68" s="62" t="s">
        <v>595</v>
      </c>
      <c r="C68" s="62" t="s">
        <v>615</v>
      </c>
      <c r="D68" s="62">
        <v>1.0</v>
      </c>
      <c r="E68" s="62">
        <v>2023.0</v>
      </c>
    </row>
    <row r="69" ht="14.25" customHeight="1">
      <c r="B69" s="62" t="s">
        <v>596</v>
      </c>
      <c r="C69" s="62" t="s">
        <v>615</v>
      </c>
      <c r="D69" s="62">
        <v>2.0</v>
      </c>
      <c r="E69" s="62">
        <v>2023.0</v>
      </c>
    </row>
    <row r="70" ht="14.25" customHeight="1">
      <c r="B70" s="62" t="s">
        <v>601</v>
      </c>
      <c r="C70" s="62" t="s">
        <v>615</v>
      </c>
      <c r="D70" s="62">
        <v>5.0</v>
      </c>
      <c r="E70" s="62">
        <v>2023.0</v>
      </c>
    </row>
    <row r="71" ht="14.25" customHeight="1">
      <c r="B71" s="62" t="s">
        <v>580</v>
      </c>
      <c r="C71" s="62" t="s">
        <v>615</v>
      </c>
      <c r="D71" s="62">
        <v>2.0</v>
      </c>
      <c r="E71" s="62">
        <v>2023.0</v>
      </c>
    </row>
    <row r="72" ht="14.25" customHeight="1">
      <c r="B72" s="62" t="s">
        <v>584</v>
      </c>
      <c r="C72" s="62" t="s">
        <v>615</v>
      </c>
      <c r="D72" s="62">
        <v>2.0</v>
      </c>
      <c r="E72" s="62">
        <v>2023.0</v>
      </c>
    </row>
    <row r="73" ht="14.25" customHeight="1">
      <c r="B73" s="62" t="s">
        <v>582</v>
      </c>
      <c r="C73" s="62" t="s">
        <v>615</v>
      </c>
      <c r="D73" s="62">
        <v>3.0</v>
      </c>
      <c r="E73" s="62">
        <v>2023.0</v>
      </c>
    </row>
    <row r="74" ht="14.25" customHeight="1">
      <c r="B74" s="62" t="s">
        <v>585</v>
      </c>
      <c r="C74" s="62" t="s">
        <v>615</v>
      </c>
      <c r="D74" s="62">
        <v>1.0</v>
      </c>
      <c r="E74" s="62">
        <v>2023.0</v>
      </c>
    </row>
    <row r="75" ht="14.25" customHeight="1">
      <c r="B75" s="62" t="s">
        <v>598</v>
      </c>
      <c r="C75" s="62" t="s">
        <v>615</v>
      </c>
      <c r="D75" s="62">
        <v>2.0</v>
      </c>
      <c r="E75" s="62">
        <v>2023.0</v>
      </c>
    </row>
    <row r="76" ht="14.25" customHeight="1">
      <c r="B76" s="62" t="s">
        <v>616</v>
      </c>
      <c r="C76" s="62" t="s">
        <v>615</v>
      </c>
      <c r="D76" s="62">
        <v>4.0</v>
      </c>
      <c r="E76" s="62">
        <v>2023.0</v>
      </c>
    </row>
    <row r="77" ht="14.25" customHeight="1">
      <c r="B77" s="62" t="s">
        <v>584</v>
      </c>
      <c r="C77" s="62" t="s">
        <v>617</v>
      </c>
      <c r="D77" s="62">
        <v>9.0</v>
      </c>
      <c r="E77" s="62">
        <v>2023.0</v>
      </c>
    </row>
    <row r="78" ht="14.25" customHeight="1">
      <c r="B78" s="62" t="s">
        <v>582</v>
      </c>
      <c r="C78" s="62" t="s">
        <v>617</v>
      </c>
      <c r="D78" s="62">
        <v>2.0</v>
      </c>
      <c r="E78" s="62">
        <v>2023.0</v>
      </c>
    </row>
    <row r="79" ht="14.25" customHeight="1">
      <c r="B79" s="62" t="s">
        <v>611</v>
      </c>
      <c r="C79" s="62" t="s">
        <v>617</v>
      </c>
      <c r="D79" s="62">
        <v>1.0</v>
      </c>
      <c r="E79" s="62">
        <v>2023.0</v>
      </c>
    </row>
    <row r="80" ht="14.25" customHeight="1">
      <c r="B80" s="62" t="s">
        <v>596</v>
      </c>
      <c r="C80" s="62" t="s">
        <v>617</v>
      </c>
      <c r="D80" s="62">
        <v>2.0</v>
      </c>
      <c r="E80" s="62">
        <v>2023.0</v>
      </c>
    </row>
    <row r="81" ht="14.25" customHeight="1">
      <c r="B81" s="62" t="s">
        <v>579</v>
      </c>
      <c r="C81" s="62" t="s">
        <v>617</v>
      </c>
      <c r="D81" s="62">
        <v>1.0</v>
      </c>
      <c r="E81" s="62">
        <v>2023.0</v>
      </c>
    </row>
    <row r="82" ht="14.25" customHeight="1">
      <c r="B82" s="62" t="s">
        <v>618</v>
      </c>
      <c r="C82" s="62" t="s">
        <v>617</v>
      </c>
      <c r="D82" s="62">
        <v>2.0</v>
      </c>
      <c r="E82" s="62">
        <v>2023.0</v>
      </c>
    </row>
    <row r="83" ht="14.25" customHeight="1">
      <c r="B83" s="62" t="s">
        <v>619</v>
      </c>
      <c r="C83" s="62" t="s">
        <v>617</v>
      </c>
      <c r="D83" s="62">
        <v>3.0</v>
      </c>
      <c r="E83" s="62">
        <v>2023.0</v>
      </c>
    </row>
    <row r="84" ht="14.25" customHeight="1">
      <c r="B84" s="62" t="s">
        <v>584</v>
      </c>
      <c r="C84" s="62" t="s">
        <v>617</v>
      </c>
      <c r="D84" s="62">
        <v>1.0</v>
      </c>
      <c r="E84" s="62">
        <v>2023.0</v>
      </c>
    </row>
    <row r="85" ht="14.25" customHeight="1">
      <c r="B85" s="62" t="s">
        <v>597</v>
      </c>
      <c r="C85" s="62" t="s">
        <v>617</v>
      </c>
      <c r="D85" s="62">
        <v>2.0</v>
      </c>
      <c r="E85" s="62">
        <v>2023.0</v>
      </c>
    </row>
    <row r="86" ht="14.25" customHeight="1">
      <c r="B86" s="62" t="s">
        <v>577</v>
      </c>
      <c r="C86" s="62" t="s">
        <v>617</v>
      </c>
      <c r="D86" s="62">
        <v>2.0</v>
      </c>
      <c r="E86" s="62">
        <v>2023.0</v>
      </c>
    </row>
    <row r="87" ht="14.25" customHeight="1">
      <c r="B87" s="62" t="s">
        <v>579</v>
      </c>
      <c r="C87" s="62" t="s">
        <v>617</v>
      </c>
      <c r="D87" s="62">
        <v>1.0</v>
      </c>
      <c r="E87" s="62">
        <v>2023.0</v>
      </c>
    </row>
    <row r="88" ht="14.25" customHeight="1">
      <c r="B88" s="62" t="s">
        <v>618</v>
      </c>
      <c r="C88" s="62" t="s">
        <v>620</v>
      </c>
      <c r="D88" s="62">
        <v>4.0</v>
      </c>
      <c r="E88" s="62">
        <v>2023.0</v>
      </c>
    </row>
    <row r="89" ht="14.25" customHeight="1">
      <c r="B89" s="62" t="s">
        <v>585</v>
      </c>
      <c r="C89" s="62" t="s">
        <v>620</v>
      </c>
      <c r="D89" s="62">
        <v>3.0</v>
      </c>
      <c r="E89" s="62">
        <v>2023.0</v>
      </c>
    </row>
    <row r="90" ht="14.25" customHeight="1">
      <c r="B90" s="62" t="s">
        <v>621</v>
      </c>
      <c r="C90" s="62" t="s">
        <v>620</v>
      </c>
      <c r="D90" s="62">
        <v>5.0</v>
      </c>
      <c r="E90" s="62">
        <v>2023.0</v>
      </c>
    </row>
    <row r="91" ht="14.25" customHeight="1">
      <c r="B91" s="62" t="s">
        <v>579</v>
      </c>
      <c r="C91" s="62" t="s">
        <v>620</v>
      </c>
      <c r="D91" s="62">
        <v>2.0</v>
      </c>
      <c r="E91" s="62">
        <v>2023.0</v>
      </c>
    </row>
    <row r="92" ht="14.25" customHeight="1">
      <c r="B92" s="62" t="s">
        <v>596</v>
      </c>
      <c r="C92" s="62" t="s">
        <v>620</v>
      </c>
      <c r="D92" s="62">
        <v>2.0</v>
      </c>
      <c r="E92" s="62">
        <v>2023.0</v>
      </c>
    </row>
    <row r="93" ht="14.25" customHeight="1">
      <c r="B93" s="62" t="s">
        <v>589</v>
      </c>
      <c r="C93" s="62" t="s">
        <v>622</v>
      </c>
      <c r="D93" s="62">
        <v>3.0</v>
      </c>
      <c r="E93" s="62">
        <v>2023.0</v>
      </c>
    </row>
    <row r="94" ht="14.25" customHeight="1">
      <c r="B94" s="62" t="s">
        <v>616</v>
      </c>
      <c r="C94" s="62" t="s">
        <v>622</v>
      </c>
      <c r="D94" s="62">
        <v>3.0</v>
      </c>
      <c r="E94" s="62">
        <v>2023.0</v>
      </c>
    </row>
    <row r="95" ht="14.25" customHeight="1">
      <c r="B95" s="62" t="s">
        <v>579</v>
      </c>
      <c r="C95" s="62" t="s">
        <v>622</v>
      </c>
      <c r="D95" s="62">
        <v>2.0</v>
      </c>
      <c r="E95" s="62">
        <v>2023.0</v>
      </c>
    </row>
    <row r="96" ht="14.25" customHeight="1">
      <c r="B96" s="62" t="s">
        <v>623</v>
      </c>
      <c r="C96" s="62" t="s">
        <v>622</v>
      </c>
      <c r="D96" s="62">
        <v>4.0</v>
      </c>
      <c r="E96" s="62">
        <v>2023.0</v>
      </c>
    </row>
    <row r="97" ht="14.25" customHeight="1">
      <c r="B97" s="62" t="s">
        <v>605</v>
      </c>
      <c r="C97" s="62" t="s">
        <v>622</v>
      </c>
      <c r="D97" s="62">
        <v>2.0</v>
      </c>
      <c r="E97" s="62">
        <v>2023.0</v>
      </c>
    </row>
    <row r="98" ht="14.25" customHeight="1">
      <c r="B98" s="62" t="s">
        <v>582</v>
      </c>
      <c r="C98" s="62" t="s">
        <v>622</v>
      </c>
      <c r="D98" s="62">
        <v>2.0</v>
      </c>
      <c r="E98" s="62">
        <v>2023.0</v>
      </c>
    </row>
    <row r="99" ht="14.25" customHeight="1">
      <c r="B99" s="62" t="s">
        <v>575</v>
      </c>
      <c r="C99" s="62" t="s">
        <v>622</v>
      </c>
      <c r="D99" s="62">
        <v>2.0</v>
      </c>
      <c r="E99" s="62">
        <v>2023.0</v>
      </c>
    </row>
    <row r="100" ht="14.25" customHeight="1">
      <c r="B100" s="62" t="s">
        <v>585</v>
      </c>
      <c r="C100" s="62" t="s">
        <v>622</v>
      </c>
      <c r="D100" s="62">
        <v>4.0</v>
      </c>
      <c r="E100" s="62">
        <v>2023.0</v>
      </c>
    </row>
    <row r="101" ht="14.25" customHeight="1">
      <c r="B101" s="62" t="s">
        <v>595</v>
      </c>
      <c r="C101" s="62" t="s">
        <v>622</v>
      </c>
      <c r="D101" s="62">
        <v>1.0</v>
      </c>
      <c r="E101" s="62">
        <v>2023.0</v>
      </c>
    </row>
    <row r="102" ht="14.25" customHeight="1">
      <c r="B102" s="62" t="s">
        <v>621</v>
      </c>
      <c r="C102" s="62" t="s">
        <v>622</v>
      </c>
      <c r="D102" s="62">
        <v>4.0</v>
      </c>
      <c r="E102" s="62">
        <v>2023.0</v>
      </c>
    </row>
    <row r="103" ht="14.25" customHeight="1">
      <c r="B103" s="62" t="s">
        <v>598</v>
      </c>
      <c r="C103" s="62" t="s">
        <v>622</v>
      </c>
      <c r="D103" s="62">
        <v>3.0</v>
      </c>
      <c r="E103" s="62">
        <v>2023.0</v>
      </c>
    </row>
    <row r="104" ht="14.25" customHeight="1">
      <c r="B104" s="62" t="s">
        <v>618</v>
      </c>
      <c r="C104" s="62" t="s">
        <v>576</v>
      </c>
      <c r="D104" s="62">
        <v>2.0</v>
      </c>
      <c r="E104" s="62">
        <v>2024.0</v>
      </c>
    </row>
    <row r="105" ht="14.25" customHeight="1">
      <c r="B105" s="62" t="s">
        <v>580</v>
      </c>
      <c r="C105" s="62" t="s">
        <v>576</v>
      </c>
      <c r="D105" s="62">
        <v>3.0</v>
      </c>
      <c r="E105" s="62">
        <v>2024.0</v>
      </c>
    </row>
    <row r="106" ht="14.25" customHeight="1">
      <c r="B106" s="62" t="s">
        <v>611</v>
      </c>
      <c r="C106" s="62" t="s">
        <v>576</v>
      </c>
      <c r="D106" s="62">
        <v>2.0</v>
      </c>
      <c r="E106" s="62">
        <v>2024.0</v>
      </c>
    </row>
    <row r="107" ht="14.25" customHeight="1">
      <c r="B107" s="62" t="s">
        <v>601</v>
      </c>
      <c r="C107" s="62" t="s">
        <v>576</v>
      </c>
      <c r="D107" s="62">
        <v>4.0</v>
      </c>
      <c r="E107" s="62">
        <v>2024.0</v>
      </c>
    </row>
    <row r="108" ht="14.25" customHeight="1">
      <c r="B108" s="62" t="s">
        <v>624</v>
      </c>
      <c r="C108" s="62" t="s">
        <v>581</v>
      </c>
      <c r="D108" s="62">
        <v>2.0</v>
      </c>
      <c r="E108" s="62">
        <v>2024.0</v>
      </c>
    </row>
    <row r="109" ht="14.25" customHeight="1">
      <c r="B109" s="62" t="s">
        <v>582</v>
      </c>
      <c r="C109" s="62" t="s">
        <v>581</v>
      </c>
      <c r="D109" s="62">
        <v>2.0</v>
      </c>
      <c r="E109" s="62">
        <v>2024.0</v>
      </c>
    </row>
    <row r="110" ht="14.25" customHeight="1">
      <c r="B110" s="62" t="s">
        <v>625</v>
      </c>
      <c r="C110" s="62" t="s">
        <v>581</v>
      </c>
      <c r="D110" s="62">
        <v>3.0</v>
      </c>
      <c r="E110" s="62">
        <v>2024.0</v>
      </c>
    </row>
    <row r="111" ht="14.25" customHeight="1">
      <c r="B111" s="62" t="s">
        <v>584</v>
      </c>
      <c r="C111" s="62" t="s">
        <v>581</v>
      </c>
      <c r="D111" s="62">
        <v>2.0</v>
      </c>
      <c r="E111" s="62">
        <v>2024.0</v>
      </c>
    </row>
    <row r="112" ht="14.25" customHeight="1">
      <c r="B112" s="62" t="s">
        <v>577</v>
      </c>
      <c r="C112" s="62" t="s">
        <v>581</v>
      </c>
      <c r="D112" s="62">
        <v>2.0</v>
      </c>
      <c r="E112" s="62">
        <v>2024.0</v>
      </c>
    </row>
    <row r="113" ht="14.25" customHeight="1">
      <c r="B113" s="62" t="s">
        <v>626</v>
      </c>
      <c r="C113" s="62" t="s">
        <v>581</v>
      </c>
      <c r="D113" s="62">
        <v>2.0</v>
      </c>
      <c r="E113" s="62">
        <v>2024.0</v>
      </c>
    </row>
    <row r="114" ht="14.25" customHeight="1">
      <c r="B114" s="62" t="s">
        <v>627</v>
      </c>
      <c r="C114" s="62" t="s">
        <v>581</v>
      </c>
      <c r="D114" s="62">
        <v>1.0</v>
      </c>
      <c r="E114" s="62">
        <v>2024.0</v>
      </c>
    </row>
    <row r="115" ht="14.25" customHeight="1">
      <c r="B115" s="62" t="s">
        <v>618</v>
      </c>
      <c r="C115" s="62" t="s">
        <v>590</v>
      </c>
      <c r="D115" s="62">
        <v>3.0</v>
      </c>
      <c r="E115" s="62">
        <v>2024.0</v>
      </c>
    </row>
    <row r="116" ht="14.25" customHeight="1">
      <c r="B116" s="62" t="s">
        <v>595</v>
      </c>
      <c r="C116" s="62" t="s">
        <v>590</v>
      </c>
      <c r="D116" s="62">
        <v>2.0</v>
      </c>
      <c r="E116" s="62">
        <v>2024.0</v>
      </c>
    </row>
    <row r="117" ht="14.25" customHeight="1">
      <c r="B117" s="62" t="s">
        <v>577</v>
      </c>
      <c r="C117" s="62" t="s">
        <v>590</v>
      </c>
      <c r="D117" s="62">
        <v>1.0</v>
      </c>
      <c r="E117" s="62">
        <v>2024.0</v>
      </c>
    </row>
    <row r="118" ht="14.25" customHeight="1">
      <c r="B118" s="62" t="s">
        <v>586</v>
      </c>
      <c r="C118" s="62" t="s">
        <v>590</v>
      </c>
      <c r="D118" s="62">
        <v>2.0</v>
      </c>
      <c r="E118" s="62">
        <v>2024.0</v>
      </c>
    </row>
    <row r="119" ht="14.25" customHeight="1">
      <c r="B119" s="62" t="s">
        <v>596</v>
      </c>
      <c r="C119" s="62" t="s">
        <v>590</v>
      </c>
      <c r="D119" s="62">
        <v>2.0</v>
      </c>
      <c r="E119" s="62">
        <v>2024.0</v>
      </c>
    </row>
    <row r="120" ht="14.25" customHeight="1">
      <c r="B120" s="62" t="s">
        <v>583</v>
      </c>
      <c r="C120" s="62" t="s">
        <v>590</v>
      </c>
      <c r="D120" s="62">
        <v>2.0</v>
      </c>
      <c r="E120" s="62">
        <v>2024.0</v>
      </c>
    </row>
    <row r="121" ht="14.25" customHeight="1">
      <c r="B121" s="62" t="s">
        <v>594</v>
      </c>
      <c r="C121" s="62" t="s">
        <v>593</v>
      </c>
      <c r="D121" s="62">
        <v>3.0</v>
      </c>
      <c r="E121" s="62">
        <v>2024.0</v>
      </c>
    </row>
    <row r="122" ht="14.25" customHeight="1">
      <c r="B122" s="62" t="s">
        <v>596</v>
      </c>
      <c r="C122" s="62" t="s">
        <v>593</v>
      </c>
      <c r="D122" s="62">
        <v>3.0</v>
      </c>
      <c r="E122" s="62">
        <v>2024.0</v>
      </c>
    </row>
    <row r="123" ht="14.25" customHeight="1">
      <c r="B123" s="62" t="s">
        <v>582</v>
      </c>
      <c r="C123" s="62" t="s">
        <v>593</v>
      </c>
      <c r="D123" s="62">
        <v>3.0</v>
      </c>
      <c r="E123" s="62">
        <v>2024.0</v>
      </c>
    </row>
    <row r="124" ht="14.25" customHeight="1">
      <c r="B124" s="62" t="s">
        <v>584</v>
      </c>
      <c r="C124" s="62" t="s">
        <v>593</v>
      </c>
      <c r="D124" s="62">
        <v>2.0</v>
      </c>
      <c r="E124" s="62">
        <v>2024.0</v>
      </c>
    </row>
    <row r="125" ht="14.25" customHeight="1">
      <c r="B125" s="62" t="s">
        <v>601</v>
      </c>
      <c r="C125" s="62" t="s">
        <v>593</v>
      </c>
      <c r="D125" s="62">
        <v>2.0</v>
      </c>
      <c r="E125" s="62">
        <v>2024.0</v>
      </c>
    </row>
    <row r="126" ht="14.25" customHeight="1">
      <c r="B126" s="62" t="s">
        <v>628</v>
      </c>
      <c r="C126" s="62" t="s">
        <v>599</v>
      </c>
      <c r="D126" s="62">
        <v>7.0</v>
      </c>
      <c r="E126" s="62">
        <v>2024.0</v>
      </c>
    </row>
    <row r="127" ht="14.25" customHeight="1">
      <c r="B127" s="62" t="s">
        <v>577</v>
      </c>
      <c r="C127" s="62" t="s">
        <v>599</v>
      </c>
      <c r="D127" s="62">
        <v>2.0</v>
      </c>
      <c r="E127" s="62">
        <v>2024.0</v>
      </c>
    </row>
    <row r="128" ht="14.25" customHeight="1">
      <c r="B128" s="62" t="s">
        <v>587</v>
      </c>
      <c r="C128" s="62" t="s">
        <v>599</v>
      </c>
      <c r="D128" s="62">
        <v>3.0</v>
      </c>
      <c r="E128" s="62">
        <v>2024.0</v>
      </c>
    </row>
    <row r="129" ht="14.25" customHeight="1">
      <c r="B129" s="62" t="s">
        <v>582</v>
      </c>
      <c r="C129" s="62" t="s">
        <v>599</v>
      </c>
      <c r="D129" s="62">
        <v>2.0</v>
      </c>
      <c r="E129" s="62">
        <v>2024.0</v>
      </c>
    </row>
    <row r="130" ht="14.25" customHeight="1">
      <c r="B130" s="62" t="s">
        <v>611</v>
      </c>
      <c r="C130" s="62" t="s">
        <v>599</v>
      </c>
      <c r="D130" s="62">
        <v>2.0</v>
      </c>
      <c r="E130" s="62">
        <v>2024.0</v>
      </c>
    </row>
    <row r="131" ht="14.25" customHeight="1">
      <c r="B131" s="62" t="s">
        <v>629</v>
      </c>
      <c r="C131" s="62" t="s">
        <v>599</v>
      </c>
      <c r="D131" s="62">
        <v>2.0</v>
      </c>
      <c r="E131" s="62">
        <v>2024.0</v>
      </c>
    </row>
    <row r="132" ht="14.25" customHeight="1">
      <c r="B132" s="62" t="s">
        <v>579</v>
      </c>
      <c r="C132" s="62" t="s">
        <v>599</v>
      </c>
      <c r="D132" s="62">
        <v>11.0</v>
      </c>
      <c r="E132" s="62">
        <v>2024.0</v>
      </c>
    </row>
    <row r="133" ht="14.25" customHeight="1">
      <c r="B133" s="62" t="s">
        <v>584</v>
      </c>
      <c r="C133" s="62" t="s">
        <v>599</v>
      </c>
      <c r="D133" s="62">
        <v>2.0</v>
      </c>
      <c r="E133" s="62">
        <v>2024.0</v>
      </c>
    </row>
    <row r="134" ht="14.25" customHeight="1">
      <c r="B134" s="62" t="s">
        <v>612</v>
      </c>
      <c r="C134" s="62" t="s">
        <v>599</v>
      </c>
      <c r="D134" s="62">
        <v>3.0</v>
      </c>
      <c r="E134" s="62">
        <v>2024.0</v>
      </c>
    </row>
    <row r="135" ht="14.25" customHeight="1">
      <c r="B135" s="62" t="s">
        <v>605</v>
      </c>
      <c r="C135" s="62" t="s">
        <v>600</v>
      </c>
      <c r="D135" s="62">
        <v>12.0</v>
      </c>
      <c r="E135" s="62">
        <v>2024.0</v>
      </c>
    </row>
    <row r="136" ht="14.25" customHeight="1">
      <c r="B136" s="62" t="s">
        <v>591</v>
      </c>
      <c r="C136" s="62" t="s">
        <v>600</v>
      </c>
      <c r="D136" s="62">
        <v>1.0</v>
      </c>
      <c r="E136" s="62">
        <v>2024.0</v>
      </c>
    </row>
    <row r="137" ht="14.25" customHeight="1">
      <c r="B137" s="62" t="s">
        <v>584</v>
      </c>
      <c r="C137" s="62" t="s">
        <v>600</v>
      </c>
      <c r="D137" s="62">
        <v>5.0</v>
      </c>
      <c r="E137" s="62">
        <v>2024.0</v>
      </c>
    </row>
    <row r="138" ht="14.25" customHeight="1">
      <c r="B138" s="62" t="s">
        <v>625</v>
      </c>
      <c r="C138" s="62" t="s">
        <v>600</v>
      </c>
      <c r="D138" s="62">
        <v>3.0</v>
      </c>
      <c r="E138" s="62">
        <v>2024.0</v>
      </c>
    </row>
    <row r="139" ht="14.25" customHeight="1">
      <c r="B139" s="62" t="s">
        <v>630</v>
      </c>
      <c r="C139" s="62" t="s">
        <v>600</v>
      </c>
      <c r="D139" s="62">
        <v>2.0</v>
      </c>
      <c r="E139" s="62">
        <v>2024.0</v>
      </c>
    </row>
    <row r="140" ht="14.25" customHeight="1">
      <c r="B140" s="62" t="s">
        <v>577</v>
      </c>
      <c r="C140" s="62" t="s">
        <v>600</v>
      </c>
      <c r="D140" s="62">
        <v>2.0</v>
      </c>
      <c r="E140" s="62">
        <v>2024.0</v>
      </c>
    </row>
    <row r="141" ht="14.25" customHeight="1">
      <c r="B141" s="62" t="s">
        <v>598</v>
      </c>
      <c r="C141" s="62" t="s">
        <v>600</v>
      </c>
      <c r="D141" s="62">
        <v>2.0</v>
      </c>
      <c r="E141" s="62">
        <v>2024.0</v>
      </c>
    </row>
    <row r="142" ht="14.25" customHeight="1">
      <c r="B142" s="62" t="s">
        <v>631</v>
      </c>
      <c r="C142" s="62" t="s">
        <v>600</v>
      </c>
      <c r="D142" s="62">
        <v>2.0</v>
      </c>
      <c r="E142" s="62">
        <v>2024.0</v>
      </c>
    </row>
    <row r="143" ht="14.25" customHeight="1">
      <c r="B143" s="62" t="s">
        <v>632</v>
      </c>
      <c r="C143" s="62" t="s">
        <v>600</v>
      </c>
      <c r="D143" s="62">
        <v>5.0</v>
      </c>
      <c r="E143" s="62">
        <v>2024.0</v>
      </c>
    </row>
    <row r="144" ht="14.25" customHeight="1">
      <c r="B144" s="62" t="s">
        <v>582</v>
      </c>
      <c r="C144" s="62" t="s">
        <v>600</v>
      </c>
      <c r="D144" s="62">
        <v>2.0</v>
      </c>
      <c r="E144" s="62">
        <v>2024.0</v>
      </c>
    </row>
    <row r="145" ht="14.25" customHeight="1">
      <c r="B145" s="62" t="s">
        <v>633</v>
      </c>
      <c r="C145" s="62" t="s">
        <v>600</v>
      </c>
      <c r="D145" s="62">
        <v>3.0</v>
      </c>
      <c r="E145" s="62">
        <v>2024.0</v>
      </c>
    </row>
    <row r="146" ht="14.25" customHeight="1">
      <c r="B146" s="62" t="s">
        <v>628</v>
      </c>
      <c r="C146" s="62" t="s">
        <v>600</v>
      </c>
      <c r="D146" s="62">
        <v>5.0</v>
      </c>
      <c r="E146" s="62">
        <v>2024.0</v>
      </c>
    </row>
    <row r="147" ht="14.25" customHeight="1">
      <c r="B147" s="62" t="s">
        <v>634</v>
      </c>
      <c r="C147" s="62" t="s">
        <v>600</v>
      </c>
      <c r="D147" s="62">
        <v>11.0</v>
      </c>
      <c r="E147" s="62">
        <v>2024.0</v>
      </c>
    </row>
    <row r="148" ht="14.25" customHeight="1">
      <c r="B148" s="62" t="s">
        <v>605</v>
      </c>
      <c r="C148" s="62" t="s">
        <v>602</v>
      </c>
      <c r="D148" s="62">
        <v>14.0</v>
      </c>
      <c r="E148" s="62">
        <v>2024.0</v>
      </c>
    </row>
    <row r="149" ht="14.25" customHeight="1">
      <c r="B149" s="62" t="s">
        <v>608</v>
      </c>
      <c r="C149" s="62" t="s">
        <v>602</v>
      </c>
      <c r="D149" s="62">
        <v>7.0</v>
      </c>
      <c r="E149" s="62">
        <v>2024.0</v>
      </c>
    </row>
    <row r="150" ht="14.25" customHeight="1">
      <c r="B150" s="62" t="s">
        <v>606</v>
      </c>
      <c r="C150" s="62" t="s">
        <v>602</v>
      </c>
      <c r="D150" s="62">
        <v>2.0</v>
      </c>
      <c r="E150" s="62">
        <v>2024.0</v>
      </c>
    </row>
    <row r="151" ht="14.25" customHeight="1">
      <c r="B151" s="62" t="s">
        <v>596</v>
      </c>
      <c r="C151" s="62" t="s">
        <v>602</v>
      </c>
      <c r="D151" s="62">
        <v>4.0</v>
      </c>
      <c r="E151" s="62">
        <v>2024.0</v>
      </c>
    </row>
    <row r="152" ht="14.25" customHeight="1">
      <c r="B152" s="62" t="s">
        <v>601</v>
      </c>
      <c r="C152" s="62" t="s">
        <v>602</v>
      </c>
      <c r="D152" s="62">
        <v>3.0</v>
      </c>
      <c r="E152" s="62">
        <v>2024.0</v>
      </c>
    </row>
    <row r="153" ht="14.25" customHeight="1">
      <c r="B153" s="62" t="s">
        <v>634</v>
      </c>
      <c r="C153" s="62" t="s">
        <v>602</v>
      </c>
      <c r="D153" s="62">
        <v>30.0</v>
      </c>
      <c r="E153" s="62">
        <v>2024.0</v>
      </c>
    </row>
    <row r="154" ht="14.25" customHeight="1">
      <c r="B154" s="62" t="s">
        <v>604</v>
      </c>
      <c r="C154" s="62" t="s">
        <v>602</v>
      </c>
      <c r="D154" s="62">
        <v>2.0</v>
      </c>
      <c r="E154" s="62">
        <v>2024.0</v>
      </c>
    </row>
    <row r="155" ht="14.25" customHeight="1">
      <c r="B155" s="62" t="s">
        <v>582</v>
      </c>
      <c r="C155" s="62" t="s">
        <v>602</v>
      </c>
      <c r="D155" s="62">
        <v>2.0</v>
      </c>
      <c r="E155" s="62">
        <v>2024.0</v>
      </c>
    </row>
    <row r="156" ht="14.25" customHeight="1">
      <c r="B156" s="62" t="s">
        <v>628</v>
      </c>
      <c r="C156" s="62" t="s">
        <v>602</v>
      </c>
      <c r="D156" s="62">
        <v>2.0</v>
      </c>
      <c r="E156" s="62">
        <v>2024.0</v>
      </c>
    </row>
    <row r="157" ht="14.25" customHeight="1">
      <c r="B157" s="62" t="s">
        <v>579</v>
      </c>
      <c r="C157" s="62" t="s">
        <v>602</v>
      </c>
      <c r="D157" s="62">
        <v>3.0</v>
      </c>
      <c r="E157" s="62">
        <v>2024.0</v>
      </c>
    </row>
    <row r="158" ht="14.25" customHeight="1">
      <c r="B158" s="62" t="s">
        <v>635</v>
      </c>
      <c r="C158" s="62" t="s">
        <v>602</v>
      </c>
      <c r="D158" s="62">
        <v>2.0</v>
      </c>
      <c r="E158" s="62">
        <v>2024.0</v>
      </c>
    </row>
    <row r="159" ht="14.25" customHeight="1">
      <c r="B159" s="62" t="s">
        <v>618</v>
      </c>
      <c r="C159" s="62" t="s">
        <v>602</v>
      </c>
      <c r="D159" s="62">
        <v>2.0</v>
      </c>
      <c r="E159" s="62">
        <v>2024.0</v>
      </c>
    </row>
    <row r="160" ht="14.25" customHeight="1">
      <c r="B160" s="62" t="s">
        <v>611</v>
      </c>
      <c r="C160" s="62" t="s">
        <v>602</v>
      </c>
      <c r="D160" s="62">
        <v>2.0</v>
      </c>
      <c r="E160" s="62">
        <v>2024.0</v>
      </c>
    </row>
    <row r="161" ht="14.25" customHeight="1">
      <c r="B161" s="62" t="s">
        <v>636</v>
      </c>
      <c r="C161" s="62" t="s">
        <v>602</v>
      </c>
      <c r="D161" s="62">
        <v>3.0</v>
      </c>
      <c r="E161" s="62">
        <v>2024.0</v>
      </c>
    </row>
    <row r="162" ht="14.25" customHeight="1">
      <c r="B162" s="62" t="s">
        <v>637</v>
      </c>
      <c r="C162" s="62" t="s">
        <v>602</v>
      </c>
      <c r="D162" s="62">
        <v>4.0</v>
      </c>
      <c r="E162" s="62">
        <v>2024.0</v>
      </c>
    </row>
    <row r="163" ht="14.25" customHeight="1">
      <c r="B163" s="62" t="s">
        <v>638</v>
      </c>
      <c r="C163" s="62" t="s">
        <v>602</v>
      </c>
      <c r="D163" s="62">
        <v>3.0</v>
      </c>
      <c r="E163" s="62">
        <v>2024.0</v>
      </c>
    </row>
    <row r="164" ht="14.25" customHeight="1">
      <c r="B164" s="62" t="s">
        <v>618</v>
      </c>
      <c r="C164" s="62" t="s">
        <v>609</v>
      </c>
      <c r="D164" s="62">
        <v>4.0</v>
      </c>
      <c r="E164" s="62">
        <v>2024.0</v>
      </c>
    </row>
    <row r="165" ht="14.25" customHeight="1">
      <c r="B165" s="62" t="s">
        <v>584</v>
      </c>
      <c r="C165" s="62" t="s">
        <v>609</v>
      </c>
      <c r="D165" s="62">
        <v>4.0</v>
      </c>
      <c r="E165" s="62">
        <v>2024.0</v>
      </c>
    </row>
    <row r="166" ht="14.25" customHeight="1">
      <c r="B166" s="62" t="s">
        <v>633</v>
      </c>
      <c r="C166" s="62" t="s">
        <v>609</v>
      </c>
      <c r="D166" s="62">
        <v>3.0</v>
      </c>
      <c r="E166" s="62">
        <v>2024.0</v>
      </c>
    </row>
    <row r="167" ht="14.25" customHeight="1">
      <c r="B167" s="62" t="s">
        <v>598</v>
      </c>
      <c r="C167" s="62" t="s">
        <v>609</v>
      </c>
      <c r="D167" s="62">
        <v>1.0</v>
      </c>
      <c r="E167" s="62">
        <v>2024.0</v>
      </c>
    </row>
    <row r="168" ht="14.25" customHeight="1">
      <c r="B168" s="62" t="s">
        <v>616</v>
      </c>
      <c r="C168" s="62" t="s">
        <v>609</v>
      </c>
      <c r="D168" s="62">
        <v>4.0</v>
      </c>
      <c r="E168" s="62">
        <v>2024.0</v>
      </c>
    </row>
    <row r="169" ht="14.25" customHeight="1">
      <c r="B169" s="62" t="s">
        <v>583</v>
      </c>
      <c r="C169" s="62" t="s">
        <v>609</v>
      </c>
      <c r="D169" s="62">
        <v>1.0</v>
      </c>
      <c r="E169" s="62">
        <v>2024.0</v>
      </c>
    </row>
    <row r="170" ht="14.25" customHeight="1">
      <c r="B170" s="62" t="s">
        <v>639</v>
      </c>
      <c r="C170" s="62" t="s">
        <v>609</v>
      </c>
      <c r="D170" s="62">
        <v>2.0</v>
      </c>
      <c r="E170" s="62">
        <v>2024.0</v>
      </c>
    </row>
    <row r="171" ht="14.25" customHeight="1">
      <c r="B171" s="62" t="s">
        <v>640</v>
      </c>
      <c r="C171" s="62" t="s">
        <v>609</v>
      </c>
      <c r="D171" s="62">
        <v>1.0</v>
      </c>
      <c r="E171" s="62">
        <v>2024.0</v>
      </c>
    </row>
    <row r="172" ht="14.25" customHeight="1">
      <c r="B172" s="62" t="s">
        <v>637</v>
      </c>
      <c r="C172" s="62" t="s">
        <v>609</v>
      </c>
      <c r="D172" s="62">
        <v>1.0</v>
      </c>
      <c r="E172" s="62">
        <v>2024.0</v>
      </c>
    </row>
    <row r="173" ht="14.25" customHeight="1">
      <c r="B173" s="62" t="s">
        <v>641</v>
      </c>
      <c r="C173" s="62" t="s">
        <v>609</v>
      </c>
      <c r="D173" s="62">
        <v>2.0</v>
      </c>
      <c r="E173" s="62">
        <v>2024.0</v>
      </c>
    </row>
    <row r="174" ht="14.25" customHeight="1">
      <c r="B174" s="62" t="s">
        <v>605</v>
      </c>
      <c r="C174" s="62" t="s">
        <v>609</v>
      </c>
      <c r="D174" s="62">
        <v>10.0</v>
      </c>
      <c r="E174" s="62">
        <v>2024.0</v>
      </c>
    </row>
    <row r="175" ht="14.25" customHeight="1">
      <c r="B175" s="62" t="s">
        <v>619</v>
      </c>
      <c r="C175" s="62" t="s">
        <v>609</v>
      </c>
      <c r="D175" s="62">
        <v>3.0</v>
      </c>
      <c r="E175" s="62">
        <v>2024.0</v>
      </c>
    </row>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c r="B260" s="1"/>
      <c r="D260" s="1"/>
    </row>
    <row r="261" ht="14.25" customHeight="1">
      <c r="B261" s="1"/>
      <c r="D261" s="1"/>
    </row>
    <row r="262" ht="14.25" customHeight="1">
      <c r="B262" s="1"/>
      <c r="D262" s="1"/>
    </row>
    <row r="263" ht="14.25" customHeight="1">
      <c r="B263" s="1"/>
      <c r="D263" s="1"/>
    </row>
    <row r="264" ht="14.25" customHeight="1">
      <c r="B264" s="1"/>
      <c r="D264" s="1"/>
    </row>
    <row r="265" ht="14.25" customHeight="1">
      <c r="B265" s="1"/>
      <c r="D265" s="1"/>
    </row>
    <row r="266" ht="14.25" customHeight="1">
      <c r="B266" s="1"/>
      <c r="D266" s="1"/>
    </row>
    <row r="267" ht="14.25" customHeight="1">
      <c r="B267" s="1"/>
      <c r="D267" s="1"/>
    </row>
    <row r="268" ht="14.25" customHeight="1">
      <c r="B268" s="1"/>
      <c r="D268" s="1"/>
    </row>
    <row r="269" ht="14.25" customHeight="1">
      <c r="B269" s="1"/>
      <c r="D269" s="1"/>
    </row>
    <row r="270" ht="14.25" customHeight="1">
      <c r="B270" s="1"/>
      <c r="D270" s="1"/>
    </row>
    <row r="271" ht="14.25" customHeight="1">
      <c r="B271" s="1"/>
      <c r="D271" s="1"/>
    </row>
    <row r="272" ht="14.25" customHeight="1">
      <c r="B272" s="1"/>
      <c r="D272" s="1"/>
    </row>
    <row r="273" ht="14.25" customHeight="1">
      <c r="B273" s="1"/>
      <c r="D273" s="1"/>
    </row>
    <row r="274" ht="14.25" customHeight="1">
      <c r="B274" s="1"/>
      <c r="D274" s="1"/>
    </row>
    <row r="275" ht="14.25" customHeight="1">
      <c r="B275" s="1"/>
      <c r="D275" s="1"/>
    </row>
    <row r="276" ht="14.25" customHeight="1">
      <c r="B276" s="1"/>
      <c r="D276" s="1"/>
    </row>
    <row r="277" ht="14.25" customHeight="1">
      <c r="B277" s="1"/>
      <c r="D277" s="1"/>
    </row>
    <row r="278" ht="14.25" customHeight="1">
      <c r="B278" s="1"/>
      <c r="D278" s="1"/>
    </row>
    <row r="279" ht="14.25" customHeight="1">
      <c r="B279" s="1"/>
      <c r="D279" s="1"/>
    </row>
    <row r="280" ht="14.25" customHeight="1">
      <c r="B280" s="1"/>
      <c r="D280" s="1"/>
    </row>
    <row r="281" ht="14.25" customHeight="1">
      <c r="B281" s="1"/>
      <c r="D281" s="1"/>
    </row>
    <row r="282" ht="14.25" customHeight="1">
      <c r="B282" s="1"/>
      <c r="D282" s="1"/>
    </row>
    <row r="283" ht="14.25" customHeight="1">
      <c r="B283" s="1"/>
      <c r="D283" s="1"/>
    </row>
    <row r="284" ht="14.25" customHeight="1">
      <c r="B284" s="1"/>
      <c r="D284" s="1"/>
    </row>
    <row r="285" ht="14.25" customHeight="1">
      <c r="B285" s="1"/>
      <c r="D285" s="1"/>
    </row>
    <row r="286" ht="14.25" customHeight="1">
      <c r="B286" s="1"/>
      <c r="D286" s="1"/>
    </row>
    <row r="287" ht="14.25" customHeight="1">
      <c r="B287" s="1"/>
      <c r="D287" s="1"/>
    </row>
    <row r="288" ht="14.25" customHeight="1">
      <c r="B288" s="1"/>
      <c r="D288" s="1"/>
    </row>
    <row r="289" ht="14.25" customHeight="1">
      <c r="B289" s="1"/>
      <c r="D289" s="1"/>
    </row>
    <row r="290" ht="14.25" customHeight="1">
      <c r="B290" s="1"/>
      <c r="D290" s="1"/>
    </row>
    <row r="291" ht="14.25" customHeight="1">
      <c r="B291" s="1"/>
      <c r="D291" s="1"/>
    </row>
    <row r="292" ht="14.25" customHeight="1">
      <c r="B292" s="1"/>
      <c r="D292" s="1"/>
    </row>
    <row r="293" ht="14.25" customHeight="1">
      <c r="B293" s="1"/>
      <c r="D293" s="1"/>
    </row>
    <row r="294" ht="14.25" customHeight="1">
      <c r="B294" s="1"/>
      <c r="D294" s="1"/>
    </row>
    <row r="295" ht="14.25" customHeight="1">
      <c r="B295" s="1"/>
      <c r="D295" s="1"/>
    </row>
    <row r="296" ht="14.25" customHeight="1">
      <c r="B296" s="1"/>
      <c r="D296" s="1"/>
    </row>
    <row r="297" ht="14.25" customHeight="1">
      <c r="B297" s="1"/>
      <c r="D297" s="1"/>
    </row>
    <row r="298" ht="14.25" customHeight="1">
      <c r="B298" s="1"/>
      <c r="D298" s="1"/>
    </row>
    <row r="299" ht="14.25" customHeight="1">
      <c r="B299" s="1"/>
      <c r="D299" s="1"/>
    </row>
    <row r="300" ht="14.25" customHeight="1">
      <c r="B300" s="1"/>
      <c r="D300" s="1"/>
    </row>
    <row r="301" ht="14.25" customHeight="1">
      <c r="B301" s="1"/>
      <c r="D301" s="1"/>
    </row>
    <row r="302" ht="14.25" customHeight="1">
      <c r="B302" s="1"/>
      <c r="D302" s="1"/>
    </row>
    <row r="303" ht="14.25" customHeight="1">
      <c r="B303" s="1"/>
      <c r="D303" s="1"/>
    </row>
    <row r="304" ht="14.25" customHeight="1">
      <c r="B304" s="1"/>
      <c r="D304" s="1"/>
    </row>
    <row r="305" ht="14.25" customHeight="1">
      <c r="B305" s="1"/>
      <c r="D305" s="1"/>
    </row>
    <row r="306" ht="14.25" customHeight="1">
      <c r="B306" s="1"/>
      <c r="D306" s="1"/>
    </row>
    <row r="307" ht="14.25" customHeight="1">
      <c r="B307" s="1"/>
      <c r="D307" s="1"/>
    </row>
    <row r="308" ht="14.25" customHeight="1">
      <c r="B308" s="1"/>
      <c r="D308" s="1"/>
    </row>
    <row r="309" ht="14.25" customHeight="1">
      <c r="B309" s="1"/>
      <c r="D309" s="1"/>
    </row>
    <row r="310" ht="14.25" customHeight="1">
      <c r="B310" s="1"/>
      <c r="D310" s="1"/>
    </row>
    <row r="311" ht="14.25" customHeight="1">
      <c r="B311" s="1"/>
      <c r="D311" s="1"/>
    </row>
    <row r="312" ht="14.25" customHeight="1">
      <c r="B312" s="1"/>
      <c r="D312" s="1"/>
    </row>
    <row r="313" ht="14.25" customHeight="1">
      <c r="B313" s="1"/>
      <c r="D313" s="1"/>
    </row>
    <row r="314" ht="14.25" customHeight="1">
      <c r="B314" s="1"/>
      <c r="D314" s="1"/>
    </row>
    <row r="315" ht="14.25" customHeight="1">
      <c r="B315" s="1"/>
      <c r="D315" s="1"/>
    </row>
    <row r="316" ht="14.25" customHeight="1">
      <c r="B316" s="1"/>
      <c r="D316" s="1"/>
    </row>
    <row r="317" ht="14.25" customHeight="1">
      <c r="B317" s="1"/>
      <c r="D317" s="1"/>
    </row>
    <row r="318" ht="14.25" customHeight="1">
      <c r="B318" s="1"/>
      <c r="D318" s="1"/>
    </row>
    <row r="319" ht="14.25" customHeight="1">
      <c r="B319" s="1"/>
      <c r="D319" s="1"/>
    </row>
    <row r="320" ht="14.25" customHeight="1">
      <c r="B320" s="1"/>
      <c r="D320" s="1"/>
    </row>
    <row r="321" ht="14.25" customHeight="1">
      <c r="B321" s="1"/>
      <c r="D321" s="1"/>
    </row>
    <row r="322" ht="14.25" customHeight="1">
      <c r="B322" s="1"/>
      <c r="D322" s="1"/>
    </row>
    <row r="323" ht="14.25" customHeight="1">
      <c r="B323" s="1"/>
      <c r="D323" s="1"/>
    </row>
    <row r="324" ht="14.25" customHeight="1">
      <c r="B324" s="1"/>
      <c r="D324" s="1"/>
    </row>
    <row r="325" ht="14.25" customHeight="1">
      <c r="B325" s="1"/>
      <c r="D325" s="1"/>
    </row>
    <row r="326" ht="14.25" customHeight="1">
      <c r="B326" s="1"/>
      <c r="D326" s="1"/>
    </row>
    <row r="327" ht="14.25" customHeight="1">
      <c r="B327" s="1"/>
      <c r="D327" s="1"/>
    </row>
    <row r="328" ht="14.25" customHeight="1">
      <c r="B328" s="1"/>
      <c r="D328" s="1"/>
    </row>
    <row r="329" ht="14.25" customHeight="1">
      <c r="B329" s="1"/>
      <c r="D329" s="1"/>
    </row>
    <row r="330" ht="14.25" customHeight="1">
      <c r="B330" s="1"/>
      <c r="D330" s="1"/>
    </row>
    <row r="331" ht="14.25" customHeight="1">
      <c r="B331" s="1"/>
      <c r="D331" s="1"/>
    </row>
    <row r="332" ht="14.25" customHeight="1">
      <c r="B332" s="1"/>
      <c r="D332" s="1"/>
    </row>
    <row r="333" ht="14.25" customHeight="1">
      <c r="B333" s="1"/>
      <c r="D333" s="1"/>
    </row>
    <row r="334" ht="14.25" customHeight="1">
      <c r="B334" s="1"/>
      <c r="D334" s="1"/>
    </row>
    <row r="335" ht="14.25" customHeight="1">
      <c r="B335" s="1"/>
      <c r="D335" s="1"/>
    </row>
    <row r="336" ht="14.25" customHeight="1">
      <c r="B336" s="1"/>
      <c r="D336" s="1"/>
    </row>
    <row r="337" ht="14.25" customHeight="1">
      <c r="B337" s="1"/>
      <c r="D337" s="1"/>
    </row>
    <row r="338" ht="14.25" customHeight="1">
      <c r="B338" s="1"/>
      <c r="D338" s="1"/>
    </row>
    <row r="339" ht="14.25" customHeight="1">
      <c r="B339" s="1"/>
      <c r="D339" s="1"/>
    </row>
    <row r="340" ht="14.25" customHeight="1">
      <c r="B340" s="1"/>
      <c r="D340" s="1"/>
    </row>
    <row r="341" ht="14.25" customHeight="1">
      <c r="B341" s="1"/>
      <c r="D341" s="1"/>
    </row>
    <row r="342" ht="14.25" customHeight="1">
      <c r="B342" s="1"/>
      <c r="D342" s="1"/>
    </row>
    <row r="343" ht="14.25" customHeight="1">
      <c r="B343" s="1"/>
      <c r="D343" s="1"/>
    </row>
    <row r="344" ht="14.25" customHeight="1">
      <c r="B344" s="1"/>
      <c r="D344" s="1"/>
    </row>
    <row r="345" ht="14.25" customHeight="1">
      <c r="B345" s="1"/>
      <c r="D345" s="1"/>
    </row>
    <row r="346" ht="14.25" customHeight="1">
      <c r="B346" s="1"/>
      <c r="D346" s="1"/>
    </row>
    <row r="347" ht="14.25" customHeight="1">
      <c r="B347" s="1"/>
      <c r="D347" s="1"/>
    </row>
    <row r="348" ht="14.25" customHeight="1">
      <c r="B348" s="1"/>
      <c r="D348" s="1"/>
    </row>
    <row r="349" ht="14.25" customHeight="1">
      <c r="B349" s="1"/>
      <c r="D349" s="1"/>
    </row>
    <row r="350" ht="14.25" customHeight="1">
      <c r="B350" s="1"/>
      <c r="D350" s="1"/>
    </row>
    <row r="351" ht="14.25" customHeight="1">
      <c r="B351" s="1"/>
      <c r="D351" s="1"/>
    </row>
    <row r="352" ht="14.25" customHeight="1">
      <c r="B352" s="1"/>
      <c r="D352" s="1"/>
    </row>
    <row r="353" ht="14.25" customHeight="1">
      <c r="B353" s="1"/>
      <c r="D353" s="1"/>
    </row>
    <row r="354" ht="14.25" customHeight="1">
      <c r="B354" s="1"/>
      <c r="D354" s="1"/>
    </row>
    <row r="355" ht="14.25" customHeight="1">
      <c r="B355" s="1"/>
      <c r="D355" s="1"/>
    </row>
    <row r="356" ht="14.25" customHeight="1">
      <c r="B356" s="1"/>
      <c r="D356" s="1"/>
    </row>
    <row r="357" ht="14.25" customHeight="1">
      <c r="B357" s="1"/>
      <c r="D357" s="1"/>
    </row>
    <row r="358" ht="14.25" customHeight="1">
      <c r="B358" s="1"/>
      <c r="D358" s="1"/>
    </row>
    <row r="359" ht="14.25" customHeight="1">
      <c r="B359" s="1"/>
      <c r="D359" s="1"/>
    </row>
    <row r="360" ht="14.25" customHeight="1">
      <c r="B360" s="1"/>
      <c r="D360" s="1"/>
    </row>
    <row r="361" ht="14.25" customHeight="1">
      <c r="B361" s="1"/>
      <c r="D361" s="1"/>
    </row>
    <row r="362" ht="14.25" customHeight="1">
      <c r="B362" s="1"/>
      <c r="D362" s="1"/>
    </row>
    <row r="363" ht="14.25" customHeight="1">
      <c r="B363" s="1"/>
      <c r="D363" s="1"/>
    </row>
    <row r="364" ht="14.25" customHeight="1">
      <c r="B364" s="1"/>
      <c r="D364" s="1"/>
    </row>
    <row r="365" ht="14.25" customHeight="1">
      <c r="B365" s="1"/>
      <c r="D365" s="1"/>
    </row>
    <row r="366" ht="14.25" customHeight="1">
      <c r="B366" s="1"/>
      <c r="D366" s="1"/>
    </row>
    <row r="367" ht="14.25" customHeight="1">
      <c r="B367" s="1"/>
      <c r="D367" s="1"/>
    </row>
    <row r="368" ht="14.25" customHeight="1">
      <c r="B368" s="1"/>
      <c r="D368" s="1"/>
    </row>
    <row r="369" ht="14.25" customHeight="1">
      <c r="B369" s="1"/>
      <c r="D369" s="1"/>
    </row>
    <row r="370" ht="14.25" customHeight="1">
      <c r="B370" s="1"/>
      <c r="D370" s="1"/>
    </row>
    <row r="371" ht="14.25" customHeight="1">
      <c r="B371" s="1"/>
      <c r="D371" s="1"/>
    </row>
    <row r="372" ht="14.25" customHeight="1">
      <c r="B372" s="1"/>
      <c r="D372" s="1"/>
    </row>
    <row r="373" ht="14.25" customHeight="1">
      <c r="B373" s="1"/>
      <c r="D373" s="1"/>
    </row>
    <row r="374" ht="14.25" customHeight="1">
      <c r="B374" s="1"/>
      <c r="D374" s="1"/>
    </row>
    <row r="375" ht="14.25" customHeight="1">
      <c r="B375" s="1"/>
      <c r="D375" s="1"/>
    </row>
    <row r="376" ht="14.25" customHeight="1">
      <c r="B376" s="1"/>
      <c r="D376" s="1"/>
    </row>
    <row r="377" ht="14.25" customHeight="1">
      <c r="B377" s="1"/>
      <c r="D377" s="1"/>
    </row>
    <row r="378" ht="14.25" customHeight="1">
      <c r="B378" s="1"/>
      <c r="D378" s="1"/>
    </row>
    <row r="379" ht="14.25" customHeight="1">
      <c r="B379" s="1"/>
      <c r="D379" s="1"/>
    </row>
    <row r="380" ht="14.25" customHeight="1">
      <c r="B380" s="1"/>
      <c r="D380" s="1"/>
    </row>
    <row r="381" ht="14.25" customHeight="1">
      <c r="B381" s="1"/>
      <c r="D381" s="1"/>
    </row>
    <row r="382" ht="14.25" customHeight="1">
      <c r="B382" s="1"/>
      <c r="D382" s="1"/>
    </row>
    <row r="383" ht="14.25" customHeight="1">
      <c r="B383" s="1"/>
      <c r="D383" s="1"/>
    </row>
    <row r="384" ht="14.25" customHeight="1">
      <c r="B384" s="1"/>
      <c r="D384" s="1"/>
    </row>
    <row r="385" ht="14.25" customHeight="1">
      <c r="B385" s="1"/>
      <c r="D385" s="1"/>
    </row>
    <row r="386" ht="14.25" customHeight="1">
      <c r="B386" s="1"/>
      <c r="D386" s="1"/>
    </row>
    <row r="387" ht="14.25" customHeight="1">
      <c r="B387" s="1"/>
      <c r="D387" s="1"/>
    </row>
    <row r="388" ht="14.25" customHeight="1">
      <c r="B388" s="1"/>
      <c r="D388" s="1"/>
    </row>
    <row r="389" ht="14.25" customHeight="1">
      <c r="B389" s="1"/>
      <c r="D389" s="1"/>
    </row>
    <row r="390" ht="14.25" customHeight="1">
      <c r="B390" s="1"/>
      <c r="D390" s="1"/>
    </row>
    <row r="391" ht="14.25" customHeight="1">
      <c r="B391" s="1"/>
      <c r="D391" s="1"/>
    </row>
    <row r="392" ht="14.25" customHeight="1">
      <c r="B392" s="1"/>
      <c r="D392" s="1"/>
    </row>
    <row r="393" ht="14.25" customHeight="1">
      <c r="B393" s="1"/>
      <c r="D393" s="1"/>
    </row>
    <row r="394" ht="14.25" customHeight="1">
      <c r="B394" s="1"/>
      <c r="D394" s="1"/>
    </row>
    <row r="395" ht="14.25" customHeight="1">
      <c r="B395" s="1"/>
      <c r="D395" s="1"/>
    </row>
    <row r="396" ht="14.25" customHeight="1">
      <c r="B396" s="1"/>
      <c r="D396" s="1"/>
    </row>
    <row r="397" ht="14.25" customHeight="1">
      <c r="B397" s="1"/>
      <c r="D397" s="1"/>
    </row>
    <row r="398" ht="14.25" customHeight="1">
      <c r="B398" s="1"/>
      <c r="D398" s="1"/>
    </row>
    <row r="399" ht="14.25" customHeight="1">
      <c r="B399" s="1"/>
      <c r="D399" s="1"/>
    </row>
    <row r="400" ht="14.25" customHeight="1">
      <c r="B400" s="1"/>
      <c r="D400" s="1"/>
    </row>
    <row r="401" ht="14.25" customHeight="1">
      <c r="B401" s="1"/>
      <c r="D401" s="1"/>
    </row>
    <row r="402" ht="14.25" customHeight="1">
      <c r="B402" s="1"/>
      <c r="D402" s="1"/>
    </row>
    <row r="403" ht="14.25" customHeight="1">
      <c r="B403" s="1"/>
      <c r="D403" s="1"/>
    </row>
    <row r="404" ht="14.25" customHeight="1">
      <c r="B404" s="1"/>
      <c r="D404" s="1"/>
    </row>
    <row r="405" ht="14.25" customHeight="1">
      <c r="B405" s="1"/>
      <c r="D405" s="1"/>
    </row>
    <row r="406" ht="14.25" customHeight="1">
      <c r="B406" s="1"/>
      <c r="D406" s="1"/>
    </row>
    <row r="407" ht="14.25" customHeight="1">
      <c r="B407" s="1"/>
      <c r="D407" s="1"/>
    </row>
    <row r="408" ht="14.25" customHeight="1">
      <c r="B408" s="1"/>
      <c r="D408" s="1"/>
    </row>
    <row r="409" ht="14.25" customHeight="1">
      <c r="B409" s="1"/>
      <c r="D409" s="1"/>
    </row>
    <row r="410" ht="14.25" customHeight="1">
      <c r="B410" s="1"/>
      <c r="D410" s="1"/>
    </row>
    <row r="411" ht="14.25" customHeight="1">
      <c r="B411" s="1"/>
      <c r="D411" s="1"/>
    </row>
    <row r="412" ht="14.25" customHeight="1">
      <c r="B412" s="1"/>
      <c r="D412" s="1"/>
    </row>
    <row r="413" ht="14.25" customHeight="1">
      <c r="B413" s="1"/>
      <c r="D413" s="1"/>
    </row>
    <row r="414" ht="14.25" customHeight="1">
      <c r="B414" s="1"/>
      <c r="D414" s="1"/>
    </row>
    <row r="415" ht="14.25" customHeight="1">
      <c r="B415" s="1"/>
      <c r="D415" s="1"/>
    </row>
    <row r="416" ht="14.25" customHeight="1">
      <c r="B416" s="1"/>
      <c r="D416" s="1"/>
    </row>
    <row r="417" ht="14.25" customHeight="1">
      <c r="B417" s="1"/>
      <c r="D417" s="1"/>
    </row>
    <row r="418" ht="14.25" customHeight="1">
      <c r="B418" s="1"/>
      <c r="D418" s="1"/>
    </row>
    <row r="419" ht="14.25" customHeight="1">
      <c r="B419" s="1"/>
      <c r="D419" s="1"/>
    </row>
    <row r="420" ht="14.25" customHeight="1">
      <c r="B420" s="1"/>
      <c r="D420" s="1"/>
    </row>
    <row r="421" ht="14.25" customHeight="1">
      <c r="B421" s="1"/>
      <c r="D421" s="1"/>
    </row>
    <row r="422" ht="14.25" customHeight="1">
      <c r="B422" s="1"/>
      <c r="D422" s="1"/>
    </row>
    <row r="423" ht="14.25" customHeight="1">
      <c r="B423" s="1"/>
      <c r="D423" s="1"/>
    </row>
    <row r="424" ht="14.25" customHeight="1">
      <c r="B424" s="1"/>
      <c r="D424" s="1"/>
    </row>
    <row r="425" ht="14.25" customHeight="1">
      <c r="B425" s="1"/>
      <c r="D425" s="1"/>
    </row>
    <row r="426" ht="14.25" customHeight="1">
      <c r="B426" s="1"/>
      <c r="D426" s="1"/>
    </row>
    <row r="427" ht="14.25" customHeight="1">
      <c r="B427" s="1"/>
      <c r="D427" s="1"/>
    </row>
    <row r="428" ht="14.25" customHeight="1">
      <c r="B428" s="1"/>
      <c r="D428" s="1"/>
    </row>
    <row r="429" ht="14.25" customHeight="1">
      <c r="B429" s="1"/>
      <c r="D429" s="1"/>
    </row>
    <row r="430" ht="14.25" customHeight="1">
      <c r="B430" s="1"/>
      <c r="D430" s="1"/>
    </row>
    <row r="431" ht="14.25" customHeight="1">
      <c r="B431" s="1"/>
      <c r="D431" s="1"/>
    </row>
    <row r="432" ht="14.25" customHeight="1">
      <c r="B432" s="1"/>
      <c r="D432" s="1"/>
    </row>
    <row r="433" ht="14.25" customHeight="1">
      <c r="B433" s="1"/>
      <c r="D433" s="1"/>
    </row>
    <row r="434" ht="14.25" customHeight="1">
      <c r="B434" s="1"/>
      <c r="D434" s="1"/>
    </row>
    <row r="435" ht="14.25" customHeight="1">
      <c r="B435" s="1"/>
      <c r="D435" s="1"/>
    </row>
    <row r="436" ht="14.25" customHeight="1">
      <c r="B436" s="1"/>
      <c r="D436" s="1"/>
    </row>
    <row r="437" ht="14.25" customHeight="1">
      <c r="B437" s="1"/>
      <c r="D437" s="1"/>
    </row>
    <row r="438" ht="14.25" customHeight="1">
      <c r="B438" s="1"/>
      <c r="D438" s="1"/>
    </row>
    <row r="439" ht="14.25" customHeight="1">
      <c r="B439" s="1"/>
      <c r="D439" s="1"/>
    </row>
    <row r="440" ht="14.25" customHeight="1">
      <c r="B440" s="1"/>
      <c r="D440" s="1"/>
    </row>
    <row r="441" ht="14.25" customHeight="1">
      <c r="B441" s="1"/>
      <c r="D441" s="1"/>
    </row>
    <row r="442" ht="14.25" customHeight="1">
      <c r="B442" s="1"/>
      <c r="D442" s="1"/>
    </row>
    <row r="443" ht="14.25" customHeight="1">
      <c r="B443" s="1"/>
      <c r="D443" s="1"/>
    </row>
    <row r="444" ht="14.25" customHeight="1">
      <c r="B444" s="1"/>
      <c r="D444" s="1"/>
    </row>
    <row r="445" ht="14.25" customHeight="1">
      <c r="B445" s="1"/>
      <c r="D445" s="1"/>
    </row>
    <row r="446" ht="14.25" customHeight="1">
      <c r="B446" s="1"/>
      <c r="D446" s="1"/>
    </row>
    <row r="447" ht="14.25" customHeight="1">
      <c r="B447" s="1"/>
      <c r="D447" s="1"/>
    </row>
    <row r="448" ht="14.25" customHeight="1">
      <c r="B448" s="1"/>
      <c r="D448" s="1"/>
    </row>
    <row r="449" ht="14.25" customHeight="1">
      <c r="B449" s="1"/>
      <c r="D449" s="1"/>
    </row>
    <row r="450" ht="14.25" customHeight="1">
      <c r="B450" s="1"/>
      <c r="D450" s="1"/>
    </row>
    <row r="451" ht="14.25" customHeight="1">
      <c r="B451" s="1"/>
      <c r="D451" s="1"/>
    </row>
    <row r="452" ht="14.25" customHeight="1">
      <c r="B452" s="1"/>
      <c r="D452" s="1"/>
    </row>
    <row r="453" ht="14.25" customHeight="1">
      <c r="B453" s="1"/>
      <c r="D453" s="1"/>
    </row>
    <row r="454" ht="14.25" customHeight="1">
      <c r="B454" s="1"/>
      <c r="D454" s="1"/>
    </row>
    <row r="455" ht="14.25" customHeight="1">
      <c r="B455" s="1"/>
      <c r="D455" s="1"/>
    </row>
    <row r="456" ht="14.25" customHeight="1">
      <c r="B456" s="1"/>
      <c r="D456" s="1"/>
    </row>
    <row r="457" ht="14.25" customHeight="1">
      <c r="B457" s="1"/>
      <c r="D457" s="1"/>
    </row>
    <row r="458" ht="14.25" customHeight="1">
      <c r="B458" s="1"/>
      <c r="D458" s="1"/>
    </row>
    <row r="459" ht="14.25" customHeight="1">
      <c r="B459" s="1"/>
      <c r="D459" s="1"/>
    </row>
    <row r="460" ht="14.25" customHeight="1">
      <c r="B460" s="1"/>
      <c r="D460" s="1"/>
    </row>
    <row r="461" ht="14.25" customHeight="1">
      <c r="B461" s="1"/>
      <c r="D461" s="1"/>
    </row>
    <row r="462" ht="14.25" customHeight="1">
      <c r="B462" s="1"/>
      <c r="D462" s="1"/>
    </row>
    <row r="463" ht="14.25" customHeight="1">
      <c r="B463" s="1"/>
      <c r="D463" s="1"/>
    </row>
    <row r="464" ht="14.25" customHeight="1">
      <c r="B464" s="1"/>
      <c r="D464" s="1"/>
    </row>
    <row r="465" ht="14.25" customHeight="1">
      <c r="B465" s="1"/>
      <c r="D465" s="1"/>
    </row>
    <row r="466" ht="14.25" customHeight="1">
      <c r="B466" s="1"/>
      <c r="D466" s="1"/>
    </row>
    <row r="467" ht="14.25" customHeight="1">
      <c r="B467" s="1"/>
      <c r="D467" s="1"/>
    </row>
    <row r="468" ht="14.25" customHeight="1">
      <c r="B468" s="1"/>
      <c r="D468" s="1"/>
    </row>
    <row r="469" ht="14.25" customHeight="1">
      <c r="B469" s="1"/>
      <c r="D469" s="1"/>
    </row>
    <row r="470" ht="14.25" customHeight="1">
      <c r="B470" s="1"/>
      <c r="D470" s="1"/>
    </row>
    <row r="471" ht="14.25" customHeight="1">
      <c r="B471" s="1"/>
      <c r="D471" s="1"/>
    </row>
    <row r="472" ht="14.25" customHeight="1">
      <c r="B472" s="1"/>
      <c r="D472" s="1"/>
    </row>
    <row r="473" ht="14.25" customHeight="1">
      <c r="B473" s="1"/>
      <c r="D473" s="1"/>
    </row>
    <row r="474" ht="14.25" customHeight="1">
      <c r="B474" s="1"/>
      <c r="D474" s="1"/>
    </row>
    <row r="475" ht="14.25" customHeight="1">
      <c r="B475" s="1"/>
      <c r="D475" s="1"/>
    </row>
    <row r="476" ht="14.25" customHeight="1">
      <c r="B476" s="1"/>
      <c r="D476" s="1"/>
    </row>
    <row r="477" ht="14.25" customHeight="1">
      <c r="B477" s="1"/>
      <c r="D477" s="1"/>
    </row>
    <row r="478" ht="14.25" customHeight="1">
      <c r="B478" s="1"/>
      <c r="D478" s="1"/>
    </row>
    <row r="479" ht="14.25" customHeight="1">
      <c r="B479" s="1"/>
      <c r="D479" s="1"/>
    </row>
    <row r="480" ht="14.25" customHeight="1">
      <c r="B480" s="1"/>
      <c r="D480" s="1"/>
    </row>
    <row r="481" ht="14.25" customHeight="1">
      <c r="B481" s="1"/>
      <c r="D481" s="1"/>
    </row>
    <row r="482" ht="14.25" customHeight="1">
      <c r="B482" s="1"/>
      <c r="D482" s="1"/>
    </row>
    <row r="483" ht="14.25" customHeight="1">
      <c r="B483" s="1"/>
      <c r="D483" s="1"/>
    </row>
    <row r="484" ht="14.25" customHeight="1">
      <c r="B484" s="1"/>
      <c r="D484" s="1"/>
    </row>
    <row r="485" ht="14.25" customHeight="1">
      <c r="B485" s="1"/>
      <c r="D485" s="1"/>
    </row>
    <row r="486" ht="14.25" customHeight="1">
      <c r="B486" s="1"/>
      <c r="D486" s="1"/>
    </row>
    <row r="487" ht="14.25" customHeight="1">
      <c r="B487" s="1"/>
      <c r="D487" s="1"/>
    </row>
    <row r="488" ht="14.25" customHeight="1">
      <c r="B488" s="1"/>
      <c r="D488" s="1"/>
    </row>
    <row r="489" ht="14.25" customHeight="1">
      <c r="B489" s="1"/>
      <c r="D489" s="1"/>
    </row>
    <row r="490" ht="14.25" customHeight="1">
      <c r="B490" s="1"/>
      <c r="D490" s="1"/>
    </row>
    <row r="491" ht="14.25" customHeight="1">
      <c r="B491" s="1"/>
      <c r="D491" s="1"/>
    </row>
    <row r="492" ht="14.25" customHeight="1">
      <c r="B492" s="1"/>
      <c r="D492" s="1"/>
    </row>
    <row r="493" ht="14.25" customHeight="1">
      <c r="B493" s="1"/>
      <c r="D493" s="1"/>
    </row>
    <row r="494" ht="14.25" customHeight="1">
      <c r="B494" s="1"/>
      <c r="D494" s="1"/>
    </row>
    <row r="495" ht="14.25" customHeight="1">
      <c r="B495" s="1"/>
      <c r="D495" s="1"/>
    </row>
    <row r="496" ht="14.25" customHeight="1">
      <c r="B496" s="1"/>
      <c r="D496" s="1"/>
    </row>
    <row r="497" ht="14.25" customHeight="1">
      <c r="B497" s="1"/>
      <c r="D497" s="1"/>
    </row>
    <row r="498" ht="14.25" customHeight="1">
      <c r="B498" s="1"/>
      <c r="D498" s="1"/>
    </row>
    <row r="499" ht="14.25" customHeight="1">
      <c r="B499" s="1"/>
      <c r="D499" s="1"/>
    </row>
    <row r="500" ht="14.25" customHeight="1">
      <c r="B500" s="1"/>
      <c r="D500" s="1"/>
    </row>
    <row r="501" ht="14.25" customHeight="1">
      <c r="B501" s="1"/>
      <c r="D501" s="1"/>
    </row>
    <row r="502" ht="14.25" customHeight="1">
      <c r="B502" s="1"/>
      <c r="D502" s="1"/>
    </row>
    <row r="503" ht="14.25" customHeight="1">
      <c r="B503" s="1"/>
      <c r="D503" s="1"/>
    </row>
    <row r="504" ht="14.25" customHeight="1">
      <c r="B504" s="1"/>
      <c r="D504" s="1"/>
    </row>
    <row r="505" ht="14.25" customHeight="1">
      <c r="B505" s="1"/>
      <c r="D505" s="1"/>
    </row>
    <row r="506" ht="14.25" customHeight="1">
      <c r="B506" s="1"/>
      <c r="D506" s="1"/>
    </row>
    <row r="507" ht="14.25" customHeight="1">
      <c r="B507" s="1"/>
      <c r="D507" s="1"/>
    </row>
    <row r="508" ht="14.25" customHeight="1">
      <c r="B508" s="1"/>
      <c r="D508" s="1"/>
    </row>
    <row r="509" ht="14.25" customHeight="1">
      <c r="B509" s="1"/>
      <c r="D509" s="1"/>
    </row>
    <row r="510" ht="14.25" customHeight="1">
      <c r="B510" s="1"/>
      <c r="D510" s="1"/>
    </row>
    <row r="511" ht="14.25" customHeight="1">
      <c r="B511" s="1"/>
      <c r="D511" s="1"/>
    </row>
    <row r="512" ht="14.25" customHeight="1">
      <c r="B512" s="1"/>
      <c r="D512" s="1"/>
    </row>
    <row r="513" ht="14.25" customHeight="1">
      <c r="B513" s="1"/>
      <c r="D513" s="1"/>
    </row>
    <row r="514" ht="14.25" customHeight="1">
      <c r="B514" s="1"/>
      <c r="D514" s="1"/>
    </row>
    <row r="515" ht="14.25" customHeight="1">
      <c r="B515" s="1"/>
      <c r="D515" s="1"/>
    </row>
    <row r="516" ht="14.25" customHeight="1">
      <c r="B516" s="1"/>
      <c r="D516" s="1"/>
    </row>
    <row r="517" ht="14.25" customHeight="1">
      <c r="B517" s="1"/>
      <c r="D517" s="1"/>
    </row>
    <row r="518" ht="14.25" customHeight="1">
      <c r="B518" s="1"/>
      <c r="D518" s="1"/>
    </row>
    <row r="519" ht="14.25" customHeight="1">
      <c r="B519" s="1"/>
      <c r="D519" s="1"/>
    </row>
    <row r="520" ht="14.25" customHeight="1">
      <c r="B520" s="1"/>
      <c r="D520" s="1"/>
    </row>
    <row r="521" ht="14.25" customHeight="1">
      <c r="B521" s="1"/>
      <c r="D521" s="1"/>
    </row>
    <row r="522" ht="14.25" customHeight="1">
      <c r="B522" s="1"/>
      <c r="D522" s="1"/>
    </row>
    <row r="523" ht="14.25" customHeight="1">
      <c r="B523" s="1"/>
      <c r="D523" s="1"/>
    </row>
    <row r="524" ht="14.25" customHeight="1">
      <c r="B524" s="1"/>
      <c r="D524" s="1"/>
    </row>
    <row r="525" ht="14.25" customHeight="1">
      <c r="B525" s="1"/>
      <c r="D525" s="1"/>
    </row>
    <row r="526" ht="14.25" customHeight="1">
      <c r="B526" s="1"/>
      <c r="D526" s="1"/>
    </row>
    <row r="527" ht="14.25" customHeight="1">
      <c r="B527" s="1"/>
      <c r="D527" s="1"/>
    </row>
    <row r="528" ht="14.25" customHeight="1">
      <c r="B528" s="1"/>
      <c r="D528" s="1"/>
    </row>
    <row r="529" ht="14.25" customHeight="1">
      <c r="B529" s="1"/>
      <c r="D529" s="1"/>
    </row>
    <row r="530" ht="14.25" customHeight="1">
      <c r="B530" s="1"/>
      <c r="D530" s="1"/>
    </row>
    <row r="531" ht="14.25" customHeight="1">
      <c r="B531" s="1"/>
      <c r="D531" s="1"/>
    </row>
    <row r="532" ht="14.25" customHeight="1">
      <c r="B532" s="1"/>
      <c r="D532" s="1"/>
    </row>
    <row r="533" ht="14.25" customHeight="1">
      <c r="B533" s="1"/>
      <c r="D533" s="1"/>
    </row>
    <row r="534" ht="14.25" customHeight="1">
      <c r="B534" s="1"/>
      <c r="D534" s="1"/>
    </row>
    <row r="535" ht="14.25" customHeight="1">
      <c r="B535" s="1"/>
      <c r="D535" s="1"/>
    </row>
    <row r="536" ht="14.25" customHeight="1">
      <c r="B536" s="1"/>
      <c r="D536" s="1"/>
    </row>
    <row r="537" ht="14.25" customHeight="1">
      <c r="B537" s="1"/>
      <c r="D537" s="1"/>
    </row>
    <row r="538" ht="14.25" customHeight="1">
      <c r="B538" s="1"/>
      <c r="D538" s="1"/>
    </row>
    <row r="539" ht="14.25" customHeight="1">
      <c r="B539" s="1"/>
      <c r="D539" s="1"/>
    </row>
    <row r="540" ht="14.25" customHeight="1">
      <c r="B540" s="1"/>
      <c r="D540" s="1"/>
    </row>
    <row r="541" ht="14.25" customHeight="1">
      <c r="B541" s="1"/>
      <c r="D541" s="1"/>
    </row>
    <row r="542" ht="14.25" customHeight="1">
      <c r="B542" s="1"/>
      <c r="D542" s="1"/>
    </row>
    <row r="543" ht="14.25" customHeight="1">
      <c r="B543" s="1"/>
      <c r="D543" s="1"/>
    </row>
    <row r="544" ht="14.25" customHeight="1">
      <c r="B544" s="1"/>
      <c r="D544" s="1"/>
    </row>
    <row r="545" ht="14.25" customHeight="1">
      <c r="B545" s="1"/>
      <c r="D545" s="1"/>
    </row>
    <row r="546" ht="14.25" customHeight="1">
      <c r="B546" s="1"/>
      <c r="D546" s="1"/>
    </row>
    <row r="547" ht="14.25" customHeight="1">
      <c r="B547" s="1"/>
      <c r="D547" s="1"/>
    </row>
    <row r="548" ht="14.25" customHeight="1">
      <c r="B548" s="1"/>
      <c r="D548" s="1"/>
    </row>
    <row r="549" ht="14.25" customHeight="1">
      <c r="B549" s="1"/>
      <c r="D549" s="1"/>
    </row>
    <row r="550" ht="14.25" customHeight="1">
      <c r="B550" s="1"/>
      <c r="D550" s="1"/>
    </row>
    <row r="551" ht="14.25" customHeight="1">
      <c r="B551" s="1"/>
      <c r="D551" s="1"/>
    </row>
    <row r="552" ht="14.25" customHeight="1">
      <c r="B552" s="1"/>
      <c r="D552" s="1"/>
    </row>
    <row r="553" ht="14.25" customHeight="1">
      <c r="B553" s="1"/>
      <c r="D553" s="1"/>
    </row>
    <row r="554" ht="14.25" customHeight="1">
      <c r="B554" s="1"/>
      <c r="D554" s="1"/>
    </row>
    <row r="555" ht="14.25" customHeight="1">
      <c r="B555" s="1"/>
      <c r="D555" s="1"/>
    </row>
    <row r="556" ht="14.25" customHeight="1">
      <c r="B556" s="1"/>
      <c r="D556" s="1"/>
    </row>
    <row r="557" ht="14.25" customHeight="1">
      <c r="B557" s="1"/>
      <c r="D557" s="1"/>
    </row>
    <row r="558" ht="14.25" customHeight="1">
      <c r="B558" s="1"/>
      <c r="D558" s="1"/>
    </row>
    <row r="559" ht="14.25" customHeight="1">
      <c r="B559" s="1"/>
      <c r="D559" s="1"/>
    </row>
    <row r="560" ht="14.25" customHeight="1">
      <c r="B560" s="1"/>
      <c r="D560" s="1"/>
    </row>
    <row r="561" ht="14.25" customHeight="1">
      <c r="B561" s="1"/>
      <c r="D561" s="1"/>
    </row>
    <row r="562" ht="14.25" customHeight="1">
      <c r="B562" s="1"/>
      <c r="D562" s="1"/>
    </row>
    <row r="563" ht="14.25" customHeight="1">
      <c r="B563" s="1"/>
      <c r="D563" s="1"/>
    </row>
    <row r="564" ht="14.25" customHeight="1">
      <c r="B564" s="1"/>
      <c r="D564" s="1"/>
    </row>
    <row r="565" ht="14.25" customHeight="1">
      <c r="B565" s="1"/>
      <c r="D565" s="1"/>
    </row>
    <row r="566" ht="14.25" customHeight="1">
      <c r="B566" s="1"/>
      <c r="D566" s="1"/>
    </row>
    <row r="567" ht="14.25" customHeight="1">
      <c r="B567" s="1"/>
      <c r="D567" s="1"/>
    </row>
    <row r="568" ht="14.25" customHeight="1">
      <c r="B568" s="1"/>
      <c r="D568" s="1"/>
    </row>
    <row r="569" ht="14.25" customHeight="1">
      <c r="B569" s="1"/>
      <c r="D569" s="1"/>
    </row>
    <row r="570" ht="14.25" customHeight="1">
      <c r="B570" s="1"/>
      <c r="D570" s="1"/>
    </row>
    <row r="571" ht="14.25" customHeight="1">
      <c r="B571" s="1"/>
      <c r="D571" s="1"/>
    </row>
    <row r="572" ht="14.25" customHeight="1">
      <c r="B572" s="1"/>
      <c r="D572" s="1"/>
    </row>
    <row r="573" ht="14.25" customHeight="1">
      <c r="B573" s="1"/>
      <c r="D573" s="1"/>
    </row>
    <row r="574" ht="14.25" customHeight="1">
      <c r="B574" s="1"/>
      <c r="D574" s="1"/>
    </row>
    <row r="575" ht="14.25" customHeight="1">
      <c r="B575" s="1"/>
      <c r="D575" s="1"/>
    </row>
    <row r="576" ht="14.25" customHeight="1">
      <c r="B576" s="1"/>
      <c r="D576" s="1"/>
    </row>
    <row r="577" ht="14.25" customHeight="1">
      <c r="B577" s="1"/>
      <c r="D577" s="1"/>
    </row>
    <row r="578" ht="14.25" customHeight="1">
      <c r="B578" s="1"/>
      <c r="D578" s="1"/>
    </row>
    <row r="579" ht="14.25" customHeight="1">
      <c r="B579" s="1"/>
      <c r="D579" s="1"/>
    </row>
    <row r="580" ht="14.25" customHeight="1">
      <c r="B580" s="1"/>
      <c r="D580" s="1"/>
    </row>
    <row r="581" ht="14.25" customHeight="1">
      <c r="B581" s="1"/>
      <c r="D581" s="1"/>
    </row>
    <row r="582" ht="14.25" customHeight="1">
      <c r="B582" s="1"/>
      <c r="D582" s="1"/>
    </row>
    <row r="583" ht="14.25" customHeight="1">
      <c r="B583" s="1"/>
      <c r="D583" s="1"/>
    </row>
    <row r="584" ht="14.25" customHeight="1">
      <c r="B584" s="1"/>
      <c r="D584" s="1"/>
    </row>
    <row r="585" ht="14.25" customHeight="1">
      <c r="B585" s="1"/>
      <c r="D585" s="1"/>
    </row>
    <row r="586" ht="14.25" customHeight="1">
      <c r="B586" s="1"/>
      <c r="D586" s="1"/>
    </row>
    <row r="587" ht="14.25" customHeight="1">
      <c r="B587" s="1"/>
      <c r="D587" s="1"/>
    </row>
    <row r="588" ht="14.25" customHeight="1">
      <c r="B588" s="1"/>
      <c r="D588" s="1"/>
    </row>
    <row r="589" ht="14.25" customHeight="1">
      <c r="B589" s="1"/>
      <c r="D589" s="1"/>
    </row>
    <row r="590" ht="14.25" customHeight="1">
      <c r="B590" s="1"/>
      <c r="D590" s="1"/>
    </row>
    <row r="591" ht="14.25" customHeight="1">
      <c r="B591" s="1"/>
      <c r="D591" s="1"/>
    </row>
    <row r="592" ht="14.25" customHeight="1">
      <c r="B592" s="1"/>
      <c r="D592" s="1"/>
    </row>
    <row r="593" ht="14.25" customHeight="1">
      <c r="B593" s="1"/>
      <c r="D593" s="1"/>
    </row>
    <row r="594" ht="14.25" customHeight="1">
      <c r="B594" s="1"/>
      <c r="D594" s="1"/>
    </row>
    <row r="595" ht="14.25" customHeight="1">
      <c r="B595" s="1"/>
      <c r="D595" s="1"/>
    </row>
    <row r="596" ht="14.25" customHeight="1">
      <c r="B596" s="1"/>
      <c r="D596" s="1"/>
    </row>
    <row r="597" ht="14.25" customHeight="1">
      <c r="B597" s="1"/>
      <c r="D597" s="1"/>
    </row>
    <row r="598" ht="14.25" customHeight="1">
      <c r="B598" s="1"/>
      <c r="D598" s="1"/>
    </row>
    <row r="599" ht="14.25" customHeight="1">
      <c r="B599" s="1"/>
      <c r="D599" s="1"/>
    </row>
    <row r="600" ht="14.25" customHeight="1">
      <c r="B600" s="1"/>
      <c r="D600" s="1"/>
    </row>
    <row r="601" ht="14.25" customHeight="1">
      <c r="B601" s="1"/>
      <c r="D601" s="1"/>
    </row>
    <row r="602" ht="14.25" customHeight="1">
      <c r="B602" s="1"/>
      <c r="D602" s="1"/>
    </row>
    <row r="603" ht="14.25" customHeight="1">
      <c r="B603" s="1"/>
      <c r="D603" s="1"/>
    </row>
    <row r="604" ht="14.25" customHeight="1">
      <c r="B604" s="1"/>
      <c r="D604" s="1"/>
    </row>
    <row r="605" ht="14.25" customHeight="1">
      <c r="B605" s="1"/>
      <c r="D605" s="1"/>
    </row>
    <row r="606" ht="14.25" customHeight="1">
      <c r="B606" s="1"/>
      <c r="D606" s="1"/>
    </row>
    <row r="607" ht="14.25" customHeight="1">
      <c r="B607" s="1"/>
      <c r="D607" s="1"/>
    </row>
    <row r="608" ht="14.25" customHeight="1">
      <c r="B608" s="1"/>
      <c r="D608" s="1"/>
    </row>
    <row r="609" ht="14.25" customHeight="1">
      <c r="B609" s="1"/>
      <c r="D609" s="1"/>
    </row>
    <row r="610" ht="14.25" customHeight="1">
      <c r="B610" s="1"/>
      <c r="D610" s="1"/>
    </row>
    <row r="611" ht="14.25" customHeight="1">
      <c r="B611" s="1"/>
      <c r="D611" s="1"/>
    </row>
    <row r="612" ht="14.25" customHeight="1">
      <c r="B612" s="1"/>
      <c r="D612" s="1"/>
    </row>
    <row r="613" ht="14.25" customHeight="1">
      <c r="B613" s="1"/>
      <c r="D613" s="1"/>
    </row>
    <row r="614" ht="14.25" customHeight="1">
      <c r="B614" s="1"/>
      <c r="D614" s="1"/>
    </row>
    <row r="615" ht="14.25" customHeight="1">
      <c r="B615" s="1"/>
      <c r="D615" s="1"/>
    </row>
    <row r="616" ht="14.25" customHeight="1">
      <c r="B616" s="1"/>
      <c r="D616" s="1"/>
    </row>
    <row r="617" ht="14.25" customHeight="1">
      <c r="B617" s="1"/>
      <c r="D617" s="1"/>
    </row>
    <row r="618" ht="14.25" customHeight="1">
      <c r="B618" s="1"/>
      <c r="D618" s="1"/>
    </row>
    <row r="619" ht="14.25" customHeight="1">
      <c r="B619" s="1"/>
      <c r="D619" s="1"/>
    </row>
    <row r="620" ht="14.25" customHeight="1">
      <c r="B620" s="1"/>
      <c r="D620" s="1"/>
    </row>
    <row r="621" ht="14.25" customHeight="1">
      <c r="B621" s="1"/>
      <c r="D621" s="1"/>
    </row>
    <row r="622" ht="14.25" customHeight="1">
      <c r="B622" s="1"/>
      <c r="D622" s="1"/>
    </row>
    <row r="623" ht="14.25" customHeight="1">
      <c r="B623" s="1"/>
      <c r="D623" s="1"/>
    </row>
    <row r="624" ht="14.25" customHeight="1">
      <c r="B624" s="1"/>
      <c r="D624" s="1"/>
    </row>
    <row r="625" ht="14.25" customHeight="1">
      <c r="B625" s="1"/>
      <c r="D625" s="1"/>
    </row>
    <row r="626" ht="14.25" customHeight="1">
      <c r="B626" s="1"/>
      <c r="D626" s="1"/>
    </row>
    <row r="627" ht="14.25" customHeight="1">
      <c r="B627" s="1"/>
      <c r="D627" s="1"/>
    </row>
    <row r="628" ht="14.25" customHeight="1">
      <c r="B628" s="1"/>
      <c r="D628" s="1"/>
    </row>
    <row r="629" ht="14.25" customHeight="1">
      <c r="B629" s="1"/>
      <c r="D629" s="1"/>
    </row>
    <row r="630" ht="14.25" customHeight="1">
      <c r="B630" s="1"/>
      <c r="D630" s="1"/>
    </row>
    <row r="631" ht="14.25" customHeight="1">
      <c r="B631" s="1"/>
      <c r="D631" s="1"/>
    </row>
    <row r="632" ht="14.25" customHeight="1">
      <c r="B632" s="1"/>
      <c r="D632" s="1"/>
    </row>
    <row r="633" ht="14.25" customHeight="1">
      <c r="B633" s="1"/>
      <c r="D633" s="1"/>
    </row>
    <row r="634" ht="14.25" customHeight="1">
      <c r="B634" s="1"/>
      <c r="D634" s="1"/>
    </row>
    <row r="635" ht="14.25" customHeight="1">
      <c r="B635" s="1"/>
      <c r="D635" s="1"/>
    </row>
    <row r="636" ht="14.25" customHeight="1">
      <c r="B636" s="1"/>
      <c r="D636" s="1"/>
    </row>
    <row r="637" ht="14.25" customHeight="1">
      <c r="B637" s="1"/>
      <c r="D637" s="1"/>
    </row>
    <row r="638" ht="14.25" customHeight="1">
      <c r="B638" s="1"/>
      <c r="D638" s="1"/>
    </row>
    <row r="639" ht="14.25" customHeight="1">
      <c r="B639" s="1"/>
      <c r="D639" s="1"/>
    </row>
    <row r="640" ht="14.25" customHeight="1">
      <c r="B640" s="1"/>
      <c r="D640" s="1"/>
    </row>
    <row r="641" ht="14.25" customHeight="1">
      <c r="B641" s="1"/>
      <c r="D641" s="1"/>
    </row>
    <row r="642" ht="14.25" customHeight="1">
      <c r="B642" s="1"/>
      <c r="D642" s="1"/>
    </row>
    <row r="643" ht="14.25" customHeight="1">
      <c r="B643" s="1"/>
      <c r="D643" s="1"/>
    </row>
    <row r="644" ht="14.25" customHeight="1">
      <c r="B644" s="1"/>
      <c r="D644" s="1"/>
    </row>
    <row r="645" ht="14.25" customHeight="1">
      <c r="B645" s="1"/>
      <c r="D645" s="1"/>
    </row>
    <row r="646" ht="14.25" customHeight="1">
      <c r="B646" s="1"/>
      <c r="D646" s="1"/>
    </row>
    <row r="647" ht="14.25" customHeight="1">
      <c r="B647" s="1"/>
      <c r="D647" s="1"/>
    </row>
    <row r="648" ht="14.25" customHeight="1">
      <c r="B648" s="1"/>
      <c r="D648" s="1"/>
    </row>
    <row r="649" ht="14.25" customHeight="1">
      <c r="B649" s="1"/>
      <c r="D649" s="1"/>
    </row>
    <row r="650" ht="14.25" customHeight="1">
      <c r="B650" s="1"/>
      <c r="D650" s="1"/>
    </row>
    <row r="651" ht="14.25" customHeight="1">
      <c r="B651" s="1"/>
      <c r="D651" s="1"/>
    </row>
    <row r="652" ht="14.25" customHeight="1">
      <c r="B652" s="1"/>
      <c r="D652" s="1"/>
    </row>
    <row r="653" ht="14.25" customHeight="1">
      <c r="B653" s="1"/>
      <c r="D653" s="1"/>
    </row>
    <row r="654" ht="14.25" customHeight="1">
      <c r="B654" s="1"/>
      <c r="D654" s="1"/>
    </row>
    <row r="655" ht="14.25" customHeight="1">
      <c r="B655" s="1"/>
      <c r="D655" s="1"/>
    </row>
    <row r="656" ht="14.25" customHeight="1">
      <c r="B656" s="1"/>
      <c r="D656" s="1"/>
    </row>
    <row r="657" ht="14.25" customHeight="1">
      <c r="B657" s="1"/>
      <c r="D657" s="1"/>
    </row>
    <row r="658" ht="14.25" customHeight="1">
      <c r="B658" s="1"/>
      <c r="D658" s="1"/>
    </row>
    <row r="659" ht="14.25" customHeight="1">
      <c r="B659" s="1"/>
      <c r="D659" s="1"/>
    </row>
    <row r="660" ht="14.25" customHeight="1">
      <c r="B660" s="1"/>
      <c r="D660" s="1"/>
    </row>
    <row r="661" ht="14.25" customHeight="1">
      <c r="B661" s="1"/>
      <c r="D661" s="1"/>
    </row>
    <row r="662" ht="14.25" customHeight="1">
      <c r="B662" s="1"/>
      <c r="D662" s="1"/>
    </row>
    <row r="663" ht="14.25" customHeight="1">
      <c r="B663" s="1"/>
      <c r="D663" s="1"/>
    </row>
    <row r="664" ht="14.25" customHeight="1">
      <c r="B664" s="1"/>
      <c r="D664" s="1"/>
    </row>
    <row r="665" ht="14.25" customHeight="1">
      <c r="B665" s="1"/>
      <c r="D665" s="1"/>
    </row>
    <row r="666" ht="14.25" customHeight="1">
      <c r="B666" s="1"/>
      <c r="D666" s="1"/>
    </row>
    <row r="667" ht="14.25" customHeight="1">
      <c r="B667" s="1"/>
      <c r="D667" s="1"/>
    </row>
    <row r="668" ht="14.25" customHeight="1">
      <c r="B668" s="1"/>
      <c r="D668" s="1"/>
    </row>
    <row r="669" ht="14.25" customHeight="1">
      <c r="B669" s="1"/>
      <c r="D669" s="1"/>
    </row>
    <row r="670" ht="14.25" customHeight="1">
      <c r="B670" s="1"/>
      <c r="D670" s="1"/>
    </row>
    <row r="671" ht="14.25" customHeight="1">
      <c r="B671" s="1"/>
      <c r="D671" s="1"/>
    </row>
    <row r="672" ht="14.25" customHeight="1">
      <c r="B672" s="1"/>
      <c r="D672" s="1"/>
    </row>
    <row r="673" ht="14.25" customHeight="1">
      <c r="B673" s="1"/>
      <c r="D673" s="1"/>
    </row>
    <row r="674" ht="14.25" customHeight="1">
      <c r="B674" s="1"/>
      <c r="D674" s="1"/>
    </row>
    <row r="675" ht="14.25" customHeight="1">
      <c r="B675" s="1"/>
      <c r="D675" s="1"/>
    </row>
    <row r="676" ht="14.25" customHeight="1">
      <c r="B676" s="1"/>
      <c r="D676" s="1"/>
    </row>
    <row r="677" ht="14.25" customHeight="1">
      <c r="B677" s="1"/>
      <c r="D677" s="1"/>
    </row>
    <row r="678" ht="14.25" customHeight="1">
      <c r="B678" s="1"/>
      <c r="D678" s="1"/>
    </row>
    <row r="679" ht="14.25" customHeight="1">
      <c r="B679" s="1"/>
      <c r="D679" s="1"/>
    </row>
    <row r="680" ht="14.25" customHeight="1">
      <c r="B680" s="1"/>
      <c r="D680" s="1"/>
    </row>
    <row r="681" ht="14.25" customHeight="1">
      <c r="B681" s="1"/>
      <c r="D681" s="1"/>
    </row>
    <row r="682" ht="14.25" customHeight="1">
      <c r="B682" s="1"/>
      <c r="D682" s="1"/>
    </row>
    <row r="683" ht="14.25" customHeight="1">
      <c r="B683" s="1"/>
      <c r="D683" s="1"/>
    </row>
    <row r="684" ht="14.25" customHeight="1">
      <c r="B684" s="1"/>
      <c r="D684" s="1"/>
    </row>
    <row r="685" ht="14.25" customHeight="1">
      <c r="B685" s="1"/>
      <c r="D685" s="1"/>
    </row>
    <row r="686" ht="14.25" customHeight="1">
      <c r="B686" s="1"/>
      <c r="D686" s="1"/>
    </row>
    <row r="687" ht="14.25" customHeight="1">
      <c r="B687" s="1"/>
      <c r="D687" s="1"/>
    </row>
    <row r="688" ht="14.25" customHeight="1">
      <c r="B688" s="1"/>
      <c r="D688" s="1"/>
    </row>
    <row r="689" ht="14.25" customHeight="1">
      <c r="B689" s="1"/>
      <c r="D689" s="1"/>
    </row>
    <row r="690" ht="14.25" customHeight="1">
      <c r="B690" s="1"/>
      <c r="D690" s="1"/>
    </row>
    <row r="691" ht="14.25" customHeight="1">
      <c r="B691" s="1"/>
      <c r="D691" s="1"/>
    </row>
    <row r="692" ht="14.25" customHeight="1">
      <c r="B692" s="1"/>
      <c r="D692" s="1"/>
    </row>
    <row r="693" ht="14.25" customHeight="1">
      <c r="B693" s="1"/>
      <c r="D693" s="1"/>
    </row>
    <row r="694" ht="14.25" customHeight="1">
      <c r="B694" s="1"/>
      <c r="D694" s="1"/>
    </row>
    <row r="695" ht="14.25" customHeight="1">
      <c r="B695" s="1"/>
      <c r="D695" s="1"/>
    </row>
    <row r="696" ht="14.25" customHeight="1">
      <c r="B696" s="1"/>
      <c r="D696" s="1"/>
    </row>
    <row r="697" ht="14.25" customHeight="1">
      <c r="B697" s="1"/>
      <c r="D697" s="1"/>
    </row>
    <row r="698" ht="14.25" customHeight="1">
      <c r="B698" s="1"/>
      <c r="D698" s="1"/>
    </row>
    <row r="699" ht="14.25" customHeight="1">
      <c r="B699" s="1"/>
      <c r="D699" s="1"/>
    </row>
    <row r="700" ht="14.25" customHeight="1">
      <c r="B700" s="1"/>
      <c r="D700" s="1"/>
    </row>
    <row r="701" ht="14.25" customHeight="1">
      <c r="B701" s="1"/>
      <c r="D701" s="1"/>
    </row>
    <row r="702" ht="14.25" customHeight="1">
      <c r="B702" s="1"/>
      <c r="D702" s="1"/>
    </row>
    <row r="703" ht="14.25" customHeight="1">
      <c r="B703" s="1"/>
      <c r="D703" s="1"/>
    </row>
    <row r="704" ht="14.25" customHeight="1">
      <c r="B704" s="1"/>
      <c r="D704" s="1"/>
    </row>
    <row r="705" ht="14.25" customHeight="1">
      <c r="B705" s="1"/>
      <c r="D705" s="1"/>
    </row>
    <row r="706" ht="14.25" customHeight="1">
      <c r="B706" s="1"/>
      <c r="D706" s="1"/>
    </row>
    <row r="707" ht="14.25" customHeight="1">
      <c r="B707" s="1"/>
      <c r="D707" s="1"/>
    </row>
    <row r="708" ht="14.25" customHeight="1">
      <c r="B708" s="1"/>
      <c r="D708" s="1"/>
    </row>
    <row r="709" ht="14.25" customHeight="1">
      <c r="B709" s="1"/>
      <c r="D709" s="1"/>
    </row>
    <row r="710" ht="14.25" customHeight="1">
      <c r="B710" s="1"/>
      <c r="D710" s="1"/>
    </row>
    <row r="711" ht="14.25" customHeight="1">
      <c r="B711" s="1"/>
      <c r="D711" s="1"/>
    </row>
    <row r="712" ht="14.25" customHeight="1">
      <c r="B712" s="1"/>
      <c r="D712" s="1"/>
    </row>
    <row r="713" ht="14.25" customHeight="1">
      <c r="B713" s="1"/>
      <c r="D713" s="1"/>
    </row>
    <row r="714" ht="14.25" customHeight="1">
      <c r="B714" s="1"/>
      <c r="D714" s="1"/>
    </row>
    <row r="715" ht="14.25" customHeight="1">
      <c r="B715" s="1"/>
      <c r="D715" s="1"/>
    </row>
    <row r="716" ht="14.25" customHeight="1">
      <c r="B716" s="1"/>
      <c r="D716" s="1"/>
    </row>
    <row r="717" ht="14.25" customHeight="1">
      <c r="B717" s="1"/>
      <c r="D717" s="1"/>
    </row>
    <row r="718" ht="14.25" customHeight="1">
      <c r="B718" s="1"/>
      <c r="D718" s="1"/>
    </row>
    <row r="719" ht="14.25" customHeight="1">
      <c r="B719" s="1"/>
      <c r="D719" s="1"/>
    </row>
    <row r="720" ht="14.25" customHeight="1">
      <c r="B720" s="1"/>
      <c r="D720" s="1"/>
    </row>
    <row r="721" ht="14.25" customHeight="1">
      <c r="B721" s="1"/>
      <c r="D721" s="1"/>
    </row>
    <row r="722" ht="14.25" customHeight="1">
      <c r="B722" s="1"/>
      <c r="D722" s="1"/>
    </row>
    <row r="723" ht="14.25" customHeight="1">
      <c r="B723" s="1"/>
      <c r="D723" s="1"/>
    </row>
    <row r="724" ht="14.25" customHeight="1">
      <c r="B724" s="1"/>
      <c r="D724" s="1"/>
    </row>
    <row r="725" ht="14.25" customHeight="1">
      <c r="B725" s="1"/>
      <c r="D725" s="1"/>
    </row>
    <row r="726" ht="14.25" customHeight="1">
      <c r="B726" s="1"/>
      <c r="D726" s="1"/>
    </row>
    <row r="727" ht="14.25" customHeight="1">
      <c r="B727" s="1"/>
      <c r="D727" s="1"/>
    </row>
    <row r="728" ht="14.25" customHeight="1">
      <c r="B728" s="1"/>
      <c r="D728" s="1"/>
    </row>
    <row r="729" ht="14.25" customHeight="1">
      <c r="B729" s="1"/>
      <c r="D729" s="1"/>
    </row>
    <row r="730" ht="14.25" customHeight="1">
      <c r="B730" s="1"/>
      <c r="D730" s="1"/>
    </row>
    <row r="731" ht="14.25" customHeight="1">
      <c r="B731" s="1"/>
      <c r="D731" s="1"/>
    </row>
    <row r="732" ht="14.25" customHeight="1">
      <c r="B732" s="1"/>
      <c r="D732" s="1"/>
    </row>
    <row r="733" ht="14.25" customHeight="1">
      <c r="B733" s="1"/>
      <c r="D733" s="1"/>
    </row>
    <row r="734" ht="14.25" customHeight="1">
      <c r="B734" s="1"/>
      <c r="D734" s="1"/>
    </row>
    <row r="735" ht="14.25" customHeight="1">
      <c r="B735" s="1"/>
      <c r="D735" s="1"/>
    </row>
    <row r="736" ht="14.25" customHeight="1">
      <c r="B736" s="1"/>
      <c r="D736" s="1"/>
    </row>
    <row r="737" ht="14.25" customHeight="1">
      <c r="B737" s="1"/>
      <c r="D737" s="1"/>
    </row>
    <row r="738" ht="14.25" customHeight="1">
      <c r="B738" s="1"/>
      <c r="D738" s="1"/>
    </row>
    <row r="739" ht="14.25" customHeight="1">
      <c r="B739" s="1"/>
      <c r="D739" s="1"/>
    </row>
    <row r="740" ht="14.25" customHeight="1">
      <c r="B740" s="1"/>
      <c r="D740" s="1"/>
    </row>
    <row r="741" ht="14.25" customHeight="1">
      <c r="B741" s="1"/>
      <c r="D741" s="1"/>
    </row>
    <row r="742" ht="14.25" customHeight="1">
      <c r="B742" s="1"/>
      <c r="D742" s="1"/>
    </row>
    <row r="743" ht="14.25" customHeight="1">
      <c r="B743" s="1"/>
      <c r="D743" s="1"/>
    </row>
    <row r="744" ht="14.25" customHeight="1">
      <c r="B744" s="1"/>
      <c r="D744" s="1"/>
    </row>
    <row r="745" ht="14.25" customHeight="1">
      <c r="B745" s="1"/>
      <c r="D745" s="1"/>
    </row>
    <row r="746" ht="14.25" customHeight="1">
      <c r="B746" s="1"/>
      <c r="D746" s="1"/>
    </row>
    <row r="747" ht="14.25" customHeight="1">
      <c r="B747" s="1"/>
      <c r="D747" s="1"/>
    </row>
    <row r="748" ht="14.25" customHeight="1">
      <c r="B748" s="1"/>
      <c r="D748" s="1"/>
    </row>
    <row r="749" ht="14.25" customHeight="1">
      <c r="B749" s="1"/>
      <c r="D749" s="1"/>
    </row>
    <row r="750" ht="14.25" customHeight="1">
      <c r="B750" s="1"/>
      <c r="D750" s="1"/>
    </row>
    <row r="751" ht="14.25" customHeight="1">
      <c r="B751" s="1"/>
      <c r="D751" s="1"/>
    </row>
    <row r="752" ht="14.25" customHeight="1">
      <c r="B752" s="1"/>
      <c r="D752" s="1"/>
    </row>
    <row r="753" ht="14.25" customHeight="1">
      <c r="B753" s="1"/>
      <c r="D753" s="1"/>
    </row>
    <row r="754" ht="14.25" customHeight="1">
      <c r="B754" s="1"/>
      <c r="D754" s="1"/>
    </row>
    <row r="755" ht="14.25" customHeight="1">
      <c r="B755" s="1"/>
      <c r="D755" s="1"/>
    </row>
    <row r="756" ht="14.25" customHeight="1">
      <c r="B756" s="1"/>
      <c r="D756" s="1"/>
    </row>
    <row r="757" ht="14.25" customHeight="1">
      <c r="B757" s="1"/>
      <c r="D757" s="1"/>
    </row>
    <row r="758" ht="14.25" customHeight="1">
      <c r="B758" s="1"/>
      <c r="D758" s="1"/>
    </row>
    <row r="759" ht="14.25" customHeight="1">
      <c r="B759" s="1"/>
      <c r="D759" s="1"/>
    </row>
    <row r="760" ht="14.25" customHeight="1">
      <c r="B760" s="1"/>
      <c r="D760" s="1"/>
    </row>
    <row r="761" ht="14.25" customHeight="1">
      <c r="B761" s="1"/>
      <c r="D761" s="1"/>
    </row>
    <row r="762" ht="14.25" customHeight="1">
      <c r="B762" s="1"/>
      <c r="D762" s="1"/>
    </row>
    <row r="763" ht="14.25" customHeight="1">
      <c r="B763" s="1"/>
      <c r="D763" s="1"/>
    </row>
    <row r="764" ht="14.25" customHeight="1">
      <c r="B764" s="1"/>
      <c r="D764" s="1"/>
    </row>
    <row r="765" ht="14.25" customHeight="1">
      <c r="B765" s="1"/>
      <c r="D765" s="1"/>
    </row>
    <row r="766" ht="14.25" customHeight="1">
      <c r="B766" s="1"/>
      <c r="D766" s="1"/>
    </row>
    <row r="767" ht="14.25" customHeight="1">
      <c r="B767" s="1"/>
      <c r="D767" s="1"/>
    </row>
    <row r="768" ht="14.25" customHeight="1">
      <c r="B768" s="1"/>
      <c r="D768" s="1"/>
    </row>
    <row r="769" ht="14.25" customHeight="1">
      <c r="B769" s="1"/>
      <c r="D769" s="1"/>
    </row>
    <row r="770" ht="14.25" customHeight="1">
      <c r="B770" s="1"/>
      <c r="D770" s="1"/>
    </row>
    <row r="771" ht="14.25" customHeight="1">
      <c r="B771" s="1"/>
      <c r="D771" s="1"/>
    </row>
    <row r="772" ht="14.25" customHeight="1">
      <c r="B772" s="1"/>
      <c r="D772" s="1"/>
    </row>
    <row r="773" ht="14.25" customHeight="1">
      <c r="B773" s="1"/>
      <c r="D773" s="1"/>
    </row>
    <row r="774" ht="14.25" customHeight="1">
      <c r="B774" s="1"/>
      <c r="D774" s="1"/>
    </row>
    <row r="775" ht="14.25" customHeight="1">
      <c r="B775" s="1"/>
      <c r="D775" s="1"/>
    </row>
    <row r="776" ht="14.25" customHeight="1">
      <c r="B776" s="1"/>
      <c r="D776" s="1"/>
    </row>
    <row r="777" ht="14.25" customHeight="1">
      <c r="B777" s="1"/>
      <c r="D777" s="1"/>
    </row>
    <row r="778" ht="14.25" customHeight="1">
      <c r="B778" s="1"/>
      <c r="D778" s="1"/>
    </row>
    <row r="779" ht="14.25" customHeight="1">
      <c r="B779" s="1"/>
      <c r="D779" s="1"/>
    </row>
    <row r="780" ht="14.25" customHeight="1">
      <c r="B780" s="1"/>
      <c r="D780" s="1"/>
    </row>
    <row r="781" ht="14.25" customHeight="1">
      <c r="B781" s="1"/>
      <c r="D781" s="1"/>
    </row>
    <row r="782" ht="14.25" customHeight="1">
      <c r="B782" s="1"/>
      <c r="D782" s="1"/>
    </row>
    <row r="783" ht="14.25" customHeight="1">
      <c r="B783" s="1"/>
      <c r="D783" s="1"/>
    </row>
    <row r="784" ht="14.25" customHeight="1">
      <c r="B784" s="1"/>
      <c r="D784" s="1"/>
    </row>
    <row r="785" ht="14.25" customHeight="1">
      <c r="B785" s="1"/>
      <c r="D785" s="1"/>
    </row>
    <row r="786" ht="14.25" customHeight="1">
      <c r="B786" s="1"/>
      <c r="D786" s="1"/>
    </row>
    <row r="787" ht="14.25" customHeight="1">
      <c r="B787" s="1"/>
      <c r="D787" s="1"/>
    </row>
    <row r="788" ht="14.25" customHeight="1">
      <c r="B788" s="1"/>
      <c r="D788" s="1"/>
    </row>
    <row r="789" ht="14.25" customHeight="1">
      <c r="B789" s="1"/>
      <c r="D789" s="1"/>
    </row>
    <row r="790" ht="14.25" customHeight="1">
      <c r="B790" s="1"/>
      <c r="D790" s="1"/>
    </row>
    <row r="791" ht="14.25" customHeight="1">
      <c r="B791" s="1"/>
      <c r="D791" s="1"/>
    </row>
    <row r="792" ht="14.25" customHeight="1">
      <c r="B792" s="1"/>
      <c r="D792" s="1"/>
    </row>
    <row r="793" ht="14.25" customHeight="1">
      <c r="B793" s="1"/>
      <c r="D793" s="1"/>
    </row>
    <row r="794" ht="14.25" customHeight="1">
      <c r="B794" s="1"/>
      <c r="D794" s="1"/>
    </row>
    <row r="795" ht="14.25" customHeight="1">
      <c r="B795" s="1"/>
      <c r="D795" s="1"/>
    </row>
    <row r="796" ht="14.25" customHeight="1">
      <c r="B796" s="1"/>
      <c r="D796" s="1"/>
    </row>
    <row r="797" ht="14.25" customHeight="1">
      <c r="B797" s="1"/>
      <c r="D797" s="1"/>
    </row>
    <row r="798" ht="14.25" customHeight="1">
      <c r="B798" s="1"/>
      <c r="D798" s="1"/>
    </row>
    <row r="799" ht="14.25" customHeight="1">
      <c r="B799" s="1"/>
      <c r="D799" s="1"/>
    </row>
    <row r="800" ht="14.25" customHeight="1">
      <c r="B800" s="1"/>
      <c r="D800" s="1"/>
    </row>
    <row r="801" ht="14.25" customHeight="1">
      <c r="B801" s="1"/>
      <c r="D801" s="1"/>
    </row>
    <row r="802" ht="14.25" customHeight="1">
      <c r="B802" s="1"/>
      <c r="D802" s="1"/>
    </row>
    <row r="803" ht="14.25" customHeight="1">
      <c r="B803" s="1"/>
      <c r="D803" s="1"/>
    </row>
    <row r="804" ht="14.25" customHeight="1">
      <c r="B804" s="1"/>
      <c r="D804" s="1"/>
    </row>
    <row r="805" ht="14.25" customHeight="1">
      <c r="B805" s="1"/>
      <c r="D805" s="1"/>
    </row>
    <row r="806" ht="14.25" customHeight="1">
      <c r="B806" s="1"/>
      <c r="D806" s="1"/>
    </row>
    <row r="807" ht="14.25" customHeight="1">
      <c r="B807" s="1"/>
      <c r="D807" s="1"/>
    </row>
    <row r="808" ht="14.25" customHeight="1">
      <c r="B808" s="1"/>
      <c r="D808" s="1"/>
    </row>
    <row r="809" ht="14.25" customHeight="1">
      <c r="B809" s="1"/>
      <c r="D809" s="1"/>
    </row>
    <row r="810" ht="14.25" customHeight="1">
      <c r="B810" s="1"/>
      <c r="D810" s="1"/>
    </row>
    <row r="811" ht="14.25" customHeight="1">
      <c r="B811" s="1"/>
      <c r="D811" s="1"/>
    </row>
    <row r="812" ht="14.25" customHeight="1">
      <c r="B812" s="1"/>
      <c r="D812" s="1"/>
    </row>
    <row r="813" ht="14.25" customHeight="1">
      <c r="B813" s="1"/>
      <c r="D813" s="1"/>
    </row>
    <row r="814" ht="14.25" customHeight="1">
      <c r="B814" s="1"/>
      <c r="D814" s="1"/>
    </row>
    <row r="815" ht="14.25" customHeight="1">
      <c r="B815" s="1"/>
      <c r="D815" s="1"/>
    </row>
    <row r="816" ht="14.25" customHeight="1">
      <c r="B816" s="1"/>
      <c r="D816" s="1"/>
    </row>
    <row r="817" ht="14.25" customHeight="1">
      <c r="B817" s="1"/>
      <c r="D817" s="1"/>
    </row>
    <row r="818" ht="14.25" customHeight="1">
      <c r="B818" s="1"/>
      <c r="D818" s="1"/>
    </row>
    <row r="819" ht="14.25" customHeight="1">
      <c r="B819" s="1"/>
      <c r="D819" s="1"/>
    </row>
    <row r="820" ht="14.25" customHeight="1">
      <c r="B820" s="1"/>
      <c r="D820" s="1"/>
    </row>
    <row r="821" ht="14.25" customHeight="1">
      <c r="B821" s="1"/>
      <c r="D821" s="1"/>
    </row>
    <row r="822" ht="14.25" customHeight="1">
      <c r="B822" s="1"/>
      <c r="D822" s="1"/>
    </row>
    <row r="823" ht="14.25" customHeight="1">
      <c r="B823" s="1"/>
      <c r="D823" s="1"/>
    </row>
    <row r="824" ht="14.25" customHeight="1">
      <c r="B824" s="1"/>
      <c r="D824" s="1"/>
    </row>
    <row r="825" ht="14.25" customHeight="1">
      <c r="B825" s="1"/>
      <c r="D825" s="1"/>
    </row>
    <row r="826" ht="14.25" customHeight="1">
      <c r="B826" s="1"/>
      <c r="D826" s="1"/>
    </row>
    <row r="827" ht="14.25" customHeight="1">
      <c r="B827" s="1"/>
      <c r="D827" s="1"/>
    </row>
    <row r="828" ht="14.25" customHeight="1">
      <c r="B828" s="1"/>
      <c r="D828" s="1"/>
    </row>
    <row r="829" ht="14.25" customHeight="1">
      <c r="B829" s="1"/>
      <c r="D829" s="1"/>
    </row>
    <row r="830" ht="14.25" customHeight="1">
      <c r="B830" s="1"/>
      <c r="D830" s="1"/>
    </row>
    <row r="831" ht="14.25" customHeight="1">
      <c r="B831" s="1"/>
      <c r="D831" s="1"/>
    </row>
    <row r="832" ht="14.25" customHeight="1">
      <c r="B832" s="1"/>
      <c r="D832" s="1"/>
    </row>
    <row r="833" ht="14.25" customHeight="1">
      <c r="B833" s="1"/>
      <c r="D833" s="1"/>
    </row>
    <row r="834" ht="14.25" customHeight="1">
      <c r="B834" s="1"/>
      <c r="D834" s="1"/>
    </row>
    <row r="835" ht="14.25" customHeight="1">
      <c r="B835" s="1"/>
      <c r="D835" s="1"/>
    </row>
    <row r="836" ht="14.25" customHeight="1">
      <c r="B836" s="1"/>
      <c r="D836" s="1"/>
    </row>
    <row r="837" ht="14.25" customHeight="1">
      <c r="B837" s="1"/>
      <c r="D837" s="1"/>
    </row>
    <row r="838" ht="14.25" customHeight="1">
      <c r="B838" s="1"/>
      <c r="D838" s="1"/>
    </row>
    <row r="839" ht="14.25" customHeight="1">
      <c r="B839" s="1"/>
      <c r="D839" s="1"/>
    </row>
    <row r="840" ht="14.25" customHeight="1">
      <c r="B840" s="1"/>
      <c r="D840" s="1"/>
    </row>
    <row r="841" ht="14.25" customHeight="1">
      <c r="B841" s="1"/>
      <c r="D841" s="1"/>
    </row>
    <row r="842" ht="14.25" customHeight="1">
      <c r="B842" s="1"/>
      <c r="D842" s="1"/>
    </row>
    <row r="843" ht="14.25" customHeight="1">
      <c r="B843" s="1"/>
      <c r="D843" s="1"/>
    </row>
    <row r="844" ht="14.25" customHeight="1">
      <c r="B844" s="1"/>
      <c r="D844" s="1"/>
    </row>
    <row r="845" ht="14.25" customHeight="1">
      <c r="B845" s="1"/>
      <c r="D845" s="1"/>
    </row>
    <row r="846" ht="14.25" customHeight="1">
      <c r="B846" s="1"/>
      <c r="D846" s="1"/>
    </row>
    <row r="847" ht="14.25" customHeight="1">
      <c r="B847" s="1"/>
      <c r="D847" s="1"/>
    </row>
    <row r="848" ht="14.25" customHeight="1">
      <c r="B848" s="1"/>
      <c r="D848" s="1"/>
    </row>
    <row r="849" ht="14.25" customHeight="1">
      <c r="B849" s="1"/>
      <c r="D849" s="1"/>
    </row>
    <row r="850" ht="14.25" customHeight="1">
      <c r="B850" s="1"/>
      <c r="D850" s="1"/>
    </row>
    <row r="851" ht="14.25" customHeight="1">
      <c r="B851" s="1"/>
      <c r="D851" s="1"/>
    </row>
    <row r="852" ht="14.25" customHeight="1">
      <c r="B852" s="1"/>
      <c r="D852" s="1"/>
    </row>
    <row r="853" ht="14.25" customHeight="1">
      <c r="B853" s="1"/>
      <c r="D853" s="1"/>
    </row>
    <row r="854" ht="14.25" customHeight="1">
      <c r="B854" s="1"/>
      <c r="D854" s="1"/>
    </row>
    <row r="855" ht="14.25" customHeight="1">
      <c r="B855" s="1"/>
      <c r="D855" s="1"/>
    </row>
    <row r="856" ht="14.25" customHeight="1">
      <c r="B856" s="1"/>
      <c r="D856" s="1"/>
    </row>
    <row r="857" ht="14.25" customHeight="1">
      <c r="B857" s="1"/>
      <c r="D857" s="1"/>
    </row>
    <row r="858" ht="14.25" customHeight="1">
      <c r="B858" s="1"/>
      <c r="D858" s="1"/>
    </row>
    <row r="859" ht="14.25" customHeight="1">
      <c r="B859" s="1"/>
      <c r="D859" s="1"/>
    </row>
    <row r="860" ht="14.25" customHeight="1">
      <c r="B860" s="1"/>
      <c r="D860" s="1"/>
    </row>
    <row r="861" ht="14.25" customHeight="1">
      <c r="B861" s="1"/>
      <c r="D861" s="1"/>
    </row>
    <row r="862" ht="14.25" customHeight="1">
      <c r="B862" s="1"/>
      <c r="D862" s="1"/>
    </row>
    <row r="863" ht="14.25" customHeight="1">
      <c r="B863" s="1"/>
      <c r="D863" s="1"/>
    </row>
    <row r="864" ht="14.25" customHeight="1">
      <c r="B864" s="1"/>
      <c r="D864" s="1"/>
    </row>
    <row r="865" ht="14.25" customHeight="1">
      <c r="B865" s="1"/>
      <c r="D865" s="1"/>
    </row>
    <row r="866" ht="14.25" customHeight="1">
      <c r="B866" s="1"/>
      <c r="D866" s="1"/>
    </row>
    <row r="867" ht="14.25" customHeight="1">
      <c r="B867" s="1"/>
      <c r="D867" s="1"/>
    </row>
    <row r="868" ht="14.25" customHeight="1">
      <c r="B868" s="1"/>
      <c r="D868" s="1"/>
    </row>
    <row r="869" ht="14.25" customHeight="1">
      <c r="B869" s="1"/>
      <c r="D869" s="1"/>
    </row>
    <row r="870" ht="14.25" customHeight="1">
      <c r="B870" s="1"/>
      <c r="D870" s="1"/>
    </row>
    <row r="871" ht="14.25" customHeight="1">
      <c r="B871" s="1"/>
      <c r="D871" s="1"/>
    </row>
    <row r="872" ht="14.25" customHeight="1">
      <c r="B872" s="1"/>
      <c r="D872" s="1"/>
    </row>
    <row r="873" ht="14.25" customHeight="1">
      <c r="B873" s="1"/>
      <c r="D873" s="1"/>
    </row>
    <row r="874" ht="14.25" customHeight="1">
      <c r="B874" s="1"/>
      <c r="D874" s="1"/>
    </row>
    <row r="875" ht="14.25" customHeight="1">
      <c r="B875" s="1"/>
      <c r="D875" s="1"/>
    </row>
    <row r="876" ht="14.25" customHeight="1">
      <c r="B876" s="1"/>
      <c r="D876" s="1"/>
    </row>
    <row r="877" ht="14.25" customHeight="1">
      <c r="B877" s="1"/>
      <c r="D877" s="1"/>
    </row>
    <row r="878" ht="14.25" customHeight="1">
      <c r="B878" s="1"/>
      <c r="D878" s="1"/>
    </row>
    <row r="879" ht="14.25" customHeight="1">
      <c r="B879" s="1"/>
      <c r="D879" s="1"/>
    </row>
    <row r="880" ht="14.25" customHeight="1">
      <c r="B880" s="1"/>
      <c r="D880" s="1"/>
    </row>
    <row r="881" ht="14.25" customHeight="1">
      <c r="B881" s="1"/>
      <c r="D881" s="1"/>
    </row>
    <row r="882" ht="14.25" customHeight="1">
      <c r="B882" s="1"/>
      <c r="D882" s="1"/>
    </row>
    <row r="883" ht="14.25" customHeight="1">
      <c r="B883" s="1"/>
      <c r="D883" s="1"/>
    </row>
    <row r="884" ht="14.25" customHeight="1">
      <c r="B884" s="1"/>
      <c r="D884" s="1"/>
    </row>
    <row r="885" ht="14.25" customHeight="1">
      <c r="B885" s="1"/>
      <c r="D885" s="1"/>
    </row>
    <row r="886" ht="14.25" customHeight="1">
      <c r="B886" s="1"/>
      <c r="D886" s="1"/>
    </row>
    <row r="887" ht="14.25" customHeight="1">
      <c r="B887" s="1"/>
      <c r="D887" s="1"/>
    </row>
    <row r="888" ht="14.25" customHeight="1">
      <c r="B888" s="1"/>
      <c r="D888" s="1"/>
    </row>
    <row r="889" ht="14.25" customHeight="1">
      <c r="B889" s="1"/>
      <c r="D889" s="1"/>
    </row>
    <row r="890" ht="14.25" customHeight="1">
      <c r="B890" s="1"/>
      <c r="D890" s="1"/>
    </row>
    <row r="891" ht="14.25" customHeight="1">
      <c r="B891" s="1"/>
      <c r="D891" s="1"/>
    </row>
    <row r="892" ht="14.25" customHeight="1">
      <c r="B892" s="1"/>
      <c r="D892" s="1"/>
    </row>
    <row r="893" ht="14.25" customHeight="1">
      <c r="B893" s="1"/>
      <c r="D893" s="1"/>
    </row>
    <row r="894" ht="14.25" customHeight="1">
      <c r="B894" s="1"/>
      <c r="D894" s="1"/>
    </row>
    <row r="895" ht="14.25" customHeight="1">
      <c r="B895" s="1"/>
      <c r="D895" s="1"/>
    </row>
    <row r="896" ht="14.25" customHeight="1">
      <c r="B896" s="1"/>
      <c r="D896" s="1"/>
    </row>
    <row r="897" ht="14.25" customHeight="1">
      <c r="B897" s="1"/>
      <c r="D897" s="1"/>
    </row>
    <row r="898" ht="14.25" customHeight="1">
      <c r="B898" s="1"/>
      <c r="D898" s="1"/>
    </row>
    <row r="899" ht="14.25" customHeight="1">
      <c r="B899" s="1"/>
      <c r="D899" s="1"/>
    </row>
    <row r="900" ht="14.25" customHeight="1">
      <c r="B900" s="1"/>
      <c r="D900" s="1"/>
    </row>
    <row r="901" ht="14.25" customHeight="1">
      <c r="B901" s="1"/>
      <c r="D901" s="1"/>
    </row>
    <row r="902" ht="14.25" customHeight="1">
      <c r="B902" s="1"/>
      <c r="D902" s="1"/>
    </row>
    <row r="903" ht="14.25" customHeight="1">
      <c r="B903" s="1"/>
      <c r="D903" s="1"/>
    </row>
    <row r="904" ht="14.25" customHeight="1">
      <c r="B904" s="1"/>
      <c r="D904" s="1"/>
    </row>
    <row r="905" ht="14.25" customHeight="1">
      <c r="B905" s="1"/>
      <c r="D905" s="1"/>
    </row>
    <row r="906" ht="14.25" customHeight="1">
      <c r="B906" s="1"/>
      <c r="D906" s="1"/>
    </row>
    <row r="907" ht="14.25" customHeight="1">
      <c r="B907" s="1"/>
      <c r="D907" s="1"/>
    </row>
    <row r="908" ht="14.25" customHeight="1">
      <c r="B908" s="1"/>
      <c r="D908" s="1"/>
    </row>
    <row r="909" ht="14.25" customHeight="1">
      <c r="B909" s="1"/>
      <c r="D909" s="1"/>
    </row>
    <row r="910" ht="14.25" customHeight="1">
      <c r="B910" s="1"/>
      <c r="D910" s="1"/>
    </row>
    <row r="911" ht="14.25" customHeight="1">
      <c r="B911" s="1"/>
      <c r="D911" s="1"/>
    </row>
    <row r="912" ht="14.25" customHeight="1">
      <c r="B912" s="1"/>
      <c r="D912" s="1"/>
    </row>
    <row r="913" ht="14.25" customHeight="1">
      <c r="B913" s="1"/>
      <c r="D913" s="1"/>
    </row>
    <row r="914" ht="14.25" customHeight="1">
      <c r="B914" s="1"/>
      <c r="D914" s="1"/>
    </row>
    <row r="915" ht="14.25" customHeight="1">
      <c r="B915" s="1"/>
      <c r="D915" s="1"/>
    </row>
    <row r="916" ht="14.25" customHeight="1">
      <c r="B916" s="1"/>
      <c r="D916" s="1"/>
    </row>
    <row r="917" ht="14.25" customHeight="1">
      <c r="B917" s="1"/>
      <c r="D917" s="1"/>
    </row>
    <row r="918" ht="14.25" customHeight="1">
      <c r="B918" s="1"/>
      <c r="D918" s="1"/>
    </row>
    <row r="919" ht="14.25" customHeight="1">
      <c r="B919" s="1"/>
      <c r="D919" s="1"/>
    </row>
    <row r="920" ht="14.25" customHeight="1">
      <c r="B920" s="1"/>
      <c r="D920" s="1"/>
    </row>
    <row r="921" ht="14.25" customHeight="1">
      <c r="B921" s="1"/>
      <c r="D921" s="1"/>
    </row>
    <row r="922" ht="14.25" customHeight="1">
      <c r="B922" s="1"/>
      <c r="D922" s="1"/>
    </row>
    <row r="923" ht="14.25" customHeight="1">
      <c r="B923" s="1"/>
      <c r="D923" s="1"/>
    </row>
    <row r="924" ht="14.25" customHeight="1">
      <c r="B924" s="1"/>
      <c r="D924" s="1"/>
    </row>
    <row r="925" ht="14.25" customHeight="1">
      <c r="B925" s="1"/>
      <c r="D925" s="1"/>
    </row>
    <row r="926" ht="14.25" customHeight="1">
      <c r="B926" s="1"/>
      <c r="D926" s="1"/>
    </row>
    <row r="927" ht="14.25" customHeight="1">
      <c r="B927" s="1"/>
      <c r="D927" s="1"/>
    </row>
    <row r="928" ht="14.25" customHeight="1">
      <c r="B928" s="1"/>
      <c r="D928" s="1"/>
    </row>
    <row r="929" ht="14.25" customHeight="1">
      <c r="B929" s="1"/>
      <c r="D929" s="1"/>
    </row>
    <row r="930" ht="14.25" customHeight="1">
      <c r="B930" s="1"/>
      <c r="D930" s="1"/>
    </row>
    <row r="931" ht="14.25" customHeight="1">
      <c r="B931" s="1"/>
      <c r="D931" s="1"/>
    </row>
    <row r="932" ht="14.25" customHeight="1">
      <c r="B932" s="1"/>
      <c r="D932" s="1"/>
    </row>
    <row r="933" ht="14.25" customHeight="1">
      <c r="B933" s="1"/>
      <c r="D933" s="1"/>
    </row>
    <row r="934" ht="14.25" customHeight="1">
      <c r="B934" s="1"/>
      <c r="D934" s="1"/>
    </row>
    <row r="935" ht="14.25" customHeight="1">
      <c r="B935" s="1"/>
      <c r="D935" s="1"/>
    </row>
    <row r="936" ht="14.25" customHeight="1">
      <c r="B936" s="1"/>
      <c r="D936" s="1"/>
    </row>
    <row r="937" ht="14.25" customHeight="1">
      <c r="B937" s="1"/>
      <c r="D937" s="1"/>
    </row>
    <row r="938" ht="14.25" customHeight="1">
      <c r="B938" s="1"/>
      <c r="D938" s="1"/>
    </row>
    <row r="939" ht="14.25" customHeight="1">
      <c r="B939" s="1"/>
      <c r="D939" s="1"/>
    </row>
    <row r="940" ht="14.25" customHeight="1">
      <c r="B940" s="1"/>
      <c r="D940" s="1"/>
    </row>
    <row r="941" ht="14.25" customHeight="1">
      <c r="B941" s="1"/>
      <c r="D941" s="1"/>
    </row>
    <row r="942" ht="14.25" customHeight="1">
      <c r="B942" s="1"/>
      <c r="D942" s="1"/>
    </row>
    <row r="943" ht="14.25" customHeight="1">
      <c r="B943" s="1"/>
      <c r="D943" s="1"/>
    </row>
    <row r="944" ht="14.25" customHeight="1">
      <c r="B944" s="1"/>
      <c r="D944" s="1"/>
    </row>
    <row r="945" ht="14.25" customHeight="1">
      <c r="B945" s="1"/>
      <c r="D945" s="1"/>
    </row>
    <row r="946" ht="14.25" customHeight="1">
      <c r="B946" s="1"/>
      <c r="D946" s="1"/>
    </row>
    <row r="947" ht="14.25" customHeight="1">
      <c r="B947" s="1"/>
      <c r="D947" s="1"/>
    </row>
    <row r="948" ht="14.25" customHeight="1">
      <c r="B948" s="1"/>
      <c r="D948" s="1"/>
    </row>
    <row r="949" ht="14.25" customHeight="1">
      <c r="B949" s="1"/>
      <c r="D949" s="1"/>
    </row>
    <row r="950" ht="14.25" customHeight="1">
      <c r="B950" s="1"/>
      <c r="D950" s="1"/>
    </row>
    <row r="951" ht="14.25" customHeight="1">
      <c r="B951" s="1"/>
      <c r="D951" s="1"/>
    </row>
    <row r="952" ht="14.25" customHeight="1">
      <c r="B952" s="1"/>
      <c r="D952" s="1"/>
    </row>
    <row r="953" ht="14.25" customHeight="1">
      <c r="B953" s="1"/>
      <c r="D953" s="1"/>
    </row>
    <row r="954" ht="14.25" customHeight="1">
      <c r="B954" s="1"/>
      <c r="D954" s="1"/>
    </row>
    <row r="955" ht="14.25" customHeight="1">
      <c r="B955" s="1"/>
      <c r="D955" s="1"/>
    </row>
    <row r="956" ht="14.25" customHeight="1">
      <c r="B956" s="1"/>
      <c r="D956" s="1"/>
    </row>
    <row r="957" ht="14.25" customHeight="1">
      <c r="B957" s="1"/>
      <c r="D957" s="1"/>
    </row>
    <row r="958" ht="14.25" customHeight="1">
      <c r="B958" s="1"/>
      <c r="D958" s="1"/>
    </row>
    <row r="959" ht="14.25" customHeight="1">
      <c r="B959" s="1"/>
      <c r="D959" s="1"/>
    </row>
    <row r="960" ht="14.25" customHeight="1">
      <c r="B960" s="1"/>
      <c r="D960" s="1"/>
    </row>
    <row r="961" ht="14.25" customHeight="1">
      <c r="B961" s="1"/>
      <c r="D961" s="1"/>
    </row>
    <row r="962" ht="14.25" customHeight="1">
      <c r="B962" s="1"/>
      <c r="D962" s="1"/>
    </row>
    <row r="963" ht="14.25" customHeight="1">
      <c r="B963" s="1"/>
      <c r="D963" s="1"/>
    </row>
    <row r="964" ht="14.25" customHeight="1">
      <c r="B964" s="1"/>
      <c r="D964" s="1"/>
    </row>
    <row r="965" ht="14.25" customHeight="1">
      <c r="B965" s="1"/>
      <c r="D965" s="1"/>
    </row>
    <row r="966" ht="14.25" customHeight="1">
      <c r="B966" s="1"/>
      <c r="D966" s="1"/>
    </row>
    <row r="967" ht="14.25" customHeight="1">
      <c r="B967" s="1"/>
      <c r="D967" s="1"/>
    </row>
    <row r="968" ht="14.25" customHeight="1">
      <c r="B968" s="1"/>
      <c r="D968" s="1"/>
    </row>
    <row r="969" ht="14.25" customHeight="1">
      <c r="B969" s="1"/>
      <c r="D969" s="1"/>
    </row>
    <row r="970" ht="14.25" customHeight="1">
      <c r="B970" s="1"/>
      <c r="D970" s="1"/>
    </row>
    <row r="971" ht="14.25" customHeight="1">
      <c r="B971" s="1"/>
      <c r="D971" s="1"/>
    </row>
    <row r="972" ht="14.25" customHeight="1">
      <c r="B972" s="1"/>
      <c r="D972" s="1"/>
    </row>
    <row r="973" ht="14.25" customHeight="1">
      <c r="B973" s="1"/>
      <c r="D973" s="1"/>
    </row>
    <row r="974" ht="14.25" customHeight="1">
      <c r="B974" s="1"/>
      <c r="D974" s="1"/>
    </row>
    <row r="975" ht="14.25" customHeight="1">
      <c r="B975" s="1"/>
      <c r="D975" s="1"/>
    </row>
    <row r="976" ht="14.25" customHeight="1">
      <c r="B976" s="1"/>
      <c r="D976" s="1"/>
    </row>
    <row r="977" ht="14.25" customHeight="1">
      <c r="B977" s="1"/>
      <c r="D977" s="1"/>
    </row>
    <row r="978" ht="14.25" customHeight="1">
      <c r="B978" s="1"/>
      <c r="D978" s="1"/>
    </row>
    <row r="979" ht="14.25" customHeight="1">
      <c r="B979" s="1"/>
      <c r="D979" s="1"/>
    </row>
    <row r="980" ht="14.25" customHeight="1">
      <c r="B980" s="1"/>
      <c r="D980" s="1"/>
    </row>
    <row r="981" ht="14.25" customHeight="1">
      <c r="B981" s="1"/>
      <c r="D981" s="1"/>
    </row>
    <row r="982" ht="14.25" customHeight="1">
      <c r="B982" s="1"/>
      <c r="D982" s="1"/>
    </row>
    <row r="983" ht="14.25" customHeight="1">
      <c r="B983" s="1"/>
      <c r="D983" s="1"/>
    </row>
    <row r="984" ht="14.25" customHeight="1">
      <c r="B984" s="1"/>
      <c r="D984" s="1"/>
    </row>
    <row r="985" ht="14.25" customHeight="1">
      <c r="B985" s="1"/>
      <c r="D985" s="1"/>
    </row>
    <row r="986" ht="14.25" customHeight="1">
      <c r="B986" s="1"/>
      <c r="D986" s="1"/>
    </row>
    <row r="987" ht="14.25" customHeight="1">
      <c r="B987" s="1"/>
      <c r="D987" s="1"/>
    </row>
    <row r="988" ht="14.25" customHeight="1">
      <c r="B988" s="1"/>
      <c r="D988" s="1"/>
    </row>
    <row r="989" ht="14.25" customHeight="1">
      <c r="B989" s="1"/>
      <c r="D989" s="1"/>
    </row>
    <row r="990" ht="14.25" customHeight="1">
      <c r="B990" s="1"/>
      <c r="D990" s="1"/>
    </row>
    <row r="991" ht="14.25" customHeight="1">
      <c r="B991" s="1"/>
      <c r="D991" s="1"/>
    </row>
    <row r="992" ht="14.25" customHeight="1">
      <c r="B992" s="1"/>
      <c r="D992" s="1"/>
    </row>
    <row r="993" ht="14.25" customHeight="1">
      <c r="B993" s="1"/>
      <c r="D993" s="1"/>
    </row>
    <row r="994" ht="14.25" customHeight="1">
      <c r="B994" s="1"/>
      <c r="D994" s="1"/>
    </row>
    <row r="995" ht="14.25" customHeight="1">
      <c r="B995" s="1"/>
      <c r="D995" s="1"/>
    </row>
    <row r="996" ht="14.25" customHeight="1">
      <c r="B996" s="1"/>
      <c r="D996" s="1"/>
    </row>
    <row r="997" ht="14.25" customHeight="1">
      <c r="B997" s="1"/>
      <c r="D997" s="1"/>
    </row>
    <row r="998" ht="14.25" customHeight="1">
      <c r="B998" s="1"/>
      <c r="D998" s="1"/>
    </row>
    <row r="999" ht="14.25" customHeight="1">
      <c r="B999" s="1"/>
      <c r="D999" s="1"/>
    </row>
    <row r="1000" ht="14.25" customHeight="1">
      <c r="B1000" s="1"/>
      <c r="D1000" s="1"/>
    </row>
  </sheetData>
  <mergeCells count="2">
    <mergeCell ref="B2:E2"/>
    <mergeCell ref="F2:H2"/>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43"/>
    <col customWidth="1" min="2" max="2" width="21.29"/>
    <col customWidth="1" min="3" max="3" width="3.86"/>
    <col customWidth="1" min="4" max="4" width="4.86"/>
    <col customWidth="1" min="5" max="5" width="4.14"/>
    <col customWidth="1" min="6" max="6" width="4.71"/>
    <col customWidth="1" min="7" max="7" width="4.0"/>
    <col customWidth="1" min="8" max="8" width="3.57"/>
    <col customWidth="1" min="9" max="9" width="4.57"/>
    <col customWidth="1" min="10" max="10" width="3.86"/>
    <col customWidth="1" min="11" max="11" width="4.29"/>
    <col customWidth="1" min="12" max="12" width="4.57"/>
    <col customWidth="1" min="13" max="13" width="3.71"/>
    <col customWidth="1" min="14" max="14" width="9.57"/>
    <col customWidth="1" min="15" max="15" width="6.57"/>
    <col customWidth="1" min="16" max="16" width="3.86"/>
    <col customWidth="1" min="17" max="17" width="4.86"/>
    <col customWidth="1" min="18" max="18" width="4.14"/>
    <col customWidth="1" min="19" max="19" width="4.71"/>
    <col customWidth="1" min="20" max="20" width="4.0"/>
    <col customWidth="1" min="21" max="21" width="3.57"/>
    <col customWidth="1" min="22" max="22" width="4.57"/>
    <col customWidth="1" min="23" max="23" width="9.57"/>
    <col customWidth="1" min="24" max="24" width="12.0"/>
    <col customWidth="1" min="25" max="25" width="14.86"/>
    <col customWidth="1" min="26" max="26" width="10.71"/>
  </cols>
  <sheetData>
    <row r="1" ht="14.25" customHeight="1"/>
    <row r="2" ht="14.25" customHeight="1"/>
    <row r="3" ht="14.25" customHeight="1">
      <c r="A3" s="4" t="s">
        <v>642</v>
      </c>
      <c r="B3" s="4" t="s">
        <v>643</v>
      </c>
    </row>
    <row r="4" ht="14.25" customHeight="1">
      <c r="B4" s="3">
        <v>2023.0</v>
      </c>
      <c r="N4" s="3" t="s">
        <v>644</v>
      </c>
      <c r="O4" s="3">
        <v>2024.0</v>
      </c>
      <c r="W4" s="3" t="s">
        <v>645</v>
      </c>
      <c r="X4" s="3" t="s">
        <v>646</v>
      </c>
      <c r="Y4" s="3" t="s">
        <v>647</v>
      </c>
    </row>
    <row r="5" ht="14.25" customHeight="1">
      <c r="A5" s="4" t="s">
        <v>648</v>
      </c>
      <c r="B5" s="3" t="s">
        <v>576</v>
      </c>
      <c r="C5" s="3" t="s">
        <v>581</v>
      </c>
      <c r="D5" s="3" t="s">
        <v>590</v>
      </c>
      <c r="E5" s="3" t="s">
        <v>593</v>
      </c>
      <c r="F5" s="3" t="s">
        <v>599</v>
      </c>
      <c r="G5" s="3" t="s">
        <v>600</v>
      </c>
      <c r="H5" s="3" t="s">
        <v>602</v>
      </c>
      <c r="I5" s="3" t="s">
        <v>609</v>
      </c>
      <c r="J5" s="3" t="s">
        <v>615</v>
      </c>
      <c r="K5" s="3" t="s">
        <v>617</v>
      </c>
      <c r="L5" s="3" t="s">
        <v>620</v>
      </c>
      <c r="M5" s="3" t="s">
        <v>622</v>
      </c>
      <c r="O5" s="3" t="s">
        <v>576</v>
      </c>
      <c r="P5" s="3" t="s">
        <v>581</v>
      </c>
      <c r="Q5" s="3" t="s">
        <v>590</v>
      </c>
      <c r="R5" s="3" t="s">
        <v>593</v>
      </c>
      <c r="S5" s="3" t="s">
        <v>599</v>
      </c>
      <c r="T5" s="3" t="s">
        <v>600</v>
      </c>
      <c r="U5" s="3" t="s">
        <v>602</v>
      </c>
      <c r="V5" s="3" t="s">
        <v>609</v>
      </c>
      <c r="X5" s="3" t="s">
        <v>646</v>
      </c>
    </row>
    <row r="6" ht="14.25" hidden="1" customHeight="1">
      <c r="A6" s="573" t="s">
        <v>584</v>
      </c>
      <c r="C6" s="3">
        <v>2.0</v>
      </c>
      <c r="D6" s="3">
        <v>6.0</v>
      </c>
      <c r="G6" s="3">
        <v>4.0</v>
      </c>
      <c r="H6" s="3">
        <v>4.0</v>
      </c>
      <c r="J6" s="3">
        <v>2.0</v>
      </c>
      <c r="K6" s="3">
        <v>10.0</v>
      </c>
      <c r="N6" s="3">
        <v>28.0</v>
      </c>
      <c r="P6" s="3">
        <v>2.0</v>
      </c>
      <c r="R6" s="3">
        <v>2.0</v>
      </c>
      <c r="S6" s="3">
        <v>2.0</v>
      </c>
      <c r="T6" s="3">
        <v>5.0</v>
      </c>
      <c r="V6" s="3">
        <v>4.0</v>
      </c>
      <c r="W6" s="3">
        <v>15.0</v>
      </c>
    </row>
    <row r="7" ht="14.25" customHeight="1">
      <c r="A7" s="573" t="s">
        <v>582</v>
      </c>
      <c r="C7" s="3">
        <v>6.0</v>
      </c>
      <c r="E7" s="3">
        <v>2.0</v>
      </c>
      <c r="F7" s="3">
        <v>7.0</v>
      </c>
      <c r="I7" s="3">
        <v>1.0</v>
      </c>
      <c r="J7" s="3">
        <v>3.0</v>
      </c>
      <c r="K7" s="3">
        <v>2.0</v>
      </c>
      <c r="M7" s="3">
        <v>2.0</v>
      </c>
      <c r="N7" s="3">
        <v>23.0</v>
      </c>
      <c r="P7" s="3">
        <v>2.0</v>
      </c>
      <c r="R7" s="3">
        <v>3.0</v>
      </c>
      <c r="S7" s="3">
        <v>2.0</v>
      </c>
      <c r="T7" s="3">
        <v>2.0</v>
      </c>
      <c r="U7" s="3">
        <v>2.0</v>
      </c>
      <c r="W7" s="3">
        <v>11.0</v>
      </c>
    </row>
    <row r="8" ht="14.25" customHeight="1">
      <c r="A8" s="573" t="s">
        <v>579</v>
      </c>
      <c r="B8" s="3">
        <v>5.0</v>
      </c>
      <c r="H8" s="3">
        <v>5.0</v>
      </c>
      <c r="I8" s="3">
        <v>2.0</v>
      </c>
      <c r="K8" s="3">
        <v>2.0</v>
      </c>
      <c r="L8" s="3">
        <v>2.0</v>
      </c>
      <c r="M8" s="3">
        <v>2.0</v>
      </c>
      <c r="N8" s="3">
        <v>18.0</v>
      </c>
      <c r="S8" s="3">
        <v>11.0</v>
      </c>
      <c r="U8" s="3">
        <v>3.0</v>
      </c>
      <c r="W8" s="3">
        <v>14.0</v>
      </c>
    </row>
    <row r="9" ht="14.25" customHeight="1">
      <c r="A9" s="573" t="s">
        <v>596</v>
      </c>
      <c r="E9" s="3">
        <v>3.0</v>
      </c>
      <c r="F9" s="3">
        <v>2.0</v>
      </c>
      <c r="H9" s="3">
        <v>2.0</v>
      </c>
      <c r="I9" s="3">
        <v>2.0</v>
      </c>
      <c r="J9" s="3">
        <v>2.0</v>
      </c>
      <c r="K9" s="3">
        <v>2.0</v>
      </c>
      <c r="L9" s="3">
        <v>2.0</v>
      </c>
      <c r="N9" s="3">
        <v>15.0</v>
      </c>
      <c r="Q9" s="3">
        <v>2.0</v>
      </c>
      <c r="R9" s="3">
        <v>3.0</v>
      </c>
      <c r="U9" s="3">
        <v>4.0</v>
      </c>
      <c r="W9" s="3">
        <v>9.0</v>
      </c>
    </row>
    <row r="10" ht="14.25" customHeight="1">
      <c r="A10" s="573" t="s">
        <v>589</v>
      </c>
      <c r="D10" s="3">
        <v>2.0</v>
      </c>
      <c r="E10" s="3">
        <v>2.0</v>
      </c>
      <c r="J10" s="3">
        <v>7.0</v>
      </c>
      <c r="M10" s="3">
        <v>3.0</v>
      </c>
      <c r="N10" s="3">
        <v>14.0</v>
      </c>
    </row>
    <row r="11" ht="14.25" customHeight="1">
      <c r="A11" s="573" t="s">
        <v>575</v>
      </c>
      <c r="B11" s="3">
        <v>1.0</v>
      </c>
      <c r="E11" s="3">
        <v>4.0</v>
      </c>
      <c r="F11" s="3">
        <v>3.0</v>
      </c>
      <c r="H11" s="3">
        <v>4.0</v>
      </c>
      <c r="M11" s="3">
        <v>2.0</v>
      </c>
      <c r="N11" s="3">
        <v>14.0</v>
      </c>
    </row>
    <row r="12" ht="14.25" customHeight="1">
      <c r="A12" s="573" t="s">
        <v>598</v>
      </c>
      <c r="E12" s="3">
        <v>2.0</v>
      </c>
      <c r="F12" s="3">
        <v>2.0</v>
      </c>
      <c r="H12" s="3">
        <v>3.0</v>
      </c>
      <c r="J12" s="3">
        <v>2.0</v>
      </c>
      <c r="M12" s="3">
        <v>3.0</v>
      </c>
      <c r="N12" s="3">
        <v>12.0</v>
      </c>
      <c r="T12" s="3">
        <v>2.0</v>
      </c>
      <c r="V12" s="3">
        <v>1.0</v>
      </c>
      <c r="W12" s="3">
        <v>3.0</v>
      </c>
    </row>
    <row r="13" ht="14.25" customHeight="1">
      <c r="A13" s="573" t="s">
        <v>580</v>
      </c>
      <c r="C13" s="3">
        <v>6.0</v>
      </c>
      <c r="D13" s="3">
        <v>1.0</v>
      </c>
      <c r="G13" s="3">
        <v>2.0</v>
      </c>
      <c r="J13" s="3">
        <v>2.0</v>
      </c>
      <c r="N13" s="3">
        <v>11.0</v>
      </c>
      <c r="O13" s="3">
        <v>3.0</v>
      </c>
      <c r="W13" s="3">
        <v>3.0</v>
      </c>
    </row>
    <row r="14" ht="14.25" customHeight="1">
      <c r="A14" s="573" t="s">
        <v>577</v>
      </c>
      <c r="B14" s="3">
        <v>3.0</v>
      </c>
      <c r="C14" s="3">
        <v>4.0</v>
      </c>
      <c r="H14" s="3">
        <v>2.0</v>
      </c>
      <c r="K14" s="3">
        <v>2.0</v>
      </c>
      <c r="N14" s="3">
        <v>11.0</v>
      </c>
      <c r="P14" s="3">
        <v>2.0</v>
      </c>
      <c r="Q14" s="3">
        <v>1.0</v>
      </c>
      <c r="S14" s="3">
        <v>2.0</v>
      </c>
      <c r="T14" s="3">
        <v>2.0</v>
      </c>
      <c r="W14" s="3">
        <v>7.0</v>
      </c>
    </row>
    <row r="15" ht="14.25" customHeight="1">
      <c r="A15" s="573" t="s">
        <v>585</v>
      </c>
      <c r="C15" s="3">
        <v>1.0</v>
      </c>
      <c r="J15" s="3">
        <v>1.0</v>
      </c>
      <c r="L15" s="3">
        <v>3.0</v>
      </c>
      <c r="M15" s="3">
        <v>4.0</v>
      </c>
      <c r="N15" s="3">
        <v>9.0</v>
      </c>
    </row>
    <row r="16" ht="14.25" customHeight="1">
      <c r="A16" s="573" t="s">
        <v>621</v>
      </c>
      <c r="L16" s="3">
        <v>5.0</v>
      </c>
      <c r="M16" s="3">
        <v>4.0</v>
      </c>
      <c r="N16" s="3">
        <v>9.0</v>
      </c>
    </row>
    <row r="17" ht="14.25" customHeight="1">
      <c r="A17" s="573" t="s">
        <v>597</v>
      </c>
      <c r="E17" s="3">
        <v>2.0</v>
      </c>
      <c r="I17" s="3">
        <v>5.0</v>
      </c>
      <c r="K17" s="3">
        <v>2.0</v>
      </c>
      <c r="N17" s="3">
        <v>9.0</v>
      </c>
    </row>
    <row r="18" ht="14.25" customHeight="1">
      <c r="A18" s="573" t="s">
        <v>594</v>
      </c>
      <c r="E18" s="3">
        <v>6.0</v>
      </c>
      <c r="I18" s="3">
        <v>2.0</v>
      </c>
      <c r="N18" s="3">
        <v>8.0</v>
      </c>
      <c r="R18" s="3">
        <v>3.0</v>
      </c>
      <c r="W18" s="3">
        <v>3.0</v>
      </c>
    </row>
    <row r="19" ht="14.25" customHeight="1">
      <c r="A19" s="573" t="s">
        <v>611</v>
      </c>
      <c r="I19" s="3">
        <v>7.0</v>
      </c>
      <c r="K19" s="3">
        <v>1.0</v>
      </c>
      <c r="N19" s="3">
        <v>8.0</v>
      </c>
      <c r="O19" s="3">
        <v>2.0</v>
      </c>
      <c r="S19" s="3">
        <v>2.0</v>
      </c>
      <c r="U19" s="3">
        <v>2.0</v>
      </c>
      <c r="W19" s="3">
        <v>6.0</v>
      </c>
    </row>
    <row r="20" ht="14.25" customHeight="1">
      <c r="A20" s="573" t="s">
        <v>595</v>
      </c>
      <c r="E20" s="3">
        <v>1.0</v>
      </c>
      <c r="G20" s="3">
        <v>3.0</v>
      </c>
      <c r="I20" s="3">
        <v>2.0</v>
      </c>
      <c r="J20" s="3">
        <v>1.0</v>
      </c>
      <c r="M20" s="3">
        <v>1.0</v>
      </c>
      <c r="N20" s="3">
        <v>8.0</v>
      </c>
      <c r="Q20" s="3">
        <v>2.0</v>
      </c>
      <c r="W20" s="3">
        <v>2.0</v>
      </c>
    </row>
    <row r="21" ht="14.25" customHeight="1">
      <c r="A21" s="573" t="s">
        <v>616</v>
      </c>
      <c r="J21" s="3">
        <v>4.0</v>
      </c>
      <c r="M21" s="3">
        <v>3.0</v>
      </c>
      <c r="N21" s="3">
        <v>7.0</v>
      </c>
      <c r="V21" s="3">
        <v>4.0</v>
      </c>
      <c r="W21" s="3">
        <v>4.0</v>
      </c>
    </row>
    <row r="22" ht="14.25" customHeight="1">
      <c r="A22" s="573" t="s">
        <v>601</v>
      </c>
      <c r="G22" s="3">
        <v>2.0</v>
      </c>
      <c r="J22" s="3">
        <v>5.0</v>
      </c>
      <c r="N22" s="3">
        <v>7.0</v>
      </c>
      <c r="O22" s="3">
        <v>4.0</v>
      </c>
      <c r="R22" s="3">
        <v>2.0</v>
      </c>
      <c r="U22" s="3">
        <v>3.0</v>
      </c>
      <c r="W22" s="3">
        <v>9.0</v>
      </c>
    </row>
    <row r="23" ht="14.25" customHeight="1">
      <c r="A23" s="573" t="s">
        <v>592</v>
      </c>
      <c r="D23" s="3">
        <v>2.0</v>
      </c>
      <c r="F23" s="3">
        <v>5.0</v>
      </c>
      <c r="N23" s="3">
        <v>7.0</v>
      </c>
    </row>
    <row r="24" ht="14.25" customHeight="1">
      <c r="A24" s="573" t="s">
        <v>604</v>
      </c>
      <c r="H24" s="3">
        <v>3.0</v>
      </c>
      <c r="J24" s="3">
        <v>3.0</v>
      </c>
      <c r="N24" s="3">
        <v>6.0</v>
      </c>
      <c r="U24" s="3">
        <v>2.0</v>
      </c>
      <c r="W24" s="3">
        <v>2.0</v>
      </c>
    </row>
    <row r="25" ht="14.25" customHeight="1">
      <c r="A25" s="573" t="s">
        <v>591</v>
      </c>
      <c r="D25" s="3">
        <v>1.0</v>
      </c>
      <c r="E25" s="3">
        <v>5.0</v>
      </c>
      <c r="N25" s="3">
        <v>6.0</v>
      </c>
      <c r="T25" s="3">
        <v>1.0</v>
      </c>
      <c r="W25" s="3">
        <v>1.0</v>
      </c>
    </row>
    <row r="26" ht="14.25" customHeight="1">
      <c r="A26" s="573" t="s">
        <v>618</v>
      </c>
      <c r="K26" s="3">
        <v>2.0</v>
      </c>
      <c r="L26" s="3">
        <v>4.0</v>
      </c>
      <c r="N26" s="3">
        <v>6.0</v>
      </c>
      <c r="O26" s="3">
        <v>2.0</v>
      </c>
      <c r="Q26" s="3">
        <v>3.0</v>
      </c>
      <c r="U26" s="3">
        <v>2.0</v>
      </c>
      <c r="V26" s="3">
        <v>4.0</v>
      </c>
      <c r="W26" s="3">
        <v>11.0</v>
      </c>
    </row>
    <row r="27" ht="14.25" customHeight="1">
      <c r="A27" s="573" t="s">
        <v>605</v>
      </c>
      <c r="H27" s="3">
        <v>4.0</v>
      </c>
      <c r="M27" s="3">
        <v>2.0</v>
      </c>
      <c r="N27" s="3">
        <v>6.0</v>
      </c>
      <c r="T27" s="3">
        <v>12.0</v>
      </c>
      <c r="U27" s="3">
        <v>14.0</v>
      </c>
      <c r="V27" s="3">
        <v>10.0</v>
      </c>
      <c r="W27" s="3">
        <v>36.0</v>
      </c>
    </row>
    <row r="28" ht="14.25" customHeight="1">
      <c r="A28" s="573" t="s">
        <v>587</v>
      </c>
      <c r="C28" s="3">
        <v>2.0</v>
      </c>
      <c r="E28" s="3">
        <v>3.0</v>
      </c>
      <c r="N28" s="3">
        <v>5.0</v>
      </c>
      <c r="S28" s="3">
        <v>3.0</v>
      </c>
      <c r="W28" s="3">
        <v>3.0</v>
      </c>
    </row>
    <row r="29" ht="14.25" customHeight="1">
      <c r="A29" s="573" t="s">
        <v>614</v>
      </c>
      <c r="J29" s="3">
        <v>5.0</v>
      </c>
      <c r="N29" s="3">
        <v>5.0</v>
      </c>
    </row>
    <row r="30" ht="14.25" customHeight="1">
      <c r="A30" s="573" t="s">
        <v>583</v>
      </c>
      <c r="C30" s="3">
        <v>2.0</v>
      </c>
      <c r="F30" s="3">
        <v>3.0</v>
      </c>
      <c r="N30" s="3">
        <v>5.0</v>
      </c>
      <c r="Q30" s="3">
        <v>2.0</v>
      </c>
      <c r="V30" s="3">
        <v>1.0</v>
      </c>
      <c r="W30" s="3">
        <v>3.0</v>
      </c>
    </row>
    <row r="31" ht="14.25" customHeight="1">
      <c r="A31" s="573" t="s">
        <v>586</v>
      </c>
      <c r="C31" s="3">
        <v>1.0</v>
      </c>
      <c r="G31" s="3">
        <v>4.0</v>
      </c>
      <c r="N31" s="3">
        <v>5.0</v>
      </c>
      <c r="Q31" s="3">
        <v>2.0</v>
      </c>
      <c r="W31" s="3">
        <v>2.0</v>
      </c>
    </row>
    <row r="32" ht="14.25" customHeight="1">
      <c r="A32" s="573" t="s">
        <v>606</v>
      </c>
      <c r="H32" s="3">
        <v>1.0</v>
      </c>
      <c r="I32" s="3">
        <v>3.0</v>
      </c>
      <c r="N32" s="3">
        <v>4.0</v>
      </c>
      <c r="U32" s="3">
        <v>2.0</v>
      </c>
      <c r="W32" s="3">
        <v>2.0</v>
      </c>
    </row>
    <row r="33" ht="14.25" customHeight="1">
      <c r="A33" s="573" t="s">
        <v>623</v>
      </c>
      <c r="M33" s="3">
        <v>4.0</v>
      </c>
      <c r="N33" s="3">
        <v>4.0</v>
      </c>
    </row>
    <row r="34" ht="14.25" customHeight="1">
      <c r="A34" s="573" t="s">
        <v>619</v>
      </c>
      <c r="K34" s="3">
        <v>3.0</v>
      </c>
      <c r="N34" s="3">
        <v>3.0</v>
      </c>
    </row>
    <row r="35" ht="14.25" customHeight="1">
      <c r="A35" s="573" t="s">
        <v>578</v>
      </c>
      <c r="B35" s="3">
        <v>3.0</v>
      </c>
      <c r="N35" s="3">
        <v>3.0</v>
      </c>
    </row>
    <row r="36" ht="14.25" customHeight="1">
      <c r="A36" s="573" t="s">
        <v>588</v>
      </c>
      <c r="C36" s="3">
        <v>2.0</v>
      </c>
      <c r="N36" s="3">
        <v>2.0</v>
      </c>
    </row>
    <row r="37" ht="14.25" customHeight="1">
      <c r="A37" s="573" t="s">
        <v>608</v>
      </c>
      <c r="I37" s="3">
        <v>2.0</v>
      </c>
      <c r="N37" s="3">
        <v>2.0</v>
      </c>
      <c r="U37" s="3">
        <v>7.0</v>
      </c>
      <c r="W37" s="3">
        <v>7.0</v>
      </c>
    </row>
    <row r="38" ht="14.25" customHeight="1">
      <c r="A38" s="573" t="s">
        <v>612</v>
      </c>
      <c r="I38" s="3">
        <v>2.0</v>
      </c>
      <c r="N38" s="3">
        <v>2.0</v>
      </c>
      <c r="S38" s="3">
        <v>3.0</v>
      </c>
      <c r="W38" s="3">
        <v>3.0</v>
      </c>
    </row>
    <row r="39" ht="14.25" customHeight="1">
      <c r="A39" s="573" t="s">
        <v>603</v>
      </c>
      <c r="H39" s="3">
        <v>2.0</v>
      </c>
      <c r="N39" s="3">
        <v>2.0</v>
      </c>
    </row>
    <row r="40" ht="14.25" customHeight="1">
      <c r="A40" s="573" t="s">
        <v>610</v>
      </c>
      <c r="I40" s="3">
        <v>1.0</v>
      </c>
      <c r="N40" s="3">
        <v>1.0</v>
      </c>
    </row>
    <row r="41" ht="14.25" customHeight="1">
      <c r="A41" s="573" t="s">
        <v>613</v>
      </c>
      <c r="I41" s="3">
        <v>1.0</v>
      </c>
      <c r="N41" s="3">
        <v>1.0</v>
      </c>
    </row>
    <row r="42" ht="14.25" customHeight="1">
      <c r="A42" s="573" t="s">
        <v>646</v>
      </c>
    </row>
    <row r="43" ht="14.25" customHeight="1">
      <c r="A43" s="573" t="s">
        <v>632</v>
      </c>
      <c r="T43" s="3">
        <v>5.0</v>
      </c>
      <c r="W43" s="3">
        <v>5.0</v>
      </c>
    </row>
    <row r="44" ht="14.25" customHeight="1">
      <c r="A44" s="573" t="s">
        <v>638</v>
      </c>
      <c r="U44" s="3">
        <v>3.0</v>
      </c>
      <c r="W44" s="3">
        <v>3.0</v>
      </c>
    </row>
    <row r="45" ht="14.25" customHeight="1">
      <c r="A45" s="573" t="s">
        <v>625</v>
      </c>
      <c r="P45" s="3">
        <v>3.0</v>
      </c>
      <c r="T45" s="3">
        <v>3.0</v>
      </c>
      <c r="W45" s="3">
        <v>6.0</v>
      </c>
    </row>
    <row r="46" ht="14.25" customHeight="1">
      <c r="A46" s="573" t="s">
        <v>637</v>
      </c>
      <c r="U46" s="3">
        <v>4.0</v>
      </c>
      <c r="V46" s="3">
        <v>1.0</v>
      </c>
      <c r="W46" s="3">
        <v>5.0</v>
      </c>
    </row>
    <row r="47" ht="14.25" customHeight="1">
      <c r="A47" s="573" t="s">
        <v>627</v>
      </c>
      <c r="P47" s="3">
        <v>1.0</v>
      </c>
      <c r="W47" s="3">
        <v>1.0</v>
      </c>
    </row>
    <row r="48" ht="14.25" customHeight="1">
      <c r="A48" s="573" t="s">
        <v>640</v>
      </c>
      <c r="V48" s="3">
        <v>1.0</v>
      </c>
      <c r="W48" s="3">
        <v>1.0</v>
      </c>
    </row>
    <row r="49" ht="14.25" customHeight="1">
      <c r="A49" s="573" t="s">
        <v>629</v>
      </c>
      <c r="S49" s="3">
        <v>2.0</v>
      </c>
      <c r="W49" s="3">
        <v>2.0</v>
      </c>
    </row>
    <row r="50" ht="14.25" customHeight="1">
      <c r="A50" s="573" t="s">
        <v>636</v>
      </c>
      <c r="U50" s="3">
        <v>3.0</v>
      </c>
      <c r="W50" s="3">
        <v>3.0</v>
      </c>
    </row>
    <row r="51" ht="14.25" customHeight="1">
      <c r="A51" s="573" t="s">
        <v>631</v>
      </c>
      <c r="T51" s="3">
        <v>2.0</v>
      </c>
      <c r="W51" s="3">
        <v>2.0</v>
      </c>
    </row>
    <row r="52" ht="14.25" customHeight="1">
      <c r="A52" s="573" t="s">
        <v>626</v>
      </c>
      <c r="P52" s="3">
        <v>2.0</v>
      </c>
      <c r="W52" s="3">
        <v>2.0</v>
      </c>
    </row>
    <row r="53" ht="14.25" customHeight="1">
      <c r="A53" s="573" t="s">
        <v>634</v>
      </c>
      <c r="T53" s="3">
        <v>11.0</v>
      </c>
      <c r="U53" s="3">
        <v>30.0</v>
      </c>
      <c r="W53" s="3">
        <v>41.0</v>
      </c>
    </row>
    <row r="54" ht="14.25" customHeight="1">
      <c r="A54" s="573" t="s">
        <v>624</v>
      </c>
      <c r="P54" s="3">
        <v>2.0</v>
      </c>
      <c r="W54" s="3">
        <v>2.0</v>
      </c>
    </row>
    <row r="55" ht="14.25" customHeight="1">
      <c r="A55" s="573" t="s">
        <v>630</v>
      </c>
      <c r="T55" s="3">
        <v>2.0</v>
      </c>
      <c r="W55" s="3">
        <v>2.0</v>
      </c>
    </row>
    <row r="56" ht="14.25" customHeight="1">
      <c r="A56" s="573" t="s">
        <v>639</v>
      </c>
      <c r="V56" s="3">
        <v>2.0</v>
      </c>
      <c r="W56" s="3">
        <v>2.0</v>
      </c>
    </row>
    <row r="57" ht="14.25" customHeight="1">
      <c r="A57" s="573" t="s">
        <v>633</v>
      </c>
      <c r="T57" s="3">
        <v>3.0</v>
      </c>
      <c r="V57" s="3">
        <v>3.0</v>
      </c>
      <c r="W57" s="3">
        <v>6.0</v>
      </c>
    </row>
    <row r="58" ht="14.25" customHeight="1">
      <c r="A58" s="573" t="s">
        <v>641</v>
      </c>
      <c r="V58" s="3">
        <v>2.0</v>
      </c>
      <c r="W58" s="3">
        <v>2.0</v>
      </c>
    </row>
    <row r="59" ht="14.25" customHeight="1">
      <c r="A59" s="573" t="s">
        <v>635</v>
      </c>
      <c r="U59" s="3">
        <v>2.0</v>
      </c>
      <c r="W59" s="3">
        <v>2.0</v>
      </c>
    </row>
    <row r="60" ht="14.25" customHeight="1">
      <c r="A60" s="573" t="s">
        <v>628</v>
      </c>
      <c r="S60" s="3">
        <v>7.0</v>
      </c>
      <c r="T60" s="3">
        <v>5.0</v>
      </c>
      <c r="U60" s="3">
        <v>2.0</v>
      </c>
      <c r="W60" s="3">
        <v>14.0</v>
      </c>
    </row>
    <row r="61" ht="14.25" customHeight="1">
      <c r="A61" s="573" t="s">
        <v>649</v>
      </c>
      <c r="B61" s="3">
        <v>12.0</v>
      </c>
      <c r="C61" s="3">
        <v>26.0</v>
      </c>
      <c r="D61" s="3">
        <v>12.0</v>
      </c>
      <c r="E61" s="3">
        <v>30.0</v>
      </c>
      <c r="F61" s="3">
        <v>22.0</v>
      </c>
      <c r="G61" s="3">
        <v>15.0</v>
      </c>
      <c r="H61" s="3">
        <v>30.0</v>
      </c>
      <c r="I61" s="3">
        <v>30.0</v>
      </c>
      <c r="J61" s="3">
        <v>37.0</v>
      </c>
      <c r="K61" s="3">
        <v>26.0</v>
      </c>
      <c r="L61" s="3">
        <v>16.0</v>
      </c>
      <c r="M61" s="3">
        <v>30.0</v>
      </c>
      <c r="N61" s="3">
        <v>286.0</v>
      </c>
      <c r="O61" s="3">
        <v>11.0</v>
      </c>
      <c r="P61" s="3">
        <v>14.0</v>
      </c>
      <c r="Q61" s="3">
        <v>12.0</v>
      </c>
      <c r="R61" s="3">
        <v>13.0</v>
      </c>
      <c r="S61" s="3">
        <v>34.0</v>
      </c>
      <c r="T61" s="3">
        <v>55.0</v>
      </c>
      <c r="U61" s="3">
        <v>85.0</v>
      </c>
      <c r="V61" s="3">
        <v>33.0</v>
      </c>
      <c r="W61" s="3">
        <v>257.0</v>
      </c>
    </row>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
    <col customWidth="1" min="2" max="2" width="10.71"/>
    <col customWidth="1" min="3" max="3" width="11.29"/>
    <col customWidth="1" min="4" max="5" width="10.71"/>
    <col customWidth="1" min="6" max="6" width="2.57"/>
    <col customWidth="1" min="7" max="8" width="10.71"/>
    <col customWidth="1" min="9" max="9" width="3.0"/>
    <col customWidth="1" min="10" max="10" width="13.29"/>
  </cols>
  <sheetData>
    <row r="1" ht="6.75" customHeight="1"/>
    <row r="2">
      <c r="B2" s="556"/>
      <c r="C2" s="91"/>
      <c r="D2" s="557" t="s">
        <v>650</v>
      </c>
      <c r="E2" s="8"/>
      <c r="F2" s="8"/>
      <c r="G2" s="8"/>
      <c r="H2" s="8"/>
      <c r="I2" s="9"/>
      <c r="J2" s="558" t="s">
        <v>493</v>
      </c>
    </row>
    <row r="3">
      <c r="B3" s="121"/>
      <c r="C3" s="122"/>
      <c r="D3" s="557" t="s">
        <v>494</v>
      </c>
      <c r="E3" s="8"/>
      <c r="F3" s="8"/>
      <c r="G3" s="8"/>
      <c r="H3" s="8"/>
      <c r="I3" s="9"/>
      <c r="J3" s="559"/>
    </row>
    <row r="4">
      <c r="B4" s="195"/>
      <c r="C4" s="196"/>
      <c r="D4" s="557" t="s">
        <v>69</v>
      </c>
      <c r="E4" s="8"/>
      <c r="F4" s="8"/>
      <c r="G4" s="8"/>
      <c r="H4" s="8"/>
      <c r="I4" s="9"/>
      <c r="J4" s="544"/>
    </row>
    <row r="5">
      <c r="B5" s="557" t="s">
        <v>349</v>
      </c>
      <c r="C5" s="9"/>
      <c r="D5" s="560">
        <f>TODAY()-1</f>
        <v>46261</v>
      </c>
      <c r="E5" s="8"/>
      <c r="F5" s="8"/>
      <c r="G5" s="8"/>
      <c r="H5" s="8"/>
      <c r="I5" s="8"/>
      <c r="J5" s="9"/>
    </row>
    <row r="6">
      <c r="B6" s="557" t="s">
        <v>495</v>
      </c>
      <c r="C6" s="9"/>
      <c r="D6" s="557" t="s">
        <v>496</v>
      </c>
      <c r="E6" s="8"/>
      <c r="F6" s="8"/>
      <c r="G6" s="8"/>
      <c r="H6" s="8"/>
      <c r="I6" s="8"/>
      <c r="J6" s="9"/>
    </row>
    <row r="7">
      <c r="B7" s="557" t="s">
        <v>656</v>
      </c>
      <c r="C7" s="9"/>
      <c r="D7" s="557" t="s">
        <v>658</v>
      </c>
      <c r="E7" s="8"/>
      <c r="F7" s="8"/>
      <c r="G7" s="8"/>
      <c r="H7" s="8"/>
      <c r="I7" s="8"/>
      <c r="J7" s="9"/>
    </row>
    <row r="8" ht="15.75" customHeight="1">
      <c r="B8" s="557" t="s">
        <v>498</v>
      </c>
      <c r="C8" s="9"/>
      <c r="D8" s="557" t="s">
        <v>499</v>
      </c>
      <c r="E8" s="8"/>
      <c r="F8" s="9"/>
      <c r="G8" s="557" t="s">
        <v>500</v>
      </c>
      <c r="H8" s="8"/>
      <c r="I8" s="8"/>
      <c r="J8" s="9"/>
    </row>
    <row r="9" ht="27.75" customHeight="1">
      <c r="B9" s="562" t="s">
        <v>660</v>
      </c>
      <c r="C9" s="9"/>
      <c r="D9" s="580" t="s">
        <v>661</v>
      </c>
      <c r="E9" s="95"/>
      <c r="F9" s="91"/>
      <c r="G9" s="561" t="s">
        <v>662</v>
      </c>
      <c r="H9" s="8"/>
      <c r="I9" s="8"/>
      <c r="J9" s="9"/>
    </row>
    <row r="10" ht="21.75" customHeight="1">
      <c r="B10" s="562"/>
      <c r="C10" s="9"/>
      <c r="D10" s="121"/>
      <c r="F10" s="122"/>
      <c r="G10" s="563" t="s">
        <v>663</v>
      </c>
      <c r="H10" s="8"/>
      <c r="I10" s="8"/>
      <c r="J10" s="9"/>
    </row>
    <row r="11" ht="21.75" customHeight="1">
      <c r="B11" s="561"/>
      <c r="C11" s="9"/>
      <c r="D11" s="121"/>
      <c r="F11" s="122"/>
      <c r="G11" s="561" t="s">
        <v>664</v>
      </c>
      <c r="H11" s="8"/>
      <c r="I11" s="8"/>
      <c r="J11" s="9"/>
    </row>
    <row r="12" ht="24.0" customHeight="1">
      <c r="B12" s="561"/>
      <c r="C12" s="9"/>
      <c r="D12" s="582"/>
      <c r="E12" s="583"/>
      <c r="F12" s="585"/>
      <c r="G12" s="561" t="s">
        <v>665</v>
      </c>
      <c r="H12" s="8"/>
      <c r="I12" s="8"/>
      <c r="J12" s="9"/>
    </row>
    <row r="13" ht="23.25" customHeight="1">
      <c r="B13" s="561"/>
      <c r="C13" s="9"/>
      <c r="D13" s="582"/>
      <c r="E13" s="583"/>
      <c r="F13" s="585"/>
      <c r="G13" s="561" t="s">
        <v>666</v>
      </c>
      <c r="H13" s="8"/>
      <c r="I13" s="8"/>
      <c r="J13" s="9"/>
    </row>
    <row r="14" ht="23.25" customHeight="1">
      <c r="B14" s="561"/>
      <c r="C14" s="9"/>
      <c r="D14" s="582"/>
      <c r="E14" s="583"/>
      <c r="F14" s="585"/>
      <c r="G14" s="561" t="s">
        <v>667</v>
      </c>
      <c r="H14" s="8"/>
      <c r="I14" s="8"/>
      <c r="J14" s="9"/>
    </row>
    <row r="15" ht="22.5" customHeight="1">
      <c r="B15" s="561"/>
      <c r="C15" s="9"/>
      <c r="D15" s="589"/>
      <c r="E15" s="590"/>
      <c r="F15" s="591"/>
      <c r="G15" s="561" t="s">
        <v>510</v>
      </c>
      <c r="H15" s="8"/>
      <c r="I15" s="8"/>
      <c r="J15" s="9"/>
    </row>
    <row r="16">
      <c r="B16" s="564"/>
      <c r="C16" s="95"/>
      <c r="D16" s="95"/>
      <c r="E16" s="95"/>
      <c r="F16" s="95"/>
      <c r="G16" s="95"/>
      <c r="H16" s="95"/>
      <c r="I16" s="95"/>
      <c r="J16" s="95"/>
    </row>
    <row r="17" ht="21.0" customHeight="1"/>
    <row r="18">
      <c r="B18" s="564" t="s">
        <v>511</v>
      </c>
      <c r="C18" s="95"/>
      <c r="D18" s="95"/>
      <c r="G18" s="564" t="s">
        <v>512</v>
      </c>
      <c r="H18" s="95"/>
      <c r="I18" s="95"/>
      <c r="J18" s="95"/>
    </row>
    <row r="19">
      <c r="B19" s="1"/>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
    <mergeCell ref="B2:C4"/>
    <mergeCell ref="D2:I2"/>
    <mergeCell ref="J2:J4"/>
    <mergeCell ref="D3:I3"/>
    <mergeCell ref="D4:I4"/>
    <mergeCell ref="B5:C5"/>
    <mergeCell ref="D5:J5"/>
    <mergeCell ref="G9:J9"/>
    <mergeCell ref="G10:J10"/>
    <mergeCell ref="G11:J11"/>
    <mergeCell ref="G12:J12"/>
    <mergeCell ref="G13:J13"/>
    <mergeCell ref="G14:J14"/>
    <mergeCell ref="G15:J15"/>
    <mergeCell ref="B6:C6"/>
    <mergeCell ref="D6:J6"/>
    <mergeCell ref="B7:C7"/>
    <mergeCell ref="D7:J7"/>
    <mergeCell ref="B8:C8"/>
    <mergeCell ref="G8:J8"/>
    <mergeCell ref="B9:C9"/>
    <mergeCell ref="B15:C15"/>
    <mergeCell ref="B16:J17"/>
    <mergeCell ref="B18:D18"/>
    <mergeCell ref="G18:J18"/>
    <mergeCell ref="B19:J19"/>
    <mergeCell ref="D8:F8"/>
    <mergeCell ref="D9:F11"/>
    <mergeCell ref="B10:C10"/>
    <mergeCell ref="B11:C11"/>
    <mergeCell ref="B12:C12"/>
    <mergeCell ref="B13:C13"/>
    <mergeCell ref="B14:C14"/>
  </mergeCells>
  <printOptions/>
  <pageMargins bottom="0.75" footer="0.0" header="0.0" left="0.7" right="0.7" top="0.75"/>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43"/>
    <col customWidth="1" min="2" max="2" width="4.71"/>
    <col customWidth="1" min="3" max="3" width="35.29"/>
    <col customWidth="1" min="4" max="7" width="17.29"/>
    <col customWidth="1" min="8" max="8" width="19.71"/>
    <col customWidth="1" min="9" max="9" width="22.0"/>
    <col customWidth="1" min="10" max="11" width="10.71"/>
    <col customWidth="1" hidden="1" min="12" max="12" width="10.71"/>
  </cols>
  <sheetData>
    <row r="1">
      <c r="D1" s="1"/>
      <c r="E1" s="1"/>
      <c r="F1" s="1"/>
      <c r="G1" s="1"/>
      <c r="H1" s="1"/>
    </row>
    <row r="2">
      <c r="D2" s="1"/>
      <c r="E2" s="1"/>
      <c r="F2" s="1"/>
      <c r="G2" s="1"/>
      <c r="H2" s="1"/>
    </row>
    <row r="3" ht="20.25" customHeight="1">
      <c r="B3" s="574" t="s">
        <v>5</v>
      </c>
      <c r="C3" s="575" t="s">
        <v>651</v>
      </c>
      <c r="D3" s="575" t="s">
        <v>652</v>
      </c>
      <c r="E3" s="575" t="s">
        <v>653</v>
      </c>
      <c r="F3" s="575" t="s">
        <v>654</v>
      </c>
      <c r="G3" s="575" t="s">
        <v>655</v>
      </c>
      <c r="H3" s="575" t="s">
        <v>657</v>
      </c>
      <c r="I3" s="576" t="s">
        <v>657</v>
      </c>
    </row>
    <row r="4">
      <c r="B4" s="577">
        <v>1.0</v>
      </c>
      <c r="C4" s="578" t="s">
        <v>659</v>
      </c>
      <c r="D4" s="579">
        <v>40565.0</v>
      </c>
      <c r="E4" s="23">
        <f t="shared" ref="E4:E39" si="1">(MONTH($L$4)-MONTH(D4))+((YEAR($L$4)-YEAR(D4))*12)</f>
        <v>187</v>
      </c>
      <c r="F4" s="581">
        <f t="shared" ref="F4:F42" si="2">E4/12</f>
        <v>15.58333333</v>
      </c>
      <c r="G4" s="23">
        <f t="shared" ref="G4:G39" si="3">MONTH(D4)</f>
        <v>1</v>
      </c>
      <c r="H4" s="579" t="s">
        <v>559</v>
      </c>
      <c r="I4" s="584">
        <v>45282.0</v>
      </c>
      <c r="L4" s="586">
        <f>TODAY()</f>
        <v>46262</v>
      </c>
    </row>
    <row r="5" ht="16.5" customHeight="1">
      <c r="B5" s="577">
        <v>3.0</v>
      </c>
      <c r="C5" s="587" t="s">
        <v>585</v>
      </c>
      <c r="D5" s="579">
        <v>44222.0</v>
      </c>
      <c r="E5" s="23">
        <f t="shared" si="1"/>
        <v>67</v>
      </c>
      <c r="F5" s="581">
        <f t="shared" si="2"/>
        <v>5.583333333</v>
      </c>
      <c r="G5" s="23">
        <f t="shared" si="3"/>
        <v>1</v>
      </c>
      <c r="H5" s="579" t="s">
        <v>559</v>
      </c>
      <c r="I5" s="588"/>
    </row>
    <row r="6">
      <c r="B6" s="577">
        <v>4.0</v>
      </c>
      <c r="C6" s="587" t="s">
        <v>579</v>
      </c>
      <c r="D6" s="579">
        <v>44222.0</v>
      </c>
      <c r="E6" s="23">
        <f t="shared" si="1"/>
        <v>67</v>
      </c>
      <c r="F6" s="581">
        <f t="shared" si="2"/>
        <v>5.583333333</v>
      </c>
      <c r="G6" s="23">
        <f t="shared" si="3"/>
        <v>1</v>
      </c>
      <c r="H6" s="579" t="s">
        <v>559</v>
      </c>
      <c r="I6" s="588"/>
    </row>
    <row r="7">
      <c r="B7" s="577">
        <v>5.0</v>
      </c>
      <c r="C7" s="587" t="s">
        <v>668</v>
      </c>
      <c r="D7" s="579">
        <v>44562.0</v>
      </c>
      <c r="E7" s="23">
        <f t="shared" si="1"/>
        <v>55</v>
      </c>
      <c r="F7" s="581">
        <f t="shared" si="2"/>
        <v>4.583333333</v>
      </c>
      <c r="G7" s="23">
        <f t="shared" si="3"/>
        <v>1</v>
      </c>
      <c r="H7" s="579" t="s">
        <v>559</v>
      </c>
      <c r="I7" s="588"/>
    </row>
    <row r="8">
      <c r="B8" s="577">
        <v>6.0</v>
      </c>
      <c r="C8" s="578" t="s">
        <v>613</v>
      </c>
      <c r="D8" s="579">
        <v>44581.0</v>
      </c>
      <c r="E8" s="23">
        <f t="shared" si="1"/>
        <v>55</v>
      </c>
      <c r="F8" s="581">
        <f t="shared" si="2"/>
        <v>4.583333333</v>
      </c>
      <c r="G8" s="23">
        <f t="shared" si="3"/>
        <v>1</v>
      </c>
      <c r="H8" s="579" t="s">
        <v>559</v>
      </c>
      <c r="I8" s="588"/>
    </row>
    <row r="9">
      <c r="B9" s="577">
        <v>7.0</v>
      </c>
      <c r="C9" s="587" t="s">
        <v>591</v>
      </c>
      <c r="D9" s="579">
        <v>44585.0</v>
      </c>
      <c r="E9" s="23">
        <f t="shared" si="1"/>
        <v>55</v>
      </c>
      <c r="F9" s="581">
        <f t="shared" si="2"/>
        <v>4.583333333</v>
      </c>
      <c r="G9" s="23">
        <f t="shared" si="3"/>
        <v>1</v>
      </c>
      <c r="H9" s="579" t="s">
        <v>559</v>
      </c>
      <c r="I9" s="588"/>
    </row>
    <row r="10">
      <c r="B10" s="577">
        <v>8.0</v>
      </c>
      <c r="C10" s="587" t="s">
        <v>669</v>
      </c>
      <c r="D10" s="579">
        <v>42788.0</v>
      </c>
      <c r="E10" s="23">
        <f t="shared" si="1"/>
        <v>114</v>
      </c>
      <c r="F10" s="581">
        <f t="shared" si="2"/>
        <v>9.5</v>
      </c>
      <c r="G10" s="23">
        <f t="shared" si="3"/>
        <v>2</v>
      </c>
      <c r="H10" s="579" t="s">
        <v>83</v>
      </c>
      <c r="I10" s="588"/>
    </row>
    <row r="11" ht="18.75" customHeight="1">
      <c r="B11" s="577">
        <v>9.0</v>
      </c>
      <c r="C11" s="578" t="s">
        <v>596</v>
      </c>
      <c r="D11" s="579">
        <v>43183.0</v>
      </c>
      <c r="E11" s="23">
        <f t="shared" si="1"/>
        <v>101</v>
      </c>
      <c r="F11" s="592">
        <f t="shared" si="2"/>
        <v>8.416666667</v>
      </c>
      <c r="G11" s="23">
        <f t="shared" si="3"/>
        <v>3</v>
      </c>
      <c r="H11" s="579" t="s">
        <v>83</v>
      </c>
      <c r="I11" s="584">
        <v>45292.0</v>
      </c>
    </row>
    <row r="12">
      <c r="B12" s="577">
        <v>10.0</v>
      </c>
      <c r="C12" s="587" t="s">
        <v>614</v>
      </c>
      <c r="D12" s="579">
        <v>44971.0</v>
      </c>
      <c r="E12" s="23">
        <f t="shared" si="1"/>
        <v>42</v>
      </c>
      <c r="F12" s="581">
        <f t="shared" si="2"/>
        <v>3.5</v>
      </c>
      <c r="G12" s="23">
        <f t="shared" si="3"/>
        <v>2</v>
      </c>
      <c r="H12" s="579" t="s">
        <v>83</v>
      </c>
      <c r="I12" s="588"/>
    </row>
    <row r="13">
      <c r="B13" s="577">
        <v>11.0</v>
      </c>
      <c r="C13" s="587" t="s">
        <v>624</v>
      </c>
      <c r="D13" s="579">
        <v>44978.0</v>
      </c>
      <c r="E13" s="23">
        <f t="shared" si="1"/>
        <v>42</v>
      </c>
      <c r="F13" s="581">
        <f t="shared" si="2"/>
        <v>3.5</v>
      </c>
      <c r="G13" s="23">
        <f t="shared" si="3"/>
        <v>2</v>
      </c>
      <c r="H13" s="579" t="s">
        <v>83</v>
      </c>
      <c r="I13" s="588"/>
    </row>
    <row r="14">
      <c r="B14" s="577">
        <v>13.0</v>
      </c>
      <c r="C14" s="593" t="s">
        <v>604</v>
      </c>
      <c r="D14" s="579">
        <v>44306.0</v>
      </c>
      <c r="E14" s="23">
        <f t="shared" si="1"/>
        <v>64</v>
      </c>
      <c r="F14" s="581">
        <f t="shared" si="2"/>
        <v>5.333333333</v>
      </c>
      <c r="G14" s="23">
        <f t="shared" si="3"/>
        <v>4</v>
      </c>
      <c r="H14" s="23" t="s">
        <v>98</v>
      </c>
      <c r="I14" s="588"/>
    </row>
    <row r="15" ht="15.0" customHeight="1">
      <c r="B15" s="577">
        <v>14.0</v>
      </c>
      <c r="C15" s="587" t="s">
        <v>587</v>
      </c>
      <c r="D15" s="579">
        <v>44306.0</v>
      </c>
      <c r="E15" s="23">
        <f t="shared" si="1"/>
        <v>64</v>
      </c>
      <c r="F15" s="581">
        <f t="shared" si="2"/>
        <v>5.333333333</v>
      </c>
      <c r="G15" s="23">
        <f t="shared" si="3"/>
        <v>4</v>
      </c>
      <c r="H15" s="23" t="s">
        <v>98</v>
      </c>
      <c r="I15" s="588"/>
    </row>
    <row r="16">
      <c r="B16" s="577">
        <v>15.0</v>
      </c>
      <c r="C16" s="587" t="s">
        <v>578</v>
      </c>
      <c r="D16" s="579">
        <v>45020.0</v>
      </c>
      <c r="E16" s="23">
        <f t="shared" si="1"/>
        <v>40</v>
      </c>
      <c r="F16" s="581">
        <f t="shared" si="2"/>
        <v>3.333333333</v>
      </c>
      <c r="G16" s="23">
        <f t="shared" si="3"/>
        <v>4</v>
      </c>
      <c r="H16" s="23" t="s">
        <v>98</v>
      </c>
      <c r="I16" s="588"/>
    </row>
    <row r="17">
      <c r="B17" s="577">
        <v>16.0</v>
      </c>
      <c r="C17" s="587" t="s">
        <v>670</v>
      </c>
      <c r="D17" s="579">
        <v>44693.0</v>
      </c>
      <c r="E17" s="23">
        <f t="shared" si="1"/>
        <v>51</v>
      </c>
      <c r="F17" s="581">
        <f t="shared" si="2"/>
        <v>4.25</v>
      </c>
      <c r="G17" s="23">
        <f t="shared" si="3"/>
        <v>5</v>
      </c>
      <c r="H17" s="23" t="s">
        <v>671</v>
      </c>
      <c r="I17" s="588"/>
    </row>
    <row r="18" ht="15.75" customHeight="1">
      <c r="B18" s="577">
        <v>22.0</v>
      </c>
      <c r="C18" s="578" t="s">
        <v>672</v>
      </c>
      <c r="D18" s="579">
        <v>41116.0</v>
      </c>
      <c r="E18" s="23">
        <f t="shared" si="1"/>
        <v>169</v>
      </c>
      <c r="F18" s="581">
        <f t="shared" si="2"/>
        <v>14.08333333</v>
      </c>
      <c r="G18" s="23">
        <f t="shared" si="3"/>
        <v>7</v>
      </c>
      <c r="H18" s="23" t="s">
        <v>122</v>
      </c>
      <c r="I18" s="588"/>
    </row>
    <row r="19" ht="15.75" customHeight="1">
      <c r="B19" s="577">
        <v>23.0</v>
      </c>
      <c r="C19" s="578" t="s">
        <v>589</v>
      </c>
      <c r="D19" s="579">
        <v>41116.0</v>
      </c>
      <c r="E19" s="23">
        <f t="shared" si="1"/>
        <v>169</v>
      </c>
      <c r="F19" s="581">
        <f t="shared" si="2"/>
        <v>14.08333333</v>
      </c>
      <c r="G19" s="23">
        <f t="shared" si="3"/>
        <v>7</v>
      </c>
      <c r="H19" s="23" t="s">
        <v>122</v>
      </c>
      <c r="I19" s="588"/>
    </row>
    <row r="20" ht="15.75" customHeight="1">
      <c r="B20" s="577">
        <v>25.0</v>
      </c>
      <c r="C20" s="578" t="s">
        <v>605</v>
      </c>
      <c r="D20" s="579">
        <v>41116.0</v>
      </c>
      <c r="E20" s="23">
        <f t="shared" si="1"/>
        <v>169</v>
      </c>
      <c r="F20" s="581">
        <f t="shared" si="2"/>
        <v>14.08333333</v>
      </c>
      <c r="G20" s="23">
        <f t="shared" si="3"/>
        <v>7</v>
      </c>
      <c r="H20" s="23" t="s">
        <v>122</v>
      </c>
      <c r="I20" s="588"/>
    </row>
    <row r="21" ht="15.75" customHeight="1">
      <c r="B21" s="577">
        <v>26.0</v>
      </c>
      <c r="C21" s="587" t="s">
        <v>673</v>
      </c>
      <c r="D21" s="579">
        <v>41116.0</v>
      </c>
      <c r="E21" s="23">
        <f t="shared" si="1"/>
        <v>169</v>
      </c>
      <c r="F21" s="581">
        <f t="shared" si="2"/>
        <v>14.08333333</v>
      </c>
      <c r="G21" s="23">
        <f t="shared" si="3"/>
        <v>7</v>
      </c>
      <c r="H21" s="23" t="s">
        <v>122</v>
      </c>
      <c r="I21" s="588"/>
    </row>
    <row r="22" ht="15.75" customHeight="1">
      <c r="B22" s="577">
        <v>27.0</v>
      </c>
      <c r="C22" s="587" t="s">
        <v>632</v>
      </c>
      <c r="D22" s="579">
        <v>41116.0</v>
      </c>
      <c r="E22" s="23">
        <f t="shared" si="1"/>
        <v>169</v>
      </c>
      <c r="F22" s="581">
        <f t="shared" si="2"/>
        <v>14.08333333</v>
      </c>
      <c r="G22" s="23">
        <f t="shared" si="3"/>
        <v>7</v>
      </c>
      <c r="H22" s="23" t="s">
        <v>122</v>
      </c>
      <c r="I22" s="588"/>
    </row>
    <row r="23" ht="15.75" customHeight="1">
      <c r="B23" s="577">
        <v>28.0</v>
      </c>
      <c r="C23" s="587" t="s">
        <v>610</v>
      </c>
      <c r="D23" s="579">
        <v>41481.0</v>
      </c>
      <c r="E23" s="23">
        <f t="shared" si="1"/>
        <v>157</v>
      </c>
      <c r="F23" s="581">
        <f t="shared" si="2"/>
        <v>13.08333333</v>
      </c>
      <c r="G23" s="23">
        <f t="shared" si="3"/>
        <v>7</v>
      </c>
      <c r="H23" s="23" t="s">
        <v>122</v>
      </c>
      <c r="I23" s="588"/>
    </row>
    <row r="24" ht="15.75" customHeight="1">
      <c r="B24" s="577">
        <v>29.0</v>
      </c>
      <c r="C24" s="587" t="s">
        <v>584</v>
      </c>
      <c r="D24" s="579">
        <v>41836.0</v>
      </c>
      <c r="E24" s="23">
        <f t="shared" si="1"/>
        <v>145</v>
      </c>
      <c r="F24" s="581">
        <f t="shared" si="2"/>
        <v>12.08333333</v>
      </c>
      <c r="G24" s="23">
        <f t="shared" si="3"/>
        <v>7</v>
      </c>
      <c r="H24" s="23" t="s">
        <v>122</v>
      </c>
      <c r="I24" s="588"/>
    </row>
    <row r="25" ht="15.75" customHeight="1">
      <c r="B25" s="577">
        <v>30.0</v>
      </c>
      <c r="C25" s="587" t="s">
        <v>577</v>
      </c>
      <c r="D25" s="579">
        <v>43657.0</v>
      </c>
      <c r="E25" s="23">
        <f t="shared" si="1"/>
        <v>85</v>
      </c>
      <c r="F25" s="581">
        <f t="shared" si="2"/>
        <v>7.083333333</v>
      </c>
      <c r="G25" s="23">
        <f t="shared" si="3"/>
        <v>7</v>
      </c>
      <c r="H25" s="23" t="s">
        <v>122</v>
      </c>
      <c r="I25" s="588"/>
    </row>
    <row r="26" ht="15.75" customHeight="1">
      <c r="B26" s="577">
        <v>32.0</v>
      </c>
      <c r="C26" s="587" t="s">
        <v>616</v>
      </c>
      <c r="D26" s="579">
        <v>44390.0</v>
      </c>
      <c r="E26" s="23">
        <f t="shared" si="1"/>
        <v>61</v>
      </c>
      <c r="F26" s="581">
        <f t="shared" si="2"/>
        <v>5.083333333</v>
      </c>
      <c r="G26" s="23">
        <f t="shared" si="3"/>
        <v>7</v>
      </c>
      <c r="H26" s="23" t="s">
        <v>122</v>
      </c>
      <c r="I26" s="588"/>
    </row>
    <row r="27" ht="15.75" customHeight="1">
      <c r="B27" s="577">
        <v>38.0</v>
      </c>
      <c r="C27" s="593" t="s">
        <v>674</v>
      </c>
      <c r="D27" s="579">
        <v>44431.0</v>
      </c>
      <c r="E27" s="23">
        <f t="shared" si="1"/>
        <v>60</v>
      </c>
      <c r="F27" s="581">
        <f t="shared" si="2"/>
        <v>5</v>
      </c>
      <c r="G27" s="23">
        <f t="shared" si="3"/>
        <v>8</v>
      </c>
      <c r="H27" s="23" t="s">
        <v>127</v>
      </c>
      <c r="I27" s="584"/>
    </row>
    <row r="28" ht="15.75" customHeight="1">
      <c r="B28" s="577">
        <v>39.0</v>
      </c>
      <c r="C28" s="587" t="s">
        <v>619</v>
      </c>
      <c r="D28" s="579">
        <v>44797.0</v>
      </c>
      <c r="E28" s="23">
        <f t="shared" si="1"/>
        <v>48</v>
      </c>
      <c r="F28" s="581">
        <f t="shared" si="2"/>
        <v>4</v>
      </c>
      <c r="G28" s="23">
        <f t="shared" si="3"/>
        <v>8</v>
      </c>
      <c r="H28" s="23" t="s">
        <v>127</v>
      </c>
      <c r="I28" s="588"/>
    </row>
    <row r="29" ht="15.75" customHeight="1">
      <c r="B29" s="577">
        <v>40.0</v>
      </c>
      <c r="C29" s="587" t="s">
        <v>603</v>
      </c>
      <c r="D29" s="579">
        <v>44797.0</v>
      </c>
      <c r="E29" s="23">
        <f t="shared" si="1"/>
        <v>48</v>
      </c>
      <c r="F29" s="581">
        <f t="shared" si="2"/>
        <v>4</v>
      </c>
      <c r="G29" s="23">
        <f t="shared" si="3"/>
        <v>8</v>
      </c>
      <c r="H29" s="23" t="s">
        <v>127</v>
      </c>
      <c r="I29" s="588"/>
    </row>
    <row r="30" ht="15.75" customHeight="1">
      <c r="B30" s="577">
        <v>41.0</v>
      </c>
      <c r="C30" s="587" t="s">
        <v>627</v>
      </c>
      <c r="D30" s="579">
        <v>42258.0</v>
      </c>
      <c r="E30" s="23">
        <f t="shared" si="1"/>
        <v>131</v>
      </c>
      <c r="F30" s="581">
        <f t="shared" si="2"/>
        <v>10.91666667</v>
      </c>
      <c r="G30" s="23">
        <f t="shared" si="3"/>
        <v>9</v>
      </c>
      <c r="H30" s="23" t="s">
        <v>675</v>
      </c>
      <c r="I30" s="588"/>
    </row>
    <row r="31" ht="15.75" customHeight="1">
      <c r="B31" s="577">
        <v>44.0</v>
      </c>
      <c r="C31" s="587" t="s">
        <v>586</v>
      </c>
      <c r="D31" s="579">
        <v>44459.0</v>
      </c>
      <c r="E31" s="23">
        <f t="shared" si="1"/>
        <v>59</v>
      </c>
      <c r="F31" s="581">
        <f t="shared" si="2"/>
        <v>4.916666667</v>
      </c>
      <c r="G31" s="23">
        <f t="shared" si="3"/>
        <v>9</v>
      </c>
      <c r="H31" s="23" t="s">
        <v>675</v>
      </c>
      <c r="I31" s="588"/>
    </row>
    <row r="32" ht="15.75" customHeight="1">
      <c r="B32" s="577">
        <v>48.0</v>
      </c>
      <c r="C32" s="578" t="s">
        <v>626</v>
      </c>
      <c r="D32" s="579">
        <v>41559.0</v>
      </c>
      <c r="E32" s="23">
        <f t="shared" si="1"/>
        <v>154</v>
      </c>
      <c r="F32" s="581">
        <f t="shared" si="2"/>
        <v>12.83333333</v>
      </c>
      <c r="G32" s="23">
        <f t="shared" si="3"/>
        <v>10</v>
      </c>
      <c r="H32" s="23" t="s">
        <v>676</v>
      </c>
      <c r="I32" s="588"/>
    </row>
    <row r="33" ht="15.75" customHeight="1">
      <c r="B33" s="577">
        <v>49.0</v>
      </c>
      <c r="C33" s="587" t="s">
        <v>608</v>
      </c>
      <c r="D33" s="579">
        <v>41919.0</v>
      </c>
      <c r="E33" s="23">
        <f t="shared" si="1"/>
        <v>142</v>
      </c>
      <c r="F33" s="581">
        <f t="shared" si="2"/>
        <v>11.83333333</v>
      </c>
      <c r="G33" s="23">
        <f t="shared" si="3"/>
        <v>10</v>
      </c>
      <c r="H33" s="23" t="s">
        <v>676</v>
      </c>
      <c r="I33" s="588"/>
    </row>
    <row r="34" ht="15.75" customHeight="1">
      <c r="B34" s="577">
        <v>50.0</v>
      </c>
      <c r="C34" s="587" t="s">
        <v>601</v>
      </c>
      <c r="D34" s="579">
        <v>43018.0</v>
      </c>
      <c r="E34" s="23">
        <f t="shared" si="1"/>
        <v>106</v>
      </c>
      <c r="F34" s="581">
        <f t="shared" si="2"/>
        <v>8.833333333</v>
      </c>
      <c r="G34" s="23">
        <f t="shared" si="3"/>
        <v>10</v>
      </c>
      <c r="H34" s="23" t="s">
        <v>676</v>
      </c>
      <c r="I34" s="588"/>
    </row>
    <row r="35" ht="15.75" customHeight="1">
      <c r="B35" s="577">
        <v>52.0</v>
      </c>
      <c r="C35" s="587" t="s">
        <v>621</v>
      </c>
      <c r="D35" s="579">
        <v>44110.0</v>
      </c>
      <c r="E35" s="23">
        <f t="shared" si="1"/>
        <v>70</v>
      </c>
      <c r="F35" s="581">
        <f t="shared" si="2"/>
        <v>5.833333333</v>
      </c>
      <c r="G35" s="23">
        <f t="shared" si="3"/>
        <v>10</v>
      </c>
      <c r="H35" s="23" t="s">
        <v>676</v>
      </c>
      <c r="I35" s="588"/>
    </row>
    <row r="36" ht="15.75" customHeight="1">
      <c r="B36" s="577">
        <v>55.0</v>
      </c>
      <c r="C36" s="587" t="s">
        <v>598</v>
      </c>
      <c r="D36" s="579">
        <v>42691.0</v>
      </c>
      <c r="E36" s="23">
        <f t="shared" si="1"/>
        <v>117</v>
      </c>
      <c r="F36" s="581">
        <f t="shared" si="2"/>
        <v>9.75</v>
      </c>
      <c r="G36" s="23">
        <f t="shared" si="3"/>
        <v>11</v>
      </c>
      <c r="H36" s="23" t="s">
        <v>538</v>
      </c>
      <c r="I36" s="588"/>
    </row>
    <row r="37" ht="15.75" customHeight="1">
      <c r="B37" s="577">
        <v>56.0</v>
      </c>
      <c r="C37" s="587" t="s">
        <v>575</v>
      </c>
      <c r="D37" s="579">
        <v>44138.0</v>
      </c>
      <c r="E37" s="23">
        <f t="shared" si="1"/>
        <v>69</v>
      </c>
      <c r="F37" s="592">
        <f t="shared" si="2"/>
        <v>5.75</v>
      </c>
      <c r="G37" s="23">
        <f t="shared" si="3"/>
        <v>11</v>
      </c>
      <c r="H37" s="23" t="s">
        <v>538</v>
      </c>
      <c r="I37" s="588"/>
    </row>
    <row r="38" ht="15.75" customHeight="1">
      <c r="B38" s="577">
        <v>57.0</v>
      </c>
      <c r="C38" s="578" t="s">
        <v>580</v>
      </c>
      <c r="D38" s="579">
        <v>44522.0</v>
      </c>
      <c r="E38" s="23">
        <f t="shared" si="1"/>
        <v>57</v>
      </c>
      <c r="F38" s="581">
        <f t="shared" si="2"/>
        <v>4.75</v>
      </c>
      <c r="G38" s="23">
        <f t="shared" si="3"/>
        <v>11</v>
      </c>
      <c r="H38" s="23" t="s">
        <v>538</v>
      </c>
      <c r="I38" s="588"/>
    </row>
    <row r="39" ht="15.75" customHeight="1">
      <c r="B39" s="577">
        <v>60.0</v>
      </c>
      <c r="C39" s="593" t="s">
        <v>606</v>
      </c>
      <c r="D39" s="579">
        <v>44866.0</v>
      </c>
      <c r="E39" s="23">
        <f t="shared" si="1"/>
        <v>45</v>
      </c>
      <c r="F39" s="581">
        <f t="shared" si="2"/>
        <v>3.75</v>
      </c>
      <c r="G39" s="23">
        <f t="shared" si="3"/>
        <v>11</v>
      </c>
      <c r="H39" s="23" t="s">
        <v>137</v>
      </c>
      <c r="I39" s="584"/>
    </row>
    <row r="40" ht="15.75" customHeight="1">
      <c r="B40" s="577">
        <v>64.0</v>
      </c>
      <c r="C40" s="262"/>
      <c r="D40" s="579"/>
      <c r="E40" s="23"/>
      <c r="F40" s="581">
        <f t="shared" si="2"/>
        <v>0</v>
      </c>
      <c r="G40" s="23"/>
      <c r="H40" s="23"/>
      <c r="I40" s="23"/>
    </row>
    <row r="41" ht="15.75" customHeight="1">
      <c r="B41" s="577">
        <v>65.0</v>
      </c>
      <c r="C41" s="262"/>
      <c r="D41" s="579"/>
      <c r="E41" s="62"/>
      <c r="F41" s="581">
        <f t="shared" si="2"/>
        <v>0</v>
      </c>
      <c r="G41" s="23"/>
      <c r="H41" s="23"/>
      <c r="I41" s="23"/>
    </row>
    <row r="42" ht="15.75" customHeight="1">
      <c r="B42" s="577">
        <v>66.0</v>
      </c>
      <c r="C42" s="262"/>
      <c r="D42" s="579"/>
      <c r="E42" s="62"/>
      <c r="F42" s="581">
        <f t="shared" si="2"/>
        <v>0</v>
      </c>
      <c r="G42" s="23"/>
      <c r="H42" s="23"/>
      <c r="I42" s="23"/>
    </row>
    <row r="43" ht="15.75" customHeight="1">
      <c r="D43" s="1"/>
      <c r="E43" s="1"/>
      <c r="F43" s="1"/>
      <c r="G43" s="1"/>
      <c r="H43" s="1"/>
    </row>
    <row r="44" ht="15.75" customHeight="1">
      <c r="D44" s="1"/>
      <c r="E44" s="1"/>
      <c r="F44" s="1"/>
      <c r="G44" s="1"/>
      <c r="H44" s="1"/>
    </row>
    <row r="45" ht="15.75" customHeight="1">
      <c r="D45" s="1"/>
      <c r="E45" s="1"/>
      <c r="F45" s="1"/>
      <c r="G45" s="1"/>
      <c r="H45" s="1"/>
    </row>
    <row r="46" ht="15.75" customHeight="1">
      <c r="D46" s="1"/>
      <c r="E46" s="1"/>
      <c r="F46" s="1"/>
      <c r="G46" s="1"/>
      <c r="H46" s="1"/>
    </row>
    <row r="47" ht="15.75" customHeight="1">
      <c r="D47" s="1"/>
      <c r="E47" s="1"/>
      <c r="F47" s="1"/>
      <c r="G47" s="1"/>
      <c r="H47" s="1"/>
    </row>
    <row r="48" ht="15.75" customHeight="1">
      <c r="D48" s="1"/>
      <c r="E48" s="1"/>
      <c r="F48" s="1"/>
      <c r="G48" s="1"/>
      <c r="H48" s="1"/>
    </row>
    <row r="49" ht="15.75" customHeight="1">
      <c r="D49" s="1"/>
      <c r="E49" s="1"/>
      <c r="F49" s="1"/>
      <c r="G49" s="1"/>
      <c r="H49" s="1"/>
    </row>
    <row r="50" ht="15.75" customHeight="1">
      <c r="D50" s="1"/>
      <c r="E50" s="1"/>
      <c r="F50" s="1"/>
      <c r="G50" s="1"/>
      <c r="H50" s="1"/>
    </row>
    <row r="51" ht="15.75" customHeight="1">
      <c r="D51" s="1"/>
      <c r="E51" s="1"/>
      <c r="F51" s="1"/>
      <c r="G51" s="1"/>
      <c r="H51" s="1"/>
    </row>
    <row r="52" ht="15.75" customHeight="1">
      <c r="D52" s="1"/>
      <c r="E52" s="1"/>
      <c r="F52" s="1"/>
      <c r="G52" s="1"/>
      <c r="H52" s="1"/>
    </row>
    <row r="53" ht="15.75" customHeight="1">
      <c r="D53" s="1"/>
      <c r="E53" s="1"/>
      <c r="F53" s="1"/>
      <c r="G53" s="1"/>
      <c r="H53" s="1"/>
    </row>
    <row r="54" ht="15.75" customHeight="1">
      <c r="D54" s="1"/>
      <c r="E54" s="1"/>
      <c r="F54" s="1"/>
      <c r="G54" s="1"/>
      <c r="H54" s="1"/>
    </row>
    <row r="55" ht="15.75" customHeight="1">
      <c r="D55" s="1"/>
      <c r="E55" s="1"/>
      <c r="F55" s="1"/>
      <c r="G55" s="1"/>
      <c r="H55" s="1"/>
    </row>
    <row r="56" ht="15.75" customHeight="1">
      <c r="D56" s="1"/>
      <c r="E56" s="1"/>
      <c r="F56" s="1"/>
      <c r="G56" s="1"/>
      <c r="H56" s="1"/>
    </row>
    <row r="57" ht="15.75" customHeight="1">
      <c r="D57" s="1"/>
      <c r="E57" s="1"/>
      <c r="F57" s="1"/>
      <c r="G57" s="1"/>
      <c r="H57" s="1"/>
    </row>
    <row r="58" ht="15.75" customHeight="1">
      <c r="D58" s="1"/>
      <c r="E58" s="1"/>
      <c r="F58" s="1"/>
      <c r="G58" s="1"/>
      <c r="H58" s="1"/>
    </row>
    <row r="59" ht="15.75" customHeight="1">
      <c r="D59" s="1"/>
      <c r="E59" s="1"/>
      <c r="F59" s="1"/>
      <c r="G59" s="1"/>
      <c r="H59" s="1"/>
    </row>
    <row r="60" ht="15.75" customHeight="1">
      <c r="D60" s="1"/>
      <c r="E60" s="1"/>
      <c r="F60" s="1"/>
      <c r="G60" s="1"/>
      <c r="H60" s="1"/>
    </row>
    <row r="61" ht="15.75" customHeight="1">
      <c r="D61" s="1"/>
      <c r="E61" s="1"/>
      <c r="F61" s="1"/>
      <c r="G61" s="1"/>
      <c r="H61" s="1"/>
    </row>
    <row r="62" ht="15.75" customHeight="1">
      <c r="D62" s="1"/>
      <c r="E62" s="1"/>
      <c r="F62" s="1"/>
      <c r="G62" s="1"/>
      <c r="H62" s="1"/>
    </row>
    <row r="63" ht="15.75" customHeight="1">
      <c r="D63" s="1"/>
      <c r="E63" s="1"/>
      <c r="F63" s="1"/>
      <c r="G63" s="1"/>
      <c r="H63" s="1"/>
    </row>
    <row r="64" ht="15.75" customHeight="1">
      <c r="D64" s="1"/>
      <c r="E64" s="1"/>
      <c r="F64" s="1"/>
      <c r="G64" s="1"/>
      <c r="H64" s="1"/>
    </row>
    <row r="65" ht="15.75" customHeight="1">
      <c r="D65" s="1"/>
      <c r="E65" s="1"/>
      <c r="F65" s="1"/>
      <c r="G65" s="1"/>
      <c r="H65" s="1"/>
    </row>
    <row r="66" ht="15.75" customHeight="1">
      <c r="D66" s="1"/>
      <c r="E66" s="1"/>
      <c r="F66" s="1"/>
      <c r="G66" s="1"/>
      <c r="H66" s="1"/>
    </row>
    <row r="67" ht="15.75" customHeight="1">
      <c r="D67" s="1"/>
      <c r="E67" s="1"/>
      <c r="F67" s="1"/>
      <c r="G67" s="1"/>
      <c r="H67" s="1"/>
    </row>
    <row r="68" ht="15.75" customHeight="1">
      <c r="D68" s="1"/>
      <c r="E68" s="1"/>
      <c r="F68" s="1"/>
      <c r="G68" s="1"/>
      <c r="H68" s="1"/>
    </row>
    <row r="69" ht="15.75" customHeight="1">
      <c r="D69" s="1"/>
      <c r="E69" s="1"/>
      <c r="F69" s="1"/>
      <c r="G69" s="1"/>
      <c r="H69" s="1"/>
    </row>
    <row r="70" ht="15.75" customHeight="1">
      <c r="D70" s="1"/>
      <c r="E70" s="1"/>
      <c r="F70" s="1"/>
      <c r="G70" s="1"/>
      <c r="H70" s="1"/>
    </row>
    <row r="71" ht="15.75" customHeight="1">
      <c r="D71" s="1"/>
      <c r="E71" s="1"/>
      <c r="F71" s="1"/>
      <c r="G71" s="1"/>
      <c r="H71" s="1"/>
    </row>
    <row r="72" ht="15.75" customHeight="1">
      <c r="D72" s="1"/>
      <c r="E72" s="1"/>
      <c r="F72" s="1"/>
      <c r="G72" s="1"/>
      <c r="H72" s="1"/>
    </row>
    <row r="73" ht="15.75" customHeight="1">
      <c r="D73" s="1"/>
      <c r="E73" s="1"/>
      <c r="F73" s="1"/>
      <c r="G73" s="1"/>
      <c r="H73" s="1"/>
    </row>
    <row r="74" ht="15.75" customHeight="1">
      <c r="D74" s="1"/>
      <c r="E74" s="1"/>
      <c r="F74" s="1"/>
      <c r="G74" s="1"/>
      <c r="H74" s="1"/>
    </row>
    <row r="75" ht="15.75" customHeight="1">
      <c r="D75" s="1"/>
      <c r="E75" s="1"/>
      <c r="F75" s="1"/>
      <c r="G75" s="1"/>
      <c r="H75" s="1"/>
    </row>
    <row r="76" ht="15.75" customHeight="1">
      <c r="D76" s="1"/>
      <c r="E76" s="1"/>
      <c r="F76" s="1"/>
      <c r="G76" s="1"/>
      <c r="H76" s="1"/>
    </row>
    <row r="77" ht="15.75" customHeight="1">
      <c r="D77" s="1"/>
      <c r="E77" s="1"/>
      <c r="F77" s="1"/>
      <c r="G77" s="1"/>
      <c r="H77" s="1"/>
    </row>
    <row r="78" ht="15.75" customHeight="1">
      <c r="D78" s="1"/>
      <c r="E78" s="1"/>
      <c r="F78" s="1"/>
      <c r="G78" s="1"/>
      <c r="H78" s="1"/>
    </row>
    <row r="79" ht="15.75" customHeight="1">
      <c r="D79" s="1"/>
      <c r="E79" s="1"/>
      <c r="F79" s="1"/>
      <c r="G79" s="1"/>
      <c r="H79" s="1"/>
    </row>
    <row r="80" ht="15.75" customHeight="1">
      <c r="D80" s="1"/>
      <c r="E80" s="1"/>
      <c r="F80" s="1"/>
      <c r="G80" s="1"/>
      <c r="H80" s="1"/>
    </row>
    <row r="81" ht="15.75" customHeight="1">
      <c r="D81" s="1"/>
      <c r="E81" s="1"/>
      <c r="F81" s="1"/>
      <c r="G81" s="1"/>
      <c r="H81" s="1"/>
    </row>
    <row r="82" ht="15.75" customHeight="1">
      <c r="D82" s="1"/>
      <c r="E82" s="1"/>
      <c r="F82" s="1"/>
      <c r="G82" s="1"/>
      <c r="H82" s="1"/>
    </row>
    <row r="83" ht="15.75" customHeight="1">
      <c r="D83" s="1"/>
      <c r="E83" s="1"/>
      <c r="F83" s="1"/>
      <c r="G83" s="1"/>
      <c r="H83" s="1"/>
    </row>
    <row r="84" ht="15.75" customHeight="1">
      <c r="D84" s="1"/>
      <c r="E84" s="1"/>
      <c r="F84" s="1"/>
      <c r="G84" s="1"/>
      <c r="H84" s="1"/>
    </row>
    <row r="85" ht="15.75" customHeight="1">
      <c r="D85" s="1"/>
      <c r="E85" s="1"/>
      <c r="F85" s="1"/>
      <c r="G85" s="1"/>
      <c r="H85" s="1"/>
    </row>
    <row r="86" ht="15.75" customHeight="1">
      <c r="D86" s="1"/>
      <c r="E86" s="1"/>
      <c r="F86" s="1"/>
      <c r="G86" s="1"/>
      <c r="H86" s="1"/>
    </row>
    <row r="87" ht="15.75" customHeight="1">
      <c r="D87" s="1"/>
      <c r="E87" s="1"/>
      <c r="F87" s="1"/>
      <c r="G87" s="1"/>
      <c r="H87" s="1"/>
    </row>
    <row r="88" ht="15.75" customHeight="1">
      <c r="D88" s="1"/>
      <c r="E88" s="1"/>
      <c r="F88" s="1"/>
      <c r="G88" s="1"/>
      <c r="H88" s="1"/>
    </row>
    <row r="89" ht="15.75" customHeight="1">
      <c r="D89" s="1"/>
      <c r="E89" s="1"/>
      <c r="F89" s="1"/>
      <c r="G89" s="1"/>
      <c r="H89" s="1"/>
    </row>
    <row r="90" ht="15.75" customHeight="1">
      <c r="D90" s="1"/>
      <c r="E90" s="1"/>
      <c r="F90" s="1"/>
      <c r="G90" s="1"/>
      <c r="H90" s="1"/>
    </row>
    <row r="91" ht="15.75" customHeight="1">
      <c r="D91" s="1"/>
      <c r="E91" s="1"/>
      <c r="F91" s="1"/>
      <c r="G91" s="1"/>
      <c r="H91" s="1"/>
    </row>
    <row r="92" ht="15.75" customHeight="1">
      <c r="D92" s="1"/>
      <c r="E92" s="1"/>
      <c r="F92" s="1"/>
      <c r="G92" s="1"/>
      <c r="H92" s="1"/>
    </row>
    <row r="93" ht="15.75" customHeight="1">
      <c r="D93" s="1"/>
      <c r="E93" s="1"/>
      <c r="F93" s="1"/>
      <c r="G93" s="1"/>
      <c r="H93" s="1"/>
    </row>
    <row r="94" ht="15.75" customHeight="1">
      <c r="D94" s="1"/>
      <c r="E94" s="1"/>
      <c r="F94" s="1"/>
      <c r="G94" s="1"/>
      <c r="H94" s="1"/>
    </row>
    <row r="95" ht="15.75" customHeight="1">
      <c r="D95" s="1"/>
      <c r="E95" s="1"/>
      <c r="F95" s="1"/>
      <c r="G95" s="1"/>
      <c r="H95" s="1"/>
    </row>
    <row r="96" ht="15.75" customHeight="1">
      <c r="D96" s="1"/>
      <c r="E96" s="1"/>
      <c r="F96" s="1"/>
      <c r="G96" s="1"/>
      <c r="H96" s="1"/>
    </row>
    <row r="97" ht="15.75" customHeight="1">
      <c r="D97" s="1"/>
      <c r="E97" s="1"/>
      <c r="F97" s="1"/>
      <c r="G97" s="1"/>
      <c r="H97" s="1"/>
    </row>
    <row r="98" ht="15.75" customHeight="1">
      <c r="D98" s="1"/>
      <c r="E98" s="1"/>
      <c r="F98" s="1"/>
      <c r="G98" s="1"/>
      <c r="H98" s="1"/>
    </row>
    <row r="99" ht="15.75" customHeight="1">
      <c r="D99" s="1"/>
      <c r="E99" s="1"/>
      <c r="F99" s="1"/>
      <c r="G99" s="1"/>
      <c r="H99" s="1"/>
    </row>
    <row r="100" ht="15.75" customHeight="1">
      <c r="D100" s="1"/>
      <c r="E100" s="1"/>
      <c r="F100" s="1"/>
      <c r="G100" s="1"/>
      <c r="H100" s="1"/>
    </row>
    <row r="101" ht="15.75" customHeight="1">
      <c r="D101" s="1"/>
      <c r="E101" s="1"/>
      <c r="F101" s="1"/>
      <c r="G101" s="1"/>
      <c r="H101" s="1"/>
    </row>
    <row r="102" ht="15.75" customHeight="1">
      <c r="D102" s="1"/>
      <c r="E102" s="1"/>
      <c r="F102" s="1"/>
      <c r="G102" s="1"/>
      <c r="H102" s="1"/>
    </row>
    <row r="103" ht="15.75" customHeight="1">
      <c r="D103" s="1"/>
      <c r="E103" s="1"/>
      <c r="F103" s="1"/>
      <c r="G103" s="1"/>
      <c r="H103" s="1"/>
    </row>
    <row r="104" ht="15.75" customHeight="1">
      <c r="D104" s="1"/>
      <c r="E104" s="1"/>
      <c r="F104" s="1"/>
      <c r="G104" s="1"/>
      <c r="H104" s="1"/>
    </row>
    <row r="105" ht="15.75" customHeight="1">
      <c r="D105" s="1"/>
      <c r="E105" s="1"/>
      <c r="F105" s="1"/>
      <c r="G105" s="1"/>
      <c r="H105" s="1"/>
    </row>
    <row r="106" ht="15.75" customHeight="1">
      <c r="D106" s="1"/>
      <c r="E106" s="1"/>
      <c r="F106" s="1"/>
      <c r="G106" s="1"/>
      <c r="H106" s="1"/>
    </row>
    <row r="107" ht="15.75" customHeight="1">
      <c r="D107" s="1"/>
      <c r="E107" s="1"/>
      <c r="F107" s="1"/>
      <c r="G107" s="1"/>
      <c r="H107" s="1"/>
    </row>
    <row r="108" ht="15.75" customHeight="1">
      <c r="D108" s="1"/>
      <c r="E108" s="1"/>
      <c r="F108" s="1"/>
      <c r="G108" s="1"/>
      <c r="H108" s="1"/>
    </row>
    <row r="109" ht="15.75" customHeight="1">
      <c r="D109" s="1"/>
      <c r="E109" s="1"/>
      <c r="F109" s="1"/>
      <c r="G109" s="1"/>
      <c r="H109" s="1"/>
    </row>
    <row r="110" ht="15.75" customHeight="1">
      <c r="D110" s="1"/>
      <c r="E110" s="1"/>
      <c r="F110" s="1"/>
      <c r="G110" s="1"/>
      <c r="H110" s="1"/>
    </row>
    <row r="111" ht="15.75" customHeight="1">
      <c r="D111" s="1"/>
      <c r="E111" s="1"/>
      <c r="F111" s="1"/>
      <c r="G111" s="1"/>
      <c r="H111" s="1"/>
    </row>
    <row r="112" ht="15.75" customHeight="1">
      <c r="D112" s="1"/>
      <c r="E112" s="1"/>
      <c r="F112" s="1"/>
      <c r="G112" s="1"/>
      <c r="H112" s="1"/>
    </row>
    <row r="113" ht="15.75" customHeight="1">
      <c r="D113" s="1"/>
      <c r="E113" s="1"/>
      <c r="F113" s="1"/>
      <c r="G113" s="1"/>
      <c r="H113" s="1"/>
    </row>
    <row r="114" ht="15.75" customHeight="1">
      <c r="D114" s="1"/>
      <c r="E114" s="1"/>
      <c r="F114" s="1"/>
      <c r="G114" s="1"/>
      <c r="H114" s="1"/>
    </row>
    <row r="115" ht="15.75" customHeight="1">
      <c r="D115" s="1"/>
      <c r="E115" s="1"/>
      <c r="F115" s="1"/>
      <c r="G115" s="1"/>
      <c r="H115" s="1"/>
    </row>
    <row r="116" ht="15.75" customHeight="1">
      <c r="D116" s="1"/>
      <c r="E116" s="1"/>
      <c r="F116" s="1"/>
      <c r="G116" s="1"/>
      <c r="H116" s="1"/>
    </row>
    <row r="117" ht="15.75" customHeight="1">
      <c r="D117" s="1"/>
      <c r="E117" s="1"/>
      <c r="F117" s="1"/>
      <c r="G117" s="1"/>
      <c r="H117" s="1"/>
    </row>
    <row r="118" ht="15.75" customHeight="1">
      <c r="D118" s="1"/>
      <c r="E118" s="1"/>
      <c r="F118" s="1"/>
      <c r="G118" s="1"/>
      <c r="H118" s="1"/>
    </row>
    <row r="119" ht="15.75" customHeight="1">
      <c r="D119" s="1"/>
      <c r="E119" s="1"/>
      <c r="F119" s="1"/>
      <c r="G119" s="1"/>
      <c r="H119" s="1"/>
    </row>
    <row r="120" ht="15.75" customHeight="1">
      <c r="D120" s="1"/>
      <c r="E120" s="1"/>
      <c r="F120" s="1"/>
      <c r="G120" s="1"/>
      <c r="H120" s="1"/>
    </row>
    <row r="121" ht="15.75" customHeight="1">
      <c r="D121" s="1"/>
      <c r="E121" s="1"/>
      <c r="F121" s="1"/>
      <c r="G121" s="1"/>
      <c r="H121" s="1"/>
    </row>
    <row r="122" ht="15.75" customHeight="1">
      <c r="D122" s="1"/>
      <c r="E122" s="1"/>
      <c r="F122" s="1"/>
      <c r="G122" s="1"/>
      <c r="H122" s="1"/>
    </row>
    <row r="123" ht="15.75" customHeight="1">
      <c r="D123" s="1"/>
      <c r="E123" s="1"/>
      <c r="F123" s="1"/>
      <c r="G123" s="1"/>
      <c r="H123" s="1"/>
    </row>
    <row r="124" ht="15.75" customHeight="1">
      <c r="D124" s="1"/>
      <c r="E124" s="1"/>
      <c r="F124" s="1"/>
      <c r="G124" s="1"/>
      <c r="H124" s="1"/>
    </row>
    <row r="125" ht="15.75" customHeight="1">
      <c r="D125" s="1"/>
      <c r="E125" s="1"/>
      <c r="F125" s="1"/>
      <c r="G125" s="1"/>
      <c r="H125" s="1"/>
    </row>
    <row r="126" ht="15.75" customHeight="1">
      <c r="D126" s="1"/>
      <c r="E126" s="1"/>
      <c r="F126" s="1"/>
      <c r="G126" s="1"/>
      <c r="H126" s="1"/>
    </row>
    <row r="127" ht="15.75" customHeight="1">
      <c r="D127" s="1"/>
      <c r="E127" s="1"/>
      <c r="F127" s="1"/>
      <c r="G127" s="1"/>
      <c r="H127" s="1"/>
    </row>
    <row r="128" ht="15.75" customHeight="1">
      <c r="D128" s="1"/>
      <c r="E128" s="1"/>
      <c r="F128" s="1"/>
      <c r="G128" s="1"/>
      <c r="H128" s="1"/>
    </row>
    <row r="129" ht="15.75" customHeight="1">
      <c r="D129" s="1"/>
      <c r="E129" s="1"/>
      <c r="F129" s="1"/>
      <c r="G129" s="1"/>
      <c r="H129" s="1"/>
    </row>
    <row r="130" ht="15.75" customHeight="1">
      <c r="D130" s="1"/>
      <c r="E130" s="1"/>
      <c r="F130" s="1"/>
      <c r="G130" s="1"/>
      <c r="H130" s="1"/>
    </row>
    <row r="131" ht="15.75" customHeight="1">
      <c r="D131" s="1"/>
      <c r="E131" s="1"/>
      <c r="F131" s="1"/>
      <c r="G131" s="1"/>
      <c r="H131" s="1"/>
    </row>
    <row r="132" ht="15.75" customHeight="1">
      <c r="D132" s="1"/>
      <c r="E132" s="1"/>
      <c r="F132" s="1"/>
      <c r="G132" s="1"/>
      <c r="H132" s="1"/>
    </row>
    <row r="133" ht="15.75" customHeight="1">
      <c r="D133" s="1"/>
      <c r="E133" s="1"/>
      <c r="F133" s="1"/>
      <c r="G133" s="1"/>
      <c r="H133" s="1"/>
    </row>
    <row r="134" ht="15.75" customHeight="1">
      <c r="D134" s="1"/>
      <c r="E134" s="1"/>
      <c r="F134" s="1"/>
      <c r="G134" s="1"/>
      <c r="H134" s="1"/>
    </row>
    <row r="135" ht="15.75" customHeight="1">
      <c r="D135" s="1"/>
      <c r="E135" s="1"/>
      <c r="F135" s="1"/>
      <c r="G135" s="1"/>
      <c r="H135" s="1"/>
    </row>
    <row r="136" ht="15.75" customHeight="1">
      <c r="D136" s="1"/>
      <c r="E136" s="1"/>
      <c r="F136" s="1"/>
      <c r="G136" s="1"/>
      <c r="H136" s="1"/>
    </row>
    <row r="137" ht="15.75" customHeight="1">
      <c r="D137" s="1"/>
      <c r="E137" s="1"/>
      <c r="F137" s="1"/>
      <c r="G137" s="1"/>
      <c r="H137" s="1"/>
    </row>
    <row r="138" ht="15.75" customHeight="1">
      <c r="D138" s="1"/>
      <c r="E138" s="1"/>
      <c r="F138" s="1"/>
      <c r="G138" s="1"/>
      <c r="H138" s="1"/>
    </row>
    <row r="139" ht="15.75" customHeight="1">
      <c r="D139" s="1"/>
      <c r="E139" s="1"/>
      <c r="F139" s="1"/>
      <c r="G139" s="1"/>
      <c r="H139" s="1"/>
    </row>
    <row r="140" ht="15.75" customHeight="1">
      <c r="D140" s="1"/>
      <c r="E140" s="1"/>
      <c r="F140" s="1"/>
      <c r="G140" s="1"/>
      <c r="H140" s="1"/>
    </row>
    <row r="141" ht="15.75" customHeight="1">
      <c r="D141" s="1"/>
      <c r="E141" s="1"/>
      <c r="F141" s="1"/>
      <c r="G141" s="1"/>
      <c r="H141" s="1"/>
    </row>
    <row r="142" ht="15.75" customHeight="1">
      <c r="D142" s="1"/>
      <c r="E142" s="1"/>
      <c r="F142" s="1"/>
      <c r="G142" s="1"/>
      <c r="H142" s="1"/>
    </row>
    <row r="143" ht="15.75" customHeight="1">
      <c r="D143" s="1"/>
      <c r="E143" s="1"/>
      <c r="F143" s="1"/>
      <c r="G143" s="1"/>
      <c r="H143" s="1"/>
    </row>
    <row r="144" ht="15.75" customHeight="1">
      <c r="D144" s="1"/>
      <c r="E144" s="1"/>
      <c r="F144" s="1"/>
      <c r="G144" s="1"/>
      <c r="H144" s="1"/>
    </row>
    <row r="145" ht="15.75" customHeight="1">
      <c r="D145" s="1"/>
      <c r="E145" s="1"/>
      <c r="F145" s="1"/>
      <c r="G145" s="1"/>
      <c r="H145" s="1"/>
    </row>
    <row r="146" ht="15.75" customHeight="1">
      <c r="D146" s="1"/>
      <c r="E146" s="1"/>
      <c r="F146" s="1"/>
      <c r="G146" s="1"/>
      <c r="H146" s="1"/>
    </row>
    <row r="147" ht="15.75" customHeight="1">
      <c r="D147" s="1"/>
      <c r="E147" s="1"/>
      <c r="F147" s="1"/>
      <c r="G147" s="1"/>
      <c r="H147" s="1"/>
    </row>
    <row r="148" ht="15.75" customHeight="1">
      <c r="D148" s="1"/>
      <c r="E148" s="1"/>
      <c r="F148" s="1"/>
      <c r="G148" s="1"/>
      <c r="H148" s="1"/>
    </row>
    <row r="149" ht="15.75" customHeight="1">
      <c r="D149" s="1"/>
      <c r="E149" s="1"/>
      <c r="F149" s="1"/>
      <c r="G149" s="1"/>
      <c r="H149" s="1"/>
    </row>
    <row r="150" ht="15.75" customHeight="1">
      <c r="D150" s="1"/>
      <c r="E150" s="1"/>
      <c r="F150" s="1"/>
      <c r="G150" s="1"/>
      <c r="H150" s="1"/>
    </row>
    <row r="151" ht="15.75" customHeight="1">
      <c r="D151" s="1"/>
      <c r="E151" s="1"/>
      <c r="F151" s="1"/>
      <c r="G151" s="1"/>
      <c r="H151" s="1"/>
    </row>
    <row r="152" ht="15.75" customHeight="1">
      <c r="D152" s="1"/>
      <c r="E152" s="1"/>
      <c r="F152" s="1"/>
      <c r="G152" s="1"/>
      <c r="H152" s="1"/>
    </row>
    <row r="153" ht="15.75" customHeight="1">
      <c r="D153" s="1"/>
      <c r="E153" s="1"/>
      <c r="F153" s="1"/>
      <c r="G153" s="1"/>
      <c r="H153" s="1"/>
    </row>
    <row r="154" ht="15.75" customHeight="1">
      <c r="D154" s="1"/>
      <c r="E154" s="1"/>
      <c r="F154" s="1"/>
      <c r="G154" s="1"/>
      <c r="H154" s="1"/>
    </row>
    <row r="155" ht="15.75" customHeight="1">
      <c r="D155" s="1"/>
      <c r="E155" s="1"/>
      <c r="F155" s="1"/>
      <c r="G155" s="1"/>
      <c r="H155" s="1"/>
    </row>
    <row r="156" ht="15.75" customHeight="1">
      <c r="D156" s="1"/>
      <c r="E156" s="1"/>
      <c r="F156" s="1"/>
      <c r="G156" s="1"/>
      <c r="H156" s="1"/>
    </row>
    <row r="157" ht="15.75" customHeight="1">
      <c r="D157" s="1"/>
      <c r="E157" s="1"/>
      <c r="F157" s="1"/>
      <c r="G157" s="1"/>
      <c r="H157" s="1"/>
    </row>
    <row r="158" ht="15.75" customHeight="1">
      <c r="D158" s="1"/>
      <c r="E158" s="1"/>
      <c r="F158" s="1"/>
      <c r="G158" s="1"/>
      <c r="H158" s="1"/>
    </row>
    <row r="159" ht="15.75" customHeight="1">
      <c r="D159" s="1"/>
      <c r="E159" s="1"/>
      <c r="F159" s="1"/>
      <c r="G159" s="1"/>
      <c r="H159" s="1"/>
    </row>
    <row r="160" ht="15.75" customHeight="1">
      <c r="D160" s="1"/>
      <c r="E160" s="1"/>
      <c r="F160" s="1"/>
      <c r="G160" s="1"/>
      <c r="H160" s="1"/>
    </row>
    <row r="161" ht="15.75" customHeight="1">
      <c r="D161" s="1"/>
      <c r="E161" s="1"/>
      <c r="F161" s="1"/>
      <c r="G161" s="1"/>
      <c r="H161" s="1"/>
    </row>
    <row r="162" ht="15.75" customHeight="1">
      <c r="D162" s="1"/>
      <c r="E162" s="1"/>
      <c r="F162" s="1"/>
      <c r="G162" s="1"/>
      <c r="H162" s="1"/>
    </row>
    <row r="163" ht="15.75" customHeight="1">
      <c r="D163" s="1"/>
      <c r="E163" s="1"/>
      <c r="F163" s="1"/>
      <c r="G163" s="1"/>
      <c r="H163" s="1"/>
    </row>
    <row r="164" ht="15.75" customHeight="1">
      <c r="D164" s="1"/>
      <c r="E164" s="1"/>
      <c r="F164" s="1"/>
      <c r="G164" s="1"/>
      <c r="H164" s="1"/>
    </row>
    <row r="165" ht="15.75" customHeight="1">
      <c r="D165" s="1"/>
      <c r="E165" s="1"/>
      <c r="F165" s="1"/>
      <c r="G165" s="1"/>
      <c r="H165" s="1"/>
    </row>
    <row r="166" ht="15.75" customHeight="1">
      <c r="D166" s="1"/>
      <c r="E166" s="1"/>
      <c r="F166" s="1"/>
      <c r="G166" s="1"/>
      <c r="H166" s="1"/>
    </row>
    <row r="167" ht="15.75" customHeight="1">
      <c r="D167" s="1"/>
      <c r="E167" s="1"/>
      <c r="F167" s="1"/>
      <c r="G167" s="1"/>
      <c r="H167" s="1"/>
    </row>
    <row r="168" ht="15.75" customHeight="1">
      <c r="D168" s="1"/>
      <c r="E168" s="1"/>
      <c r="F168" s="1"/>
      <c r="G168" s="1"/>
      <c r="H168" s="1"/>
    </row>
    <row r="169" ht="15.75" customHeight="1">
      <c r="D169" s="1"/>
      <c r="E169" s="1"/>
      <c r="F169" s="1"/>
      <c r="G169" s="1"/>
      <c r="H169" s="1"/>
    </row>
    <row r="170" ht="15.75" customHeight="1">
      <c r="D170" s="1"/>
      <c r="E170" s="1"/>
      <c r="F170" s="1"/>
      <c r="G170" s="1"/>
      <c r="H170" s="1"/>
    </row>
    <row r="171" ht="15.75" customHeight="1">
      <c r="D171" s="1"/>
      <c r="E171" s="1"/>
      <c r="F171" s="1"/>
      <c r="G171" s="1"/>
      <c r="H171" s="1"/>
    </row>
    <row r="172" ht="15.75" customHeight="1">
      <c r="D172" s="1"/>
      <c r="E172" s="1"/>
      <c r="F172" s="1"/>
      <c r="G172" s="1"/>
      <c r="H172" s="1"/>
    </row>
    <row r="173" ht="15.75" customHeight="1">
      <c r="D173" s="1"/>
      <c r="E173" s="1"/>
      <c r="F173" s="1"/>
      <c r="G173" s="1"/>
      <c r="H173" s="1"/>
    </row>
    <row r="174" ht="15.75" customHeight="1">
      <c r="D174" s="1"/>
      <c r="E174" s="1"/>
      <c r="F174" s="1"/>
      <c r="G174" s="1"/>
      <c r="H174" s="1"/>
    </row>
    <row r="175" ht="15.75" customHeight="1">
      <c r="D175" s="1"/>
      <c r="E175" s="1"/>
      <c r="F175" s="1"/>
      <c r="G175" s="1"/>
      <c r="H175" s="1"/>
    </row>
    <row r="176" ht="15.75" customHeight="1">
      <c r="D176" s="1"/>
      <c r="E176" s="1"/>
      <c r="F176" s="1"/>
      <c r="G176" s="1"/>
      <c r="H176" s="1"/>
    </row>
    <row r="177" ht="15.75" customHeight="1">
      <c r="D177" s="1"/>
      <c r="E177" s="1"/>
      <c r="F177" s="1"/>
      <c r="G177" s="1"/>
      <c r="H177" s="1"/>
    </row>
    <row r="178" ht="15.75" customHeight="1">
      <c r="D178" s="1"/>
      <c r="E178" s="1"/>
      <c r="F178" s="1"/>
      <c r="G178" s="1"/>
      <c r="H178" s="1"/>
    </row>
    <row r="179" ht="15.75" customHeight="1">
      <c r="D179" s="1"/>
      <c r="E179" s="1"/>
      <c r="F179" s="1"/>
      <c r="G179" s="1"/>
      <c r="H179" s="1"/>
    </row>
    <row r="180" ht="15.75" customHeight="1">
      <c r="D180" s="1"/>
      <c r="E180" s="1"/>
      <c r="F180" s="1"/>
      <c r="G180" s="1"/>
      <c r="H180" s="1"/>
    </row>
    <row r="181" ht="15.75" customHeight="1">
      <c r="D181" s="1"/>
      <c r="E181" s="1"/>
      <c r="F181" s="1"/>
      <c r="G181" s="1"/>
      <c r="H181" s="1"/>
    </row>
    <row r="182" ht="15.75" customHeight="1">
      <c r="D182" s="1"/>
      <c r="E182" s="1"/>
      <c r="F182" s="1"/>
      <c r="G182" s="1"/>
      <c r="H182" s="1"/>
    </row>
    <row r="183" ht="15.75" customHeight="1">
      <c r="D183" s="1"/>
      <c r="E183" s="1"/>
      <c r="F183" s="1"/>
      <c r="G183" s="1"/>
      <c r="H183" s="1"/>
    </row>
    <row r="184" ht="15.75" customHeight="1">
      <c r="D184" s="1"/>
      <c r="E184" s="1"/>
      <c r="F184" s="1"/>
      <c r="G184" s="1"/>
      <c r="H184" s="1"/>
    </row>
    <row r="185" ht="15.75" customHeight="1">
      <c r="D185" s="1"/>
      <c r="E185" s="1"/>
      <c r="F185" s="1"/>
      <c r="G185" s="1"/>
      <c r="H185" s="1"/>
    </row>
    <row r="186" ht="15.75" customHeight="1">
      <c r="D186" s="1"/>
      <c r="E186" s="1"/>
      <c r="F186" s="1"/>
      <c r="G186" s="1"/>
      <c r="H186" s="1"/>
    </row>
    <row r="187" ht="15.75" customHeight="1">
      <c r="D187" s="1"/>
      <c r="E187" s="1"/>
      <c r="F187" s="1"/>
      <c r="G187" s="1"/>
      <c r="H187" s="1"/>
    </row>
    <row r="188" ht="15.75" customHeight="1">
      <c r="D188" s="1"/>
      <c r="E188" s="1"/>
      <c r="F188" s="1"/>
      <c r="G188" s="1"/>
      <c r="H188" s="1"/>
    </row>
    <row r="189" ht="15.75" customHeight="1">
      <c r="D189" s="1"/>
      <c r="E189" s="1"/>
      <c r="F189" s="1"/>
      <c r="G189" s="1"/>
      <c r="H189" s="1"/>
    </row>
    <row r="190" ht="15.75" customHeight="1">
      <c r="D190" s="1"/>
      <c r="E190" s="1"/>
      <c r="F190" s="1"/>
      <c r="G190" s="1"/>
      <c r="H190" s="1"/>
    </row>
    <row r="191" ht="15.75" customHeight="1">
      <c r="D191" s="1"/>
      <c r="E191" s="1"/>
      <c r="F191" s="1"/>
      <c r="G191" s="1"/>
      <c r="H191" s="1"/>
    </row>
    <row r="192" ht="15.75" customHeight="1">
      <c r="D192" s="1"/>
      <c r="E192" s="1"/>
      <c r="F192" s="1"/>
      <c r="G192" s="1"/>
      <c r="H192" s="1"/>
    </row>
    <row r="193" ht="15.75" customHeight="1">
      <c r="D193" s="1"/>
      <c r="E193" s="1"/>
      <c r="F193" s="1"/>
      <c r="G193" s="1"/>
      <c r="H193" s="1"/>
    </row>
    <row r="194" ht="15.75" customHeight="1">
      <c r="D194" s="1"/>
      <c r="E194" s="1"/>
      <c r="F194" s="1"/>
      <c r="G194" s="1"/>
      <c r="H194" s="1"/>
    </row>
    <row r="195" ht="15.75" customHeight="1">
      <c r="D195" s="1"/>
      <c r="E195" s="1"/>
      <c r="F195" s="1"/>
      <c r="G195" s="1"/>
      <c r="H195" s="1"/>
    </row>
    <row r="196" ht="15.75" customHeight="1">
      <c r="D196" s="1"/>
      <c r="E196" s="1"/>
      <c r="F196" s="1"/>
      <c r="G196" s="1"/>
      <c r="H196" s="1"/>
    </row>
    <row r="197" ht="15.75" customHeight="1">
      <c r="D197" s="1"/>
      <c r="E197" s="1"/>
      <c r="F197" s="1"/>
      <c r="G197" s="1"/>
      <c r="H197" s="1"/>
    </row>
    <row r="198" ht="15.75" customHeight="1">
      <c r="D198" s="1"/>
      <c r="E198" s="1"/>
      <c r="F198" s="1"/>
      <c r="G198" s="1"/>
      <c r="H198" s="1"/>
    </row>
    <row r="199" ht="15.75" customHeight="1">
      <c r="D199" s="1"/>
      <c r="E199" s="1"/>
      <c r="F199" s="1"/>
      <c r="G199" s="1"/>
      <c r="H199" s="1"/>
    </row>
    <row r="200" ht="15.75" customHeight="1">
      <c r="D200" s="1"/>
      <c r="E200" s="1"/>
      <c r="F200" s="1"/>
      <c r="G200" s="1"/>
      <c r="H200" s="1"/>
    </row>
    <row r="201" ht="15.75" customHeight="1">
      <c r="D201" s="1"/>
      <c r="E201" s="1"/>
      <c r="F201" s="1"/>
      <c r="G201" s="1"/>
      <c r="H201" s="1"/>
    </row>
    <row r="202" ht="15.75" customHeight="1">
      <c r="D202" s="1"/>
      <c r="E202" s="1"/>
      <c r="F202" s="1"/>
      <c r="G202" s="1"/>
      <c r="H202" s="1"/>
    </row>
    <row r="203" ht="15.75" customHeight="1">
      <c r="D203" s="1"/>
      <c r="E203" s="1"/>
      <c r="F203" s="1"/>
      <c r="G203" s="1"/>
      <c r="H203" s="1"/>
    </row>
    <row r="204" ht="15.75" customHeight="1">
      <c r="D204" s="1"/>
      <c r="E204" s="1"/>
      <c r="F204" s="1"/>
      <c r="G204" s="1"/>
      <c r="H204" s="1"/>
    </row>
    <row r="205" ht="15.75" customHeight="1">
      <c r="D205" s="1"/>
      <c r="E205" s="1"/>
      <c r="F205" s="1"/>
      <c r="G205" s="1"/>
      <c r="H205" s="1"/>
    </row>
    <row r="206" ht="15.75" customHeight="1">
      <c r="D206" s="1"/>
      <c r="E206" s="1"/>
      <c r="F206" s="1"/>
      <c r="G206" s="1"/>
      <c r="H206" s="1"/>
    </row>
    <row r="207" ht="15.75" customHeight="1">
      <c r="D207" s="1"/>
      <c r="E207" s="1"/>
      <c r="F207" s="1"/>
      <c r="G207" s="1"/>
      <c r="H207" s="1"/>
    </row>
    <row r="208" ht="15.75" customHeight="1">
      <c r="D208" s="1"/>
      <c r="E208" s="1"/>
      <c r="F208" s="1"/>
      <c r="G208" s="1"/>
      <c r="H208" s="1"/>
    </row>
    <row r="209" ht="15.75" customHeight="1">
      <c r="D209" s="1"/>
      <c r="E209" s="1"/>
      <c r="F209" s="1"/>
      <c r="G209" s="1"/>
      <c r="H209" s="1"/>
    </row>
    <row r="210" ht="15.75" customHeight="1">
      <c r="D210" s="1"/>
      <c r="E210" s="1"/>
      <c r="F210" s="1"/>
      <c r="G210" s="1"/>
      <c r="H210" s="1"/>
    </row>
    <row r="211" ht="15.75" customHeight="1">
      <c r="D211" s="1"/>
      <c r="E211" s="1"/>
      <c r="F211" s="1"/>
      <c r="G211" s="1"/>
      <c r="H211" s="1"/>
    </row>
    <row r="212" ht="15.75" customHeight="1">
      <c r="D212" s="1"/>
      <c r="E212" s="1"/>
      <c r="F212" s="1"/>
      <c r="G212" s="1"/>
      <c r="H212" s="1"/>
    </row>
    <row r="213" ht="15.75" customHeight="1">
      <c r="D213" s="1"/>
      <c r="E213" s="1"/>
      <c r="F213" s="1"/>
      <c r="G213" s="1"/>
      <c r="H213" s="1"/>
    </row>
    <row r="214" ht="15.75" customHeight="1">
      <c r="D214" s="1"/>
      <c r="E214" s="1"/>
      <c r="F214" s="1"/>
      <c r="G214" s="1"/>
      <c r="H214" s="1"/>
    </row>
    <row r="215" ht="15.75" customHeight="1">
      <c r="D215" s="1"/>
      <c r="E215" s="1"/>
      <c r="F215" s="1"/>
      <c r="G215" s="1"/>
      <c r="H215" s="1"/>
    </row>
    <row r="216" ht="15.75" customHeight="1">
      <c r="D216" s="1"/>
      <c r="E216" s="1"/>
      <c r="F216" s="1"/>
      <c r="G216" s="1"/>
      <c r="H216" s="1"/>
    </row>
    <row r="217" ht="15.75" customHeight="1">
      <c r="D217" s="1"/>
      <c r="E217" s="1"/>
      <c r="F217" s="1"/>
      <c r="G217" s="1"/>
      <c r="H217" s="1"/>
    </row>
    <row r="218" ht="15.75" customHeight="1">
      <c r="D218" s="1"/>
      <c r="E218" s="1"/>
      <c r="F218" s="1"/>
      <c r="G218" s="1"/>
      <c r="H218" s="1"/>
    </row>
    <row r="219" ht="15.75" customHeight="1">
      <c r="D219" s="1"/>
      <c r="E219" s="1"/>
      <c r="F219" s="1"/>
      <c r="G219" s="1"/>
      <c r="H219" s="1"/>
    </row>
    <row r="220" ht="15.75" customHeight="1">
      <c r="D220" s="1"/>
      <c r="E220" s="1"/>
      <c r="F220" s="1"/>
      <c r="G220" s="1"/>
      <c r="H220" s="1"/>
    </row>
    <row r="221" ht="15.75" customHeight="1">
      <c r="D221" s="1"/>
      <c r="E221" s="1"/>
      <c r="F221" s="1"/>
      <c r="G221" s="1"/>
      <c r="H221" s="1"/>
    </row>
    <row r="222" ht="15.75" customHeight="1">
      <c r="D222" s="1"/>
      <c r="E222" s="1"/>
      <c r="F222" s="1"/>
      <c r="G222" s="1"/>
      <c r="H222" s="1"/>
    </row>
    <row r="223" ht="15.75" customHeight="1">
      <c r="D223" s="1"/>
      <c r="E223" s="1"/>
      <c r="F223" s="1"/>
      <c r="G223" s="1"/>
      <c r="H223" s="1"/>
    </row>
    <row r="224" ht="15.75" customHeight="1">
      <c r="D224" s="1"/>
      <c r="E224" s="1"/>
      <c r="F224" s="1"/>
      <c r="G224" s="1"/>
      <c r="H224" s="1"/>
    </row>
    <row r="225" ht="15.75" customHeight="1">
      <c r="D225" s="1"/>
      <c r="E225" s="1"/>
      <c r="F225" s="1"/>
      <c r="G225" s="1"/>
      <c r="H225" s="1"/>
    </row>
    <row r="226" ht="15.75" customHeight="1">
      <c r="D226" s="1"/>
      <c r="E226" s="1"/>
      <c r="F226" s="1"/>
      <c r="G226" s="1"/>
      <c r="H226" s="1"/>
    </row>
    <row r="227" ht="15.75" customHeight="1">
      <c r="D227" s="1"/>
      <c r="E227" s="1"/>
      <c r="F227" s="1"/>
      <c r="G227" s="1"/>
      <c r="H227" s="1"/>
    </row>
    <row r="228" ht="15.75" customHeight="1">
      <c r="D228" s="1"/>
      <c r="E228" s="1"/>
      <c r="F228" s="1"/>
      <c r="G228" s="1"/>
      <c r="H228" s="1"/>
    </row>
    <row r="229" ht="15.75" customHeight="1">
      <c r="D229" s="1"/>
      <c r="E229" s="1"/>
      <c r="F229" s="1"/>
      <c r="G229" s="1"/>
      <c r="H229" s="1"/>
    </row>
    <row r="230" ht="15.75" customHeight="1">
      <c r="D230" s="1"/>
      <c r="E230" s="1"/>
      <c r="F230" s="1"/>
      <c r="G230" s="1"/>
      <c r="H230" s="1"/>
    </row>
    <row r="231" ht="15.75" customHeight="1">
      <c r="D231" s="1"/>
      <c r="E231" s="1"/>
      <c r="F231" s="1"/>
      <c r="G231" s="1"/>
      <c r="H231" s="1"/>
    </row>
    <row r="232" ht="15.75" customHeight="1">
      <c r="D232" s="1"/>
      <c r="E232" s="1"/>
      <c r="F232" s="1"/>
      <c r="G232" s="1"/>
      <c r="H232" s="1"/>
    </row>
    <row r="233" ht="15.75" customHeight="1">
      <c r="D233" s="1"/>
      <c r="E233" s="1"/>
      <c r="F233" s="1"/>
      <c r="G233" s="1"/>
      <c r="H233" s="1"/>
    </row>
    <row r="234" ht="15.75" customHeight="1">
      <c r="D234" s="1"/>
      <c r="E234" s="1"/>
      <c r="F234" s="1"/>
      <c r="G234" s="1"/>
      <c r="H234" s="1"/>
    </row>
    <row r="235" ht="15.75" customHeight="1">
      <c r="D235" s="1"/>
      <c r="E235" s="1"/>
      <c r="F235" s="1"/>
      <c r="G235" s="1"/>
      <c r="H235" s="1"/>
    </row>
    <row r="236" ht="15.75" customHeight="1">
      <c r="D236" s="1"/>
      <c r="E236" s="1"/>
      <c r="F236" s="1"/>
      <c r="G236" s="1"/>
      <c r="H236" s="1"/>
    </row>
    <row r="237" ht="15.75" customHeight="1">
      <c r="D237" s="1"/>
      <c r="E237" s="1"/>
      <c r="F237" s="1"/>
      <c r="G237" s="1"/>
      <c r="H237" s="1"/>
    </row>
    <row r="238" ht="15.75" customHeight="1">
      <c r="D238" s="1"/>
      <c r="E238" s="1"/>
      <c r="F238" s="1"/>
      <c r="G238" s="1"/>
      <c r="H238" s="1"/>
    </row>
    <row r="239" ht="15.75" customHeight="1">
      <c r="D239" s="1"/>
      <c r="E239" s="1"/>
      <c r="F239" s="1"/>
      <c r="G239" s="1"/>
      <c r="H239" s="1"/>
    </row>
    <row r="240" ht="15.75" customHeight="1">
      <c r="D240" s="1"/>
      <c r="E240" s="1"/>
      <c r="F240" s="1"/>
      <c r="G240" s="1"/>
      <c r="H240" s="1"/>
    </row>
    <row r="241" ht="15.75" customHeight="1">
      <c r="D241" s="1"/>
      <c r="E241" s="1"/>
      <c r="F241" s="1"/>
      <c r="G241" s="1"/>
      <c r="H241" s="1"/>
    </row>
    <row r="242" ht="15.75" customHeight="1">
      <c r="D242" s="1"/>
      <c r="E242" s="1"/>
      <c r="F242" s="1"/>
      <c r="G242" s="1"/>
      <c r="H242" s="1"/>
    </row>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3:$G$3">
    <sortState ref="B3:G3">
      <sortCondition ref="G3"/>
    </sortState>
  </autoFilter>
  <printOptions/>
  <pageMargins bottom="0.75" footer="0.0" header="0.0" left="0.7" right="0.7" top="0.75"/>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0.86"/>
    <col customWidth="1" min="2" max="2" width="6.0"/>
    <col customWidth="1" min="3" max="3" width="86.29"/>
    <col customWidth="1" min="4" max="4" width="38.57"/>
    <col customWidth="1" min="5" max="5" width="0.86"/>
    <col customWidth="1" min="6" max="13" width="9.43"/>
    <col customWidth="1" min="14" max="23" width="15.14"/>
  </cols>
  <sheetData>
    <row r="1" ht="14.25" customHeight="1">
      <c r="A1" s="4"/>
      <c r="B1" s="1"/>
      <c r="C1" s="594"/>
      <c r="D1" s="37"/>
      <c r="E1" s="4"/>
      <c r="F1" s="4"/>
      <c r="G1" s="4"/>
      <c r="H1" s="4"/>
      <c r="I1" s="4"/>
      <c r="J1" s="4"/>
      <c r="K1" s="4"/>
      <c r="L1" s="4"/>
      <c r="M1" s="4"/>
      <c r="N1" s="4"/>
      <c r="O1" s="4"/>
      <c r="P1" s="4"/>
      <c r="Q1" s="4"/>
      <c r="R1" s="4"/>
      <c r="S1" s="4"/>
      <c r="T1" s="4"/>
      <c r="U1" s="4"/>
      <c r="V1" s="4"/>
      <c r="W1" s="4"/>
    </row>
    <row r="2" ht="14.25" customHeight="1">
      <c r="A2" s="4"/>
      <c r="B2" s="595" t="s">
        <v>677</v>
      </c>
      <c r="C2" s="7"/>
      <c r="D2" s="10"/>
      <c r="E2" s="4"/>
      <c r="F2" s="4"/>
      <c r="G2" s="4"/>
      <c r="H2" s="4"/>
      <c r="I2" s="4"/>
      <c r="J2" s="4"/>
      <c r="K2" s="4"/>
      <c r="L2" s="4"/>
      <c r="M2" s="4"/>
      <c r="N2" s="4"/>
      <c r="O2" s="4"/>
      <c r="P2" s="4"/>
      <c r="Q2" s="4"/>
      <c r="R2" s="4"/>
      <c r="S2" s="4"/>
      <c r="T2" s="4"/>
      <c r="U2" s="4"/>
      <c r="V2" s="4"/>
      <c r="W2" s="4"/>
    </row>
    <row r="3" ht="14.25" customHeight="1">
      <c r="A3" s="4"/>
      <c r="B3" s="596" t="s">
        <v>678</v>
      </c>
      <c r="C3" s="597" t="s">
        <v>679</v>
      </c>
      <c r="D3" s="598" t="s">
        <v>680</v>
      </c>
      <c r="E3" s="4"/>
      <c r="F3" s="4"/>
      <c r="G3" s="4"/>
      <c r="H3" s="4"/>
      <c r="I3" s="4"/>
      <c r="J3" s="4"/>
      <c r="K3" s="4"/>
      <c r="L3" s="4"/>
      <c r="M3" s="4"/>
      <c r="N3" s="4"/>
      <c r="O3" s="4"/>
      <c r="P3" s="4"/>
      <c r="Q3" s="4"/>
      <c r="R3" s="4"/>
      <c r="S3" s="4"/>
      <c r="T3" s="4"/>
      <c r="U3" s="4"/>
      <c r="V3" s="4"/>
      <c r="W3" s="4"/>
    </row>
    <row r="4" ht="14.25" customHeight="1">
      <c r="A4" s="4"/>
      <c r="B4" s="599">
        <v>1.0</v>
      </c>
      <c r="C4" s="600" t="s">
        <v>681</v>
      </c>
      <c r="D4" s="601" t="s">
        <v>682</v>
      </c>
      <c r="E4" s="4"/>
      <c r="F4" s="4"/>
      <c r="G4" s="4"/>
      <c r="H4" s="4"/>
      <c r="I4" s="4"/>
      <c r="J4" s="4"/>
      <c r="K4" s="4"/>
      <c r="L4" s="4"/>
      <c r="M4" s="4"/>
      <c r="N4" s="4"/>
      <c r="O4" s="4"/>
      <c r="P4" s="4"/>
      <c r="Q4" s="4"/>
      <c r="R4" s="4"/>
      <c r="S4" s="4"/>
      <c r="T4" s="4"/>
      <c r="U4" s="4"/>
      <c r="V4" s="4"/>
      <c r="W4" s="4"/>
    </row>
    <row r="5" ht="14.25" customHeight="1">
      <c r="A5" s="4"/>
      <c r="B5" s="599">
        <v>2.0</v>
      </c>
      <c r="C5" s="600" t="s">
        <v>683</v>
      </c>
      <c r="D5" s="601" t="s">
        <v>684</v>
      </c>
      <c r="E5" s="4"/>
      <c r="F5" s="4"/>
      <c r="G5" s="4"/>
      <c r="H5" s="4"/>
      <c r="I5" s="4"/>
      <c r="J5" s="4"/>
      <c r="K5" s="4"/>
      <c r="L5" s="4"/>
      <c r="M5" s="4"/>
      <c r="N5" s="4"/>
      <c r="O5" s="4"/>
      <c r="P5" s="4"/>
      <c r="Q5" s="4"/>
      <c r="R5" s="4"/>
      <c r="S5" s="4"/>
      <c r="T5" s="4"/>
      <c r="U5" s="4"/>
      <c r="V5" s="4"/>
      <c r="W5" s="4"/>
    </row>
    <row r="6" ht="14.25" customHeight="1">
      <c r="A6" s="4"/>
      <c r="B6" s="599">
        <v>3.0</v>
      </c>
      <c r="C6" s="600" t="s">
        <v>685</v>
      </c>
      <c r="D6" s="601" t="s">
        <v>686</v>
      </c>
      <c r="E6" s="4"/>
      <c r="F6" s="4"/>
      <c r="G6" s="4"/>
      <c r="H6" s="4"/>
      <c r="I6" s="4"/>
      <c r="J6" s="4"/>
      <c r="K6" s="4"/>
      <c r="L6" s="4"/>
      <c r="M6" s="4"/>
      <c r="N6" s="4"/>
      <c r="O6" s="4"/>
      <c r="P6" s="4"/>
      <c r="Q6" s="4"/>
      <c r="R6" s="4"/>
      <c r="S6" s="4"/>
      <c r="T6" s="4"/>
      <c r="U6" s="4"/>
      <c r="V6" s="4"/>
      <c r="W6" s="4"/>
    </row>
    <row r="7" ht="14.25" customHeight="1">
      <c r="A7" s="4"/>
      <c r="B7" s="599">
        <v>4.0</v>
      </c>
      <c r="C7" s="600" t="s">
        <v>687</v>
      </c>
      <c r="D7" s="601" t="s">
        <v>688</v>
      </c>
      <c r="E7" s="4"/>
      <c r="F7" s="4"/>
      <c r="G7" s="4"/>
      <c r="H7" s="4"/>
      <c r="I7" s="4"/>
      <c r="J7" s="4"/>
      <c r="K7" s="4"/>
      <c r="L7" s="4"/>
      <c r="M7" s="4"/>
      <c r="N7" s="4"/>
      <c r="O7" s="4"/>
      <c r="P7" s="4"/>
      <c r="Q7" s="4"/>
      <c r="R7" s="4"/>
      <c r="S7" s="4"/>
      <c r="T7" s="4"/>
      <c r="U7" s="4"/>
      <c r="V7" s="4"/>
      <c r="W7" s="4"/>
    </row>
    <row r="8" ht="14.25" customHeight="1">
      <c r="A8" s="4"/>
      <c r="B8" s="599">
        <v>5.0</v>
      </c>
      <c r="C8" s="600" t="s">
        <v>689</v>
      </c>
      <c r="D8" s="601" t="s">
        <v>690</v>
      </c>
      <c r="E8" s="4"/>
      <c r="F8" s="4"/>
      <c r="G8" s="4"/>
      <c r="H8" s="4"/>
      <c r="I8" s="4"/>
      <c r="J8" s="4"/>
      <c r="K8" s="4"/>
      <c r="L8" s="4"/>
      <c r="M8" s="4"/>
      <c r="N8" s="4"/>
      <c r="O8" s="4"/>
      <c r="P8" s="4"/>
      <c r="Q8" s="4"/>
      <c r="R8" s="4"/>
      <c r="S8" s="4"/>
      <c r="T8" s="4"/>
      <c r="U8" s="4"/>
      <c r="V8" s="4"/>
      <c r="W8" s="4"/>
    </row>
    <row r="9" ht="14.25" customHeight="1">
      <c r="A9" s="4"/>
      <c r="B9" s="599">
        <v>6.0</v>
      </c>
      <c r="C9" s="600" t="s">
        <v>691</v>
      </c>
      <c r="D9" s="601" t="s">
        <v>692</v>
      </c>
      <c r="E9" s="4"/>
      <c r="F9" s="4"/>
      <c r="G9" s="4"/>
      <c r="H9" s="4"/>
      <c r="I9" s="4"/>
      <c r="J9" s="4"/>
      <c r="K9" s="4"/>
      <c r="L9" s="4"/>
      <c r="M9" s="4"/>
      <c r="N9" s="4"/>
      <c r="O9" s="4"/>
      <c r="P9" s="4"/>
      <c r="Q9" s="4"/>
      <c r="R9" s="4"/>
      <c r="S9" s="4"/>
      <c r="T9" s="4"/>
      <c r="U9" s="4"/>
      <c r="V9" s="4"/>
      <c r="W9" s="4"/>
    </row>
    <row r="10" ht="14.25" customHeight="1">
      <c r="A10" s="4"/>
      <c r="B10" s="599">
        <v>7.0</v>
      </c>
      <c r="C10" s="600" t="s">
        <v>693</v>
      </c>
      <c r="D10" s="601" t="s">
        <v>694</v>
      </c>
      <c r="E10" s="4"/>
      <c r="F10" s="4"/>
      <c r="G10" s="4"/>
      <c r="H10" s="4"/>
      <c r="I10" s="4"/>
      <c r="J10" s="4"/>
      <c r="K10" s="4"/>
      <c r="L10" s="4"/>
      <c r="M10" s="4"/>
      <c r="N10" s="4"/>
      <c r="O10" s="4"/>
      <c r="P10" s="4"/>
      <c r="Q10" s="4"/>
      <c r="R10" s="4"/>
      <c r="S10" s="4"/>
      <c r="T10" s="4"/>
      <c r="U10" s="4"/>
      <c r="V10" s="4"/>
      <c r="W10" s="4"/>
    </row>
    <row r="11" ht="14.25" customHeight="1">
      <c r="A11" s="4"/>
      <c r="B11" s="599">
        <v>8.0</v>
      </c>
      <c r="C11" s="600" t="s">
        <v>695</v>
      </c>
      <c r="D11" s="601" t="s">
        <v>696</v>
      </c>
      <c r="E11" s="4"/>
      <c r="F11" s="4"/>
      <c r="G11" s="4"/>
      <c r="H11" s="4"/>
      <c r="I11" s="4"/>
      <c r="J11" s="4"/>
      <c r="K11" s="4"/>
      <c r="L11" s="4"/>
      <c r="M11" s="4"/>
      <c r="N11" s="4"/>
      <c r="O11" s="4"/>
      <c r="P11" s="4"/>
      <c r="Q11" s="4"/>
      <c r="R11" s="4"/>
      <c r="S11" s="4"/>
      <c r="T11" s="4"/>
      <c r="U11" s="4"/>
      <c r="V11" s="4"/>
      <c r="W11" s="4"/>
    </row>
    <row r="12" ht="14.25" customHeight="1">
      <c r="A12" s="4"/>
      <c r="B12" s="599">
        <v>9.0</v>
      </c>
      <c r="C12" s="600" t="s">
        <v>697</v>
      </c>
      <c r="D12" s="601" t="s">
        <v>698</v>
      </c>
      <c r="E12" s="4"/>
      <c r="F12" s="4"/>
      <c r="G12" s="4"/>
      <c r="H12" s="4"/>
      <c r="I12" s="4"/>
      <c r="J12" s="4"/>
      <c r="K12" s="4"/>
      <c r="L12" s="4"/>
      <c r="M12" s="4"/>
      <c r="N12" s="4"/>
      <c r="O12" s="4"/>
      <c r="P12" s="4"/>
      <c r="Q12" s="4"/>
      <c r="R12" s="4"/>
      <c r="S12" s="4"/>
      <c r="T12" s="4"/>
      <c r="U12" s="4"/>
      <c r="V12" s="4"/>
      <c r="W12" s="4"/>
    </row>
    <row r="13" ht="14.25" customHeight="1">
      <c r="A13" s="4"/>
      <c r="B13" s="599">
        <v>10.0</v>
      </c>
      <c r="C13" s="600" t="s">
        <v>699</v>
      </c>
      <c r="D13" s="601" t="s">
        <v>700</v>
      </c>
      <c r="E13" s="4"/>
      <c r="F13" s="4"/>
      <c r="G13" s="4"/>
      <c r="H13" s="4"/>
      <c r="I13" s="4"/>
      <c r="J13" s="4"/>
      <c r="K13" s="4"/>
      <c r="L13" s="4"/>
      <c r="M13" s="4"/>
      <c r="N13" s="4"/>
      <c r="O13" s="4"/>
      <c r="P13" s="4"/>
      <c r="Q13" s="4"/>
      <c r="R13" s="4"/>
      <c r="S13" s="4"/>
      <c r="T13" s="4"/>
      <c r="U13" s="4"/>
      <c r="V13" s="4"/>
      <c r="W13" s="4"/>
    </row>
    <row r="14" ht="14.25" customHeight="1">
      <c r="A14" s="4"/>
      <c r="B14" s="599">
        <v>11.0</v>
      </c>
      <c r="C14" s="600" t="s">
        <v>701</v>
      </c>
      <c r="D14" s="601" t="s">
        <v>698</v>
      </c>
      <c r="E14" s="4"/>
      <c r="F14" s="4"/>
      <c r="G14" s="4"/>
      <c r="H14" s="4"/>
      <c r="I14" s="4"/>
      <c r="J14" s="4"/>
      <c r="K14" s="4"/>
      <c r="L14" s="4"/>
      <c r="M14" s="4"/>
      <c r="N14" s="4"/>
      <c r="O14" s="4"/>
      <c r="P14" s="4"/>
      <c r="Q14" s="4"/>
      <c r="R14" s="4"/>
      <c r="S14" s="4"/>
      <c r="T14" s="4"/>
      <c r="U14" s="4"/>
      <c r="V14" s="4"/>
      <c r="W14" s="4"/>
    </row>
    <row r="15" ht="14.25" customHeight="1">
      <c r="A15" s="602"/>
      <c r="B15" s="599">
        <v>12.0</v>
      </c>
      <c r="C15" s="603" t="s">
        <v>702</v>
      </c>
      <c r="D15" s="601" t="s">
        <v>703</v>
      </c>
      <c r="E15" s="602"/>
      <c r="F15" s="602"/>
      <c r="G15" s="602"/>
      <c r="H15" s="602"/>
      <c r="I15" s="602"/>
      <c r="J15" s="602"/>
      <c r="K15" s="602"/>
      <c r="L15" s="602"/>
      <c r="M15" s="602"/>
      <c r="N15" s="602"/>
      <c r="O15" s="602"/>
      <c r="P15" s="602"/>
      <c r="Q15" s="602"/>
      <c r="R15" s="602"/>
      <c r="S15" s="602"/>
      <c r="T15" s="602"/>
      <c r="U15" s="602"/>
      <c r="V15" s="602"/>
      <c r="W15" s="602"/>
    </row>
    <row r="16" ht="14.25" customHeight="1">
      <c r="A16" s="602"/>
      <c r="B16" s="599">
        <v>13.0</v>
      </c>
      <c r="C16" s="603" t="s">
        <v>704</v>
      </c>
      <c r="D16" s="601" t="s">
        <v>705</v>
      </c>
      <c r="E16" s="602"/>
      <c r="F16" s="602"/>
      <c r="G16" s="602"/>
      <c r="H16" s="602"/>
      <c r="I16" s="602"/>
      <c r="J16" s="602"/>
      <c r="K16" s="602"/>
      <c r="L16" s="602"/>
      <c r="M16" s="602"/>
      <c r="N16" s="602"/>
      <c r="O16" s="602"/>
      <c r="P16" s="602"/>
      <c r="Q16" s="602"/>
      <c r="R16" s="602"/>
      <c r="S16" s="602"/>
      <c r="T16" s="602"/>
      <c r="U16" s="602"/>
      <c r="V16" s="602"/>
      <c r="W16" s="602"/>
    </row>
    <row r="17" ht="14.25" customHeight="1">
      <c r="A17" s="602"/>
      <c r="B17" s="599">
        <v>14.0</v>
      </c>
      <c r="C17" s="600" t="s">
        <v>706</v>
      </c>
      <c r="D17" s="601" t="s">
        <v>707</v>
      </c>
      <c r="E17" s="602"/>
      <c r="F17" s="602"/>
      <c r="G17" s="602"/>
      <c r="H17" s="602"/>
      <c r="I17" s="602"/>
      <c r="J17" s="602"/>
      <c r="K17" s="602"/>
      <c r="L17" s="602"/>
      <c r="M17" s="602"/>
      <c r="N17" s="602"/>
      <c r="O17" s="602"/>
      <c r="P17" s="602"/>
      <c r="Q17" s="602"/>
      <c r="R17" s="602"/>
      <c r="S17" s="602"/>
      <c r="T17" s="602"/>
      <c r="U17" s="602"/>
      <c r="V17" s="602"/>
      <c r="W17" s="602"/>
    </row>
    <row r="18" ht="14.25" customHeight="1">
      <c r="A18" s="602"/>
      <c r="B18" s="599">
        <v>15.0</v>
      </c>
      <c r="C18" s="604" t="s">
        <v>708</v>
      </c>
      <c r="D18" s="601" t="s">
        <v>698</v>
      </c>
      <c r="E18" s="602"/>
      <c r="F18" s="602"/>
      <c r="G18" s="602"/>
      <c r="H18" s="602"/>
      <c r="I18" s="602"/>
      <c r="J18" s="602"/>
      <c r="K18" s="602"/>
      <c r="L18" s="602"/>
      <c r="M18" s="602"/>
      <c r="N18" s="602"/>
      <c r="O18" s="602"/>
      <c r="P18" s="602"/>
      <c r="Q18" s="602"/>
      <c r="R18" s="602"/>
      <c r="S18" s="602"/>
      <c r="T18" s="602"/>
      <c r="U18" s="602"/>
      <c r="V18" s="602"/>
      <c r="W18" s="602"/>
    </row>
    <row r="19" ht="14.25" customHeight="1">
      <c r="A19" s="602"/>
      <c r="B19" s="605">
        <v>16.0</v>
      </c>
      <c r="C19" s="606" t="s">
        <v>709</v>
      </c>
      <c r="D19" s="607" t="s">
        <v>710</v>
      </c>
      <c r="E19" s="602"/>
      <c r="F19" s="602"/>
      <c r="G19" s="602"/>
      <c r="H19" s="602"/>
      <c r="I19" s="602"/>
      <c r="J19" s="602"/>
      <c r="K19" s="602"/>
      <c r="L19" s="602"/>
      <c r="M19" s="602"/>
      <c r="N19" s="602"/>
      <c r="O19" s="602"/>
      <c r="P19" s="602"/>
      <c r="Q19" s="602"/>
      <c r="R19" s="602"/>
      <c r="S19" s="602"/>
      <c r="T19" s="602"/>
      <c r="U19" s="602"/>
      <c r="V19" s="602"/>
      <c r="W19" s="602"/>
    </row>
    <row r="20" ht="19.5" customHeight="1">
      <c r="B20" s="599">
        <v>17.0</v>
      </c>
      <c r="C20" s="606" t="s">
        <v>711</v>
      </c>
      <c r="D20" s="607" t="s">
        <v>712</v>
      </c>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B2:D2"/>
  </mergeCells>
  <printOptions/>
  <pageMargins bottom="0.75" footer="0.0" header="0.0" left="0.7" right="0.7" top="0.75"/>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0.86"/>
    <col customWidth="1" min="2" max="2" width="6.0"/>
    <col customWidth="1" min="3" max="3" width="99.57"/>
    <col customWidth="1" min="4" max="4" width="38.57"/>
    <col customWidth="1" min="5" max="5" width="0.86"/>
    <col customWidth="1" min="6" max="13" width="9.43"/>
    <col customWidth="1" min="14" max="23" width="15.14"/>
  </cols>
  <sheetData>
    <row r="1" ht="6.75" customHeight="1">
      <c r="A1" s="4"/>
      <c r="B1" s="1"/>
      <c r="C1" s="594"/>
      <c r="D1" s="608"/>
      <c r="E1" s="4"/>
      <c r="F1" s="4"/>
      <c r="G1" s="4"/>
      <c r="H1" s="4"/>
      <c r="I1" s="4"/>
      <c r="J1" s="4"/>
      <c r="K1" s="4"/>
      <c r="L1" s="4"/>
      <c r="M1" s="4"/>
      <c r="N1" s="4"/>
      <c r="O1" s="4"/>
      <c r="P1" s="4"/>
      <c r="Q1" s="4"/>
      <c r="R1" s="4"/>
      <c r="S1" s="4"/>
      <c r="T1" s="4"/>
      <c r="U1" s="4"/>
      <c r="V1" s="4"/>
      <c r="W1" s="4"/>
    </row>
    <row r="2" ht="14.25" customHeight="1">
      <c r="A2" s="4"/>
      <c r="B2" s="609" t="s">
        <v>713</v>
      </c>
      <c r="C2" s="8"/>
      <c r="D2" s="9"/>
      <c r="E2" s="4"/>
      <c r="F2" s="4"/>
      <c r="G2" s="4"/>
      <c r="H2" s="4"/>
      <c r="I2" s="4"/>
      <c r="J2" s="4"/>
      <c r="K2" s="4"/>
      <c r="L2" s="4"/>
      <c r="M2" s="4"/>
      <c r="N2" s="4"/>
      <c r="O2" s="4"/>
      <c r="P2" s="4"/>
      <c r="Q2" s="4"/>
      <c r="R2" s="4"/>
      <c r="S2" s="4"/>
      <c r="T2" s="4"/>
      <c r="U2" s="4"/>
      <c r="V2" s="4"/>
      <c r="W2" s="4"/>
    </row>
    <row r="3" ht="14.25" customHeight="1">
      <c r="A3" s="4"/>
      <c r="B3" s="610" t="s">
        <v>678</v>
      </c>
      <c r="C3" s="611" t="s">
        <v>679</v>
      </c>
      <c r="D3" s="612" t="s">
        <v>680</v>
      </c>
      <c r="E3" s="4"/>
      <c r="F3" s="4"/>
      <c r="G3" s="4"/>
      <c r="H3" s="4"/>
      <c r="I3" s="4"/>
      <c r="J3" s="4"/>
      <c r="K3" s="4"/>
      <c r="L3" s="4"/>
      <c r="M3" s="4"/>
      <c r="N3" s="4"/>
      <c r="O3" s="4"/>
      <c r="P3" s="4"/>
      <c r="Q3" s="4"/>
      <c r="R3" s="4"/>
      <c r="S3" s="4"/>
      <c r="T3" s="4"/>
      <c r="U3" s="4"/>
      <c r="V3" s="4"/>
      <c r="W3" s="4"/>
    </row>
    <row r="4" ht="25.5" customHeight="1">
      <c r="A4" s="4"/>
      <c r="B4" s="613">
        <v>1.0</v>
      </c>
      <c r="C4" s="600" t="s">
        <v>683</v>
      </c>
      <c r="D4" s="614" t="s">
        <v>714</v>
      </c>
      <c r="E4" s="4"/>
      <c r="F4" s="4"/>
      <c r="G4" s="4"/>
      <c r="H4" s="4"/>
      <c r="I4" s="4"/>
      <c r="J4" s="4"/>
      <c r="K4" s="4"/>
      <c r="L4" s="4"/>
      <c r="M4" s="4"/>
      <c r="N4" s="4"/>
      <c r="O4" s="4"/>
      <c r="P4" s="4"/>
      <c r="Q4" s="4"/>
      <c r="R4" s="4"/>
      <c r="S4" s="4"/>
      <c r="T4" s="4"/>
      <c r="U4" s="4"/>
      <c r="V4" s="4"/>
      <c r="W4" s="4"/>
    </row>
    <row r="5" ht="50.25" customHeight="1">
      <c r="A5" s="4"/>
      <c r="B5" s="613">
        <v>2.0</v>
      </c>
      <c r="C5" s="600" t="s">
        <v>715</v>
      </c>
      <c r="D5" s="614" t="s">
        <v>716</v>
      </c>
      <c r="E5" s="4"/>
      <c r="F5" s="4"/>
      <c r="G5" s="4"/>
      <c r="H5" s="4"/>
      <c r="I5" s="4"/>
      <c r="J5" s="4"/>
      <c r="K5" s="4"/>
      <c r="L5" s="4"/>
      <c r="M5" s="4"/>
      <c r="N5" s="4"/>
      <c r="O5" s="4"/>
      <c r="P5" s="4"/>
      <c r="Q5" s="4"/>
      <c r="R5" s="4"/>
      <c r="S5" s="4"/>
      <c r="T5" s="4"/>
      <c r="U5" s="4"/>
      <c r="V5" s="4"/>
      <c r="W5" s="4"/>
    </row>
    <row r="6" ht="50.25" customHeight="1">
      <c r="A6" s="4"/>
      <c r="B6" s="613">
        <v>3.0</v>
      </c>
      <c r="C6" s="600" t="s">
        <v>717</v>
      </c>
      <c r="D6" s="614" t="s">
        <v>718</v>
      </c>
      <c r="E6" s="4"/>
      <c r="F6" s="4"/>
      <c r="G6" s="4"/>
      <c r="H6" s="4"/>
      <c r="I6" s="4"/>
      <c r="J6" s="4"/>
      <c r="K6" s="4"/>
      <c r="L6" s="4"/>
      <c r="M6" s="4"/>
      <c r="N6" s="4"/>
      <c r="O6" s="4"/>
      <c r="P6" s="4"/>
      <c r="Q6" s="4"/>
      <c r="R6" s="4"/>
      <c r="S6" s="4"/>
      <c r="T6" s="4"/>
      <c r="U6" s="4"/>
      <c r="V6" s="4"/>
      <c r="W6" s="4"/>
    </row>
    <row r="7" ht="31.5" customHeight="1">
      <c r="A7" s="4"/>
      <c r="B7" s="613">
        <v>4.0</v>
      </c>
      <c r="C7" s="603" t="s">
        <v>702</v>
      </c>
      <c r="D7" s="614" t="s">
        <v>716</v>
      </c>
      <c r="E7" s="4"/>
      <c r="F7" s="4"/>
      <c r="G7" s="4"/>
      <c r="H7" s="4"/>
      <c r="I7" s="4"/>
      <c r="J7" s="4"/>
      <c r="K7" s="4"/>
      <c r="L7" s="4"/>
      <c r="M7" s="4"/>
      <c r="N7" s="4"/>
      <c r="O7" s="4"/>
      <c r="P7" s="4"/>
      <c r="Q7" s="4"/>
      <c r="R7" s="4"/>
      <c r="S7" s="4"/>
      <c r="T7" s="4"/>
      <c r="U7" s="4"/>
      <c r="V7" s="4"/>
      <c r="W7" s="4"/>
    </row>
    <row r="8" ht="84.0" customHeight="1">
      <c r="A8" s="4"/>
      <c r="B8" s="613">
        <v>5.0</v>
      </c>
      <c r="C8" s="600" t="s">
        <v>719</v>
      </c>
      <c r="D8" s="614" t="s">
        <v>720</v>
      </c>
      <c r="E8" s="4"/>
      <c r="F8" s="4"/>
      <c r="G8" s="4"/>
      <c r="H8" s="4"/>
      <c r="I8" s="4"/>
      <c r="J8" s="4"/>
      <c r="K8" s="4"/>
      <c r="L8" s="4"/>
      <c r="M8" s="4"/>
      <c r="N8" s="4"/>
      <c r="O8" s="4"/>
      <c r="P8" s="4"/>
      <c r="Q8" s="4"/>
      <c r="R8" s="4"/>
      <c r="S8" s="4"/>
      <c r="T8" s="4"/>
      <c r="U8" s="4"/>
      <c r="V8" s="4"/>
      <c r="W8" s="4"/>
    </row>
    <row r="9" ht="34.5" customHeight="1">
      <c r="A9" s="4"/>
      <c r="B9" s="613">
        <v>6.0</v>
      </c>
      <c r="C9" s="600" t="s">
        <v>721</v>
      </c>
      <c r="D9" s="614" t="s">
        <v>722</v>
      </c>
      <c r="E9" s="4"/>
      <c r="F9" s="4"/>
      <c r="G9" s="4"/>
      <c r="H9" s="4"/>
      <c r="I9" s="4"/>
      <c r="J9" s="4"/>
      <c r="K9" s="4"/>
      <c r="L9" s="4"/>
      <c r="M9" s="4"/>
      <c r="N9" s="4"/>
      <c r="O9" s="4"/>
      <c r="P9" s="4"/>
      <c r="Q9" s="4"/>
      <c r="R9" s="4"/>
      <c r="S9" s="4"/>
      <c r="T9" s="4"/>
      <c r="U9" s="4"/>
      <c r="V9" s="4"/>
      <c r="W9" s="4"/>
    </row>
    <row r="10" ht="34.5" customHeight="1">
      <c r="A10" s="4"/>
      <c r="B10" s="613">
        <v>7.0</v>
      </c>
      <c r="C10" s="600" t="s">
        <v>723</v>
      </c>
      <c r="D10" s="614" t="s">
        <v>724</v>
      </c>
      <c r="E10" s="4"/>
      <c r="F10" s="4"/>
      <c r="G10" s="4"/>
      <c r="H10" s="4"/>
      <c r="I10" s="4"/>
      <c r="J10" s="4"/>
      <c r="K10" s="4"/>
      <c r="L10" s="4"/>
      <c r="M10" s="4"/>
      <c r="N10" s="4"/>
      <c r="O10" s="4"/>
      <c r="P10" s="4"/>
      <c r="Q10" s="4"/>
      <c r="R10" s="4"/>
      <c r="S10" s="4"/>
      <c r="T10" s="4"/>
      <c r="U10" s="4"/>
      <c r="V10" s="4"/>
      <c r="W10" s="4"/>
    </row>
    <row r="11" ht="223.5" customHeight="1">
      <c r="A11" s="4"/>
      <c r="B11" s="613">
        <v>8.0</v>
      </c>
      <c r="C11" s="600" t="s">
        <v>725</v>
      </c>
      <c r="D11" s="614" t="s">
        <v>726</v>
      </c>
      <c r="E11" s="4"/>
      <c r="F11" s="4"/>
      <c r="G11" s="4"/>
      <c r="H11" s="4"/>
      <c r="I11" s="4"/>
      <c r="J11" s="4"/>
      <c r="K11" s="4"/>
      <c r="L11" s="4"/>
      <c r="M11" s="4"/>
      <c r="N11" s="4"/>
      <c r="O11" s="4"/>
      <c r="P11" s="4"/>
      <c r="Q11" s="4"/>
      <c r="R11" s="4"/>
      <c r="S11" s="4"/>
      <c r="T11" s="4"/>
      <c r="U11" s="4"/>
      <c r="V11" s="4"/>
      <c r="W11" s="4"/>
    </row>
    <row r="12" ht="36.75" customHeight="1">
      <c r="A12" s="4"/>
      <c r="B12" s="613">
        <v>9.0</v>
      </c>
      <c r="C12" s="600" t="s">
        <v>727</v>
      </c>
      <c r="D12" s="614" t="s">
        <v>728</v>
      </c>
      <c r="E12" s="4"/>
      <c r="F12" s="4"/>
      <c r="G12" s="4"/>
      <c r="H12" s="4"/>
      <c r="I12" s="4"/>
      <c r="J12" s="4"/>
      <c r="K12" s="4"/>
      <c r="L12" s="4"/>
      <c r="M12" s="4"/>
      <c r="N12" s="4"/>
      <c r="O12" s="4"/>
      <c r="P12" s="4"/>
      <c r="Q12" s="4"/>
      <c r="R12" s="4"/>
      <c r="S12" s="4"/>
      <c r="T12" s="4"/>
      <c r="U12" s="4"/>
      <c r="V12" s="4"/>
      <c r="W12" s="4"/>
    </row>
    <row r="13" ht="36.75" customHeight="1">
      <c r="A13" s="4"/>
      <c r="B13" s="613">
        <v>10.0</v>
      </c>
      <c r="C13" s="600" t="s">
        <v>729</v>
      </c>
      <c r="D13" s="614" t="s">
        <v>730</v>
      </c>
      <c r="E13" s="4"/>
      <c r="F13" s="4"/>
      <c r="G13" s="4"/>
      <c r="H13" s="4"/>
      <c r="I13" s="4"/>
      <c r="J13" s="4"/>
      <c r="K13" s="4"/>
      <c r="L13" s="4"/>
      <c r="M13" s="4"/>
      <c r="N13" s="4"/>
      <c r="O13" s="4"/>
      <c r="P13" s="4"/>
      <c r="Q13" s="4"/>
      <c r="R13" s="4"/>
      <c r="S13" s="4"/>
      <c r="T13" s="4"/>
      <c r="U13" s="4"/>
      <c r="V13" s="4"/>
      <c r="W13" s="4"/>
    </row>
    <row r="14" ht="34.5" customHeight="1">
      <c r="A14" s="4"/>
      <c r="B14" s="613">
        <v>11.0</v>
      </c>
      <c r="C14" s="600" t="s">
        <v>731</v>
      </c>
      <c r="D14" s="614" t="s">
        <v>732</v>
      </c>
      <c r="E14" s="4"/>
      <c r="F14" s="4"/>
      <c r="G14" s="4"/>
      <c r="H14" s="4"/>
      <c r="I14" s="4"/>
      <c r="J14" s="4"/>
      <c r="K14" s="4"/>
      <c r="L14" s="4"/>
      <c r="M14" s="4"/>
      <c r="N14" s="4"/>
      <c r="O14" s="4"/>
      <c r="P14" s="4"/>
      <c r="Q14" s="4"/>
      <c r="R14" s="4"/>
      <c r="S14" s="4"/>
      <c r="T14" s="4"/>
      <c r="U14" s="4"/>
      <c r="V14" s="4"/>
      <c r="W14" s="4"/>
    </row>
    <row r="15" ht="24.0" customHeight="1">
      <c r="A15" s="4"/>
      <c r="B15" s="613">
        <v>12.0</v>
      </c>
      <c r="C15" s="603" t="s">
        <v>733</v>
      </c>
      <c r="D15" s="614" t="s">
        <v>734</v>
      </c>
      <c r="E15" s="4"/>
      <c r="F15" s="4"/>
      <c r="G15" s="4"/>
      <c r="H15" s="4"/>
      <c r="I15" s="4"/>
      <c r="J15" s="4"/>
      <c r="K15" s="4"/>
      <c r="L15" s="4"/>
      <c r="M15" s="4"/>
      <c r="N15" s="4"/>
      <c r="O15" s="4"/>
      <c r="P15" s="4"/>
      <c r="Q15" s="4"/>
      <c r="R15" s="4"/>
      <c r="S15" s="4"/>
      <c r="T15" s="4"/>
      <c r="U15" s="4"/>
      <c r="V15" s="4"/>
      <c r="W15" s="4"/>
    </row>
    <row r="16" ht="22.5" customHeight="1">
      <c r="A16" s="4"/>
      <c r="B16" s="613">
        <v>13.0</v>
      </c>
      <c r="C16" s="603" t="s">
        <v>735</v>
      </c>
      <c r="D16" s="614" t="s">
        <v>737</v>
      </c>
      <c r="E16" s="4"/>
      <c r="F16" s="4"/>
      <c r="G16" s="4"/>
      <c r="H16" s="4"/>
      <c r="I16" s="4"/>
      <c r="J16" s="4"/>
      <c r="K16" s="4"/>
      <c r="L16" s="4"/>
      <c r="M16" s="4"/>
      <c r="N16" s="4"/>
      <c r="O16" s="4"/>
      <c r="P16" s="4"/>
      <c r="Q16" s="4"/>
      <c r="R16" s="4"/>
      <c r="S16" s="4"/>
      <c r="T16" s="4"/>
      <c r="U16" s="4"/>
      <c r="V16" s="4"/>
      <c r="W16" s="4"/>
    </row>
    <row r="17" ht="26.25" customHeight="1">
      <c r="A17" s="4"/>
      <c r="B17" s="613">
        <v>14.0</v>
      </c>
      <c r="C17" s="600" t="s">
        <v>681</v>
      </c>
      <c r="D17" s="614" t="s">
        <v>722</v>
      </c>
      <c r="E17" s="4"/>
      <c r="F17" s="4"/>
      <c r="G17" s="4"/>
      <c r="H17" s="4"/>
      <c r="I17" s="4"/>
      <c r="J17" s="4"/>
      <c r="K17" s="4"/>
      <c r="L17" s="4"/>
      <c r="M17" s="4"/>
      <c r="N17" s="4"/>
      <c r="O17" s="4"/>
      <c r="P17" s="4"/>
      <c r="Q17" s="4"/>
      <c r="R17" s="4"/>
      <c r="S17" s="4"/>
      <c r="T17" s="4"/>
      <c r="U17" s="4"/>
      <c r="V17" s="4"/>
      <c r="W17" s="4"/>
    </row>
    <row r="18" ht="18.0" customHeight="1">
      <c r="A18" s="4"/>
      <c r="B18" s="613">
        <v>15.0</v>
      </c>
      <c r="C18" s="600" t="s">
        <v>685</v>
      </c>
      <c r="D18" s="614" t="s">
        <v>726</v>
      </c>
      <c r="E18" s="4"/>
      <c r="F18" s="4"/>
      <c r="G18" s="4"/>
      <c r="H18" s="4"/>
      <c r="I18" s="4"/>
      <c r="J18" s="4"/>
      <c r="K18" s="4"/>
      <c r="L18" s="4"/>
      <c r="M18" s="4"/>
      <c r="N18" s="4"/>
      <c r="O18" s="4"/>
      <c r="P18" s="4"/>
      <c r="Q18" s="4"/>
      <c r="R18" s="4"/>
      <c r="S18" s="4"/>
      <c r="T18" s="4"/>
      <c r="U18" s="4"/>
      <c r="V18" s="4"/>
      <c r="W18" s="4"/>
    </row>
    <row r="19" ht="36.0" customHeight="1">
      <c r="A19" s="4"/>
      <c r="B19" s="613">
        <v>16.0</v>
      </c>
      <c r="C19" s="600" t="s">
        <v>738</v>
      </c>
      <c r="D19" s="614" t="s">
        <v>739</v>
      </c>
      <c r="E19" s="4"/>
      <c r="F19" s="4"/>
      <c r="G19" s="4"/>
      <c r="H19" s="4"/>
      <c r="I19" s="4"/>
      <c r="J19" s="4"/>
      <c r="K19" s="4"/>
      <c r="L19" s="4"/>
      <c r="M19" s="4"/>
      <c r="N19" s="4"/>
      <c r="O19" s="4"/>
      <c r="P19" s="4"/>
      <c r="Q19" s="4"/>
      <c r="R19" s="4"/>
      <c r="S19" s="4"/>
      <c r="T19" s="4"/>
      <c r="U19" s="4"/>
      <c r="V19" s="4"/>
      <c r="W19" s="4"/>
    </row>
    <row r="20" ht="36.0" customHeight="1">
      <c r="A20" s="4"/>
      <c r="B20" s="613">
        <v>17.0</v>
      </c>
      <c r="C20" s="600" t="s">
        <v>740</v>
      </c>
      <c r="D20" s="614" t="s">
        <v>722</v>
      </c>
      <c r="E20" s="4"/>
      <c r="F20" s="4"/>
      <c r="G20" s="4"/>
      <c r="H20" s="4"/>
      <c r="I20" s="4"/>
      <c r="J20" s="4"/>
      <c r="K20" s="4"/>
      <c r="L20" s="4"/>
      <c r="M20" s="4"/>
      <c r="N20" s="4"/>
      <c r="O20" s="4"/>
      <c r="P20" s="4"/>
      <c r="Q20" s="4"/>
      <c r="R20" s="4"/>
      <c r="S20" s="4"/>
      <c r="T20" s="4"/>
      <c r="U20" s="4"/>
      <c r="V20" s="4"/>
      <c r="W20" s="4"/>
    </row>
    <row r="21" ht="27.75" customHeight="1">
      <c r="A21" s="4"/>
      <c r="B21" s="613">
        <v>18.0</v>
      </c>
      <c r="C21" s="600" t="s">
        <v>691</v>
      </c>
      <c r="D21" s="614" t="s">
        <v>741</v>
      </c>
      <c r="E21" s="4"/>
      <c r="F21" s="4"/>
      <c r="G21" s="4"/>
      <c r="H21" s="4"/>
      <c r="I21" s="4"/>
      <c r="J21" s="4"/>
      <c r="K21" s="4"/>
      <c r="L21" s="4"/>
      <c r="M21" s="4"/>
      <c r="N21" s="4"/>
      <c r="O21" s="4"/>
      <c r="P21" s="4"/>
      <c r="Q21" s="4"/>
      <c r="R21" s="4"/>
      <c r="S21" s="4"/>
      <c r="T21" s="4"/>
      <c r="U21" s="4"/>
      <c r="V21" s="4"/>
      <c r="W21" s="4"/>
    </row>
    <row r="22" ht="20.25" customHeight="1">
      <c r="A22" s="4"/>
      <c r="B22" s="613">
        <v>19.0</v>
      </c>
      <c r="C22" s="600" t="s">
        <v>693</v>
      </c>
      <c r="D22" s="614" t="s">
        <v>744</v>
      </c>
      <c r="E22" s="4"/>
      <c r="F22" s="4"/>
      <c r="G22" s="4"/>
      <c r="H22" s="4"/>
      <c r="I22" s="4"/>
      <c r="J22" s="4"/>
      <c r="K22" s="4"/>
      <c r="L22" s="4"/>
      <c r="M22" s="4"/>
      <c r="N22" s="4"/>
      <c r="O22" s="4"/>
      <c r="P22" s="4"/>
      <c r="Q22" s="4"/>
      <c r="R22" s="4"/>
      <c r="S22" s="4"/>
      <c r="T22" s="4"/>
      <c r="U22" s="4"/>
      <c r="V22" s="4"/>
      <c r="W22" s="4"/>
    </row>
    <row r="23" ht="14.25" customHeight="1">
      <c r="A23" s="4"/>
      <c r="B23" s="613">
        <v>20.0</v>
      </c>
      <c r="C23" s="600" t="s">
        <v>695</v>
      </c>
      <c r="D23" s="614" t="s">
        <v>726</v>
      </c>
      <c r="E23" s="4"/>
      <c r="F23" s="4"/>
      <c r="G23" s="4"/>
      <c r="H23" s="4"/>
      <c r="I23" s="4"/>
      <c r="J23" s="4"/>
      <c r="K23" s="4"/>
      <c r="L23" s="4"/>
      <c r="M23" s="4"/>
      <c r="N23" s="4"/>
      <c r="O23" s="4"/>
      <c r="P23" s="4"/>
      <c r="Q23" s="4"/>
      <c r="R23" s="4"/>
      <c r="S23" s="4"/>
      <c r="T23" s="4"/>
      <c r="U23" s="4"/>
      <c r="V23" s="4"/>
      <c r="W23" s="4"/>
    </row>
    <row r="24" ht="30.0" customHeight="1">
      <c r="A24" s="4"/>
      <c r="B24" s="613">
        <v>21.0</v>
      </c>
      <c r="C24" s="600" t="s">
        <v>747</v>
      </c>
      <c r="D24" s="614" t="s">
        <v>748</v>
      </c>
      <c r="E24" s="4"/>
      <c r="F24" s="4"/>
      <c r="G24" s="4"/>
      <c r="H24" s="4"/>
      <c r="I24" s="4"/>
      <c r="J24" s="4"/>
      <c r="K24" s="4"/>
      <c r="L24" s="4"/>
      <c r="M24" s="4"/>
      <c r="N24" s="4"/>
      <c r="O24" s="4"/>
      <c r="P24" s="4"/>
      <c r="Q24" s="4"/>
      <c r="R24" s="4"/>
      <c r="S24" s="4"/>
      <c r="T24" s="4"/>
      <c r="U24" s="4"/>
      <c r="V24" s="4"/>
      <c r="W24" s="4"/>
    </row>
    <row r="25" ht="14.25" customHeight="1">
      <c r="A25" s="4"/>
      <c r="B25" s="613">
        <v>22.0</v>
      </c>
      <c r="C25" s="600" t="s">
        <v>699</v>
      </c>
      <c r="D25" s="614" t="s">
        <v>751</v>
      </c>
      <c r="E25" s="4"/>
      <c r="F25" s="4"/>
      <c r="G25" s="4"/>
      <c r="H25" s="4"/>
      <c r="I25" s="4"/>
      <c r="J25" s="4"/>
      <c r="K25" s="4"/>
      <c r="L25" s="4"/>
      <c r="M25" s="4"/>
      <c r="N25" s="4"/>
      <c r="O25" s="4"/>
      <c r="P25" s="4"/>
      <c r="Q25" s="4"/>
      <c r="R25" s="4"/>
      <c r="S25" s="4"/>
      <c r="T25" s="4"/>
      <c r="U25" s="4"/>
      <c r="V25" s="4"/>
      <c r="W25" s="4"/>
    </row>
    <row r="26" ht="15.75" customHeight="1">
      <c r="A26" s="4"/>
      <c r="B26" s="613">
        <v>23.0</v>
      </c>
      <c r="C26" s="600" t="s">
        <v>701</v>
      </c>
      <c r="D26" s="614" t="s">
        <v>726</v>
      </c>
      <c r="E26" s="4"/>
      <c r="F26" s="4"/>
      <c r="G26" s="4"/>
      <c r="H26" s="4"/>
      <c r="I26" s="4"/>
      <c r="J26" s="4"/>
      <c r="K26" s="4"/>
      <c r="L26" s="4"/>
      <c r="M26" s="4"/>
      <c r="N26" s="4"/>
      <c r="O26" s="4"/>
      <c r="P26" s="4"/>
      <c r="Q26" s="4"/>
      <c r="R26" s="4"/>
      <c r="S26" s="4"/>
      <c r="T26" s="4"/>
      <c r="U26" s="4"/>
      <c r="V26" s="4"/>
      <c r="W26" s="4"/>
    </row>
    <row r="27" ht="14.25" customHeight="1">
      <c r="A27" s="602"/>
      <c r="B27" s="613">
        <v>24.0</v>
      </c>
      <c r="C27" s="600" t="s">
        <v>753</v>
      </c>
      <c r="D27" s="614" t="s">
        <v>754</v>
      </c>
      <c r="E27" s="602"/>
      <c r="F27" s="602"/>
      <c r="G27" s="602"/>
      <c r="H27" s="602"/>
      <c r="I27" s="602"/>
      <c r="J27" s="602"/>
      <c r="K27" s="602"/>
      <c r="L27" s="602"/>
      <c r="M27" s="602"/>
      <c r="N27" s="602"/>
      <c r="O27" s="602"/>
      <c r="P27" s="602"/>
      <c r="Q27" s="602"/>
      <c r="R27" s="602"/>
      <c r="S27" s="602"/>
      <c r="T27" s="602"/>
      <c r="U27" s="602"/>
      <c r="V27" s="602"/>
      <c r="W27" s="602"/>
    </row>
    <row r="28" ht="14.25" customHeight="1">
      <c r="B28" s="613">
        <v>25.0</v>
      </c>
      <c r="C28" s="600" t="s">
        <v>755</v>
      </c>
      <c r="D28" s="614" t="s">
        <v>756</v>
      </c>
    </row>
    <row r="29" ht="14.25" customHeight="1">
      <c r="B29" s="613">
        <v>26.0</v>
      </c>
      <c r="C29" s="600" t="s">
        <v>757</v>
      </c>
      <c r="D29" s="614" t="s">
        <v>759</v>
      </c>
    </row>
    <row r="30" ht="14.25" customHeight="1">
      <c r="B30" s="613">
        <v>27.0</v>
      </c>
      <c r="C30" s="600" t="s">
        <v>760</v>
      </c>
      <c r="D30" s="614" t="s">
        <v>726</v>
      </c>
    </row>
    <row r="31" ht="14.25" customHeight="1">
      <c r="B31" s="613">
        <v>28.0</v>
      </c>
      <c r="C31" s="600" t="s">
        <v>761</v>
      </c>
      <c r="D31" s="614" t="s">
        <v>726</v>
      </c>
    </row>
    <row r="32" ht="4.5" customHeight="1">
      <c r="D32" s="617"/>
    </row>
    <row r="33" ht="14.25" customHeight="1">
      <c r="D33" s="617"/>
    </row>
    <row r="34" ht="14.25" customHeight="1">
      <c r="D34" s="617"/>
    </row>
    <row r="35" ht="14.25" customHeight="1">
      <c r="D35" s="617"/>
    </row>
    <row r="36" ht="14.25" customHeight="1">
      <c r="D36" s="617"/>
    </row>
    <row r="37" ht="14.25" customHeight="1">
      <c r="D37" s="617"/>
    </row>
    <row r="38" ht="14.25" customHeight="1">
      <c r="D38" s="617"/>
    </row>
    <row r="39" ht="14.25" customHeight="1">
      <c r="D39" s="617"/>
    </row>
    <row r="40" ht="14.25" customHeight="1">
      <c r="D40" s="617"/>
    </row>
    <row r="41" ht="14.25" customHeight="1">
      <c r="D41" s="617"/>
    </row>
    <row r="42" ht="14.25" customHeight="1">
      <c r="D42" s="617"/>
    </row>
    <row r="43" ht="14.25" customHeight="1">
      <c r="D43" s="617"/>
    </row>
    <row r="44" ht="14.25" customHeight="1">
      <c r="D44" s="617"/>
    </row>
    <row r="45" ht="14.25" customHeight="1">
      <c r="D45" s="617"/>
    </row>
    <row r="46" ht="14.25" customHeight="1">
      <c r="D46" s="617"/>
    </row>
    <row r="47" ht="14.25" customHeight="1">
      <c r="D47" s="617"/>
    </row>
    <row r="48" ht="14.25" customHeight="1">
      <c r="D48" s="617"/>
    </row>
    <row r="49" ht="14.25" customHeight="1">
      <c r="D49" s="617"/>
    </row>
    <row r="50" ht="14.25" customHeight="1">
      <c r="D50" s="617"/>
    </row>
    <row r="51" ht="14.25" customHeight="1">
      <c r="D51" s="617"/>
    </row>
    <row r="52" ht="14.25" customHeight="1">
      <c r="D52" s="617"/>
    </row>
    <row r="53" ht="14.25" customHeight="1">
      <c r="D53" s="617"/>
    </row>
    <row r="54" ht="14.25" customHeight="1">
      <c r="D54" s="617"/>
    </row>
    <row r="55" ht="14.25" customHeight="1">
      <c r="D55" s="617"/>
    </row>
    <row r="56" ht="14.25" customHeight="1">
      <c r="D56" s="617"/>
    </row>
    <row r="57" ht="14.25" customHeight="1">
      <c r="D57" s="617"/>
    </row>
    <row r="58" ht="14.25" customHeight="1">
      <c r="D58" s="617"/>
    </row>
    <row r="59" ht="14.25" customHeight="1">
      <c r="D59" s="617"/>
    </row>
    <row r="60" ht="14.25" customHeight="1">
      <c r="D60" s="617"/>
    </row>
    <row r="61" ht="14.25" customHeight="1">
      <c r="D61" s="617"/>
    </row>
    <row r="62" ht="14.25" customHeight="1">
      <c r="D62" s="617"/>
    </row>
    <row r="63" ht="14.25" customHeight="1">
      <c r="D63" s="617"/>
    </row>
    <row r="64" ht="14.25" customHeight="1">
      <c r="D64" s="617"/>
    </row>
    <row r="65" ht="14.25" customHeight="1">
      <c r="D65" s="617"/>
    </row>
    <row r="66" ht="14.25" customHeight="1">
      <c r="D66" s="617"/>
    </row>
    <row r="67" ht="14.25" customHeight="1">
      <c r="D67" s="617"/>
    </row>
    <row r="68" ht="14.25" customHeight="1">
      <c r="D68" s="617"/>
    </row>
    <row r="69" ht="14.25" customHeight="1">
      <c r="D69" s="617"/>
    </row>
    <row r="70" ht="14.25" customHeight="1">
      <c r="D70" s="617"/>
    </row>
    <row r="71" ht="14.25" customHeight="1">
      <c r="D71" s="617"/>
    </row>
    <row r="72" ht="14.25" customHeight="1">
      <c r="D72" s="617"/>
    </row>
    <row r="73" ht="14.25" customHeight="1">
      <c r="D73" s="617"/>
    </row>
    <row r="74" ht="14.25" customHeight="1">
      <c r="D74" s="617"/>
    </row>
    <row r="75" ht="14.25" customHeight="1">
      <c r="D75" s="617"/>
    </row>
    <row r="76" ht="14.25" customHeight="1">
      <c r="D76" s="617"/>
    </row>
    <row r="77" ht="14.25" customHeight="1">
      <c r="D77" s="617"/>
    </row>
    <row r="78" ht="14.25" customHeight="1">
      <c r="D78" s="617"/>
    </row>
    <row r="79" ht="14.25" customHeight="1">
      <c r="D79" s="617"/>
    </row>
    <row r="80" ht="14.25" customHeight="1">
      <c r="D80" s="617"/>
    </row>
    <row r="81" ht="14.25" customHeight="1">
      <c r="D81" s="617"/>
    </row>
    <row r="82" ht="14.25" customHeight="1">
      <c r="D82" s="617"/>
    </row>
    <row r="83" ht="14.25" customHeight="1">
      <c r="D83" s="617"/>
    </row>
    <row r="84" ht="14.25" customHeight="1">
      <c r="D84" s="617"/>
    </row>
    <row r="85" ht="14.25" customHeight="1">
      <c r="D85" s="617"/>
    </row>
    <row r="86" ht="14.25" customHeight="1">
      <c r="D86" s="617"/>
    </row>
    <row r="87" ht="14.25" customHeight="1">
      <c r="D87" s="617"/>
    </row>
    <row r="88" ht="14.25" customHeight="1">
      <c r="D88" s="617"/>
    </row>
    <row r="89" ht="14.25" customHeight="1">
      <c r="D89" s="617"/>
    </row>
    <row r="90" ht="14.25" customHeight="1">
      <c r="D90" s="617"/>
    </row>
    <row r="91" ht="14.25" customHeight="1">
      <c r="D91" s="617"/>
    </row>
    <row r="92" ht="14.25" customHeight="1">
      <c r="D92" s="617"/>
    </row>
    <row r="93" ht="14.25" customHeight="1">
      <c r="D93" s="617"/>
    </row>
    <row r="94" ht="14.25" customHeight="1">
      <c r="D94" s="617"/>
    </row>
    <row r="95" ht="14.25" customHeight="1">
      <c r="D95" s="617"/>
    </row>
    <row r="96" ht="14.25" customHeight="1">
      <c r="D96" s="617"/>
    </row>
    <row r="97" ht="14.25" customHeight="1">
      <c r="D97" s="617"/>
    </row>
    <row r="98" ht="14.25" customHeight="1">
      <c r="D98" s="617"/>
    </row>
    <row r="99" ht="14.25" customHeight="1">
      <c r="D99" s="617"/>
    </row>
    <row r="100" ht="14.25" customHeight="1">
      <c r="D100" s="617"/>
    </row>
    <row r="101" ht="14.25" customHeight="1">
      <c r="D101" s="617"/>
    </row>
    <row r="102" ht="14.25" customHeight="1">
      <c r="D102" s="617"/>
    </row>
    <row r="103" ht="14.25" customHeight="1">
      <c r="D103" s="617"/>
    </row>
    <row r="104" ht="14.25" customHeight="1">
      <c r="D104" s="617"/>
    </row>
    <row r="105" ht="14.25" customHeight="1">
      <c r="D105" s="617"/>
    </row>
    <row r="106" ht="14.25" customHeight="1">
      <c r="D106" s="617"/>
    </row>
    <row r="107" ht="14.25" customHeight="1">
      <c r="D107" s="617"/>
    </row>
    <row r="108" ht="14.25" customHeight="1">
      <c r="D108" s="617"/>
    </row>
    <row r="109" ht="14.25" customHeight="1">
      <c r="D109" s="617"/>
    </row>
    <row r="110" ht="14.25" customHeight="1">
      <c r="D110" s="617"/>
    </row>
    <row r="111" ht="14.25" customHeight="1">
      <c r="D111" s="617"/>
    </row>
    <row r="112" ht="14.25" customHeight="1">
      <c r="D112" s="617"/>
    </row>
    <row r="113" ht="14.25" customHeight="1">
      <c r="D113" s="617"/>
    </row>
    <row r="114" ht="14.25" customHeight="1">
      <c r="D114" s="617"/>
    </row>
    <row r="115" ht="14.25" customHeight="1">
      <c r="D115" s="617"/>
    </row>
    <row r="116" ht="14.25" customHeight="1">
      <c r="D116" s="617"/>
    </row>
    <row r="117" ht="14.25" customHeight="1">
      <c r="D117" s="617"/>
    </row>
    <row r="118" ht="14.25" customHeight="1">
      <c r="D118" s="617"/>
    </row>
    <row r="119" ht="14.25" customHeight="1">
      <c r="D119" s="617"/>
    </row>
    <row r="120" ht="14.25" customHeight="1">
      <c r="D120" s="617"/>
    </row>
    <row r="121" ht="14.25" customHeight="1">
      <c r="D121" s="617"/>
    </row>
    <row r="122" ht="14.25" customHeight="1">
      <c r="D122" s="617"/>
    </row>
    <row r="123" ht="14.25" customHeight="1">
      <c r="D123" s="617"/>
    </row>
    <row r="124" ht="14.25" customHeight="1">
      <c r="D124" s="617"/>
    </row>
    <row r="125" ht="14.25" customHeight="1">
      <c r="D125" s="617"/>
    </row>
    <row r="126" ht="14.25" customHeight="1">
      <c r="D126" s="617"/>
    </row>
    <row r="127" ht="14.25" customHeight="1">
      <c r="D127" s="617"/>
    </row>
    <row r="128" ht="14.25" customHeight="1">
      <c r="D128" s="617"/>
    </row>
    <row r="129" ht="14.25" customHeight="1">
      <c r="D129" s="617"/>
    </row>
    <row r="130" ht="14.25" customHeight="1">
      <c r="D130" s="617"/>
    </row>
    <row r="131" ht="14.25" customHeight="1">
      <c r="D131" s="617"/>
    </row>
    <row r="132" ht="14.25" customHeight="1">
      <c r="D132" s="617"/>
    </row>
    <row r="133" ht="14.25" customHeight="1">
      <c r="D133" s="617"/>
    </row>
    <row r="134" ht="14.25" customHeight="1">
      <c r="D134" s="617"/>
    </row>
    <row r="135" ht="14.25" customHeight="1">
      <c r="D135" s="617"/>
    </row>
    <row r="136" ht="14.25" customHeight="1">
      <c r="D136" s="617"/>
    </row>
    <row r="137" ht="14.25" customHeight="1">
      <c r="D137" s="617"/>
    </row>
    <row r="138" ht="14.25" customHeight="1">
      <c r="D138" s="617"/>
    </row>
    <row r="139" ht="14.25" customHeight="1">
      <c r="D139" s="617"/>
    </row>
    <row r="140" ht="14.25" customHeight="1">
      <c r="D140" s="617"/>
    </row>
    <row r="141" ht="14.25" customHeight="1">
      <c r="D141" s="617"/>
    </row>
    <row r="142" ht="14.25" customHeight="1">
      <c r="D142" s="617"/>
    </row>
    <row r="143" ht="14.25" customHeight="1">
      <c r="D143" s="617"/>
    </row>
    <row r="144" ht="14.25" customHeight="1">
      <c r="D144" s="617"/>
    </row>
    <row r="145" ht="14.25" customHeight="1">
      <c r="D145" s="617"/>
    </row>
    <row r="146" ht="14.25" customHeight="1">
      <c r="D146" s="617"/>
    </row>
    <row r="147" ht="14.25" customHeight="1">
      <c r="D147" s="617"/>
    </row>
    <row r="148" ht="14.25" customHeight="1">
      <c r="D148" s="617"/>
    </row>
    <row r="149" ht="14.25" customHeight="1">
      <c r="D149" s="617"/>
    </row>
    <row r="150" ht="14.25" customHeight="1">
      <c r="D150" s="617"/>
    </row>
    <row r="151" ht="14.25" customHeight="1">
      <c r="D151" s="617"/>
    </row>
    <row r="152" ht="14.25" customHeight="1">
      <c r="D152" s="617"/>
    </row>
    <row r="153" ht="14.25" customHeight="1">
      <c r="D153" s="617"/>
    </row>
    <row r="154" ht="14.25" customHeight="1">
      <c r="D154" s="617"/>
    </row>
    <row r="155" ht="14.25" customHeight="1">
      <c r="D155" s="617"/>
    </row>
    <row r="156" ht="14.25" customHeight="1">
      <c r="D156" s="617"/>
    </row>
    <row r="157" ht="14.25" customHeight="1">
      <c r="D157" s="617"/>
    </row>
    <row r="158" ht="14.25" customHeight="1">
      <c r="D158" s="617"/>
    </row>
    <row r="159" ht="14.25" customHeight="1">
      <c r="D159" s="617"/>
    </row>
    <row r="160" ht="14.25" customHeight="1">
      <c r="D160" s="617"/>
    </row>
    <row r="161" ht="14.25" customHeight="1">
      <c r="D161" s="617"/>
    </row>
    <row r="162" ht="14.25" customHeight="1">
      <c r="D162" s="617"/>
    </row>
    <row r="163" ht="14.25" customHeight="1">
      <c r="D163" s="617"/>
    </row>
    <row r="164" ht="14.25" customHeight="1">
      <c r="D164" s="617"/>
    </row>
    <row r="165" ht="14.25" customHeight="1">
      <c r="D165" s="617"/>
    </row>
    <row r="166" ht="14.25" customHeight="1">
      <c r="D166" s="617"/>
    </row>
    <row r="167" ht="14.25" customHeight="1">
      <c r="D167" s="617"/>
    </row>
    <row r="168" ht="14.25" customHeight="1">
      <c r="D168" s="617"/>
    </row>
    <row r="169" ht="14.25" customHeight="1">
      <c r="D169" s="617"/>
    </row>
    <row r="170" ht="14.25" customHeight="1">
      <c r="D170" s="617"/>
    </row>
    <row r="171" ht="14.25" customHeight="1">
      <c r="D171" s="617"/>
    </row>
    <row r="172" ht="14.25" customHeight="1">
      <c r="D172" s="617"/>
    </row>
    <row r="173" ht="14.25" customHeight="1">
      <c r="D173" s="617"/>
    </row>
    <row r="174" ht="14.25" customHeight="1">
      <c r="D174" s="617"/>
    </row>
    <row r="175" ht="14.25" customHeight="1">
      <c r="D175" s="617"/>
    </row>
    <row r="176" ht="14.25" customHeight="1">
      <c r="D176" s="617"/>
    </row>
    <row r="177" ht="14.25" customHeight="1">
      <c r="D177" s="617"/>
    </row>
    <row r="178" ht="14.25" customHeight="1">
      <c r="D178" s="617"/>
    </row>
    <row r="179" ht="14.25" customHeight="1">
      <c r="D179" s="617"/>
    </row>
    <row r="180" ht="14.25" customHeight="1">
      <c r="D180" s="617"/>
    </row>
    <row r="181" ht="14.25" customHeight="1">
      <c r="D181" s="617"/>
    </row>
    <row r="182" ht="14.25" customHeight="1">
      <c r="D182" s="617"/>
    </row>
    <row r="183" ht="14.25" customHeight="1">
      <c r="D183" s="617"/>
    </row>
    <row r="184" ht="14.25" customHeight="1">
      <c r="D184" s="617"/>
    </row>
    <row r="185" ht="14.25" customHeight="1">
      <c r="D185" s="617"/>
    </row>
    <row r="186" ht="14.25" customHeight="1">
      <c r="D186" s="617"/>
    </row>
    <row r="187" ht="14.25" customHeight="1">
      <c r="D187" s="617"/>
    </row>
    <row r="188" ht="14.25" customHeight="1">
      <c r="D188" s="617"/>
    </row>
    <row r="189" ht="14.25" customHeight="1">
      <c r="D189" s="617"/>
    </row>
    <row r="190" ht="14.25" customHeight="1">
      <c r="D190" s="617"/>
    </row>
    <row r="191" ht="14.25" customHeight="1">
      <c r="D191" s="617"/>
    </row>
    <row r="192" ht="14.25" customHeight="1">
      <c r="D192" s="617"/>
    </row>
    <row r="193" ht="14.25" customHeight="1">
      <c r="D193" s="617"/>
    </row>
    <row r="194" ht="14.25" customHeight="1">
      <c r="D194" s="617"/>
    </row>
    <row r="195" ht="14.25" customHeight="1">
      <c r="D195" s="617"/>
    </row>
    <row r="196" ht="14.25" customHeight="1">
      <c r="D196" s="617"/>
    </row>
    <row r="197" ht="14.25" customHeight="1">
      <c r="D197" s="617"/>
    </row>
    <row r="198" ht="14.25" customHeight="1">
      <c r="D198" s="617"/>
    </row>
    <row r="199" ht="14.25" customHeight="1">
      <c r="D199" s="617"/>
    </row>
    <row r="200" ht="14.25" customHeight="1">
      <c r="D200" s="617"/>
    </row>
    <row r="201" ht="14.25" customHeight="1">
      <c r="D201" s="617"/>
    </row>
    <row r="202" ht="14.25" customHeight="1">
      <c r="D202" s="617"/>
    </row>
    <row r="203" ht="14.25" customHeight="1">
      <c r="D203" s="617"/>
    </row>
    <row r="204" ht="14.25" customHeight="1">
      <c r="D204" s="617"/>
    </row>
    <row r="205" ht="14.25" customHeight="1">
      <c r="D205" s="617"/>
    </row>
    <row r="206" ht="14.25" customHeight="1">
      <c r="D206" s="617"/>
    </row>
    <row r="207" ht="14.25" customHeight="1">
      <c r="D207" s="617"/>
    </row>
    <row r="208" ht="14.25" customHeight="1">
      <c r="D208" s="617"/>
    </row>
    <row r="209" ht="14.25" customHeight="1">
      <c r="D209" s="617"/>
    </row>
    <row r="210" ht="14.25" customHeight="1">
      <c r="D210" s="617"/>
    </row>
    <row r="211" ht="14.25" customHeight="1">
      <c r="D211" s="617"/>
    </row>
    <row r="212" ht="14.25" customHeight="1">
      <c r="D212" s="617"/>
    </row>
    <row r="213" ht="14.25" customHeight="1">
      <c r="D213" s="617"/>
    </row>
    <row r="214" ht="14.25" customHeight="1">
      <c r="D214" s="617"/>
    </row>
    <row r="215" ht="14.25" customHeight="1">
      <c r="D215" s="617"/>
    </row>
    <row r="216" ht="14.25" customHeight="1">
      <c r="D216" s="617"/>
    </row>
    <row r="217" ht="14.25" customHeight="1">
      <c r="D217" s="617"/>
    </row>
    <row r="218" ht="14.25" customHeight="1">
      <c r="D218" s="617"/>
    </row>
    <row r="219" ht="14.25" customHeight="1">
      <c r="D219" s="617"/>
    </row>
    <row r="220" ht="14.25" customHeight="1">
      <c r="D220" s="617"/>
    </row>
    <row r="221" ht="14.25" customHeight="1">
      <c r="D221" s="617"/>
    </row>
    <row r="222" ht="14.25" customHeight="1">
      <c r="D222" s="617"/>
    </row>
    <row r="223" ht="14.25" customHeight="1">
      <c r="D223" s="617"/>
    </row>
    <row r="224" ht="14.25" customHeight="1">
      <c r="D224" s="617"/>
    </row>
    <row r="225" ht="14.25" customHeight="1">
      <c r="D225" s="617"/>
    </row>
    <row r="226" ht="14.25" customHeight="1">
      <c r="D226" s="617"/>
    </row>
    <row r="227" ht="14.25" customHeight="1">
      <c r="D227" s="617"/>
    </row>
    <row r="228" ht="14.25" customHeight="1">
      <c r="D228" s="617"/>
    </row>
    <row r="229" ht="14.25" customHeight="1">
      <c r="D229" s="617"/>
    </row>
    <row r="230" ht="14.25" customHeight="1">
      <c r="D230" s="617"/>
    </row>
    <row r="231" ht="14.25" customHeight="1">
      <c r="D231" s="617"/>
    </row>
    <row r="232" ht="14.25" customHeight="1">
      <c r="D232" s="617"/>
    </row>
    <row r="233" ht="14.25" customHeight="1">
      <c r="D233" s="617"/>
    </row>
    <row r="234" ht="14.25" customHeight="1">
      <c r="D234" s="617"/>
    </row>
    <row r="235" ht="14.25" customHeight="1">
      <c r="D235" s="617"/>
    </row>
    <row r="236" ht="14.25" customHeight="1">
      <c r="D236" s="617"/>
    </row>
    <row r="237" ht="14.25" customHeight="1">
      <c r="D237" s="617"/>
    </row>
    <row r="238" ht="14.25" customHeight="1">
      <c r="D238" s="617"/>
    </row>
    <row r="239" ht="14.25" customHeight="1">
      <c r="D239" s="617"/>
    </row>
    <row r="240" ht="14.25" customHeight="1">
      <c r="D240" s="617"/>
    </row>
    <row r="241" ht="14.25" customHeight="1">
      <c r="D241" s="617"/>
    </row>
    <row r="242" ht="14.25" customHeight="1">
      <c r="D242" s="617"/>
    </row>
    <row r="243" ht="14.25" customHeight="1">
      <c r="D243" s="617"/>
    </row>
    <row r="244" ht="14.25" customHeight="1">
      <c r="D244" s="617"/>
    </row>
    <row r="245" ht="14.25" customHeight="1">
      <c r="D245" s="617"/>
    </row>
    <row r="246" ht="14.25" customHeight="1">
      <c r="D246" s="617"/>
    </row>
    <row r="247" ht="14.25" customHeight="1">
      <c r="D247" s="617"/>
    </row>
    <row r="248" ht="14.25" customHeight="1">
      <c r="D248" s="617"/>
    </row>
    <row r="249" ht="14.25" customHeight="1">
      <c r="D249" s="617"/>
    </row>
    <row r="250" ht="14.25" customHeight="1">
      <c r="D250" s="617"/>
    </row>
    <row r="251" ht="14.25" customHeight="1">
      <c r="D251" s="617"/>
    </row>
    <row r="252" ht="14.25" customHeight="1">
      <c r="D252" s="617"/>
    </row>
    <row r="253" ht="14.25" customHeight="1">
      <c r="D253" s="617"/>
    </row>
    <row r="254" ht="14.25" customHeight="1">
      <c r="D254" s="617"/>
    </row>
    <row r="255" ht="14.25" customHeight="1">
      <c r="D255" s="617"/>
    </row>
    <row r="256" ht="14.25" customHeight="1">
      <c r="D256" s="617"/>
    </row>
    <row r="257" ht="14.25" customHeight="1">
      <c r="D257" s="617"/>
    </row>
    <row r="258" ht="14.25" customHeight="1">
      <c r="D258" s="617"/>
    </row>
    <row r="259" ht="14.25" customHeight="1">
      <c r="D259" s="617"/>
    </row>
    <row r="260" ht="14.25" customHeight="1">
      <c r="D260" s="617"/>
    </row>
    <row r="261" ht="14.25" customHeight="1">
      <c r="D261" s="617"/>
    </row>
    <row r="262" ht="14.25" customHeight="1">
      <c r="D262" s="617"/>
    </row>
    <row r="263" ht="14.25" customHeight="1">
      <c r="D263" s="617"/>
    </row>
    <row r="264" ht="14.25" customHeight="1">
      <c r="D264" s="617"/>
    </row>
    <row r="265" ht="14.25" customHeight="1">
      <c r="D265" s="617"/>
    </row>
    <row r="266" ht="14.25" customHeight="1">
      <c r="D266" s="617"/>
    </row>
    <row r="267" ht="14.25" customHeight="1">
      <c r="D267" s="617"/>
    </row>
    <row r="268" ht="14.25" customHeight="1">
      <c r="D268" s="617"/>
    </row>
    <row r="269" ht="14.25" customHeight="1">
      <c r="D269" s="617"/>
    </row>
    <row r="270" ht="14.25" customHeight="1">
      <c r="D270" s="617"/>
    </row>
    <row r="271" ht="14.25" customHeight="1">
      <c r="D271" s="617"/>
    </row>
    <row r="272" ht="14.25" customHeight="1">
      <c r="D272" s="617"/>
    </row>
    <row r="273" ht="14.25" customHeight="1">
      <c r="D273" s="617"/>
    </row>
    <row r="274" ht="14.25" customHeight="1">
      <c r="D274" s="617"/>
    </row>
    <row r="275" ht="14.25" customHeight="1">
      <c r="D275" s="617"/>
    </row>
    <row r="276" ht="14.25" customHeight="1">
      <c r="D276" s="617"/>
    </row>
    <row r="277" ht="14.25" customHeight="1">
      <c r="D277" s="617"/>
    </row>
    <row r="278" ht="14.25" customHeight="1">
      <c r="D278" s="617"/>
    </row>
    <row r="279" ht="14.25" customHeight="1">
      <c r="D279" s="617"/>
    </row>
    <row r="280" ht="14.25" customHeight="1">
      <c r="D280" s="617"/>
    </row>
    <row r="281" ht="14.25" customHeight="1">
      <c r="D281" s="617"/>
    </row>
    <row r="282" ht="14.25" customHeight="1">
      <c r="D282" s="617"/>
    </row>
    <row r="283" ht="14.25" customHeight="1">
      <c r="D283" s="617"/>
    </row>
    <row r="284" ht="14.25" customHeight="1">
      <c r="D284" s="617"/>
    </row>
    <row r="285" ht="14.25" customHeight="1">
      <c r="D285" s="617"/>
    </row>
    <row r="286" ht="14.25" customHeight="1">
      <c r="D286" s="617"/>
    </row>
    <row r="287" ht="14.25" customHeight="1">
      <c r="D287" s="617"/>
    </row>
    <row r="288" ht="14.25" customHeight="1">
      <c r="D288" s="617"/>
    </row>
    <row r="289" ht="14.25" customHeight="1">
      <c r="D289" s="617"/>
    </row>
    <row r="290" ht="14.25" customHeight="1">
      <c r="D290" s="617"/>
    </row>
    <row r="291" ht="14.25" customHeight="1">
      <c r="D291" s="617"/>
    </row>
    <row r="292" ht="14.25" customHeight="1">
      <c r="D292" s="617"/>
    </row>
    <row r="293" ht="14.25" customHeight="1">
      <c r="D293" s="617"/>
    </row>
    <row r="294" ht="14.25" customHeight="1">
      <c r="D294" s="617"/>
    </row>
    <row r="295" ht="14.25" customHeight="1">
      <c r="D295" s="617"/>
    </row>
    <row r="296" ht="14.25" customHeight="1">
      <c r="D296" s="617"/>
    </row>
    <row r="297" ht="14.25" customHeight="1">
      <c r="D297" s="617"/>
    </row>
    <row r="298" ht="14.25" customHeight="1">
      <c r="D298" s="617"/>
    </row>
    <row r="299" ht="14.25" customHeight="1">
      <c r="D299" s="617"/>
    </row>
    <row r="300" ht="14.25" customHeight="1">
      <c r="D300" s="617"/>
    </row>
    <row r="301" ht="14.25" customHeight="1">
      <c r="D301" s="617"/>
    </row>
    <row r="302" ht="14.25" customHeight="1">
      <c r="D302" s="617"/>
    </row>
    <row r="303" ht="14.25" customHeight="1">
      <c r="D303" s="617"/>
    </row>
    <row r="304" ht="14.25" customHeight="1">
      <c r="D304" s="617"/>
    </row>
    <row r="305" ht="14.25" customHeight="1">
      <c r="D305" s="617"/>
    </row>
    <row r="306" ht="14.25" customHeight="1">
      <c r="D306" s="617"/>
    </row>
    <row r="307" ht="14.25" customHeight="1">
      <c r="D307" s="617"/>
    </row>
    <row r="308" ht="14.25" customHeight="1">
      <c r="D308" s="617"/>
    </row>
    <row r="309" ht="14.25" customHeight="1">
      <c r="D309" s="617"/>
    </row>
    <row r="310" ht="14.25" customHeight="1">
      <c r="D310" s="617"/>
    </row>
    <row r="311" ht="14.25" customHeight="1">
      <c r="D311" s="617"/>
    </row>
    <row r="312" ht="14.25" customHeight="1">
      <c r="D312" s="617"/>
    </row>
    <row r="313" ht="14.25" customHeight="1">
      <c r="D313" s="617"/>
    </row>
    <row r="314" ht="14.25" customHeight="1">
      <c r="D314" s="617"/>
    </row>
    <row r="315" ht="14.25" customHeight="1">
      <c r="D315" s="617"/>
    </row>
    <row r="316" ht="14.25" customHeight="1">
      <c r="D316" s="617"/>
    </row>
    <row r="317" ht="14.25" customHeight="1">
      <c r="D317" s="617"/>
    </row>
    <row r="318" ht="14.25" customHeight="1">
      <c r="D318" s="617"/>
    </row>
    <row r="319" ht="14.25" customHeight="1">
      <c r="D319" s="617"/>
    </row>
    <row r="320" ht="14.25" customHeight="1">
      <c r="D320" s="617"/>
    </row>
    <row r="321" ht="14.25" customHeight="1">
      <c r="D321" s="617"/>
    </row>
    <row r="322" ht="14.25" customHeight="1">
      <c r="D322" s="617"/>
    </row>
    <row r="323" ht="14.25" customHeight="1">
      <c r="D323" s="617"/>
    </row>
    <row r="324" ht="14.25" customHeight="1">
      <c r="D324" s="617"/>
    </row>
    <row r="325" ht="14.25" customHeight="1">
      <c r="D325" s="617"/>
    </row>
    <row r="326" ht="14.25" customHeight="1">
      <c r="D326" s="617"/>
    </row>
    <row r="327" ht="14.25" customHeight="1">
      <c r="D327" s="617"/>
    </row>
    <row r="328" ht="14.25" customHeight="1">
      <c r="D328" s="617"/>
    </row>
    <row r="329" ht="14.25" customHeight="1">
      <c r="D329" s="617"/>
    </row>
    <row r="330" ht="14.25" customHeight="1">
      <c r="D330" s="617"/>
    </row>
    <row r="331" ht="14.25" customHeight="1">
      <c r="D331" s="617"/>
    </row>
    <row r="332" ht="14.25" customHeight="1">
      <c r="D332" s="617"/>
    </row>
    <row r="333" ht="14.25" customHeight="1">
      <c r="D333" s="617"/>
    </row>
    <row r="334" ht="14.25" customHeight="1">
      <c r="D334" s="617"/>
    </row>
    <row r="335" ht="14.25" customHeight="1">
      <c r="D335" s="617"/>
    </row>
    <row r="336" ht="14.25" customHeight="1">
      <c r="D336" s="617"/>
    </row>
    <row r="337" ht="14.25" customHeight="1">
      <c r="D337" s="617"/>
    </row>
    <row r="338" ht="14.25" customHeight="1">
      <c r="D338" s="617"/>
    </row>
    <row r="339" ht="14.25" customHeight="1">
      <c r="D339" s="617"/>
    </row>
    <row r="340" ht="14.25" customHeight="1">
      <c r="D340" s="617"/>
    </row>
    <row r="341" ht="14.25" customHeight="1">
      <c r="D341" s="617"/>
    </row>
    <row r="342" ht="14.25" customHeight="1">
      <c r="D342" s="617"/>
    </row>
    <row r="343" ht="14.25" customHeight="1">
      <c r="D343" s="617"/>
    </row>
    <row r="344" ht="14.25" customHeight="1">
      <c r="D344" s="617"/>
    </row>
    <row r="345" ht="14.25" customHeight="1">
      <c r="D345" s="617"/>
    </row>
    <row r="346" ht="14.25" customHeight="1">
      <c r="D346" s="617"/>
    </row>
    <row r="347" ht="14.25" customHeight="1">
      <c r="D347" s="617"/>
    </row>
    <row r="348" ht="14.25" customHeight="1">
      <c r="D348" s="617"/>
    </row>
    <row r="349" ht="14.25" customHeight="1">
      <c r="D349" s="617"/>
    </row>
    <row r="350" ht="14.25" customHeight="1">
      <c r="D350" s="617"/>
    </row>
    <row r="351" ht="14.25" customHeight="1">
      <c r="D351" s="617"/>
    </row>
    <row r="352" ht="14.25" customHeight="1">
      <c r="D352" s="617"/>
    </row>
    <row r="353" ht="14.25" customHeight="1">
      <c r="D353" s="617"/>
    </row>
    <row r="354" ht="14.25" customHeight="1">
      <c r="D354" s="617"/>
    </row>
    <row r="355" ht="14.25" customHeight="1">
      <c r="D355" s="617"/>
    </row>
    <row r="356" ht="14.25" customHeight="1">
      <c r="D356" s="617"/>
    </row>
    <row r="357" ht="14.25" customHeight="1">
      <c r="D357" s="617"/>
    </row>
    <row r="358" ht="14.25" customHeight="1">
      <c r="D358" s="617"/>
    </row>
    <row r="359" ht="14.25" customHeight="1">
      <c r="D359" s="617"/>
    </row>
    <row r="360" ht="14.25" customHeight="1">
      <c r="D360" s="617"/>
    </row>
    <row r="361" ht="14.25" customHeight="1">
      <c r="D361" s="617"/>
    </row>
    <row r="362" ht="14.25" customHeight="1">
      <c r="D362" s="617"/>
    </row>
    <row r="363" ht="14.25" customHeight="1">
      <c r="D363" s="617"/>
    </row>
    <row r="364" ht="14.25" customHeight="1">
      <c r="D364" s="617"/>
    </row>
    <row r="365" ht="14.25" customHeight="1">
      <c r="D365" s="617"/>
    </row>
    <row r="366" ht="14.25" customHeight="1">
      <c r="D366" s="617"/>
    </row>
    <row r="367" ht="14.25" customHeight="1">
      <c r="D367" s="617"/>
    </row>
    <row r="368" ht="14.25" customHeight="1">
      <c r="D368" s="617"/>
    </row>
    <row r="369" ht="14.25" customHeight="1">
      <c r="D369" s="617"/>
    </row>
    <row r="370" ht="14.25" customHeight="1">
      <c r="D370" s="617"/>
    </row>
    <row r="371" ht="14.25" customHeight="1">
      <c r="D371" s="617"/>
    </row>
    <row r="372" ht="14.25" customHeight="1">
      <c r="D372" s="617"/>
    </row>
    <row r="373" ht="14.25" customHeight="1">
      <c r="D373" s="617"/>
    </row>
    <row r="374" ht="14.25" customHeight="1">
      <c r="D374" s="617"/>
    </row>
    <row r="375" ht="14.25" customHeight="1">
      <c r="D375" s="617"/>
    </row>
    <row r="376" ht="14.25" customHeight="1">
      <c r="D376" s="617"/>
    </row>
    <row r="377" ht="14.25" customHeight="1">
      <c r="D377" s="617"/>
    </row>
    <row r="378" ht="14.25" customHeight="1">
      <c r="D378" s="617"/>
    </row>
    <row r="379" ht="14.25" customHeight="1">
      <c r="D379" s="617"/>
    </row>
    <row r="380" ht="14.25" customHeight="1">
      <c r="D380" s="617"/>
    </row>
    <row r="381" ht="14.25" customHeight="1">
      <c r="D381" s="617"/>
    </row>
    <row r="382" ht="14.25" customHeight="1">
      <c r="D382" s="617"/>
    </row>
    <row r="383" ht="14.25" customHeight="1">
      <c r="D383" s="617"/>
    </row>
    <row r="384" ht="14.25" customHeight="1">
      <c r="D384" s="617"/>
    </row>
    <row r="385" ht="14.25" customHeight="1">
      <c r="D385" s="617"/>
    </row>
    <row r="386" ht="14.25" customHeight="1">
      <c r="D386" s="617"/>
    </row>
    <row r="387" ht="14.25" customHeight="1">
      <c r="D387" s="617"/>
    </row>
    <row r="388" ht="14.25" customHeight="1">
      <c r="D388" s="617"/>
    </row>
    <row r="389" ht="14.25" customHeight="1">
      <c r="D389" s="617"/>
    </row>
    <row r="390" ht="14.25" customHeight="1">
      <c r="D390" s="617"/>
    </row>
    <row r="391" ht="14.25" customHeight="1">
      <c r="D391" s="617"/>
    </row>
    <row r="392" ht="14.25" customHeight="1">
      <c r="D392" s="617"/>
    </row>
    <row r="393" ht="14.25" customHeight="1">
      <c r="D393" s="617"/>
    </row>
    <row r="394" ht="14.25" customHeight="1">
      <c r="D394" s="617"/>
    </row>
    <row r="395" ht="14.25" customHeight="1">
      <c r="D395" s="617"/>
    </row>
    <row r="396" ht="14.25" customHeight="1">
      <c r="D396" s="617"/>
    </row>
    <row r="397" ht="14.25" customHeight="1">
      <c r="D397" s="617"/>
    </row>
    <row r="398" ht="14.25" customHeight="1">
      <c r="D398" s="617"/>
    </row>
    <row r="399" ht="14.25" customHeight="1">
      <c r="D399" s="617"/>
    </row>
    <row r="400" ht="14.25" customHeight="1">
      <c r="D400" s="617"/>
    </row>
    <row r="401" ht="14.25" customHeight="1">
      <c r="D401" s="617"/>
    </row>
    <row r="402" ht="14.25" customHeight="1">
      <c r="D402" s="617"/>
    </row>
    <row r="403" ht="14.25" customHeight="1">
      <c r="D403" s="617"/>
    </row>
    <row r="404" ht="14.25" customHeight="1">
      <c r="D404" s="617"/>
    </row>
    <row r="405" ht="14.25" customHeight="1">
      <c r="D405" s="617"/>
    </row>
    <row r="406" ht="14.25" customHeight="1">
      <c r="D406" s="617"/>
    </row>
    <row r="407" ht="14.25" customHeight="1">
      <c r="D407" s="617"/>
    </row>
    <row r="408" ht="14.25" customHeight="1">
      <c r="D408" s="617"/>
    </row>
    <row r="409" ht="14.25" customHeight="1">
      <c r="D409" s="617"/>
    </row>
    <row r="410" ht="14.25" customHeight="1">
      <c r="D410" s="617"/>
    </row>
    <row r="411" ht="14.25" customHeight="1">
      <c r="D411" s="617"/>
    </row>
    <row r="412" ht="14.25" customHeight="1">
      <c r="D412" s="617"/>
    </row>
    <row r="413" ht="14.25" customHeight="1">
      <c r="D413" s="617"/>
    </row>
    <row r="414" ht="14.25" customHeight="1">
      <c r="D414" s="617"/>
    </row>
    <row r="415" ht="14.25" customHeight="1">
      <c r="D415" s="617"/>
    </row>
    <row r="416" ht="14.25" customHeight="1">
      <c r="D416" s="617"/>
    </row>
    <row r="417" ht="14.25" customHeight="1">
      <c r="D417" s="617"/>
    </row>
    <row r="418" ht="14.25" customHeight="1">
      <c r="D418" s="617"/>
    </row>
    <row r="419" ht="14.25" customHeight="1">
      <c r="D419" s="617"/>
    </row>
    <row r="420" ht="14.25" customHeight="1">
      <c r="D420" s="617"/>
    </row>
    <row r="421" ht="14.25" customHeight="1">
      <c r="D421" s="617"/>
    </row>
    <row r="422" ht="14.25" customHeight="1">
      <c r="D422" s="617"/>
    </row>
    <row r="423" ht="14.25" customHeight="1">
      <c r="D423" s="617"/>
    </row>
    <row r="424" ht="14.25" customHeight="1">
      <c r="D424" s="617"/>
    </row>
    <row r="425" ht="14.25" customHeight="1">
      <c r="D425" s="617"/>
    </row>
    <row r="426" ht="14.25" customHeight="1">
      <c r="D426" s="617"/>
    </row>
    <row r="427" ht="14.25" customHeight="1">
      <c r="D427" s="617"/>
    </row>
    <row r="428" ht="14.25" customHeight="1">
      <c r="D428" s="617"/>
    </row>
    <row r="429" ht="14.25" customHeight="1">
      <c r="D429" s="617"/>
    </row>
    <row r="430" ht="14.25" customHeight="1">
      <c r="D430" s="617"/>
    </row>
    <row r="431" ht="14.25" customHeight="1">
      <c r="D431" s="617"/>
    </row>
    <row r="432" ht="14.25" customHeight="1">
      <c r="D432" s="617"/>
    </row>
    <row r="433" ht="14.25" customHeight="1">
      <c r="D433" s="617"/>
    </row>
    <row r="434" ht="14.25" customHeight="1">
      <c r="D434" s="617"/>
    </row>
    <row r="435" ht="14.25" customHeight="1">
      <c r="D435" s="617"/>
    </row>
    <row r="436" ht="14.25" customHeight="1">
      <c r="D436" s="617"/>
    </row>
    <row r="437" ht="14.25" customHeight="1">
      <c r="D437" s="617"/>
    </row>
    <row r="438" ht="14.25" customHeight="1">
      <c r="D438" s="617"/>
    </row>
    <row r="439" ht="14.25" customHeight="1">
      <c r="D439" s="617"/>
    </row>
    <row r="440" ht="14.25" customHeight="1">
      <c r="D440" s="617"/>
    </row>
    <row r="441" ht="14.25" customHeight="1">
      <c r="D441" s="617"/>
    </row>
    <row r="442" ht="14.25" customHeight="1">
      <c r="D442" s="617"/>
    </row>
    <row r="443" ht="14.25" customHeight="1">
      <c r="D443" s="617"/>
    </row>
    <row r="444" ht="14.25" customHeight="1">
      <c r="D444" s="617"/>
    </row>
    <row r="445" ht="14.25" customHeight="1">
      <c r="D445" s="617"/>
    </row>
    <row r="446" ht="14.25" customHeight="1">
      <c r="D446" s="617"/>
    </row>
    <row r="447" ht="14.25" customHeight="1">
      <c r="D447" s="617"/>
    </row>
    <row r="448" ht="14.25" customHeight="1">
      <c r="D448" s="617"/>
    </row>
    <row r="449" ht="14.25" customHeight="1">
      <c r="D449" s="617"/>
    </row>
    <row r="450" ht="14.25" customHeight="1">
      <c r="D450" s="617"/>
    </row>
    <row r="451" ht="14.25" customHeight="1">
      <c r="D451" s="617"/>
    </row>
    <row r="452" ht="14.25" customHeight="1">
      <c r="D452" s="617"/>
    </row>
    <row r="453" ht="14.25" customHeight="1">
      <c r="D453" s="617"/>
    </row>
    <row r="454" ht="14.25" customHeight="1">
      <c r="D454" s="617"/>
    </row>
    <row r="455" ht="14.25" customHeight="1">
      <c r="D455" s="617"/>
    </row>
    <row r="456" ht="14.25" customHeight="1">
      <c r="D456" s="617"/>
    </row>
    <row r="457" ht="14.25" customHeight="1">
      <c r="D457" s="617"/>
    </row>
    <row r="458" ht="14.25" customHeight="1">
      <c r="D458" s="617"/>
    </row>
    <row r="459" ht="14.25" customHeight="1">
      <c r="D459" s="617"/>
    </row>
    <row r="460" ht="14.25" customHeight="1">
      <c r="D460" s="617"/>
    </row>
    <row r="461" ht="14.25" customHeight="1">
      <c r="D461" s="617"/>
    </row>
    <row r="462" ht="14.25" customHeight="1">
      <c r="D462" s="617"/>
    </row>
    <row r="463" ht="14.25" customHeight="1">
      <c r="D463" s="617"/>
    </row>
    <row r="464" ht="14.25" customHeight="1">
      <c r="D464" s="617"/>
    </row>
    <row r="465" ht="14.25" customHeight="1">
      <c r="D465" s="617"/>
    </row>
    <row r="466" ht="14.25" customHeight="1">
      <c r="D466" s="617"/>
    </row>
    <row r="467" ht="14.25" customHeight="1">
      <c r="D467" s="617"/>
    </row>
    <row r="468" ht="14.25" customHeight="1">
      <c r="D468" s="617"/>
    </row>
    <row r="469" ht="14.25" customHeight="1">
      <c r="D469" s="617"/>
    </row>
    <row r="470" ht="14.25" customHeight="1">
      <c r="D470" s="617"/>
    </row>
    <row r="471" ht="14.25" customHeight="1">
      <c r="D471" s="617"/>
    </row>
    <row r="472" ht="14.25" customHeight="1">
      <c r="D472" s="617"/>
    </row>
    <row r="473" ht="14.25" customHeight="1">
      <c r="D473" s="617"/>
    </row>
    <row r="474" ht="14.25" customHeight="1">
      <c r="D474" s="617"/>
    </row>
    <row r="475" ht="14.25" customHeight="1">
      <c r="D475" s="617"/>
    </row>
    <row r="476" ht="14.25" customHeight="1">
      <c r="D476" s="617"/>
    </row>
    <row r="477" ht="14.25" customHeight="1">
      <c r="D477" s="617"/>
    </row>
    <row r="478" ht="14.25" customHeight="1">
      <c r="D478" s="617"/>
    </row>
    <row r="479" ht="14.25" customHeight="1">
      <c r="D479" s="617"/>
    </row>
    <row r="480" ht="14.25" customHeight="1">
      <c r="D480" s="617"/>
    </row>
    <row r="481" ht="14.25" customHeight="1">
      <c r="D481" s="617"/>
    </row>
    <row r="482" ht="14.25" customHeight="1">
      <c r="D482" s="617"/>
    </row>
    <row r="483" ht="14.25" customHeight="1">
      <c r="D483" s="617"/>
    </row>
    <row r="484" ht="14.25" customHeight="1">
      <c r="D484" s="617"/>
    </row>
    <row r="485" ht="14.25" customHeight="1">
      <c r="D485" s="617"/>
    </row>
    <row r="486" ht="14.25" customHeight="1">
      <c r="D486" s="617"/>
    </row>
    <row r="487" ht="14.25" customHeight="1">
      <c r="D487" s="617"/>
    </row>
    <row r="488" ht="14.25" customHeight="1">
      <c r="D488" s="617"/>
    </row>
    <row r="489" ht="14.25" customHeight="1">
      <c r="D489" s="617"/>
    </row>
    <row r="490" ht="14.25" customHeight="1">
      <c r="D490" s="617"/>
    </row>
    <row r="491" ht="14.25" customHeight="1">
      <c r="D491" s="617"/>
    </row>
    <row r="492" ht="14.25" customHeight="1">
      <c r="D492" s="617"/>
    </row>
    <row r="493" ht="14.25" customHeight="1">
      <c r="D493" s="617"/>
    </row>
    <row r="494" ht="14.25" customHeight="1">
      <c r="D494" s="617"/>
    </row>
    <row r="495" ht="14.25" customHeight="1">
      <c r="D495" s="617"/>
    </row>
    <row r="496" ht="14.25" customHeight="1">
      <c r="D496" s="617"/>
    </row>
    <row r="497" ht="14.25" customHeight="1">
      <c r="D497" s="617"/>
    </row>
    <row r="498" ht="14.25" customHeight="1">
      <c r="D498" s="617"/>
    </row>
    <row r="499" ht="14.25" customHeight="1">
      <c r="D499" s="617"/>
    </row>
    <row r="500" ht="14.25" customHeight="1">
      <c r="D500" s="617"/>
    </row>
    <row r="501" ht="14.25" customHeight="1">
      <c r="D501" s="617"/>
    </row>
    <row r="502" ht="14.25" customHeight="1">
      <c r="D502" s="617"/>
    </row>
    <row r="503" ht="14.25" customHeight="1">
      <c r="D503" s="617"/>
    </row>
    <row r="504" ht="14.25" customHeight="1">
      <c r="D504" s="617"/>
    </row>
    <row r="505" ht="14.25" customHeight="1">
      <c r="D505" s="617"/>
    </row>
    <row r="506" ht="14.25" customHeight="1">
      <c r="D506" s="617"/>
    </row>
    <row r="507" ht="14.25" customHeight="1">
      <c r="D507" s="617"/>
    </row>
    <row r="508" ht="14.25" customHeight="1">
      <c r="D508" s="617"/>
    </row>
    <row r="509" ht="14.25" customHeight="1">
      <c r="D509" s="617"/>
    </row>
    <row r="510" ht="14.25" customHeight="1">
      <c r="D510" s="617"/>
    </row>
    <row r="511" ht="14.25" customHeight="1">
      <c r="D511" s="617"/>
    </row>
    <row r="512" ht="14.25" customHeight="1">
      <c r="D512" s="617"/>
    </row>
    <row r="513" ht="14.25" customHeight="1">
      <c r="D513" s="617"/>
    </row>
    <row r="514" ht="14.25" customHeight="1">
      <c r="D514" s="617"/>
    </row>
    <row r="515" ht="14.25" customHeight="1">
      <c r="D515" s="617"/>
    </row>
    <row r="516" ht="14.25" customHeight="1">
      <c r="D516" s="617"/>
    </row>
    <row r="517" ht="14.25" customHeight="1">
      <c r="D517" s="617"/>
    </row>
    <row r="518" ht="14.25" customHeight="1">
      <c r="D518" s="617"/>
    </row>
    <row r="519" ht="14.25" customHeight="1">
      <c r="D519" s="617"/>
    </row>
    <row r="520" ht="14.25" customHeight="1">
      <c r="D520" s="617"/>
    </row>
    <row r="521" ht="14.25" customHeight="1">
      <c r="D521" s="617"/>
    </row>
    <row r="522" ht="14.25" customHeight="1">
      <c r="D522" s="617"/>
    </row>
    <row r="523" ht="14.25" customHeight="1">
      <c r="D523" s="617"/>
    </row>
    <row r="524" ht="14.25" customHeight="1">
      <c r="D524" s="617"/>
    </row>
    <row r="525" ht="14.25" customHeight="1">
      <c r="D525" s="617"/>
    </row>
    <row r="526" ht="14.25" customHeight="1">
      <c r="D526" s="617"/>
    </row>
    <row r="527" ht="14.25" customHeight="1">
      <c r="D527" s="617"/>
    </row>
    <row r="528" ht="14.25" customHeight="1">
      <c r="D528" s="617"/>
    </row>
    <row r="529" ht="14.25" customHeight="1">
      <c r="D529" s="617"/>
    </row>
    <row r="530" ht="14.25" customHeight="1">
      <c r="D530" s="617"/>
    </row>
    <row r="531" ht="14.25" customHeight="1">
      <c r="D531" s="617"/>
    </row>
    <row r="532" ht="14.25" customHeight="1">
      <c r="D532" s="617"/>
    </row>
    <row r="533" ht="14.25" customHeight="1">
      <c r="D533" s="617"/>
    </row>
    <row r="534" ht="14.25" customHeight="1">
      <c r="D534" s="617"/>
    </row>
    <row r="535" ht="14.25" customHeight="1">
      <c r="D535" s="617"/>
    </row>
    <row r="536" ht="14.25" customHeight="1">
      <c r="D536" s="617"/>
    </row>
    <row r="537" ht="14.25" customHeight="1">
      <c r="D537" s="617"/>
    </row>
    <row r="538" ht="14.25" customHeight="1">
      <c r="D538" s="617"/>
    </row>
    <row r="539" ht="14.25" customHeight="1">
      <c r="D539" s="617"/>
    </row>
    <row r="540" ht="14.25" customHeight="1">
      <c r="D540" s="617"/>
    </row>
    <row r="541" ht="14.25" customHeight="1">
      <c r="D541" s="617"/>
    </row>
    <row r="542" ht="14.25" customHeight="1">
      <c r="D542" s="617"/>
    </row>
    <row r="543" ht="14.25" customHeight="1">
      <c r="D543" s="617"/>
    </row>
    <row r="544" ht="14.25" customHeight="1">
      <c r="D544" s="617"/>
    </row>
    <row r="545" ht="14.25" customHeight="1">
      <c r="D545" s="617"/>
    </row>
    <row r="546" ht="14.25" customHeight="1">
      <c r="D546" s="617"/>
    </row>
    <row r="547" ht="14.25" customHeight="1">
      <c r="D547" s="617"/>
    </row>
    <row r="548" ht="14.25" customHeight="1">
      <c r="D548" s="617"/>
    </row>
    <row r="549" ht="14.25" customHeight="1">
      <c r="D549" s="617"/>
    </row>
    <row r="550" ht="14.25" customHeight="1">
      <c r="D550" s="617"/>
    </row>
    <row r="551" ht="14.25" customHeight="1">
      <c r="D551" s="617"/>
    </row>
    <row r="552" ht="14.25" customHeight="1">
      <c r="D552" s="617"/>
    </row>
    <row r="553" ht="14.25" customHeight="1">
      <c r="D553" s="617"/>
    </row>
    <row r="554" ht="14.25" customHeight="1">
      <c r="D554" s="617"/>
    </row>
    <row r="555" ht="14.25" customHeight="1">
      <c r="D555" s="617"/>
    </row>
    <row r="556" ht="14.25" customHeight="1">
      <c r="D556" s="617"/>
    </row>
    <row r="557" ht="14.25" customHeight="1">
      <c r="D557" s="617"/>
    </row>
    <row r="558" ht="14.25" customHeight="1">
      <c r="D558" s="617"/>
    </row>
    <row r="559" ht="14.25" customHeight="1">
      <c r="D559" s="617"/>
    </row>
    <row r="560" ht="14.25" customHeight="1">
      <c r="D560" s="617"/>
    </row>
    <row r="561" ht="14.25" customHeight="1">
      <c r="D561" s="617"/>
    </row>
    <row r="562" ht="14.25" customHeight="1">
      <c r="D562" s="617"/>
    </row>
    <row r="563" ht="14.25" customHeight="1">
      <c r="D563" s="617"/>
    </row>
    <row r="564" ht="14.25" customHeight="1">
      <c r="D564" s="617"/>
    </row>
    <row r="565" ht="14.25" customHeight="1">
      <c r="D565" s="617"/>
    </row>
    <row r="566" ht="14.25" customHeight="1">
      <c r="D566" s="617"/>
    </row>
    <row r="567" ht="14.25" customHeight="1">
      <c r="D567" s="617"/>
    </row>
    <row r="568" ht="14.25" customHeight="1">
      <c r="D568" s="617"/>
    </row>
    <row r="569" ht="14.25" customHeight="1">
      <c r="D569" s="617"/>
    </row>
    <row r="570" ht="14.25" customHeight="1">
      <c r="D570" s="617"/>
    </row>
    <row r="571" ht="14.25" customHeight="1">
      <c r="D571" s="617"/>
    </row>
    <row r="572" ht="14.25" customHeight="1">
      <c r="D572" s="617"/>
    </row>
    <row r="573" ht="14.25" customHeight="1">
      <c r="D573" s="617"/>
    </row>
    <row r="574" ht="14.25" customHeight="1">
      <c r="D574" s="617"/>
    </row>
    <row r="575" ht="14.25" customHeight="1">
      <c r="D575" s="617"/>
    </row>
    <row r="576" ht="14.25" customHeight="1">
      <c r="D576" s="617"/>
    </row>
    <row r="577" ht="14.25" customHeight="1">
      <c r="D577" s="617"/>
    </row>
    <row r="578" ht="14.25" customHeight="1">
      <c r="D578" s="617"/>
    </row>
    <row r="579" ht="14.25" customHeight="1">
      <c r="D579" s="617"/>
    </row>
    <row r="580" ht="14.25" customHeight="1">
      <c r="D580" s="617"/>
    </row>
    <row r="581" ht="14.25" customHeight="1">
      <c r="D581" s="617"/>
    </row>
    <row r="582" ht="14.25" customHeight="1">
      <c r="D582" s="617"/>
    </row>
    <row r="583" ht="14.25" customHeight="1">
      <c r="D583" s="617"/>
    </row>
    <row r="584" ht="14.25" customHeight="1">
      <c r="D584" s="617"/>
    </row>
    <row r="585" ht="14.25" customHeight="1">
      <c r="D585" s="617"/>
    </row>
    <row r="586" ht="14.25" customHeight="1">
      <c r="D586" s="617"/>
    </row>
    <row r="587" ht="14.25" customHeight="1">
      <c r="D587" s="617"/>
    </row>
    <row r="588" ht="14.25" customHeight="1">
      <c r="D588" s="617"/>
    </row>
    <row r="589" ht="14.25" customHeight="1">
      <c r="D589" s="617"/>
    </row>
    <row r="590" ht="14.25" customHeight="1">
      <c r="D590" s="617"/>
    </row>
    <row r="591" ht="14.25" customHeight="1">
      <c r="D591" s="617"/>
    </row>
    <row r="592" ht="14.25" customHeight="1">
      <c r="D592" s="617"/>
    </row>
    <row r="593" ht="14.25" customHeight="1">
      <c r="D593" s="617"/>
    </row>
    <row r="594" ht="14.25" customHeight="1">
      <c r="D594" s="617"/>
    </row>
    <row r="595" ht="14.25" customHeight="1">
      <c r="D595" s="617"/>
    </row>
    <row r="596" ht="14.25" customHeight="1">
      <c r="D596" s="617"/>
    </row>
    <row r="597" ht="14.25" customHeight="1">
      <c r="D597" s="617"/>
    </row>
    <row r="598" ht="14.25" customHeight="1">
      <c r="D598" s="617"/>
    </row>
    <row r="599" ht="14.25" customHeight="1">
      <c r="D599" s="617"/>
    </row>
    <row r="600" ht="14.25" customHeight="1">
      <c r="D600" s="617"/>
    </row>
    <row r="601" ht="14.25" customHeight="1">
      <c r="D601" s="617"/>
    </row>
    <row r="602" ht="14.25" customHeight="1">
      <c r="D602" s="617"/>
    </row>
    <row r="603" ht="14.25" customHeight="1">
      <c r="D603" s="617"/>
    </row>
    <row r="604" ht="14.25" customHeight="1">
      <c r="D604" s="617"/>
    </row>
    <row r="605" ht="14.25" customHeight="1">
      <c r="D605" s="617"/>
    </row>
    <row r="606" ht="14.25" customHeight="1">
      <c r="D606" s="617"/>
    </row>
    <row r="607" ht="14.25" customHeight="1">
      <c r="D607" s="617"/>
    </row>
    <row r="608" ht="14.25" customHeight="1">
      <c r="D608" s="617"/>
    </row>
    <row r="609" ht="14.25" customHeight="1">
      <c r="D609" s="617"/>
    </row>
    <row r="610" ht="14.25" customHeight="1">
      <c r="D610" s="617"/>
    </row>
    <row r="611" ht="14.25" customHeight="1">
      <c r="D611" s="617"/>
    </row>
    <row r="612" ht="14.25" customHeight="1">
      <c r="D612" s="617"/>
    </row>
    <row r="613" ht="14.25" customHeight="1">
      <c r="D613" s="617"/>
    </row>
    <row r="614" ht="14.25" customHeight="1">
      <c r="D614" s="617"/>
    </row>
    <row r="615" ht="14.25" customHeight="1">
      <c r="D615" s="617"/>
    </row>
    <row r="616" ht="14.25" customHeight="1">
      <c r="D616" s="617"/>
    </row>
    <row r="617" ht="14.25" customHeight="1">
      <c r="D617" s="617"/>
    </row>
    <row r="618" ht="14.25" customHeight="1">
      <c r="D618" s="617"/>
    </row>
    <row r="619" ht="14.25" customHeight="1">
      <c r="D619" s="617"/>
    </row>
    <row r="620" ht="14.25" customHeight="1">
      <c r="D620" s="617"/>
    </row>
    <row r="621" ht="14.25" customHeight="1">
      <c r="D621" s="617"/>
    </row>
    <row r="622" ht="14.25" customHeight="1">
      <c r="D622" s="617"/>
    </row>
    <row r="623" ht="14.25" customHeight="1">
      <c r="D623" s="617"/>
    </row>
    <row r="624" ht="14.25" customHeight="1">
      <c r="D624" s="617"/>
    </row>
    <row r="625" ht="14.25" customHeight="1">
      <c r="D625" s="617"/>
    </row>
    <row r="626" ht="14.25" customHeight="1">
      <c r="D626" s="617"/>
    </row>
    <row r="627" ht="14.25" customHeight="1">
      <c r="D627" s="617"/>
    </row>
    <row r="628" ht="14.25" customHeight="1">
      <c r="D628" s="617"/>
    </row>
    <row r="629" ht="14.25" customHeight="1">
      <c r="D629" s="617"/>
    </row>
    <row r="630" ht="14.25" customHeight="1">
      <c r="D630" s="617"/>
    </row>
    <row r="631" ht="14.25" customHeight="1">
      <c r="D631" s="617"/>
    </row>
    <row r="632" ht="14.25" customHeight="1">
      <c r="D632" s="617"/>
    </row>
    <row r="633" ht="14.25" customHeight="1">
      <c r="D633" s="617"/>
    </row>
    <row r="634" ht="14.25" customHeight="1">
      <c r="D634" s="617"/>
    </row>
    <row r="635" ht="14.25" customHeight="1">
      <c r="D635" s="617"/>
    </row>
    <row r="636" ht="14.25" customHeight="1">
      <c r="D636" s="617"/>
    </row>
    <row r="637" ht="14.25" customHeight="1">
      <c r="D637" s="617"/>
    </row>
    <row r="638" ht="14.25" customHeight="1">
      <c r="D638" s="617"/>
    </row>
    <row r="639" ht="14.25" customHeight="1">
      <c r="D639" s="617"/>
    </row>
    <row r="640" ht="14.25" customHeight="1">
      <c r="D640" s="617"/>
    </row>
    <row r="641" ht="14.25" customHeight="1">
      <c r="D641" s="617"/>
    </row>
    <row r="642" ht="14.25" customHeight="1">
      <c r="D642" s="617"/>
    </row>
    <row r="643" ht="14.25" customHeight="1">
      <c r="D643" s="617"/>
    </row>
    <row r="644" ht="14.25" customHeight="1">
      <c r="D644" s="617"/>
    </row>
    <row r="645" ht="14.25" customHeight="1">
      <c r="D645" s="617"/>
    </row>
    <row r="646" ht="14.25" customHeight="1">
      <c r="D646" s="617"/>
    </row>
    <row r="647" ht="14.25" customHeight="1">
      <c r="D647" s="617"/>
    </row>
    <row r="648" ht="14.25" customHeight="1">
      <c r="D648" s="617"/>
    </row>
    <row r="649" ht="14.25" customHeight="1">
      <c r="D649" s="617"/>
    </row>
    <row r="650" ht="14.25" customHeight="1">
      <c r="D650" s="617"/>
    </row>
    <row r="651" ht="14.25" customHeight="1">
      <c r="D651" s="617"/>
    </row>
    <row r="652" ht="14.25" customHeight="1">
      <c r="D652" s="617"/>
    </row>
    <row r="653" ht="14.25" customHeight="1">
      <c r="D653" s="617"/>
    </row>
    <row r="654" ht="14.25" customHeight="1">
      <c r="D654" s="617"/>
    </row>
    <row r="655" ht="14.25" customHeight="1">
      <c r="D655" s="617"/>
    </row>
    <row r="656" ht="14.25" customHeight="1">
      <c r="D656" s="617"/>
    </row>
    <row r="657" ht="14.25" customHeight="1">
      <c r="D657" s="617"/>
    </row>
    <row r="658" ht="14.25" customHeight="1">
      <c r="D658" s="617"/>
    </row>
    <row r="659" ht="14.25" customHeight="1">
      <c r="D659" s="617"/>
    </row>
    <row r="660" ht="14.25" customHeight="1">
      <c r="D660" s="617"/>
    </row>
    <row r="661" ht="14.25" customHeight="1">
      <c r="D661" s="617"/>
    </row>
    <row r="662" ht="14.25" customHeight="1">
      <c r="D662" s="617"/>
    </row>
    <row r="663" ht="14.25" customHeight="1">
      <c r="D663" s="617"/>
    </row>
    <row r="664" ht="14.25" customHeight="1">
      <c r="D664" s="617"/>
    </row>
    <row r="665" ht="14.25" customHeight="1">
      <c r="D665" s="617"/>
    </row>
    <row r="666" ht="14.25" customHeight="1">
      <c r="D666" s="617"/>
    </row>
    <row r="667" ht="14.25" customHeight="1">
      <c r="D667" s="617"/>
    </row>
    <row r="668" ht="14.25" customHeight="1">
      <c r="D668" s="617"/>
    </row>
    <row r="669" ht="14.25" customHeight="1">
      <c r="D669" s="617"/>
    </row>
    <row r="670" ht="14.25" customHeight="1">
      <c r="D670" s="617"/>
    </row>
    <row r="671" ht="14.25" customHeight="1">
      <c r="D671" s="617"/>
    </row>
    <row r="672" ht="14.25" customHeight="1">
      <c r="D672" s="617"/>
    </row>
    <row r="673" ht="14.25" customHeight="1">
      <c r="D673" s="617"/>
    </row>
    <row r="674" ht="14.25" customHeight="1">
      <c r="D674" s="617"/>
    </row>
    <row r="675" ht="14.25" customHeight="1">
      <c r="D675" s="617"/>
    </row>
    <row r="676" ht="14.25" customHeight="1">
      <c r="D676" s="617"/>
    </row>
    <row r="677" ht="14.25" customHeight="1">
      <c r="D677" s="617"/>
    </row>
    <row r="678" ht="14.25" customHeight="1">
      <c r="D678" s="617"/>
    </row>
    <row r="679" ht="14.25" customHeight="1">
      <c r="D679" s="617"/>
    </row>
    <row r="680" ht="14.25" customHeight="1">
      <c r="D680" s="617"/>
    </row>
    <row r="681" ht="14.25" customHeight="1">
      <c r="D681" s="617"/>
    </row>
    <row r="682" ht="14.25" customHeight="1">
      <c r="D682" s="617"/>
    </row>
    <row r="683" ht="14.25" customHeight="1">
      <c r="D683" s="617"/>
    </row>
    <row r="684" ht="14.25" customHeight="1">
      <c r="D684" s="617"/>
    </row>
    <row r="685" ht="14.25" customHeight="1">
      <c r="D685" s="617"/>
    </row>
    <row r="686" ht="14.25" customHeight="1">
      <c r="D686" s="617"/>
    </row>
    <row r="687" ht="14.25" customHeight="1">
      <c r="D687" s="617"/>
    </row>
    <row r="688" ht="14.25" customHeight="1">
      <c r="D688" s="617"/>
    </row>
    <row r="689" ht="14.25" customHeight="1">
      <c r="D689" s="617"/>
    </row>
    <row r="690" ht="14.25" customHeight="1">
      <c r="D690" s="617"/>
    </row>
    <row r="691" ht="14.25" customHeight="1">
      <c r="D691" s="617"/>
    </row>
    <row r="692" ht="14.25" customHeight="1">
      <c r="D692" s="617"/>
    </row>
    <row r="693" ht="14.25" customHeight="1">
      <c r="D693" s="617"/>
    </row>
    <row r="694" ht="14.25" customHeight="1">
      <c r="D694" s="617"/>
    </row>
    <row r="695" ht="14.25" customHeight="1">
      <c r="D695" s="617"/>
    </row>
    <row r="696" ht="14.25" customHeight="1">
      <c r="D696" s="617"/>
    </row>
    <row r="697" ht="14.25" customHeight="1">
      <c r="D697" s="617"/>
    </row>
    <row r="698" ht="14.25" customHeight="1">
      <c r="D698" s="617"/>
    </row>
    <row r="699" ht="14.25" customHeight="1">
      <c r="D699" s="617"/>
    </row>
    <row r="700" ht="14.25" customHeight="1">
      <c r="D700" s="617"/>
    </row>
    <row r="701" ht="14.25" customHeight="1">
      <c r="D701" s="617"/>
    </row>
    <row r="702" ht="14.25" customHeight="1">
      <c r="D702" s="617"/>
    </row>
    <row r="703" ht="14.25" customHeight="1">
      <c r="D703" s="617"/>
    </row>
    <row r="704" ht="14.25" customHeight="1">
      <c r="D704" s="617"/>
    </row>
    <row r="705" ht="14.25" customHeight="1">
      <c r="D705" s="617"/>
    </row>
    <row r="706" ht="14.25" customHeight="1">
      <c r="D706" s="617"/>
    </row>
    <row r="707" ht="14.25" customHeight="1">
      <c r="D707" s="617"/>
    </row>
    <row r="708" ht="14.25" customHeight="1">
      <c r="D708" s="617"/>
    </row>
    <row r="709" ht="14.25" customHeight="1">
      <c r="D709" s="617"/>
    </row>
    <row r="710" ht="14.25" customHeight="1">
      <c r="D710" s="617"/>
    </row>
    <row r="711" ht="14.25" customHeight="1">
      <c r="D711" s="617"/>
    </row>
    <row r="712" ht="14.25" customHeight="1">
      <c r="D712" s="617"/>
    </row>
    <row r="713" ht="14.25" customHeight="1">
      <c r="D713" s="617"/>
    </row>
    <row r="714" ht="14.25" customHeight="1">
      <c r="D714" s="617"/>
    </row>
    <row r="715" ht="14.25" customHeight="1">
      <c r="D715" s="617"/>
    </row>
    <row r="716" ht="14.25" customHeight="1">
      <c r="D716" s="617"/>
    </row>
    <row r="717" ht="14.25" customHeight="1">
      <c r="D717" s="617"/>
    </row>
    <row r="718" ht="14.25" customHeight="1">
      <c r="D718" s="617"/>
    </row>
    <row r="719" ht="14.25" customHeight="1">
      <c r="D719" s="617"/>
    </row>
    <row r="720" ht="14.25" customHeight="1">
      <c r="D720" s="617"/>
    </row>
    <row r="721" ht="14.25" customHeight="1">
      <c r="D721" s="617"/>
    </row>
    <row r="722" ht="14.25" customHeight="1">
      <c r="D722" s="617"/>
    </row>
    <row r="723" ht="14.25" customHeight="1">
      <c r="D723" s="617"/>
    </row>
    <row r="724" ht="14.25" customHeight="1">
      <c r="D724" s="617"/>
    </row>
    <row r="725" ht="14.25" customHeight="1">
      <c r="D725" s="617"/>
    </row>
    <row r="726" ht="14.25" customHeight="1">
      <c r="D726" s="617"/>
    </row>
    <row r="727" ht="14.25" customHeight="1">
      <c r="D727" s="617"/>
    </row>
    <row r="728" ht="14.25" customHeight="1">
      <c r="D728" s="617"/>
    </row>
    <row r="729" ht="14.25" customHeight="1">
      <c r="D729" s="617"/>
    </row>
    <row r="730" ht="14.25" customHeight="1">
      <c r="D730" s="617"/>
    </row>
    <row r="731" ht="14.25" customHeight="1">
      <c r="D731" s="617"/>
    </row>
    <row r="732" ht="14.25" customHeight="1">
      <c r="D732" s="617"/>
    </row>
    <row r="733" ht="14.25" customHeight="1">
      <c r="D733" s="617"/>
    </row>
    <row r="734" ht="14.25" customHeight="1">
      <c r="D734" s="617"/>
    </row>
    <row r="735" ht="14.25" customHeight="1">
      <c r="D735" s="617"/>
    </row>
    <row r="736" ht="14.25" customHeight="1">
      <c r="D736" s="617"/>
    </row>
    <row r="737" ht="14.25" customHeight="1">
      <c r="D737" s="617"/>
    </row>
    <row r="738" ht="14.25" customHeight="1">
      <c r="D738" s="617"/>
    </row>
    <row r="739" ht="14.25" customHeight="1">
      <c r="D739" s="617"/>
    </row>
    <row r="740" ht="14.25" customHeight="1">
      <c r="D740" s="617"/>
    </row>
    <row r="741" ht="14.25" customHeight="1">
      <c r="D741" s="617"/>
    </row>
    <row r="742" ht="14.25" customHeight="1">
      <c r="D742" s="617"/>
    </row>
    <row r="743" ht="14.25" customHeight="1">
      <c r="D743" s="617"/>
    </row>
    <row r="744" ht="14.25" customHeight="1">
      <c r="D744" s="617"/>
    </row>
    <row r="745" ht="14.25" customHeight="1">
      <c r="D745" s="617"/>
    </row>
    <row r="746" ht="14.25" customHeight="1">
      <c r="D746" s="617"/>
    </row>
    <row r="747" ht="14.25" customHeight="1">
      <c r="D747" s="617"/>
    </row>
    <row r="748" ht="14.25" customHeight="1">
      <c r="D748" s="617"/>
    </row>
    <row r="749" ht="14.25" customHeight="1">
      <c r="D749" s="617"/>
    </row>
    <row r="750" ht="14.25" customHeight="1">
      <c r="D750" s="617"/>
    </row>
    <row r="751" ht="14.25" customHeight="1">
      <c r="D751" s="617"/>
    </row>
    <row r="752" ht="14.25" customHeight="1">
      <c r="D752" s="617"/>
    </row>
    <row r="753" ht="14.25" customHeight="1">
      <c r="D753" s="617"/>
    </row>
    <row r="754" ht="14.25" customHeight="1">
      <c r="D754" s="617"/>
    </row>
    <row r="755" ht="14.25" customHeight="1">
      <c r="D755" s="617"/>
    </row>
    <row r="756" ht="14.25" customHeight="1">
      <c r="D756" s="617"/>
    </row>
    <row r="757" ht="14.25" customHeight="1">
      <c r="D757" s="617"/>
    </row>
    <row r="758" ht="14.25" customHeight="1">
      <c r="D758" s="617"/>
    </row>
    <row r="759" ht="14.25" customHeight="1">
      <c r="D759" s="617"/>
    </row>
    <row r="760" ht="14.25" customHeight="1">
      <c r="D760" s="617"/>
    </row>
    <row r="761" ht="14.25" customHeight="1">
      <c r="D761" s="617"/>
    </row>
    <row r="762" ht="14.25" customHeight="1">
      <c r="D762" s="617"/>
    </row>
    <row r="763" ht="14.25" customHeight="1">
      <c r="D763" s="617"/>
    </row>
    <row r="764" ht="14.25" customHeight="1">
      <c r="D764" s="617"/>
    </row>
    <row r="765" ht="14.25" customHeight="1">
      <c r="D765" s="617"/>
    </row>
    <row r="766" ht="14.25" customHeight="1">
      <c r="D766" s="617"/>
    </row>
    <row r="767" ht="14.25" customHeight="1">
      <c r="D767" s="617"/>
    </row>
    <row r="768" ht="14.25" customHeight="1">
      <c r="D768" s="617"/>
    </row>
    <row r="769" ht="14.25" customHeight="1">
      <c r="D769" s="617"/>
    </row>
    <row r="770" ht="14.25" customHeight="1">
      <c r="D770" s="617"/>
    </row>
    <row r="771" ht="14.25" customHeight="1">
      <c r="D771" s="617"/>
    </row>
    <row r="772" ht="14.25" customHeight="1">
      <c r="D772" s="617"/>
    </row>
    <row r="773" ht="14.25" customHeight="1">
      <c r="D773" s="617"/>
    </row>
    <row r="774" ht="14.25" customHeight="1">
      <c r="D774" s="617"/>
    </row>
    <row r="775" ht="14.25" customHeight="1">
      <c r="D775" s="617"/>
    </row>
    <row r="776" ht="14.25" customHeight="1">
      <c r="D776" s="617"/>
    </row>
    <row r="777" ht="14.25" customHeight="1">
      <c r="D777" s="617"/>
    </row>
    <row r="778" ht="14.25" customHeight="1">
      <c r="D778" s="617"/>
    </row>
    <row r="779" ht="14.25" customHeight="1">
      <c r="D779" s="617"/>
    </row>
    <row r="780" ht="14.25" customHeight="1">
      <c r="D780" s="617"/>
    </row>
    <row r="781" ht="14.25" customHeight="1">
      <c r="D781" s="617"/>
    </row>
    <row r="782" ht="14.25" customHeight="1">
      <c r="D782" s="617"/>
    </row>
    <row r="783" ht="14.25" customHeight="1">
      <c r="D783" s="617"/>
    </row>
    <row r="784" ht="14.25" customHeight="1">
      <c r="D784" s="617"/>
    </row>
    <row r="785" ht="14.25" customHeight="1">
      <c r="D785" s="617"/>
    </row>
    <row r="786" ht="14.25" customHeight="1">
      <c r="D786" s="617"/>
    </row>
    <row r="787" ht="14.25" customHeight="1">
      <c r="D787" s="617"/>
    </row>
    <row r="788" ht="14.25" customHeight="1">
      <c r="D788" s="617"/>
    </row>
    <row r="789" ht="14.25" customHeight="1">
      <c r="D789" s="617"/>
    </row>
    <row r="790" ht="14.25" customHeight="1">
      <c r="D790" s="617"/>
    </row>
    <row r="791" ht="14.25" customHeight="1">
      <c r="D791" s="617"/>
    </row>
    <row r="792" ht="14.25" customHeight="1">
      <c r="D792" s="617"/>
    </row>
    <row r="793" ht="14.25" customHeight="1">
      <c r="D793" s="617"/>
    </row>
    <row r="794" ht="14.25" customHeight="1">
      <c r="D794" s="617"/>
    </row>
    <row r="795" ht="14.25" customHeight="1">
      <c r="D795" s="617"/>
    </row>
    <row r="796" ht="14.25" customHeight="1">
      <c r="D796" s="617"/>
    </row>
    <row r="797" ht="14.25" customHeight="1">
      <c r="D797" s="617"/>
    </row>
    <row r="798" ht="14.25" customHeight="1">
      <c r="D798" s="617"/>
    </row>
    <row r="799" ht="14.25" customHeight="1">
      <c r="D799" s="617"/>
    </row>
    <row r="800" ht="14.25" customHeight="1">
      <c r="D800" s="617"/>
    </row>
    <row r="801" ht="14.25" customHeight="1">
      <c r="D801" s="617"/>
    </row>
    <row r="802" ht="14.25" customHeight="1">
      <c r="D802" s="617"/>
    </row>
    <row r="803" ht="14.25" customHeight="1">
      <c r="D803" s="617"/>
    </row>
    <row r="804" ht="14.25" customHeight="1">
      <c r="D804" s="617"/>
    </row>
    <row r="805" ht="14.25" customHeight="1">
      <c r="D805" s="617"/>
    </row>
    <row r="806" ht="14.25" customHeight="1">
      <c r="D806" s="617"/>
    </row>
    <row r="807" ht="14.25" customHeight="1">
      <c r="D807" s="617"/>
    </row>
    <row r="808" ht="14.25" customHeight="1">
      <c r="D808" s="617"/>
    </row>
    <row r="809" ht="14.25" customHeight="1">
      <c r="D809" s="617"/>
    </row>
    <row r="810" ht="14.25" customHeight="1">
      <c r="D810" s="617"/>
    </row>
    <row r="811" ht="14.25" customHeight="1">
      <c r="D811" s="617"/>
    </row>
    <row r="812" ht="14.25" customHeight="1">
      <c r="D812" s="617"/>
    </row>
    <row r="813" ht="14.25" customHeight="1">
      <c r="D813" s="617"/>
    </row>
    <row r="814" ht="14.25" customHeight="1">
      <c r="D814" s="617"/>
    </row>
    <row r="815" ht="14.25" customHeight="1">
      <c r="D815" s="617"/>
    </row>
    <row r="816" ht="14.25" customHeight="1">
      <c r="D816" s="617"/>
    </row>
    <row r="817" ht="14.25" customHeight="1">
      <c r="D817" s="617"/>
    </row>
    <row r="818" ht="14.25" customHeight="1">
      <c r="D818" s="617"/>
    </row>
    <row r="819" ht="14.25" customHeight="1">
      <c r="D819" s="617"/>
    </row>
    <row r="820" ht="14.25" customHeight="1">
      <c r="D820" s="617"/>
    </row>
    <row r="821" ht="14.25" customHeight="1">
      <c r="D821" s="617"/>
    </row>
    <row r="822" ht="14.25" customHeight="1">
      <c r="D822" s="617"/>
    </row>
    <row r="823" ht="14.25" customHeight="1">
      <c r="D823" s="617"/>
    </row>
    <row r="824" ht="14.25" customHeight="1">
      <c r="D824" s="617"/>
    </row>
    <row r="825" ht="14.25" customHeight="1">
      <c r="D825" s="617"/>
    </row>
    <row r="826" ht="14.25" customHeight="1">
      <c r="D826" s="617"/>
    </row>
    <row r="827" ht="14.25" customHeight="1">
      <c r="D827" s="617"/>
    </row>
    <row r="828" ht="14.25" customHeight="1">
      <c r="D828" s="617"/>
    </row>
    <row r="829" ht="14.25" customHeight="1">
      <c r="D829" s="617"/>
    </row>
    <row r="830" ht="14.25" customHeight="1">
      <c r="D830" s="617"/>
    </row>
    <row r="831" ht="14.25" customHeight="1">
      <c r="D831" s="617"/>
    </row>
    <row r="832" ht="14.25" customHeight="1">
      <c r="D832" s="617"/>
    </row>
    <row r="833" ht="14.25" customHeight="1">
      <c r="D833" s="617"/>
    </row>
    <row r="834" ht="14.25" customHeight="1">
      <c r="D834" s="617"/>
    </row>
    <row r="835" ht="14.25" customHeight="1">
      <c r="D835" s="617"/>
    </row>
    <row r="836" ht="14.25" customHeight="1">
      <c r="D836" s="617"/>
    </row>
    <row r="837" ht="14.25" customHeight="1">
      <c r="D837" s="617"/>
    </row>
    <row r="838" ht="14.25" customHeight="1">
      <c r="D838" s="617"/>
    </row>
    <row r="839" ht="14.25" customHeight="1">
      <c r="D839" s="617"/>
    </row>
    <row r="840" ht="14.25" customHeight="1">
      <c r="D840" s="617"/>
    </row>
    <row r="841" ht="14.25" customHeight="1">
      <c r="D841" s="617"/>
    </row>
    <row r="842" ht="14.25" customHeight="1">
      <c r="D842" s="617"/>
    </row>
    <row r="843" ht="14.25" customHeight="1">
      <c r="D843" s="617"/>
    </row>
    <row r="844" ht="14.25" customHeight="1">
      <c r="D844" s="617"/>
    </row>
    <row r="845" ht="14.25" customHeight="1">
      <c r="D845" s="617"/>
    </row>
    <row r="846" ht="14.25" customHeight="1">
      <c r="D846" s="617"/>
    </row>
    <row r="847" ht="14.25" customHeight="1">
      <c r="D847" s="617"/>
    </row>
    <row r="848" ht="14.25" customHeight="1">
      <c r="D848" s="617"/>
    </row>
    <row r="849" ht="14.25" customHeight="1">
      <c r="D849" s="617"/>
    </row>
    <row r="850" ht="14.25" customHeight="1">
      <c r="D850" s="617"/>
    </row>
    <row r="851" ht="14.25" customHeight="1">
      <c r="D851" s="617"/>
    </row>
    <row r="852" ht="14.25" customHeight="1">
      <c r="D852" s="617"/>
    </row>
    <row r="853" ht="14.25" customHeight="1">
      <c r="D853" s="617"/>
    </row>
    <row r="854" ht="14.25" customHeight="1">
      <c r="D854" s="617"/>
    </row>
    <row r="855" ht="14.25" customHeight="1">
      <c r="D855" s="617"/>
    </row>
    <row r="856" ht="14.25" customHeight="1">
      <c r="D856" s="617"/>
    </row>
    <row r="857" ht="14.25" customHeight="1">
      <c r="D857" s="617"/>
    </row>
    <row r="858" ht="14.25" customHeight="1">
      <c r="D858" s="617"/>
    </row>
    <row r="859" ht="14.25" customHeight="1">
      <c r="D859" s="617"/>
    </row>
    <row r="860" ht="14.25" customHeight="1">
      <c r="D860" s="617"/>
    </row>
    <row r="861" ht="14.25" customHeight="1">
      <c r="D861" s="617"/>
    </row>
    <row r="862" ht="14.25" customHeight="1">
      <c r="D862" s="617"/>
    </row>
    <row r="863" ht="14.25" customHeight="1">
      <c r="D863" s="617"/>
    </row>
    <row r="864" ht="14.25" customHeight="1">
      <c r="D864" s="617"/>
    </row>
    <row r="865" ht="14.25" customHeight="1">
      <c r="D865" s="617"/>
    </row>
    <row r="866" ht="14.25" customHeight="1">
      <c r="D866" s="617"/>
    </row>
    <row r="867" ht="14.25" customHeight="1">
      <c r="D867" s="617"/>
    </row>
    <row r="868" ht="14.25" customHeight="1">
      <c r="D868" s="617"/>
    </row>
    <row r="869" ht="14.25" customHeight="1">
      <c r="D869" s="617"/>
    </row>
    <row r="870" ht="14.25" customHeight="1">
      <c r="D870" s="617"/>
    </row>
    <row r="871" ht="14.25" customHeight="1">
      <c r="D871" s="617"/>
    </row>
    <row r="872" ht="14.25" customHeight="1">
      <c r="D872" s="617"/>
    </row>
    <row r="873" ht="14.25" customHeight="1">
      <c r="D873" s="617"/>
    </row>
    <row r="874" ht="14.25" customHeight="1">
      <c r="D874" s="617"/>
    </row>
    <row r="875" ht="14.25" customHeight="1">
      <c r="D875" s="617"/>
    </row>
    <row r="876" ht="14.25" customHeight="1">
      <c r="D876" s="617"/>
    </row>
    <row r="877" ht="14.25" customHeight="1">
      <c r="D877" s="617"/>
    </row>
    <row r="878" ht="14.25" customHeight="1">
      <c r="D878" s="617"/>
    </row>
    <row r="879" ht="14.25" customHeight="1">
      <c r="D879" s="617"/>
    </row>
    <row r="880" ht="14.25" customHeight="1">
      <c r="D880" s="617"/>
    </row>
    <row r="881" ht="14.25" customHeight="1">
      <c r="D881" s="617"/>
    </row>
    <row r="882" ht="14.25" customHeight="1">
      <c r="D882" s="617"/>
    </row>
    <row r="883" ht="14.25" customHeight="1">
      <c r="D883" s="617"/>
    </row>
    <row r="884" ht="14.25" customHeight="1">
      <c r="D884" s="617"/>
    </row>
    <row r="885" ht="14.25" customHeight="1">
      <c r="D885" s="617"/>
    </row>
    <row r="886" ht="14.25" customHeight="1">
      <c r="D886" s="617"/>
    </row>
    <row r="887" ht="14.25" customHeight="1">
      <c r="D887" s="617"/>
    </row>
    <row r="888" ht="14.25" customHeight="1">
      <c r="D888" s="617"/>
    </row>
    <row r="889" ht="14.25" customHeight="1">
      <c r="D889" s="617"/>
    </row>
    <row r="890" ht="14.25" customHeight="1">
      <c r="D890" s="617"/>
    </row>
    <row r="891" ht="14.25" customHeight="1">
      <c r="D891" s="617"/>
    </row>
    <row r="892" ht="14.25" customHeight="1">
      <c r="D892" s="617"/>
    </row>
    <row r="893" ht="14.25" customHeight="1">
      <c r="D893" s="617"/>
    </row>
    <row r="894" ht="14.25" customHeight="1">
      <c r="D894" s="617"/>
    </row>
    <row r="895" ht="14.25" customHeight="1">
      <c r="D895" s="617"/>
    </row>
    <row r="896" ht="14.25" customHeight="1">
      <c r="D896" s="617"/>
    </row>
    <row r="897" ht="14.25" customHeight="1">
      <c r="D897" s="617"/>
    </row>
    <row r="898" ht="14.25" customHeight="1">
      <c r="D898" s="617"/>
    </row>
    <row r="899" ht="14.25" customHeight="1">
      <c r="D899" s="617"/>
    </row>
    <row r="900" ht="14.25" customHeight="1">
      <c r="D900" s="617"/>
    </row>
    <row r="901" ht="14.25" customHeight="1">
      <c r="D901" s="617"/>
    </row>
    <row r="902" ht="14.25" customHeight="1">
      <c r="D902" s="617"/>
    </row>
    <row r="903" ht="14.25" customHeight="1">
      <c r="D903" s="617"/>
    </row>
    <row r="904" ht="14.25" customHeight="1">
      <c r="D904" s="617"/>
    </row>
    <row r="905" ht="14.25" customHeight="1">
      <c r="D905" s="617"/>
    </row>
    <row r="906" ht="14.25" customHeight="1">
      <c r="D906" s="617"/>
    </row>
    <row r="907" ht="14.25" customHeight="1">
      <c r="D907" s="617"/>
    </row>
    <row r="908" ht="14.25" customHeight="1">
      <c r="D908" s="617"/>
    </row>
    <row r="909" ht="14.25" customHeight="1">
      <c r="D909" s="617"/>
    </row>
    <row r="910" ht="14.25" customHeight="1">
      <c r="D910" s="617"/>
    </row>
    <row r="911" ht="14.25" customHeight="1">
      <c r="D911" s="617"/>
    </row>
    <row r="912" ht="14.25" customHeight="1">
      <c r="D912" s="617"/>
    </row>
    <row r="913" ht="14.25" customHeight="1">
      <c r="D913" s="617"/>
    </row>
    <row r="914" ht="14.25" customHeight="1">
      <c r="D914" s="617"/>
    </row>
    <row r="915" ht="14.25" customHeight="1">
      <c r="D915" s="617"/>
    </row>
    <row r="916" ht="14.25" customHeight="1">
      <c r="D916" s="617"/>
    </row>
    <row r="917" ht="14.25" customHeight="1">
      <c r="D917" s="617"/>
    </row>
    <row r="918" ht="14.25" customHeight="1">
      <c r="D918" s="617"/>
    </row>
    <row r="919" ht="14.25" customHeight="1">
      <c r="D919" s="617"/>
    </row>
    <row r="920" ht="14.25" customHeight="1">
      <c r="D920" s="617"/>
    </row>
    <row r="921" ht="14.25" customHeight="1">
      <c r="D921" s="617"/>
    </row>
    <row r="922" ht="14.25" customHeight="1">
      <c r="D922" s="617"/>
    </row>
    <row r="923" ht="14.25" customHeight="1">
      <c r="D923" s="617"/>
    </row>
    <row r="924" ht="14.25" customHeight="1">
      <c r="D924" s="617"/>
    </row>
    <row r="925" ht="14.25" customHeight="1">
      <c r="D925" s="617"/>
    </row>
    <row r="926" ht="14.25" customHeight="1">
      <c r="D926" s="617"/>
    </row>
    <row r="927" ht="14.25" customHeight="1">
      <c r="D927" s="617"/>
    </row>
    <row r="928" ht="14.25" customHeight="1">
      <c r="D928" s="617"/>
    </row>
    <row r="929" ht="14.25" customHeight="1">
      <c r="D929" s="617"/>
    </row>
    <row r="930" ht="14.25" customHeight="1">
      <c r="D930" s="617"/>
    </row>
    <row r="931" ht="14.25" customHeight="1">
      <c r="D931" s="617"/>
    </row>
    <row r="932" ht="14.25" customHeight="1">
      <c r="D932" s="617"/>
    </row>
    <row r="933" ht="14.25" customHeight="1">
      <c r="D933" s="617"/>
    </row>
    <row r="934" ht="14.25" customHeight="1">
      <c r="D934" s="617"/>
    </row>
    <row r="935" ht="14.25" customHeight="1">
      <c r="D935" s="617"/>
    </row>
    <row r="936" ht="14.25" customHeight="1">
      <c r="D936" s="617"/>
    </row>
    <row r="937" ht="14.25" customHeight="1">
      <c r="D937" s="617"/>
    </row>
    <row r="938" ht="14.25" customHeight="1">
      <c r="D938" s="617"/>
    </row>
    <row r="939" ht="14.25" customHeight="1">
      <c r="D939" s="617"/>
    </row>
    <row r="940" ht="14.25" customHeight="1">
      <c r="D940" s="617"/>
    </row>
    <row r="941" ht="14.25" customHeight="1">
      <c r="D941" s="617"/>
    </row>
    <row r="942" ht="14.25" customHeight="1">
      <c r="D942" s="617"/>
    </row>
    <row r="943" ht="14.25" customHeight="1">
      <c r="D943" s="617"/>
    </row>
    <row r="944" ht="14.25" customHeight="1">
      <c r="D944" s="617"/>
    </row>
    <row r="945" ht="14.25" customHeight="1">
      <c r="D945" s="617"/>
    </row>
    <row r="946" ht="14.25" customHeight="1">
      <c r="D946" s="617"/>
    </row>
    <row r="947" ht="14.25" customHeight="1">
      <c r="D947" s="617"/>
    </row>
    <row r="948" ht="14.25" customHeight="1">
      <c r="D948" s="617"/>
    </row>
    <row r="949" ht="14.25" customHeight="1">
      <c r="D949" s="617"/>
    </row>
    <row r="950" ht="14.25" customHeight="1">
      <c r="D950" s="617"/>
    </row>
    <row r="951" ht="14.25" customHeight="1">
      <c r="D951" s="617"/>
    </row>
    <row r="952" ht="14.25" customHeight="1">
      <c r="D952" s="617"/>
    </row>
    <row r="953" ht="14.25" customHeight="1">
      <c r="D953" s="617"/>
    </row>
    <row r="954" ht="14.25" customHeight="1">
      <c r="D954" s="617"/>
    </row>
    <row r="955" ht="14.25" customHeight="1">
      <c r="D955" s="617"/>
    </row>
    <row r="956" ht="14.25" customHeight="1">
      <c r="D956" s="617"/>
    </row>
    <row r="957" ht="14.25" customHeight="1">
      <c r="D957" s="617"/>
    </row>
    <row r="958" ht="14.25" customHeight="1">
      <c r="D958" s="617"/>
    </row>
    <row r="959" ht="14.25" customHeight="1">
      <c r="D959" s="617"/>
    </row>
    <row r="960" ht="14.25" customHeight="1">
      <c r="D960" s="617"/>
    </row>
    <row r="961" ht="14.25" customHeight="1">
      <c r="D961" s="617"/>
    </row>
    <row r="962" ht="14.25" customHeight="1">
      <c r="D962" s="617"/>
    </row>
    <row r="963" ht="14.25" customHeight="1">
      <c r="D963" s="617"/>
    </row>
    <row r="964" ht="14.25" customHeight="1">
      <c r="D964" s="617"/>
    </row>
    <row r="965" ht="14.25" customHeight="1">
      <c r="D965" s="617"/>
    </row>
    <row r="966" ht="14.25" customHeight="1">
      <c r="D966" s="617"/>
    </row>
    <row r="967" ht="14.25" customHeight="1">
      <c r="D967" s="617"/>
    </row>
    <row r="968" ht="14.25" customHeight="1">
      <c r="D968" s="617"/>
    </row>
    <row r="969" ht="14.25" customHeight="1">
      <c r="D969" s="617"/>
    </row>
    <row r="970" ht="14.25" customHeight="1">
      <c r="D970" s="617"/>
    </row>
    <row r="971" ht="14.25" customHeight="1">
      <c r="D971" s="617"/>
    </row>
    <row r="972" ht="14.25" customHeight="1">
      <c r="D972" s="617"/>
    </row>
    <row r="973" ht="14.25" customHeight="1">
      <c r="D973" s="617"/>
    </row>
    <row r="974" ht="14.25" customHeight="1">
      <c r="D974" s="617"/>
    </row>
    <row r="975" ht="14.25" customHeight="1">
      <c r="D975" s="617"/>
    </row>
    <row r="976" ht="14.25" customHeight="1">
      <c r="D976" s="617"/>
    </row>
    <row r="977" ht="14.25" customHeight="1">
      <c r="D977" s="617"/>
    </row>
    <row r="978" ht="14.25" customHeight="1">
      <c r="D978" s="617"/>
    </row>
    <row r="979" ht="14.25" customHeight="1">
      <c r="D979" s="617"/>
    </row>
    <row r="980" ht="14.25" customHeight="1">
      <c r="D980" s="617"/>
    </row>
    <row r="981" ht="14.25" customHeight="1">
      <c r="D981" s="617"/>
    </row>
    <row r="982" ht="14.25" customHeight="1">
      <c r="D982" s="617"/>
    </row>
    <row r="983" ht="14.25" customHeight="1">
      <c r="D983" s="617"/>
    </row>
    <row r="984" ht="14.25" customHeight="1">
      <c r="D984" s="617"/>
    </row>
    <row r="985" ht="14.25" customHeight="1">
      <c r="D985" s="617"/>
    </row>
    <row r="986" ht="14.25" customHeight="1">
      <c r="D986" s="617"/>
    </row>
    <row r="987" ht="14.25" customHeight="1">
      <c r="D987" s="617"/>
    </row>
    <row r="988" ht="14.25" customHeight="1">
      <c r="D988" s="617"/>
    </row>
    <row r="989" ht="14.25" customHeight="1">
      <c r="D989" s="617"/>
    </row>
    <row r="990" ht="14.25" customHeight="1">
      <c r="D990" s="617"/>
    </row>
    <row r="991" ht="14.25" customHeight="1">
      <c r="D991" s="617"/>
    </row>
    <row r="992" ht="14.25" customHeight="1">
      <c r="D992" s="617"/>
    </row>
    <row r="993" ht="14.25" customHeight="1">
      <c r="D993" s="617"/>
    </row>
    <row r="994" ht="14.25" customHeight="1">
      <c r="D994" s="617"/>
    </row>
    <row r="995" ht="14.25" customHeight="1">
      <c r="D995" s="617"/>
    </row>
    <row r="996" ht="14.25" customHeight="1">
      <c r="D996" s="617"/>
    </row>
    <row r="997" ht="14.25" customHeight="1">
      <c r="D997" s="617"/>
    </row>
    <row r="998" ht="14.25" customHeight="1">
      <c r="D998" s="617"/>
    </row>
    <row r="999" ht="14.25" customHeight="1">
      <c r="D999" s="617"/>
    </row>
    <row r="1000" ht="14.25" customHeight="1">
      <c r="D1000" s="617"/>
    </row>
  </sheetData>
  <mergeCells count="1">
    <mergeCell ref="B2:D2"/>
  </mergeCells>
  <printOptions/>
  <pageMargins bottom="0.75" footer="0.0" header="0.0" left="0.7" right="0.7" top="0.75"/>
  <pageSetup paperSize="9"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0.86"/>
    <col customWidth="1" min="2" max="2" width="6.0"/>
    <col customWidth="1" min="3" max="3" width="128.14"/>
    <col customWidth="1" min="4" max="4" width="21.14"/>
    <col customWidth="1" min="5" max="5" width="0.86"/>
    <col customWidth="1" min="6" max="13" width="9.43"/>
    <col customWidth="1" min="14" max="23" width="15.14"/>
  </cols>
  <sheetData>
    <row r="1" ht="14.25" customHeight="1">
      <c r="A1" s="4"/>
      <c r="B1" s="1"/>
      <c r="C1" s="594"/>
      <c r="D1" s="37"/>
      <c r="E1" s="4"/>
      <c r="F1" s="4"/>
      <c r="G1" s="4"/>
      <c r="H1" s="4"/>
      <c r="I1" s="4"/>
      <c r="J1" s="4"/>
      <c r="K1" s="4"/>
      <c r="L1" s="4"/>
      <c r="M1" s="4"/>
      <c r="N1" s="4"/>
      <c r="O1" s="4"/>
      <c r="P1" s="4"/>
      <c r="Q1" s="4"/>
      <c r="R1" s="4"/>
      <c r="S1" s="4"/>
      <c r="T1" s="4"/>
      <c r="U1" s="4"/>
      <c r="V1" s="4"/>
      <c r="W1" s="4"/>
    </row>
    <row r="2" ht="14.25" customHeight="1">
      <c r="A2" s="4"/>
      <c r="B2" s="609" t="s">
        <v>736</v>
      </c>
      <c r="C2" s="8"/>
      <c r="D2" s="9"/>
      <c r="E2" s="4"/>
      <c r="F2" s="4"/>
      <c r="G2" s="4"/>
      <c r="H2" s="4"/>
      <c r="I2" s="4"/>
      <c r="J2" s="4"/>
      <c r="K2" s="4"/>
      <c r="L2" s="4"/>
      <c r="M2" s="4"/>
      <c r="N2" s="4"/>
      <c r="O2" s="4"/>
      <c r="P2" s="4"/>
      <c r="Q2" s="4"/>
      <c r="R2" s="4"/>
      <c r="S2" s="4"/>
      <c r="T2" s="4"/>
      <c r="U2" s="4"/>
      <c r="V2" s="4"/>
      <c r="W2" s="4"/>
    </row>
    <row r="3" ht="14.25" customHeight="1">
      <c r="A3" s="4"/>
      <c r="B3" s="610" t="s">
        <v>678</v>
      </c>
      <c r="C3" s="611" t="s">
        <v>679</v>
      </c>
      <c r="D3" s="615" t="s">
        <v>680</v>
      </c>
      <c r="E3" s="4"/>
      <c r="F3" s="4"/>
      <c r="G3" s="4"/>
      <c r="H3" s="4"/>
      <c r="I3" s="4"/>
      <c r="J3" s="4"/>
      <c r="K3" s="4"/>
      <c r="L3" s="4"/>
      <c r="M3" s="4"/>
      <c r="N3" s="4"/>
      <c r="O3" s="4"/>
      <c r="P3" s="4"/>
      <c r="Q3" s="4"/>
      <c r="R3" s="4"/>
      <c r="S3" s="4"/>
      <c r="T3" s="4"/>
      <c r="U3" s="4"/>
      <c r="V3" s="4"/>
      <c r="W3" s="4"/>
    </row>
    <row r="4" ht="14.25" customHeight="1">
      <c r="A4" s="4"/>
      <c r="B4" s="613">
        <v>1.0</v>
      </c>
      <c r="C4" s="600" t="s">
        <v>742</v>
      </c>
      <c r="D4" s="616" t="s">
        <v>743</v>
      </c>
      <c r="E4" s="4"/>
      <c r="F4" s="4"/>
      <c r="G4" s="4"/>
      <c r="H4" s="4"/>
      <c r="I4" s="4"/>
      <c r="J4" s="4"/>
      <c r="K4" s="4"/>
      <c r="L4" s="4"/>
      <c r="M4" s="4"/>
      <c r="N4" s="4"/>
      <c r="O4" s="4"/>
      <c r="P4" s="4"/>
      <c r="Q4" s="4"/>
      <c r="R4" s="4"/>
      <c r="S4" s="4"/>
      <c r="T4" s="4"/>
      <c r="U4" s="4"/>
      <c r="V4" s="4"/>
      <c r="W4" s="4"/>
    </row>
    <row r="5" ht="14.25" customHeight="1">
      <c r="A5" s="4"/>
      <c r="B5" s="613">
        <v>2.0</v>
      </c>
      <c r="C5" s="600" t="s">
        <v>745</v>
      </c>
      <c r="D5" s="616" t="s">
        <v>746</v>
      </c>
      <c r="E5" s="4"/>
      <c r="F5" s="4"/>
      <c r="G5" s="4"/>
      <c r="H5" s="4"/>
      <c r="I5" s="4"/>
      <c r="J5" s="4"/>
      <c r="K5" s="4"/>
      <c r="L5" s="4"/>
      <c r="M5" s="4"/>
      <c r="N5" s="4"/>
      <c r="O5" s="4"/>
      <c r="P5" s="4"/>
      <c r="Q5" s="4"/>
      <c r="R5" s="4"/>
      <c r="S5" s="4"/>
      <c r="T5" s="4"/>
      <c r="U5" s="4"/>
      <c r="V5" s="4"/>
      <c r="W5" s="4"/>
    </row>
    <row r="6" ht="14.25" customHeight="1">
      <c r="A6" s="4"/>
      <c r="B6" s="613">
        <v>3.0</v>
      </c>
      <c r="C6" s="600" t="s">
        <v>749</v>
      </c>
      <c r="D6" s="616" t="s">
        <v>750</v>
      </c>
      <c r="E6" s="4"/>
      <c r="F6" s="4"/>
      <c r="G6" s="4"/>
      <c r="H6" s="4"/>
      <c r="I6" s="4"/>
      <c r="J6" s="4"/>
      <c r="K6" s="4"/>
      <c r="L6" s="4"/>
      <c r="M6" s="4"/>
      <c r="N6" s="4"/>
      <c r="O6" s="4"/>
      <c r="P6" s="4"/>
      <c r="Q6" s="4"/>
      <c r="R6" s="4"/>
      <c r="S6" s="4"/>
      <c r="T6" s="4"/>
      <c r="U6" s="4"/>
      <c r="V6" s="4"/>
      <c r="W6" s="4"/>
    </row>
    <row r="7" ht="14.25" customHeight="1">
      <c r="A7" s="4"/>
      <c r="B7" s="613">
        <v>4.0</v>
      </c>
      <c r="C7" s="600" t="s">
        <v>752</v>
      </c>
      <c r="D7" s="616" t="s">
        <v>726</v>
      </c>
      <c r="E7" s="4"/>
      <c r="F7" s="4"/>
      <c r="G7" s="4"/>
      <c r="H7" s="4"/>
      <c r="I7" s="4"/>
      <c r="J7" s="4"/>
      <c r="K7" s="4"/>
      <c r="L7" s="4"/>
      <c r="M7" s="4"/>
      <c r="N7" s="4"/>
      <c r="O7" s="4"/>
      <c r="P7" s="4"/>
      <c r="Q7" s="4"/>
      <c r="R7" s="4"/>
      <c r="S7" s="4"/>
      <c r="T7" s="4"/>
      <c r="U7" s="4"/>
      <c r="V7" s="4"/>
      <c r="W7" s="4"/>
    </row>
    <row r="8" ht="14.25" customHeight="1">
      <c r="A8" s="4"/>
      <c r="B8" s="613">
        <v>5.0</v>
      </c>
      <c r="C8" s="600" t="s">
        <v>729</v>
      </c>
      <c r="D8" s="616" t="s">
        <v>758</v>
      </c>
      <c r="E8" s="4"/>
      <c r="F8" s="4"/>
      <c r="G8" s="4"/>
      <c r="H8" s="4"/>
      <c r="I8" s="4"/>
      <c r="J8" s="4"/>
      <c r="K8" s="4"/>
      <c r="L8" s="4"/>
      <c r="M8" s="4"/>
      <c r="N8" s="4"/>
      <c r="O8" s="4"/>
      <c r="P8" s="4"/>
      <c r="Q8" s="4"/>
      <c r="R8" s="4"/>
      <c r="S8" s="4"/>
      <c r="T8" s="4"/>
      <c r="U8" s="4"/>
      <c r="V8" s="4"/>
      <c r="W8" s="4"/>
    </row>
    <row r="9" ht="14.25" customHeight="1">
      <c r="A9" s="4"/>
      <c r="B9" s="613">
        <v>6.0</v>
      </c>
      <c r="C9" s="600" t="s">
        <v>762</v>
      </c>
      <c r="D9" s="616" t="s">
        <v>763</v>
      </c>
      <c r="E9" s="4"/>
      <c r="F9" s="4"/>
      <c r="G9" s="4"/>
      <c r="H9" s="4"/>
      <c r="I9" s="4"/>
      <c r="J9" s="4"/>
      <c r="K9" s="4"/>
      <c r="L9" s="4"/>
      <c r="M9" s="4"/>
      <c r="N9" s="4"/>
      <c r="O9" s="4"/>
      <c r="P9" s="4"/>
      <c r="Q9" s="4"/>
      <c r="R9" s="4"/>
      <c r="S9" s="4"/>
      <c r="T9" s="4"/>
      <c r="U9" s="4"/>
      <c r="V9" s="4"/>
      <c r="W9" s="4"/>
    </row>
    <row r="10" ht="14.25" customHeight="1">
      <c r="A10" s="4"/>
      <c r="B10" s="613">
        <v>7.0</v>
      </c>
      <c r="C10" s="603" t="s">
        <v>733</v>
      </c>
      <c r="D10" s="616" t="s">
        <v>764</v>
      </c>
      <c r="E10" s="4"/>
      <c r="F10" s="4"/>
      <c r="G10" s="4"/>
      <c r="H10" s="4"/>
      <c r="I10" s="4"/>
      <c r="J10" s="4"/>
      <c r="K10" s="4"/>
      <c r="L10" s="4"/>
      <c r="M10" s="4"/>
      <c r="N10" s="4"/>
      <c r="O10" s="4"/>
      <c r="P10" s="4"/>
      <c r="Q10" s="4"/>
      <c r="R10" s="4"/>
      <c r="S10" s="4"/>
      <c r="T10" s="4"/>
      <c r="U10" s="4"/>
      <c r="V10" s="4"/>
      <c r="W10" s="4"/>
    </row>
    <row r="11" ht="14.25" customHeight="1">
      <c r="A11" s="4"/>
      <c r="B11" s="613">
        <v>8.0</v>
      </c>
      <c r="C11" s="600" t="s">
        <v>681</v>
      </c>
      <c r="D11" s="616" t="s">
        <v>765</v>
      </c>
      <c r="E11" s="4"/>
      <c r="F11" s="4"/>
      <c r="G11" s="4"/>
      <c r="H11" s="4"/>
      <c r="I11" s="4"/>
      <c r="J11" s="4"/>
      <c r="K11" s="4"/>
      <c r="L11" s="4"/>
      <c r="M11" s="4"/>
      <c r="N11" s="4"/>
      <c r="O11" s="4"/>
      <c r="P11" s="4"/>
      <c r="Q11" s="4"/>
      <c r="R11" s="4"/>
      <c r="S11" s="4"/>
      <c r="T11" s="4"/>
      <c r="U11" s="4"/>
      <c r="V11" s="4"/>
      <c r="W11" s="4"/>
    </row>
    <row r="12" ht="14.25" customHeight="1">
      <c r="A12" s="4"/>
      <c r="B12" s="613">
        <v>9.0</v>
      </c>
      <c r="C12" s="600" t="s">
        <v>685</v>
      </c>
      <c r="D12" s="616" t="s">
        <v>766</v>
      </c>
      <c r="E12" s="4"/>
      <c r="F12" s="4"/>
      <c r="G12" s="4"/>
      <c r="H12" s="4"/>
      <c r="I12" s="4"/>
      <c r="J12" s="4"/>
      <c r="K12" s="4"/>
      <c r="L12" s="4"/>
      <c r="M12" s="4"/>
      <c r="N12" s="4"/>
      <c r="O12" s="4"/>
      <c r="P12" s="4"/>
      <c r="Q12" s="4"/>
      <c r="R12" s="4"/>
      <c r="S12" s="4"/>
      <c r="T12" s="4"/>
      <c r="U12" s="4"/>
      <c r="V12" s="4"/>
      <c r="W12" s="4"/>
    </row>
    <row r="13" ht="14.25" customHeight="1">
      <c r="A13" s="4"/>
      <c r="B13" s="613">
        <v>10.0</v>
      </c>
      <c r="C13" s="600" t="s">
        <v>767</v>
      </c>
      <c r="D13" s="616" t="s">
        <v>582</v>
      </c>
      <c r="E13" s="4"/>
      <c r="F13" s="4"/>
      <c r="G13" s="4"/>
      <c r="H13" s="4"/>
      <c r="I13" s="4"/>
      <c r="J13" s="4"/>
      <c r="K13" s="4"/>
      <c r="L13" s="4"/>
      <c r="M13" s="4"/>
      <c r="N13" s="4"/>
      <c r="O13" s="4"/>
      <c r="P13" s="4"/>
      <c r="Q13" s="4"/>
      <c r="R13" s="4"/>
      <c r="S13" s="4"/>
      <c r="T13" s="4"/>
      <c r="U13" s="4"/>
      <c r="V13" s="4"/>
      <c r="W13" s="4"/>
    </row>
    <row r="14" ht="14.25" customHeight="1">
      <c r="A14" s="4"/>
      <c r="B14" s="613">
        <v>11.0</v>
      </c>
      <c r="C14" s="600" t="s">
        <v>691</v>
      </c>
      <c r="D14" s="616" t="s">
        <v>768</v>
      </c>
      <c r="E14" s="4"/>
      <c r="F14" s="4"/>
      <c r="G14" s="4"/>
      <c r="H14" s="4"/>
      <c r="I14" s="4"/>
      <c r="J14" s="4"/>
      <c r="K14" s="4"/>
      <c r="L14" s="4"/>
      <c r="M14" s="4"/>
      <c r="N14" s="4"/>
      <c r="O14" s="4"/>
      <c r="P14" s="4"/>
      <c r="Q14" s="4"/>
      <c r="R14" s="4"/>
      <c r="S14" s="4"/>
      <c r="T14" s="4"/>
      <c r="U14" s="4"/>
      <c r="V14" s="4"/>
      <c r="W14" s="4"/>
    </row>
    <row r="15" ht="14.25" customHeight="1">
      <c r="A15" s="4"/>
      <c r="B15" s="613">
        <v>12.0</v>
      </c>
      <c r="C15" s="600" t="s">
        <v>693</v>
      </c>
      <c r="D15" s="616" t="s">
        <v>769</v>
      </c>
      <c r="E15" s="4"/>
      <c r="F15" s="4"/>
      <c r="G15" s="4"/>
      <c r="H15" s="4"/>
      <c r="I15" s="4"/>
      <c r="J15" s="4"/>
      <c r="K15" s="4"/>
      <c r="L15" s="4"/>
      <c r="M15" s="4"/>
      <c r="N15" s="4"/>
      <c r="O15" s="4"/>
      <c r="P15" s="4"/>
      <c r="Q15" s="4"/>
      <c r="R15" s="4"/>
      <c r="S15" s="4"/>
      <c r="T15" s="4"/>
      <c r="U15" s="4"/>
      <c r="V15" s="4"/>
      <c r="W15" s="4"/>
    </row>
    <row r="16" ht="14.25" customHeight="1">
      <c r="A16" s="4"/>
      <c r="B16" s="613">
        <v>13.0</v>
      </c>
      <c r="C16" s="600" t="s">
        <v>695</v>
      </c>
      <c r="D16" s="618" t="s">
        <v>726</v>
      </c>
      <c r="E16" s="4"/>
      <c r="F16" s="4"/>
      <c r="G16" s="4"/>
      <c r="H16" s="4"/>
      <c r="I16" s="4"/>
      <c r="J16" s="4"/>
      <c r="K16" s="4"/>
      <c r="L16" s="4"/>
      <c r="M16" s="4"/>
      <c r="N16" s="4"/>
      <c r="O16" s="4"/>
      <c r="P16" s="4"/>
      <c r="Q16" s="4"/>
      <c r="R16" s="4"/>
      <c r="S16" s="4"/>
      <c r="T16" s="4"/>
      <c r="U16" s="4"/>
      <c r="V16" s="4"/>
      <c r="W16" s="4"/>
    </row>
    <row r="17" ht="14.25" customHeight="1">
      <c r="A17" s="4"/>
      <c r="B17" s="613">
        <v>14.0</v>
      </c>
      <c r="C17" s="600" t="s">
        <v>697</v>
      </c>
      <c r="D17" s="616" t="s">
        <v>770</v>
      </c>
      <c r="E17" s="4"/>
      <c r="F17" s="4"/>
      <c r="G17" s="4"/>
      <c r="H17" s="4"/>
      <c r="I17" s="4"/>
      <c r="J17" s="4"/>
      <c r="K17" s="4"/>
      <c r="L17" s="4"/>
      <c r="M17" s="4"/>
      <c r="N17" s="4"/>
      <c r="O17" s="4"/>
      <c r="P17" s="4"/>
      <c r="Q17" s="4"/>
      <c r="R17" s="4"/>
      <c r="S17" s="4"/>
      <c r="T17" s="4"/>
      <c r="U17" s="4"/>
      <c r="V17" s="4"/>
      <c r="W17" s="4"/>
    </row>
    <row r="18" ht="14.25" customHeight="1">
      <c r="A18" s="4"/>
      <c r="B18" s="613">
        <v>15.0</v>
      </c>
      <c r="C18" s="600" t="s">
        <v>699</v>
      </c>
      <c r="D18" s="616" t="s">
        <v>771</v>
      </c>
      <c r="E18" s="4"/>
      <c r="F18" s="4"/>
      <c r="G18" s="4"/>
      <c r="H18" s="4"/>
      <c r="I18" s="4"/>
      <c r="J18" s="4"/>
      <c r="K18" s="4"/>
      <c r="L18" s="4"/>
      <c r="M18" s="4"/>
      <c r="N18" s="4"/>
      <c r="O18" s="4"/>
      <c r="P18" s="4"/>
      <c r="Q18" s="4"/>
      <c r="R18" s="4"/>
      <c r="S18" s="4"/>
      <c r="T18" s="4"/>
      <c r="U18" s="4"/>
      <c r="V18" s="4"/>
      <c r="W18" s="4"/>
    </row>
    <row r="19" ht="14.25" customHeight="1">
      <c r="A19" s="4"/>
      <c r="B19" s="613">
        <v>16.0</v>
      </c>
      <c r="C19" s="600" t="s">
        <v>772</v>
      </c>
      <c r="D19" s="618" t="s">
        <v>726</v>
      </c>
      <c r="E19" s="4"/>
      <c r="F19" s="4"/>
      <c r="G19" s="4"/>
      <c r="H19" s="4"/>
      <c r="I19" s="4"/>
      <c r="J19" s="4"/>
      <c r="K19" s="4"/>
      <c r="L19" s="4"/>
      <c r="M19" s="4"/>
      <c r="N19" s="4"/>
      <c r="O19" s="4"/>
      <c r="P19" s="4"/>
      <c r="Q19" s="4"/>
      <c r="R19" s="4"/>
      <c r="S19" s="4"/>
      <c r="T19" s="4"/>
      <c r="U19" s="4"/>
      <c r="V19" s="4"/>
      <c r="W19" s="4"/>
    </row>
    <row r="20" ht="14.25" customHeight="1">
      <c r="A20" s="602"/>
      <c r="B20" s="613">
        <v>17.0</v>
      </c>
      <c r="C20" s="603" t="s">
        <v>702</v>
      </c>
      <c r="D20" s="616" t="s">
        <v>773</v>
      </c>
      <c r="E20" s="602"/>
      <c r="F20" s="602"/>
      <c r="G20" s="602"/>
      <c r="H20" s="602"/>
      <c r="I20" s="602"/>
      <c r="J20" s="602"/>
      <c r="K20" s="602"/>
      <c r="L20" s="602"/>
      <c r="M20" s="602"/>
      <c r="N20" s="602"/>
      <c r="O20" s="602"/>
      <c r="P20" s="602"/>
      <c r="Q20" s="602"/>
      <c r="R20" s="602"/>
      <c r="S20" s="602"/>
      <c r="T20" s="602"/>
      <c r="U20" s="602"/>
      <c r="V20" s="602"/>
      <c r="W20" s="602"/>
    </row>
    <row r="21" ht="14.25" customHeight="1">
      <c r="B21" s="613">
        <v>18.0</v>
      </c>
      <c r="C21" s="600" t="s">
        <v>711</v>
      </c>
      <c r="D21" s="616" t="s">
        <v>774</v>
      </c>
    </row>
    <row r="22" ht="14.25" customHeight="1">
      <c r="B22" s="613">
        <v>19.0</v>
      </c>
      <c r="C22" s="600" t="s">
        <v>775</v>
      </c>
      <c r="D22" s="616" t="s">
        <v>776</v>
      </c>
    </row>
    <row r="23" ht="14.25" customHeight="1">
      <c r="B23" s="613">
        <v>20.0</v>
      </c>
      <c r="C23" s="600" t="s">
        <v>777</v>
      </c>
      <c r="D23" s="616" t="s">
        <v>778</v>
      </c>
    </row>
    <row r="24" ht="14.25" customHeight="1">
      <c r="B24" s="613">
        <v>21.0</v>
      </c>
      <c r="C24" s="600" t="s">
        <v>779</v>
      </c>
      <c r="D24" s="616" t="s">
        <v>780</v>
      </c>
    </row>
    <row r="25" ht="14.25" customHeight="1">
      <c r="B25" s="613">
        <v>22.0</v>
      </c>
      <c r="C25" s="600" t="s">
        <v>781</v>
      </c>
      <c r="D25" s="618" t="s">
        <v>726</v>
      </c>
    </row>
    <row r="26" ht="14.25" customHeight="1">
      <c r="B26" s="613">
        <v>23.0</v>
      </c>
      <c r="C26" s="600" t="s">
        <v>782</v>
      </c>
      <c r="D26" s="616" t="s">
        <v>783</v>
      </c>
    </row>
    <row r="27" ht="14.25" customHeight="1">
      <c r="B27" s="613">
        <v>24.0</v>
      </c>
      <c r="C27" s="600" t="s">
        <v>784</v>
      </c>
      <c r="D27" s="616" t="s">
        <v>720</v>
      </c>
    </row>
    <row r="28" ht="14.25" customHeight="1">
      <c r="B28" s="613">
        <v>25.0</v>
      </c>
      <c r="C28" s="600" t="s">
        <v>785</v>
      </c>
      <c r="D28" s="616" t="s">
        <v>786</v>
      </c>
    </row>
    <row r="29" ht="14.25" customHeight="1">
      <c r="B29" s="613">
        <v>26.0</v>
      </c>
      <c r="C29" s="600" t="s">
        <v>787</v>
      </c>
      <c r="D29" s="618" t="s">
        <v>726</v>
      </c>
    </row>
    <row r="30" ht="33.75" customHeight="1">
      <c r="B30" s="613">
        <v>27.0</v>
      </c>
      <c r="C30" s="600" t="s">
        <v>788</v>
      </c>
      <c r="D30" s="618" t="s">
        <v>726</v>
      </c>
    </row>
    <row r="31" ht="14.25" customHeight="1">
      <c r="D31" s="4"/>
    </row>
    <row r="32" ht="14.25" customHeight="1">
      <c r="D32" s="4"/>
    </row>
    <row r="33" ht="14.25" customHeight="1">
      <c r="D33" s="4"/>
    </row>
    <row r="34" ht="14.25" customHeight="1">
      <c r="D34" s="4"/>
    </row>
    <row r="35" ht="14.25" customHeight="1">
      <c r="D35" s="4"/>
    </row>
    <row r="36" ht="14.25" customHeight="1">
      <c r="D36" s="4"/>
    </row>
    <row r="37" ht="14.25" customHeight="1">
      <c r="D37" s="4"/>
    </row>
    <row r="38" ht="14.25" customHeight="1">
      <c r="D38" s="4"/>
    </row>
    <row r="39" ht="14.25" customHeight="1">
      <c r="D39" s="4"/>
    </row>
    <row r="40" ht="14.25" customHeight="1">
      <c r="D40" s="4"/>
    </row>
    <row r="41" ht="14.25" customHeight="1">
      <c r="D41" s="4"/>
    </row>
    <row r="42" ht="14.25" customHeight="1">
      <c r="D42" s="4"/>
    </row>
    <row r="43" ht="14.25" customHeight="1">
      <c r="D43" s="4"/>
    </row>
    <row r="44" ht="14.25" customHeight="1">
      <c r="D44" s="4"/>
    </row>
    <row r="45" ht="14.25" customHeight="1">
      <c r="D45" s="4"/>
    </row>
    <row r="46" ht="14.25" customHeight="1">
      <c r="D46" s="4"/>
    </row>
    <row r="47" ht="14.25" customHeight="1">
      <c r="D47" s="4"/>
    </row>
    <row r="48" ht="14.25" customHeight="1">
      <c r="D48" s="4"/>
    </row>
    <row r="49" ht="14.25" customHeight="1">
      <c r="D49" s="4"/>
    </row>
    <row r="50" ht="14.25" customHeight="1">
      <c r="D50" s="4"/>
    </row>
    <row r="51" ht="14.25" customHeight="1">
      <c r="D51" s="4"/>
    </row>
    <row r="52" ht="14.25" customHeight="1">
      <c r="D52" s="4"/>
    </row>
    <row r="53" ht="14.25" customHeight="1">
      <c r="D53" s="4"/>
    </row>
    <row r="54" ht="14.25" customHeight="1">
      <c r="D54" s="4"/>
    </row>
    <row r="55" ht="14.25" customHeight="1">
      <c r="D55" s="4"/>
    </row>
    <row r="56" ht="14.25" customHeight="1">
      <c r="D56" s="4"/>
    </row>
    <row r="57" ht="14.25" customHeight="1">
      <c r="D57" s="4"/>
    </row>
    <row r="58" ht="14.25" customHeight="1">
      <c r="D58" s="4"/>
    </row>
    <row r="59" ht="14.25" customHeight="1">
      <c r="D59" s="4"/>
    </row>
    <row r="60" ht="14.25" customHeight="1">
      <c r="D60" s="4"/>
    </row>
    <row r="61" ht="14.25" customHeight="1">
      <c r="D61" s="4"/>
    </row>
    <row r="62" ht="14.25" customHeight="1">
      <c r="D62" s="4"/>
    </row>
    <row r="63" ht="14.25" customHeight="1">
      <c r="D63" s="4"/>
    </row>
    <row r="64" ht="14.25" customHeight="1">
      <c r="D64" s="4"/>
    </row>
    <row r="65" ht="14.25" customHeight="1">
      <c r="D65" s="4"/>
    </row>
    <row r="66" ht="14.25" customHeight="1">
      <c r="D66" s="4"/>
    </row>
    <row r="67" ht="14.25" customHeight="1">
      <c r="D67" s="4"/>
    </row>
    <row r="68" ht="14.25" customHeight="1">
      <c r="D68" s="4"/>
    </row>
    <row r="69" ht="14.25" customHeight="1">
      <c r="D69" s="4"/>
    </row>
    <row r="70" ht="14.25" customHeight="1">
      <c r="D70" s="4"/>
    </row>
    <row r="71" ht="14.25" customHeight="1">
      <c r="D71" s="4"/>
    </row>
    <row r="72" ht="14.25" customHeight="1">
      <c r="D72" s="4"/>
    </row>
    <row r="73" ht="14.25" customHeight="1">
      <c r="D73" s="4"/>
    </row>
    <row r="74" ht="14.25" customHeight="1">
      <c r="D74" s="4"/>
    </row>
    <row r="75" ht="14.25" customHeight="1">
      <c r="D75" s="4"/>
    </row>
    <row r="76" ht="14.25" customHeight="1">
      <c r="D76" s="4"/>
    </row>
    <row r="77" ht="14.25" customHeight="1">
      <c r="D77" s="4"/>
    </row>
    <row r="78" ht="14.25" customHeight="1">
      <c r="D78" s="4"/>
    </row>
    <row r="79" ht="14.25" customHeight="1">
      <c r="D79" s="4"/>
    </row>
    <row r="80" ht="14.25" customHeight="1">
      <c r="D80" s="4"/>
    </row>
    <row r="81" ht="14.25" customHeight="1">
      <c r="D81" s="4"/>
    </row>
    <row r="82" ht="14.25" customHeight="1">
      <c r="D82" s="4"/>
    </row>
    <row r="83" ht="14.25" customHeight="1">
      <c r="D83" s="4"/>
    </row>
    <row r="84" ht="14.25" customHeight="1">
      <c r="D84" s="4"/>
    </row>
    <row r="85" ht="14.25" customHeight="1">
      <c r="D85" s="4"/>
    </row>
    <row r="86" ht="14.25" customHeight="1">
      <c r="D86" s="4"/>
    </row>
    <row r="87" ht="14.25" customHeight="1">
      <c r="D87" s="4"/>
    </row>
    <row r="88" ht="14.25" customHeight="1">
      <c r="D88" s="4"/>
    </row>
    <row r="89" ht="14.25" customHeight="1">
      <c r="D89" s="4"/>
    </row>
    <row r="90" ht="14.25" customHeight="1">
      <c r="D90" s="4"/>
    </row>
    <row r="91" ht="14.25" customHeight="1">
      <c r="D91" s="4"/>
    </row>
    <row r="92" ht="14.25" customHeight="1">
      <c r="D92" s="4"/>
    </row>
    <row r="93" ht="14.25" customHeight="1">
      <c r="D93" s="4"/>
    </row>
    <row r="94" ht="14.25" customHeight="1">
      <c r="D94" s="4"/>
    </row>
    <row r="95" ht="14.25" customHeight="1">
      <c r="D95" s="4"/>
    </row>
    <row r="96" ht="14.25" customHeight="1">
      <c r="D96" s="4"/>
    </row>
    <row r="97" ht="14.25" customHeight="1">
      <c r="D97" s="4"/>
    </row>
    <row r="98" ht="14.25" customHeight="1">
      <c r="D98" s="4"/>
    </row>
    <row r="99" ht="14.25" customHeight="1">
      <c r="D99" s="4"/>
    </row>
    <row r="100" ht="14.25" customHeight="1">
      <c r="D100" s="4"/>
    </row>
    <row r="101" ht="14.25" customHeight="1">
      <c r="D101" s="4"/>
    </row>
    <row r="102" ht="14.25" customHeight="1">
      <c r="D102" s="4"/>
    </row>
    <row r="103" ht="14.25" customHeight="1">
      <c r="D103" s="4"/>
    </row>
    <row r="104" ht="14.25" customHeight="1">
      <c r="D104" s="4"/>
    </row>
    <row r="105" ht="14.25" customHeight="1">
      <c r="D105" s="4"/>
    </row>
    <row r="106" ht="14.25" customHeight="1">
      <c r="D106" s="4"/>
    </row>
    <row r="107" ht="14.25" customHeight="1">
      <c r="D107" s="4"/>
    </row>
    <row r="108" ht="14.25" customHeight="1">
      <c r="D108" s="4"/>
    </row>
    <row r="109" ht="14.25" customHeight="1">
      <c r="D109" s="4"/>
    </row>
    <row r="110" ht="14.25" customHeight="1">
      <c r="D110" s="4"/>
    </row>
    <row r="111" ht="14.25" customHeight="1">
      <c r="D111" s="4"/>
    </row>
    <row r="112" ht="14.25" customHeight="1">
      <c r="D112" s="4"/>
    </row>
    <row r="113" ht="14.25" customHeight="1">
      <c r="D113" s="4"/>
    </row>
    <row r="114" ht="14.25" customHeight="1">
      <c r="D114" s="4"/>
    </row>
    <row r="115" ht="14.25" customHeight="1">
      <c r="D115" s="4"/>
    </row>
    <row r="116" ht="14.25" customHeight="1">
      <c r="D116" s="4"/>
    </row>
    <row r="117" ht="14.25" customHeight="1">
      <c r="D117" s="4"/>
    </row>
    <row r="118" ht="14.25" customHeight="1">
      <c r="D118" s="4"/>
    </row>
    <row r="119" ht="14.25" customHeight="1">
      <c r="D119" s="4"/>
    </row>
    <row r="120" ht="14.25" customHeight="1">
      <c r="D120" s="4"/>
    </row>
    <row r="121" ht="14.25" customHeight="1">
      <c r="D121" s="4"/>
    </row>
    <row r="122" ht="14.25" customHeight="1">
      <c r="D122" s="4"/>
    </row>
    <row r="123" ht="14.25" customHeight="1">
      <c r="D123" s="4"/>
    </row>
    <row r="124" ht="14.25" customHeight="1">
      <c r="D124" s="4"/>
    </row>
    <row r="125" ht="14.25" customHeight="1">
      <c r="D125" s="4"/>
    </row>
    <row r="126" ht="14.25" customHeight="1">
      <c r="D126" s="4"/>
    </row>
    <row r="127" ht="14.25" customHeight="1">
      <c r="D127" s="4"/>
    </row>
    <row r="128" ht="14.25" customHeight="1">
      <c r="D128" s="4"/>
    </row>
    <row r="129" ht="14.25" customHeight="1">
      <c r="D129" s="4"/>
    </row>
    <row r="130" ht="14.25" customHeight="1">
      <c r="D130" s="4"/>
    </row>
    <row r="131" ht="14.25" customHeight="1">
      <c r="D131" s="4"/>
    </row>
    <row r="132" ht="14.25" customHeight="1">
      <c r="D132" s="4"/>
    </row>
    <row r="133" ht="14.25" customHeight="1">
      <c r="D133" s="4"/>
    </row>
    <row r="134" ht="14.25" customHeight="1">
      <c r="D134" s="4"/>
    </row>
    <row r="135" ht="14.25" customHeight="1">
      <c r="D135" s="4"/>
    </row>
    <row r="136" ht="14.25" customHeight="1">
      <c r="D136" s="4"/>
    </row>
    <row r="137" ht="14.25" customHeight="1">
      <c r="D137" s="4"/>
    </row>
    <row r="138" ht="14.25" customHeight="1">
      <c r="D138" s="4"/>
    </row>
    <row r="139" ht="14.25" customHeight="1">
      <c r="D139" s="4"/>
    </row>
    <row r="140" ht="14.25" customHeight="1">
      <c r="D140" s="4"/>
    </row>
    <row r="141" ht="14.25" customHeight="1">
      <c r="D141" s="4"/>
    </row>
    <row r="142" ht="14.25" customHeight="1">
      <c r="D142" s="4"/>
    </row>
    <row r="143" ht="14.25" customHeight="1">
      <c r="D143" s="4"/>
    </row>
    <row r="144" ht="14.25" customHeight="1">
      <c r="D144" s="4"/>
    </row>
    <row r="145" ht="14.25" customHeight="1">
      <c r="D145" s="4"/>
    </row>
    <row r="146" ht="14.25" customHeight="1">
      <c r="D146" s="4"/>
    </row>
    <row r="147" ht="14.25" customHeight="1">
      <c r="D147" s="4"/>
    </row>
    <row r="148" ht="14.25" customHeight="1">
      <c r="D148" s="4"/>
    </row>
    <row r="149" ht="14.25" customHeight="1">
      <c r="D149" s="4"/>
    </row>
    <row r="150" ht="14.25" customHeight="1">
      <c r="D150" s="4"/>
    </row>
    <row r="151" ht="14.25" customHeight="1">
      <c r="D151" s="4"/>
    </row>
    <row r="152" ht="14.25" customHeight="1">
      <c r="D152" s="4"/>
    </row>
    <row r="153" ht="14.25" customHeight="1">
      <c r="D153" s="4"/>
    </row>
    <row r="154" ht="14.25" customHeight="1">
      <c r="D154" s="4"/>
    </row>
    <row r="155" ht="14.25" customHeight="1">
      <c r="D155" s="4"/>
    </row>
    <row r="156" ht="14.25" customHeight="1">
      <c r="D156" s="4"/>
    </row>
    <row r="157" ht="14.25" customHeight="1">
      <c r="D157" s="4"/>
    </row>
    <row r="158" ht="14.25" customHeight="1">
      <c r="D158" s="4"/>
    </row>
    <row r="159" ht="14.25" customHeight="1">
      <c r="D159" s="4"/>
    </row>
    <row r="160" ht="14.25" customHeight="1">
      <c r="D160" s="4"/>
    </row>
    <row r="161" ht="14.25" customHeight="1">
      <c r="D161" s="4"/>
    </row>
    <row r="162" ht="14.25" customHeight="1">
      <c r="D162" s="4"/>
    </row>
    <row r="163" ht="14.25" customHeight="1">
      <c r="D163" s="4"/>
    </row>
    <row r="164" ht="14.25" customHeight="1">
      <c r="D164" s="4"/>
    </row>
    <row r="165" ht="14.25" customHeight="1">
      <c r="D165" s="4"/>
    </row>
    <row r="166" ht="14.25" customHeight="1">
      <c r="D166" s="4"/>
    </row>
    <row r="167" ht="14.25" customHeight="1">
      <c r="D167" s="4"/>
    </row>
    <row r="168" ht="14.25" customHeight="1">
      <c r="D168" s="4"/>
    </row>
    <row r="169" ht="14.25" customHeight="1">
      <c r="D169" s="4"/>
    </row>
    <row r="170" ht="14.25" customHeight="1">
      <c r="D170" s="4"/>
    </row>
    <row r="171" ht="14.25" customHeight="1">
      <c r="D171" s="4"/>
    </row>
    <row r="172" ht="14.25" customHeight="1">
      <c r="D172" s="4"/>
    </row>
    <row r="173" ht="14.25" customHeight="1">
      <c r="D173" s="4"/>
    </row>
    <row r="174" ht="14.25" customHeight="1">
      <c r="D174" s="4"/>
    </row>
    <row r="175" ht="14.25" customHeight="1">
      <c r="D175" s="4"/>
    </row>
    <row r="176" ht="14.25" customHeight="1">
      <c r="D176" s="4"/>
    </row>
    <row r="177" ht="14.25" customHeight="1">
      <c r="D177" s="4"/>
    </row>
    <row r="178" ht="14.25" customHeight="1">
      <c r="D178" s="4"/>
    </row>
    <row r="179" ht="14.25" customHeight="1">
      <c r="D179" s="4"/>
    </row>
    <row r="180" ht="14.25" customHeight="1">
      <c r="D180" s="4"/>
    </row>
    <row r="181" ht="14.25" customHeight="1">
      <c r="D181" s="4"/>
    </row>
    <row r="182" ht="14.25" customHeight="1">
      <c r="D182" s="4"/>
    </row>
    <row r="183" ht="14.25" customHeight="1">
      <c r="D183" s="4"/>
    </row>
    <row r="184" ht="14.25" customHeight="1">
      <c r="D184" s="4"/>
    </row>
    <row r="185" ht="14.25" customHeight="1">
      <c r="D185" s="4"/>
    </row>
    <row r="186" ht="14.25" customHeight="1">
      <c r="D186" s="4"/>
    </row>
    <row r="187" ht="14.25" customHeight="1">
      <c r="D187" s="4"/>
    </row>
    <row r="188" ht="14.25" customHeight="1">
      <c r="D188" s="4"/>
    </row>
    <row r="189" ht="14.25" customHeight="1">
      <c r="D189" s="4"/>
    </row>
    <row r="190" ht="14.25" customHeight="1">
      <c r="D190" s="4"/>
    </row>
    <row r="191" ht="14.25" customHeight="1">
      <c r="D191" s="4"/>
    </row>
    <row r="192" ht="14.25" customHeight="1">
      <c r="D192" s="4"/>
    </row>
    <row r="193" ht="14.25" customHeight="1">
      <c r="D193" s="4"/>
    </row>
    <row r="194" ht="14.25" customHeight="1">
      <c r="D194" s="4"/>
    </row>
    <row r="195" ht="14.25" customHeight="1">
      <c r="D195" s="4"/>
    </row>
    <row r="196" ht="14.25" customHeight="1">
      <c r="D196" s="4"/>
    </row>
    <row r="197" ht="14.25" customHeight="1">
      <c r="D197" s="4"/>
    </row>
    <row r="198" ht="14.25" customHeight="1">
      <c r="D198" s="4"/>
    </row>
    <row r="199" ht="14.25" customHeight="1">
      <c r="D199" s="4"/>
    </row>
    <row r="200" ht="14.25" customHeight="1">
      <c r="D200" s="4"/>
    </row>
    <row r="201" ht="14.25" customHeight="1">
      <c r="D201" s="4"/>
    </row>
    <row r="202" ht="14.25" customHeight="1">
      <c r="D202" s="4"/>
    </row>
    <row r="203" ht="14.25" customHeight="1">
      <c r="D203" s="4"/>
    </row>
    <row r="204" ht="14.25" customHeight="1">
      <c r="D204" s="4"/>
    </row>
    <row r="205" ht="14.25" customHeight="1">
      <c r="D205" s="4"/>
    </row>
    <row r="206" ht="14.25" customHeight="1">
      <c r="D206" s="4"/>
    </row>
    <row r="207" ht="14.25" customHeight="1">
      <c r="D207" s="4"/>
    </row>
    <row r="208" ht="14.25" customHeight="1">
      <c r="D208" s="4"/>
    </row>
    <row r="209" ht="14.25" customHeight="1">
      <c r="D209" s="4"/>
    </row>
    <row r="210" ht="14.25" customHeight="1">
      <c r="D210" s="4"/>
    </row>
    <row r="211" ht="14.25" customHeight="1">
      <c r="D211" s="4"/>
    </row>
    <row r="212" ht="14.25" customHeight="1">
      <c r="D212" s="4"/>
    </row>
    <row r="213" ht="14.25" customHeight="1">
      <c r="D213" s="4"/>
    </row>
    <row r="214" ht="14.25" customHeight="1">
      <c r="D214" s="4"/>
    </row>
    <row r="215" ht="14.25" customHeight="1">
      <c r="D215" s="4"/>
    </row>
    <row r="216" ht="14.25" customHeight="1">
      <c r="D216" s="4"/>
    </row>
    <row r="217" ht="14.25" customHeight="1">
      <c r="D217" s="4"/>
    </row>
    <row r="218" ht="14.25" customHeight="1">
      <c r="D218" s="4"/>
    </row>
    <row r="219" ht="14.25" customHeight="1">
      <c r="D219" s="4"/>
    </row>
    <row r="220" ht="14.25" customHeight="1">
      <c r="D220" s="4"/>
    </row>
    <row r="221" ht="14.25" customHeight="1">
      <c r="D221" s="4"/>
    </row>
    <row r="222" ht="14.25" customHeight="1">
      <c r="D222" s="4"/>
    </row>
    <row r="223" ht="14.25" customHeight="1">
      <c r="D223" s="4"/>
    </row>
    <row r="224" ht="14.25" customHeight="1">
      <c r="D224" s="4"/>
    </row>
    <row r="225" ht="14.25" customHeight="1">
      <c r="D225" s="4"/>
    </row>
    <row r="226" ht="14.25" customHeight="1">
      <c r="D226" s="4"/>
    </row>
    <row r="227" ht="14.25" customHeight="1">
      <c r="D227" s="4"/>
    </row>
    <row r="228" ht="14.25" customHeight="1">
      <c r="D228" s="4"/>
    </row>
    <row r="229" ht="14.25" customHeight="1">
      <c r="D229" s="4"/>
    </row>
    <row r="230" ht="14.25" customHeight="1">
      <c r="D230" s="4"/>
    </row>
    <row r="231" ht="14.25" customHeight="1">
      <c r="D231" s="4"/>
    </row>
    <row r="232" ht="14.25" customHeight="1">
      <c r="D232" s="4"/>
    </row>
    <row r="233" ht="14.25" customHeight="1">
      <c r="D233" s="4"/>
    </row>
    <row r="234" ht="14.25" customHeight="1">
      <c r="D234" s="4"/>
    </row>
    <row r="235" ht="14.25" customHeight="1">
      <c r="D235" s="4"/>
    </row>
    <row r="236" ht="14.25" customHeight="1">
      <c r="D236" s="4"/>
    </row>
    <row r="237" ht="14.25" customHeight="1">
      <c r="D237" s="4"/>
    </row>
    <row r="238" ht="14.25" customHeight="1">
      <c r="D238" s="4"/>
    </row>
    <row r="239" ht="14.25" customHeight="1">
      <c r="D239" s="4"/>
    </row>
    <row r="240" ht="14.25" customHeight="1">
      <c r="D240" s="4"/>
    </row>
    <row r="241" ht="14.25" customHeight="1">
      <c r="D241" s="4"/>
    </row>
    <row r="242" ht="14.25" customHeight="1">
      <c r="D242" s="4"/>
    </row>
    <row r="243" ht="14.25" customHeight="1">
      <c r="D243" s="4"/>
    </row>
    <row r="244" ht="14.25" customHeight="1">
      <c r="D244" s="4"/>
    </row>
    <row r="245" ht="14.25" customHeight="1">
      <c r="D245" s="4"/>
    </row>
    <row r="246" ht="14.25" customHeight="1">
      <c r="D246" s="4"/>
    </row>
    <row r="247" ht="14.25" customHeight="1">
      <c r="D247" s="4"/>
    </row>
    <row r="248" ht="14.25" customHeight="1">
      <c r="D248" s="4"/>
    </row>
    <row r="249" ht="14.25" customHeight="1">
      <c r="D249" s="4"/>
    </row>
    <row r="250" ht="14.25" customHeight="1">
      <c r="D250" s="4"/>
    </row>
    <row r="251" ht="14.25" customHeight="1">
      <c r="D251" s="4"/>
    </row>
    <row r="252" ht="14.25" customHeight="1">
      <c r="D252" s="4"/>
    </row>
    <row r="253" ht="14.25" customHeight="1">
      <c r="D253" s="4"/>
    </row>
    <row r="254" ht="14.25" customHeight="1">
      <c r="D254" s="4"/>
    </row>
    <row r="255" ht="14.25" customHeight="1">
      <c r="D255" s="4"/>
    </row>
    <row r="256" ht="14.25" customHeight="1">
      <c r="D256" s="4"/>
    </row>
    <row r="257" ht="14.25" customHeight="1">
      <c r="D257" s="4"/>
    </row>
    <row r="258" ht="14.25" customHeight="1">
      <c r="D258" s="4"/>
    </row>
    <row r="259" ht="14.25" customHeight="1">
      <c r="D259" s="4"/>
    </row>
    <row r="260" ht="14.25" customHeight="1">
      <c r="D260" s="4"/>
    </row>
    <row r="261" ht="14.25" customHeight="1">
      <c r="D261" s="4"/>
    </row>
    <row r="262" ht="14.25" customHeight="1">
      <c r="D262" s="4"/>
    </row>
    <row r="263" ht="14.25" customHeight="1">
      <c r="D263" s="4"/>
    </row>
    <row r="264" ht="14.25" customHeight="1">
      <c r="D264" s="4"/>
    </row>
    <row r="265" ht="14.25" customHeight="1">
      <c r="D265" s="4"/>
    </row>
    <row r="266" ht="14.25" customHeight="1">
      <c r="D266" s="4"/>
    </row>
    <row r="267" ht="14.25" customHeight="1">
      <c r="D267" s="4"/>
    </row>
    <row r="268" ht="14.25" customHeight="1">
      <c r="D268" s="4"/>
    </row>
    <row r="269" ht="14.25" customHeight="1">
      <c r="D269" s="4"/>
    </row>
    <row r="270" ht="14.25" customHeight="1">
      <c r="D270" s="4"/>
    </row>
    <row r="271" ht="14.25" customHeight="1">
      <c r="D271" s="4"/>
    </row>
    <row r="272" ht="14.25" customHeight="1">
      <c r="D272" s="4"/>
    </row>
    <row r="273" ht="14.25" customHeight="1">
      <c r="D273" s="4"/>
    </row>
    <row r="274" ht="14.25" customHeight="1">
      <c r="D274" s="4"/>
    </row>
    <row r="275" ht="14.25" customHeight="1">
      <c r="D275" s="4"/>
    </row>
    <row r="276" ht="14.25" customHeight="1">
      <c r="D276" s="4"/>
    </row>
    <row r="277" ht="14.25" customHeight="1">
      <c r="D277" s="4"/>
    </row>
    <row r="278" ht="14.25" customHeight="1">
      <c r="D278" s="4"/>
    </row>
    <row r="279" ht="14.25" customHeight="1">
      <c r="D279" s="4"/>
    </row>
    <row r="280" ht="14.25" customHeight="1">
      <c r="D280" s="4"/>
    </row>
    <row r="281" ht="14.25" customHeight="1">
      <c r="D281" s="4"/>
    </row>
    <row r="282" ht="14.25" customHeight="1">
      <c r="D282" s="4"/>
    </row>
    <row r="283" ht="14.25" customHeight="1">
      <c r="D283" s="4"/>
    </row>
    <row r="284" ht="14.25" customHeight="1">
      <c r="D284" s="4"/>
    </row>
    <row r="285" ht="14.25" customHeight="1">
      <c r="D285" s="4"/>
    </row>
    <row r="286" ht="14.25" customHeight="1">
      <c r="D286" s="4"/>
    </row>
    <row r="287" ht="14.25" customHeight="1">
      <c r="D287" s="4"/>
    </row>
    <row r="288" ht="14.25" customHeight="1">
      <c r="D288" s="4"/>
    </row>
    <row r="289" ht="14.25" customHeight="1">
      <c r="D289" s="4"/>
    </row>
    <row r="290" ht="14.25" customHeight="1">
      <c r="D290" s="4"/>
    </row>
    <row r="291" ht="14.25" customHeight="1">
      <c r="D291" s="4"/>
    </row>
    <row r="292" ht="14.25" customHeight="1">
      <c r="D292" s="4"/>
    </row>
    <row r="293" ht="14.25" customHeight="1">
      <c r="D293" s="4"/>
    </row>
    <row r="294" ht="14.25" customHeight="1">
      <c r="D294" s="4"/>
    </row>
    <row r="295" ht="14.25" customHeight="1">
      <c r="D295" s="4"/>
    </row>
    <row r="296" ht="14.25" customHeight="1">
      <c r="D296" s="4"/>
    </row>
    <row r="297" ht="14.25" customHeight="1">
      <c r="D297" s="4"/>
    </row>
    <row r="298" ht="14.25" customHeight="1">
      <c r="D298" s="4"/>
    </row>
    <row r="299" ht="14.25" customHeight="1">
      <c r="D299" s="4"/>
    </row>
    <row r="300" ht="14.25" customHeight="1">
      <c r="D300" s="4"/>
    </row>
    <row r="301" ht="14.25" customHeight="1">
      <c r="D301" s="4"/>
    </row>
    <row r="302" ht="14.25" customHeight="1">
      <c r="D302" s="4"/>
    </row>
    <row r="303" ht="14.25" customHeight="1">
      <c r="D303" s="4"/>
    </row>
    <row r="304" ht="14.25" customHeight="1">
      <c r="D304" s="4"/>
    </row>
    <row r="305" ht="14.25" customHeight="1">
      <c r="D305" s="4"/>
    </row>
    <row r="306" ht="14.25" customHeight="1">
      <c r="D306" s="4"/>
    </row>
    <row r="307" ht="14.25" customHeight="1">
      <c r="D307" s="4"/>
    </row>
    <row r="308" ht="14.25" customHeight="1">
      <c r="D308" s="4"/>
    </row>
    <row r="309" ht="14.25" customHeight="1">
      <c r="D309" s="4"/>
    </row>
    <row r="310" ht="14.25" customHeight="1">
      <c r="D310" s="4"/>
    </row>
    <row r="311" ht="14.25" customHeight="1">
      <c r="D311" s="4"/>
    </row>
    <row r="312" ht="14.25" customHeight="1">
      <c r="D312" s="4"/>
    </row>
    <row r="313" ht="14.25" customHeight="1">
      <c r="D313" s="4"/>
    </row>
    <row r="314" ht="14.25" customHeight="1">
      <c r="D314" s="4"/>
    </row>
    <row r="315" ht="14.25" customHeight="1">
      <c r="D315" s="4"/>
    </row>
    <row r="316" ht="14.25" customHeight="1">
      <c r="D316" s="4"/>
    </row>
    <row r="317" ht="14.25" customHeight="1">
      <c r="D317" s="4"/>
    </row>
    <row r="318" ht="14.25" customHeight="1">
      <c r="D318" s="4"/>
    </row>
    <row r="319" ht="14.25" customHeight="1">
      <c r="D319" s="4"/>
    </row>
    <row r="320" ht="14.25" customHeight="1">
      <c r="D320" s="4"/>
    </row>
    <row r="321" ht="14.25" customHeight="1">
      <c r="D321" s="4"/>
    </row>
    <row r="322" ht="14.25" customHeight="1">
      <c r="D322" s="4"/>
    </row>
    <row r="323" ht="14.25" customHeight="1">
      <c r="D323" s="4"/>
    </row>
    <row r="324" ht="14.25" customHeight="1">
      <c r="D324" s="4"/>
    </row>
    <row r="325" ht="14.25" customHeight="1">
      <c r="D325" s="4"/>
    </row>
    <row r="326" ht="14.25" customHeight="1">
      <c r="D326" s="4"/>
    </row>
    <row r="327" ht="14.25" customHeight="1">
      <c r="D327" s="4"/>
    </row>
    <row r="328" ht="14.25" customHeight="1">
      <c r="D328" s="4"/>
    </row>
    <row r="329" ht="14.25" customHeight="1">
      <c r="D329" s="4"/>
    </row>
    <row r="330" ht="14.25" customHeight="1">
      <c r="D330" s="4"/>
    </row>
    <row r="331" ht="14.25" customHeight="1">
      <c r="D331" s="4"/>
    </row>
    <row r="332" ht="14.25" customHeight="1">
      <c r="D332" s="4"/>
    </row>
    <row r="333" ht="14.25" customHeight="1">
      <c r="D333" s="4"/>
    </row>
    <row r="334" ht="14.25" customHeight="1">
      <c r="D334" s="4"/>
    </row>
    <row r="335" ht="14.25" customHeight="1">
      <c r="D335" s="4"/>
    </row>
    <row r="336" ht="14.25" customHeight="1">
      <c r="D336" s="4"/>
    </row>
    <row r="337" ht="14.25" customHeight="1">
      <c r="D337" s="4"/>
    </row>
    <row r="338" ht="14.25" customHeight="1">
      <c r="D338" s="4"/>
    </row>
    <row r="339" ht="14.25" customHeight="1">
      <c r="D339" s="4"/>
    </row>
    <row r="340" ht="14.25" customHeight="1">
      <c r="D340" s="4"/>
    </row>
    <row r="341" ht="14.25" customHeight="1">
      <c r="D341" s="4"/>
    </row>
    <row r="342" ht="14.25" customHeight="1">
      <c r="D342" s="4"/>
    </row>
    <row r="343" ht="14.25" customHeight="1">
      <c r="D343" s="4"/>
    </row>
    <row r="344" ht="14.25" customHeight="1">
      <c r="D344" s="4"/>
    </row>
    <row r="345" ht="14.25" customHeight="1">
      <c r="D345" s="4"/>
    </row>
    <row r="346" ht="14.25" customHeight="1">
      <c r="D346" s="4"/>
    </row>
    <row r="347" ht="14.25" customHeight="1">
      <c r="D347" s="4"/>
    </row>
    <row r="348" ht="14.25" customHeight="1">
      <c r="D348" s="4"/>
    </row>
    <row r="349" ht="14.25" customHeight="1">
      <c r="D349" s="4"/>
    </row>
    <row r="350" ht="14.25" customHeight="1">
      <c r="D350" s="4"/>
    </row>
    <row r="351" ht="14.25" customHeight="1">
      <c r="D351" s="4"/>
    </row>
    <row r="352" ht="14.25" customHeight="1">
      <c r="D352" s="4"/>
    </row>
    <row r="353" ht="14.25" customHeight="1">
      <c r="D353" s="4"/>
    </row>
    <row r="354" ht="14.25" customHeight="1">
      <c r="D354" s="4"/>
    </row>
    <row r="355" ht="14.25" customHeight="1">
      <c r="D355" s="4"/>
    </row>
    <row r="356" ht="14.25" customHeight="1">
      <c r="D356" s="4"/>
    </row>
    <row r="357" ht="14.25" customHeight="1">
      <c r="D357" s="4"/>
    </row>
    <row r="358" ht="14.25" customHeight="1">
      <c r="D358" s="4"/>
    </row>
    <row r="359" ht="14.25" customHeight="1">
      <c r="D359" s="4"/>
    </row>
    <row r="360" ht="14.25" customHeight="1">
      <c r="D360" s="4"/>
    </row>
    <row r="361" ht="14.25" customHeight="1">
      <c r="D361" s="4"/>
    </row>
    <row r="362" ht="14.25" customHeight="1">
      <c r="D362" s="4"/>
    </row>
    <row r="363" ht="14.25" customHeight="1">
      <c r="D363" s="4"/>
    </row>
    <row r="364" ht="14.25" customHeight="1">
      <c r="D364" s="4"/>
    </row>
    <row r="365" ht="14.25" customHeight="1">
      <c r="D365" s="4"/>
    </row>
    <row r="366" ht="14.25" customHeight="1">
      <c r="D366" s="4"/>
    </row>
    <row r="367" ht="14.25" customHeight="1">
      <c r="D367" s="4"/>
    </row>
    <row r="368" ht="14.25" customHeight="1">
      <c r="D368" s="4"/>
    </row>
    <row r="369" ht="14.25" customHeight="1">
      <c r="D369" s="4"/>
    </row>
    <row r="370" ht="14.25" customHeight="1">
      <c r="D370" s="4"/>
    </row>
    <row r="371" ht="14.25" customHeight="1">
      <c r="D371" s="4"/>
    </row>
    <row r="372" ht="14.25" customHeight="1">
      <c r="D372" s="4"/>
    </row>
    <row r="373" ht="14.25" customHeight="1">
      <c r="D373" s="4"/>
    </row>
    <row r="374" ht="14.25" customHeight="1">
      <c r="D374" s="4"/>
    </row>
    <row r="375" ht="14.25" customHeight="1">
      <c r="D375" s="4"/>
    </row>
    <row r="376" ht="14.25" customHeight="1">
      <c r="D376" s="4"/>
    </row>
    <row r="377" ht="14.25" customHeight="1">
      <c r="D377" s="4"/>
    </row>
    <row r="378" ht="14.25" customHeight="1">
      <c r="D378" s="4"/>
    </row>
    <row r="379" ht="14.25" customHeight="1">
      <c r="D379" s="4"/>
    </row>
    <row r="380" ht="14.25" customHeight="1">
      <c r="D380" s="4"/>
    </row>
    <row r="381" ht="14.25" customHeight="1">
      <c r="D381" s="4"/>
    </row>
    <row r="382" ht="14.25" customHeight="1">
      <c r="D382" s="4"/>
    </row>
    <row r="383" ht="14.25" customHeight="1">
      <c r="D383" s="4"/>
    </row>
    <row r="384" ht="14.25" customHeight="1">
      <c r="D384" s="4"/>
    </row>
    <row r="385" ht="14.25" customHeight="1">
      <c r="D385" s="4"/>
    </row>
    <row r="386" ht="14.25" customHeight="1">
      <c r="D386" s="4"/>
    </row>
    <row r="387" ht="14.25" customHeight="1">
      <c r="D387" s="4"/>
    </row>
    <row r="388" ht="14.25" customHeight="1">
      <c r="D388" s="4"/>
    </row>
    <row r="389" ht="14.25" customHeight="1">
      <c r="D389" s="4"/>
    </row>
    <row r="390" ht="14.25" customHeight="1">
      <c r="D390" s="4"/>
    </row>
    <row r="391" ht="14.25" customHeight="1">
      <c r="D391" s="4"/>
    </row>
    <row r="392" ht="14.25" customHeight="1">
      <c r="D392" s="4"/>
    </row>
    <row r="393" ht="14.25" customHeight="1">
      <c r="D393" s="4"/>
    </row>
    <row r="394" ht="14.25" customHeight="1">
      <c r="D394" s="4"/>
    </row>
    <row r="395" ht="14.25" customHeight="1">
      <c r="D395" s="4"/>
    </row>
    <row r="396" ht="14.25" customHeight="1">
      <c r="D396" s="4"/>
    </row>
    <row r="397" ht="14.25" customHeight="1">
      <c r="D397" s="4"/>
    </row>
    <row r="398" ht="14.25" customHeight="1">
      <c r="D398" s="4"/>
    </row>
    <row r="399" ht="14.25" customHeight="1">
      <c r="D399" s="4"/>
    </row>
    <row r="400" ht="14.25" customHeight="1">
      <c r="D400" s="4"/>
    </row>
    <row r="401" ht="14.25" customHeight="1">
      <c r="D401" s="4"/>
    </row>
    <row r="402" ht="14.25" customHeight="1">
      <c r="D402" s="4"/>
    </row>
    <row r="403" ht="14.25" customHeight="1">
      <c r="D403" s="4"/>
    </row>
    <row r="404" ht="14.25" customHeight="1">
      <c r="D404" s="4"/>
    </row>
    <row r="405" ht="14.25" customHeight="1">
      <c r="D405" s="4"/>
    </row>
    <row r="406" ht="14.25" customHeight="1">
      <c r="D406" s="4"/>
    </row>
    <row r="407" ht="14.25" customHeight="1">
      <c r="D407" s="4"/>
    </row>
    <row r="408" ht="14.25" customHeight="1">
      <c r="D408" s="4"/>
    </row>
    <row r="409" ht="14.25" customHeight="1">
      <c r="D409" s="4"/>
    </row>
    <row r="410" ht="14.25" customHeight="1">
      <c r="D410" s="4"/>
    </row>
    <row r="411" ht="14.25" customHeight="1">
      <c r="D411" s="4"/>
    </row>
    <row r="412" ht="14.25" customHeight="1">
      <c r="D412" s="4"/>
    </row>
    <row r="413" ht="14.25" customHeight="1">
      <c r="D413" s="4"/>
    </row>
    <row r="414" ht="14.25" customHeight="1">
      <c r="D414" s="4"/>
    </row>
    <row r="415" ht="14.25" customHeight="1">
      <c r="D415" s="4"/>
    </row>
    <row r="416" ht="14.25" customHeight="1">
      <c r="D416" s="4"/>
    </row>
    <row r="417" ht="14.25" customHeight="1">
      <c r="D417" s="4"/>
    </row>
    <row r="418" ht="14.25" customHeight="1">
      <c r="D418" s="4"/>
    </row>
    <row r="419" ht="14.25" customHeight="1">
      <c r="D419" s="4"/>
    </row>
    <row r="420" ht="14.25" customHeight="1">
      <c r="D420" s="4"/>
    </row>
    <row r="421" ht="14.25" customHeight="1">
      <c r="D421" s="4"/>
    </row>
    <row r="422" ht="14.25" customHeight="1">
      <c r="D422" s="4"/>
    </row>
    <row r="423" ht="14.25" customHeight="1">
      <c r="D423" s="4"/>
    </row>
    <row r="424" ht="14.25" customHeight="1">
      <c r="D424" s="4"/>
    </row>
    <row r="425" ht="14.25" customHeight="1">
      <c r="D425" s="4"/>
    </row>
    <row r="426" ht="14.25" customHeight="1">
      <c r="D426" s="4"/>
    </row>
    <row r="427" ht="14.25" customHeight="1">
      <c r="D427" s="4"/>
    </row>
    <row r="428" ht="14.25" customHeight="1">
      <c r="D428" s="4"/>
    </row>
    <row r="429" ht="14.25" customHeight="1">
      <c r="D429" s="4"/>
    </row>
    <row r="430" ht="14.25" customHeight="1">
      <c r="D430" s="4"/>
    </row>
    <row r="431" ht="14.25" customHeight="1">
      <c r="D431" s="4"/>
    </row>
    <row r="432" ht="14.25" customHeight="1">
      <c r="D432" s="4"/>
    </row>
    <row r="433" ht="14.25" customHeight="1">
      <c r="D433" s="4"/>
    </row>
    <row r="434" ht="14.25" customHeight="1">
      <c r="D434" s="4"/>
    </row>
    <row r="435" ht="14.25" customHeight="1">
      <c r="D435" s="4"/>
    </row>
    <row r="436" ht="14.25" customHeight="1">
      <c r="D436" s="4"/>
    </row>
    <row r="437" ht="14.25" customHeight="1">
      <c r="D437" s="4"/>
    </row>
    <row r="438" ht="14.25" customHeight="1">
      <c r="D438" s="4"/>
    </row>
    <row r="439" ht="14.25" customHeight="1">
      <c r="D439" s="4"/>
    </row>
    <row r="440" ht="14.25" customHeight="1">
      <c r="D440" s="4"/>
    </row>
    <row r="441" ht="14.25" customHeight="1">
      <c r="D441" s="4"/>
    </row>
    <row r="442" ht="14.25" customHeight="1">
      <c r="D442" s="4"/>
    </row>
    <row r="443" ht="14.25" customHeight="1">
      <c r="D443" s="4"/>
    </row>
    <row r="444" ht="14.25" customHeight="1">
      <c r="D444" s="4"/>
    </row>
    <row r="445" ht="14.25" customHeight="1">
      <c r="D445" s="4"/>
    </row>
    <row r="446" ht="14.25" customHeight="1">
      <c r="D446" s="4"/>
    </row>
    <row r="447" ht="14.25" customHeight="1">
      <c r="D447" s="4"/>
    </row>
    <row r="448" ht="14.25" customHeight="1">
      <c r="D448" s="4"/>
    </row>
    <row r="449" ht="14.25" customHeight="1">
      <c r="D449" s="4"/>
    </row>
    <row r="450" ht="14.25" customHeight="1">
      <c r="D450" s="4"/>
    </row>
    <row r="451" ht="14.25" customHeight="1">
      <c r="D451" s="4"/>
    </row>
    <row r="452" ht="14.25" customHeight="1">
      <c r="D452" s="4"/>
    </row>
    <row r="453" ht="14.25" customHeight="1">
      <c r="D453" s="4"/>
    </row>
    <row r="454" ht="14.25" customHeight="1">
      <c r="D454" s="4"/>
    </row>
    <row r="455" ht="14.25" customHeight="1">
      <c r="D455" s="4"/>
    </row>
    <row r="456" ht="14.25" customHeight="1">
      <c r="D456" s="4"/>
    </row>
    <row r="457" ht="14.25" customHeight="1">
      <c r="D457" s="4"/>
    </row>
    <row r="458" ht="14.25" customHeight="1">
      <c r="D458" s="4"/>
    </row>
    <row r="459" ht="14.25" customHeight="1">
      <c r="D459" s="4"/>
    </row>
    <row r="460" ht="14.25" customHeight="1">
      <c r="D460" s="4"/>
    </row>
    <row r="461" ht="14.25" customHeight="1">
      <c r="D461" s="4"/>
    </row>
    <row r="462" ht="14.25" customHeight="1">
      <c r="D462" s="4"/>
    </row>
    <row r="463" ht="14.25" customHeight="1">
      <c r="D463" s="4"/>
    </row>
    <row r="464" ht="14.25" customHeight="1">
      <c r="D464" s="4"/>
    </row>
    <row r="465" ht="14.25" customHeight="1">
      <c r="D465" s="4"/>
    </row>
    <row r="466" ht="14.25" customHeight="1">
      <c r="D466" s="4"/>
    </row>
    <row r="467" ht="14.25" customHeight="1">
      <c r="D467" s="4"/>
    </row>
    <row r="468" ht="14.25" customHeight="1">
      <c r="D468" s="4"/>
    </row>
    <row r="469" ht="14.25" customHeight="1">
      <c r="D469" s="4"/>
    </row>
    <row r="470" ht="14.25" customHeight="1">
      <c r="D470" s="4"/>
    </row>
    <row r="471" ht="14.25" customHeight="1">
      <c r="D471" s="4"/>
    </row>
    <row r="472" ht="14.25" customHeight="1">
      <c r="D472" s="4"/>
    </row>
    <row r="473" ht="14.25" customHeight="1">
      <c r="D473" s="4"/>
    </row>
    <row r="474" ht="14.25" customHeight="1">
      <c r="D474" s="4"/>
    </row>
    <row r="475" ht="14.25" customHeight="1">
      <c r="D475" s="4"/>
    </row>
    <row r="476" ht="14.25" customHeight="1">
      <c r="D476" s="4"/>
    </row>
    <row r="477" ht="14.25" customHeight="1">
      <c r="D477" s="4"/>
    </row>
    <row r="478" ht="14.25" customHeight="1">
      <c r="D478" s="4"/>
    </row>
    <row r="479" ht="14.25" customHeight="1">
      <c r="D479" s="4"/>
    </row>
    <row r="480" ht="14.25" customHeight="1">
      <c r="D480" s="4"/>
    </row>
    <row r="481" ht="14.25" customHeight="1">
      <c r="D481" s="4"/>
    </row>
    <row r="482" ht="14.25" customHeight="1">
      <c r="D482" s="4"/>
    </row>
    <row r="483" ht="14.25" customHeight="1">
      <c r="D483" s="4"/>
    </row>
    <row r="484" ht="14.25" customHeight="1">
      <c r="D484" s="4"/>
    </row>
    <row r="485" ht="14.25" customHeight="1">
      <c r="D485" s="4"/>
    </row>
    <row r="486" ht="14.25" customHeight="1">
      <c r="D486" s="4"/>
    </row>
    <row r="487" ht="14.25" customHeight="1">
      <c r="D487" s="4"/>
    </row>
    <row r="488" ht="14.25" customHeight="1">
      <c r="D488" s="4"/>
    </row>
    <row r="489" ht="14.25" customHeight="1">
      <c r="D489" s="4"/>
    </row>
    <row r="490" ht="14.25" customHeight="1">
      <c r="D490" s="4"/>
    </row>
    <row r="491" ht="14.25" customHeight="1">
      <c r="D491" s="4"/>
    </row>
    <row r="492" ht="14.25" customHeight="1">
      <c r="D492" s="4"/>
    </row>
    <row r="493" ht="14.25" customHeight="1">
      <c r="D493" s="4"/>
    </row>
    <row r="494" ht="14.25" customHeight="1">
      <c r="D494" s="4"/>
    </row>
    <row r="495" ht="14.25" customHeight="1">
      <c r="D495" s="4"/>
    </row>
    <row r="496" ht="14.25" customHeight="1">
      <c r="D496" s="4"/>
    </row>
    <row r="497" ht="14.25" customHeight="1">
      <c r="D497" s="4"/>
    </row>
    <row r="498" ht="14.25" customHeight="1">
      <c r="D498" s="4"/>
    </row>
    <row r="499" ht="14.25" customHeight="1">
      <c r="D499" s="4"/>
    </row>
    <row r="500" ht="14.25" customHeight="1">
      <c r="D500" s="4"/>
    </row>
    <row r="501" ht="14.25" customHeight="1">
      <c r="D501" s="4"/>
    </row>
    <row r="502" ht="14.25" customHeight="1">
      <c r="D502" s="4"/>
    </row>
    <row r="503" ht="14.25" customHeight="1">
      <c r="D503" s="4"/>
    </row>
    <row r="504" ht="14.25" customHeight="1">
      <c r="D504" s="4"/>
    </row>
    <row r="505" ht="14.25" customHeight="1">
      <c r="D505" s="4"/>
    </row>
    <row r="506" ht="14.25" customHeight="1">
      <c r="D506" s="4"/>
    </row>
    <row r="507" ht="14.25" customHeight="1">
      <c r="D507" s="4"/>
    </row>
    <row r="508" ht="14.25" customHeight="1">
      <c r="D508" s="4"/>
    </row>
    <row r="509" ht="14.25" customHeight="1">
      <c r="D509" s="4"/>
    </row>
    <row r="510" ht="14.25" customHeight="1">
      <c r="D510" s="4"/>
    </row>
    <row r="511" ht="14.25" customHeight="1">
      <c r="D511" s="4"/>
    </row>
    <row r="512" ht="14.25" customHeight="1">
      <c r="D512" s="4"/>
    </row>
    <row r="513" ht="14.25" customHeight="1">
      <c r="D513" s="4"/>
    </row>
    <row r="514" ht="14.25" customHeight="1">
      <c r="D514" s="4"/>
    </row>
    <row r="515" ht="14.25" customHeight="1">
      <c r="D515" s="4"/>
    </row>
    <row r="516" ht="14.25" customHeight="1">
      <c r="D516" s="4"/>
    </row>
    <row r="517" ht="14.25" customHeight="1">
      <c r="D517" s="4"/>
    </row>
    <row r="518" ht="14.25" customHeight="1">
      <c r="D518" s="4"/>
    </row>
    <row r="519" ht="14.25" customHeight="1">
      <c r="D519" s="4"/>
    </row>
    <row r="520" ht="14.25" customHeight="1">
      <c r="D520" s="4"/>
    </row>
    <row r="521" ht="14.25" customHeight="1">
      <c r="D521" s="4"/>
    </row>
    <row r="522" ht="14.25" customHeight="1">
      <c r="D522" s="4"/>
    </row>
    <row r="523" ht="14.25" customHeight="1">
      <c r="D523" s="4"/>
    </row>
    <row r="524" ht="14.25" customHeight="1">
      <c r="D524" s="4"/>
    </row>
    <row r="525" ht="14.25" customHeight="1">
      <c r="D525" s="4"/>
    </row>
    <row r="526" ht="14.25" customHeight="1">
      <c r="D526" s="4"/>
    </row>
    <row r="527" ht="14.25" customHeight="1">
      <c r="D527" s="4"/>
    </row>
    <row r="528" ht="14.25" customHeight="1">
      <c r="D528" s="4"/>
    </row>
    <row r="529" ht="14.25" customHeight="1">
      <c r="D529" s="4"/>
    </row>
    <row r="530" ht="14.25" customHeight="1">
      <c r="D530" s="4"/>
    </row>
    <row r="531" ht="14.25" customHeight="1">
      <c r="D531" s="4"/>
    </row>
    <row r="532" ht="14.25" customHeight="1">
      <c r="D532" s="4"/>
    </row>
    <row r="533" ht="14.25" customHeight="1">
      <c r="D533" s="4"/>
    </row>
    <row r="534" ht="14.25" customHeight="1">
      <c r="D534" s="4"/>
    </row>
    <row r="535" ht="14.25" customHeight="1">
      <c r="D535" s="4"/>
    </row>
    <row r="536" ht="14.25" customHeight="1">
      <c r="D536" s="4"/>
    </row>
    <row r="537" ht="14.25" customHeight="1">
      <c r="D537" s="4"/>
    </row>
    <row r="538" ht="14.25" customHeight="1">
      <c r="D538" s="4"/>
    </row>
    <row r="539" ht="14.25" customHeight="1">
      <c r="D539" s="4"/>
    </row>
    <row r="540" ht="14.25" customHeight="1">
      <c r="D540" s="4"/>
    </row>
    <row r="541" ht="14.25" customHeight="1">
      <c r="D541" s="4"/>
    </row>
    <row r="542" ht="14.25" customHeight="1">
      <c r="D542" s="4"/>
    </row>
    <row r="543" ht="14.25" customHeight="1">
      <c r="D543" s="4"/>
    </row>
    <row r="544" ht="14.25" customHeight="1">
      <c r="D544" s="4"/>
    </row>
    <row r="545" ht="14.25" customHeight="1">
      <c r="D545" s="4"/>
    </row>
    <row r="546" ht="14.25" customHeight="1">
      <c r="D546" s="4"/>
    </row>
    <row r="547" ht="14.25" customHeight="1">
      <c r="D547" s="4"/>
    </row>
    <row r="548" ht="14.25" customHeight="1">
      <c r="D548" s="4"/>
    </row>
    <row r="549" ht="14.25" customHeight="1">
      <c r="D549" s="4"/>
    </row>
    <row r="550" ht="14.25" customHeight="1">
      <c r="D550" s="4"/>
    </row>
    <row r="551" ht="14.25" customHeight="1">
      <c r="D551" s="4"/>
    </row>
    <row r="552" ht="14.25" customHeight="1">
      <c r="D552" s="4"/>
    </row>
    <row r="553" ht="14.25" customHeight="1">
      <c r="D553" s="4"/>
    </row>
    <row r="554" ht="14.25" customHeight="1">
      <c r="D554" s="4"/>
    </row>
    <row r="555" ht="14.25" customHeight="1">
      <c r="D555" s="4"/>
    </row>
    <row r="556" ht="14.25" customHeight="1">
      <c r="D556" s="4"/>
    </row>
    <row r="557" ht="14.25" customHeight="1">
      <c r="D557" s="4"/>
    </row>
    <row r="558" ht="14.25" customHeight="1">
      <c r="D558" s="4"/>
    </row>
    <row r="559" ht="14.25" customHeight="1">
      <c r="D559" s="4"/>
    </row>
    <row r="560" ht="14.25" customHeight="1">
      <c r="D560" s="4"/>
    </row>
    <row r="561" ht="14.25" customHeight="1">
      <c r="D561" s="4"/>
    </row>
    <row r="562" ht="14.25" customHeight="1">
      <c r="D562" s="4"/>
    </row>
    <row r="563" ht="14.25" customHeight="1">
      <c r="D563" s="4"/>
    </row>
    <row r="564" ht="14.25" customHeight="1">
      <c r="D564" s="4"/>
    </row>
    <row r="565" ht="14.25" customHeight="1">
      <c r="D565" s="4"/>
    </row>
    <row r="566" ht="14.25" customHeight="1">
      <c r="D566" s="4"/>
    </row>
    <row r="567" ht="14.25" customHeight="1">
      <c r="D567" s="4"/>
    </row>
    <row r="568" ht="14.25" customHeight="1">
      <c r="D568" s="4"/>
    </row>
    <row r="569" ht="14.25" customHeight="1">
      <c r="D569" s="4"/>
    </row>
    <row r="570" ht="14.25" customHeight="1">
      <c r="D570" s="4"/>
    </row>
    <row r="571" ht="14.25" customHeight="1">
      <c r="D571" s="4"/>
    </row>
    <row r="572" ht="14.25" customHeight="1">
      <c r="D572" s="4"/>
    </row>
    <row r="573" ht="14.25" customHeight="1">
      <c r="D573" s="4"/>
    </row>
    <row r="574" ht="14.25" customHeight="1">
      <c r="D574" s="4"/>
    </row>
    <row r="575" ht="14.25" customHeight="1">
      <c r="D575" s="4"/>
    </row>
    <row r="576" ht="14.25" customHeight="1">
      <c r="D576" s="4"/>
    </row>
    <row r="577" ht="14.25" customHeight="1">
      <c r="D577" s="4"/>
    </row>
    <row r="578" ht="14.25" customHeight="1">
      <c r="D578" s="4"/>
    </row>
    <row r="579" ht="14.25" customHeight="1">
      <c r="D579" s="4"/>
    </row>
    <row r="580" ht="14.25" customHeight="1">
      <c r="D580" s="4"/>
    </row>
    <row r="581" ht="14.25" customHeight="1">
      <c r="D581" s="4"/>
    </row>
    <row r="582" ht="14.25" customHeight="1">
      <c r="D582" s="4"/>
    </row>
    <row r="583" ht="14.25" customHeight="1">
      <c r="D583" s="4"/>
    </row>
    <row r="584" ht="14.25" customHeight="1">
      <c r="D584" s="4"/>
    </row>
    <row r="585" ht="14.25" customHeight="1">
      <c r="D585" s="4"/>
    </row>
    <row r="586" ht="14.25" customHeight="1">
      <c r="D586" s="4"/>
    </row>
    <row r="587" ht="14.25" customHeight="1">
      <c r="D587" s="4"/>
    </row>
    <row r="588" ht="14.25" customHeight="1">
      <c r="D588" s="4"/>
    </row>
    <row r="589" ht="14.25" customHeight="1">
      <c r="D589" s="4"/>
    </row>
    <row r="590" ht="14.25" customHeight="1">
      <c r="D590" s="4"/>
    </row>
    <row r="591" ht="14.25" customHeight="1">
      <c r="D591" s="4"/>
    </row>
    <row r="592" ht="14.25" customHeight="1">
      <c r="D592" s="4"/>
    </row>
    <row r="593" ht="14.25" customHeight="1">
      <c r="D593" s="4"/>
    </row>
    <row r="594" ht="14.25" customHeight="1">
      <c r="D594" s="4"/>
    </row>
    <row r="595" ht="14.25" customHeight="1">
      <c r="D595" s="4"/>
    </row>
    <row r="596" ht="14.25" customHeight="1">
      <c r="D596" s="4"/>
    </row>
    <row r="597" ht="14.25" customHeight="1">
      <c r="D597" s="4"/>
    </row>
    <row r="598" ht="14.25" customHeight="1">
      <c r="D598" s="4"/>
    </row>
    <row r="599" ht="14.25" customHeight="1">
      <c r="D599" s="4"/>
    </row>
    <row r="600" ht="14.25" customHeight="1">
      <c r="D600" s="4"/>
    </row>
    <row r="601" ht="14.25" customHeight="1">
      <c r="D601" s="4"/>
    </row>
    <row r="602" ht="14.25" customHeight="1">
      <c r="D602" s="4"/>
    </row>
    <row r="603" ht="14.25" customHeight="1">
      <c r="D603" s="4"/>
    </row>
    <row r="604" ht="14.25" customHeight="1">
      <c r="D604" s="4"/>
    </row>
    <row r="605" ht="14.25" customHeight="1">
      <c r="D605" s="4"/>
    </row>
    <row r="606" ht="14.25" customHeight="1">
      <c r="D606" s="4"/>
    </row>
    <row r="607" ht="14.25" customHeight="1">
      <c r="D607" s="4"/>
    </row>
    <row r="608" ht="14.25" customHeight="1">
      <c r="D608" s="4"/>
    </row>
    <row r="609" ht="14.25" customHeight="1">
      <c r="D609" s="4"/>
    </row>
    <row r="610" ht="14.25" customHeight="1">
      <c r="D610" s="4"/>
    </row>
    <row r="611" ht="14.25" customHeight="1">
      <c r="D611" s="4"/>
    </row>
    <row r="612" ht="14.25" customHeight="1">
      <c r="D612" s="4"/>
    </row>
    <row r="613" ht="14.25" customHeight="1">
      <c r="D613" s="4"/>
    </row>
    <row r="614" ht="14.25" customHeight="1">
      <c r="D614" s="4"/>
    </row>
    <row r="615" ht="14.25" customHeight="1">
      <c r="D615" s="4"/>
    </row>
    <row r="616" ht="14.25" customHeight="1">
      <c r="D616" s="4"/>
    </row>
    <row r="617" ht="14.25" customHeight="1">
      <c r="D617" s="4"/>
    </row>
    <row r="618" ht="14.25" customHeight="1">
      <c r="D618" s="4"/>
    </row>
    <row r="619" ht="14.25" customHeight="1">
      <c r="D619" s="4"/>
    </row>
    <row r="620" ht="14.25" customHeight="1">
      <c r="D620" s="4"/>
    </row>
    <row r="621" ht="14.25" customHeight="1">
      <c r="D621" s="4"/>
    </row>
    <row r="622" ht="14.25" customHeight="1">
      <c r="D622" s="4"/>
    </row>
    <row r="623" ht="14.25" customHeight="1">
      <c r="D623" s="4"/>
    </row>
    <row r="624" ht="14.25" customHeight="1">
      <c r="D624" s="4"/>
    </row>
    <row r="625" ht="14.25" customHeight="1">
      <c r="D625" s="4"/>
    </row>
    <row r="626" ht="14.25" customHeight="1">
      <c r="D626" s="4"/>
    </row>
    <row r="627" ht="14.25" customHeight="1">
      <c r="D627" s="4"/>
    </row>
    <row r="628" ht="14.25" customHeight="1">
      <c r="D628" s="4"/>
    </row>
    <row r="629" ht="14.25" customHeight="1">
      <c r="D629" s="4"/>
    </row>
    <row r="630" ht="14.25" customHeight="1">
      <c r="D630" s="4"/>
    </row>
    <row r="631" ht="14.25" customHeight="1">
      <c r="D631" s="4"/>
    </row>
    <row r="632" ht="14.25" customHeight="1">
      <c r="D632" s="4"/>
    </row>
    <row r="633" ht="14.25" customHeight="1">
      <c r="D633" s="4"/>
    </row>
    <row r="634" ht="14.25" customHeight="1">
      <c r="D634" s="4"/>
    </row>
    <row r="635" ht="14.25" customHeight="1">
      <c r="D635" s="4"/>
    </row>
    <row r="636" ht="14.25" customHeight="1">
      <c r="D636" s="4"/>
    </row>
    <row r="637" ht="14.25" customHeight="1">
      <c r="D637" s="4"/>
    </row>
    <row r="638" ht="14.25" customHeight="1">
      <c r="D638" s="4"/>
    </row>
    <row r="639" ht="14.25" customHeight="1">
      <c r="D639" s="4"/>
    </row>
    <row r="640" ht="14.25" customHeight="1">
      <c r="D640" s="4"/>
    </row>
    <row r="641" ht="14.25" customHeight="1">
      <c r="D641" s="4"/>
    </row>
    <row r="642" ht="14.25" customHeight="1">
      <c r="D642" s="4"/>
    </row>
    <row r="643" ht="14.25" customHeight="1">
      <c r="D643" s="4"/>
    </row>
    <row r="644" ht="14.25" customHeight="1">
      <c r="D644" s="4"/>
    </row>
    <row r="645" ht="14.25" customHeight="1">
      <c r="D645" s="4"/>
    </row>
    <row r="646" ht="14.25" customHeight="1">
      <c r="D646" s="4"/>
    </row>
    <row r="647" ht="14.25" customHeight="1">
      <c r="D647" s="4"/>
    </row>
    <row r="648" ht="14.25" customHeight="1">
      <c r="D648" s="4"/>
    </row>
    <row r="649" ht="14.25" customHeight="1">
      <c r="D649" s="4"/>
    </row>
    <row r="650" ht="14.25" customHeight="1">
      <c r="D650" s="4"/>
    </row>
    <row r="651" ht="14.25" customHeight="1">
      <c r="D651" s="4"/>
    </row>
    <row r="652" ht="14.25" customHeight="1">
      <c r="D652" s="4"/>
    </row>
    <row r="653" ht="14.25" customHeight="1">
      <c r="D653" s="4"/>
    </row>
    <row r="654" ht="14.25" customHeight="1">
      <c r="D654" s="4"/>
    </row>
    <row r="655" ht="14.25" customHeight="1">
      <c r="D655" s="4"/>
    </row>
    <row r="656" ht="14.25" customHeight="1">
      <c r="D656" s="4"/>
    </row>
    <row r="657" ht="14.25" customHeight="1">
      <c r="D657" s="4"/>
    </row>
    <row r="658" ht="14.25" customHeight="1">
      <c r="D658" s="4"/>
    </row>
    <row r="659" ht="14.25" customHeight="1">
      <c r="D659" s="4"/>
    </row>
    <row r="660" ht="14.25" customHeight="1">
      <c r="D660" s="4"/>
    </row>
    <row r="661" ht="14.25" customHeight="1">
      <c r="D661" s="4"/>
    </row>
    <row r="662" ht="14.25" customHeight="1">
      <c r="D662" s="4"/>
    </row>
    <row r="663" ht="14.25" customHeight="1">
      <c r="D663" s="4"/>
    </row>
    <row r="664" ht="14.25" customHeight="1">
      <c r="D664" s="4"/>
    </row>
    <row r="665" ht="14.25" customHeight="1">
      <c r="D665" s="4"/>
    </row>
    <row r="666" ht="14.25" customHeight="1">
      <c r="D666" s="4"/>
    </row>
    <row r="667" ht="14.25" customHeight="1">
      <c r="D667" s="4"/>
    </row>
    <row r="668" ht="14.25" customHeight="1">
      <c r="D668" s="4"/>
    </row>
    <row r="669" ht="14.25" customHeight="1">
      <c r="D669" s="4"/>
    </row>
    <row r="670" ht="14.25" customHeight="1">
      <c r="D670" s="4"/>
    </row>
    <row r="671" ht="14.25" customHeight="1">
      <c r="D671" s="4"/>
    </row>
    <row r="672" ht="14.25" customHeight="1">
      <c r="D672" s="4"/>
    </row>
    <row r="673" ht="14.25" customHeight="1">
      <c r="D673" s="4"/>
    </row>
    <row r="674" ht="14.25" customHeight="1">
      <c r="D674" s="4"/>
    </row>
    <row r="675" ht="14.25" customHeight="1">
      <c r="D675" s="4"/>
    </row>
    <row r="676" ht="14.25" customHeight="1">
      <c r="D676" s="4"/>
    </row>
    <row r="677" ht="14.25" customHeight="1">
      <c r="D677" s="4"/>
    </row>
    <row r="678" ht="14.25" customHeight="1">
      <c r="D678" s="4"/>
    </row>
    <row r="679" ht="14.25" customHeight="1">
      <c r="D679" s="4"/>
    </row>
    <row r="680" ht="14.25" customHeight="1">
      <c r="D680" s="4"/>
    </row>
    <row r="681" ht="14.25" customHeight="1">
      <c r="D681" s="4"/>
    </row>
    <row r="682" ht="14.25" customHeight="1">
      <c r="D682" s="4"/>
    </row>
    <row r="683" ht="14.25" customHeight="1">
      <c r="D683" s="4"/>
    </row>
    <row r="684" ht="14.25" customHeight="1">
      <c r="D684" s="4"/>
    </row>
    <row r="685" ht="14.25" customHeight="1">
      <c r="D685" s="4"/>
    </row>
    <row r="686" ht="14.25" customHeight="1">
      <c r="D686" s="4"/>
    </row>
    <row r="687" ht="14.25" customHeight="1">
      <c r="D687" s="4"/>
    </row>
    <row r="688" ht="14.25" customHeight="1">
      <c r="D688" s="4"/>
    </row>
    <row r="689" ht="14.25" customHeight="1">
      <c r="D689" s="4"/>
    </row>
    <row r="690" ht="14.25" customHeight="1">
      <c r="D690" s="4"/>
    </row>
    <row r="691" ht="14.25" customHeight="1">
      <c r="D691" s="4"/>
    </row>
    <row r="692" ht="14.25" customHeight="1">
      <c r="D692" s="4"/>
    </row>
    <row r="693" ht="14.25" customHeight="1">
      <c r="D693" s="4"/>
    </row>
    <row r="694" ht="14.25" customHeight="1">
      <c r="D694" s="4"/>
    </row>
    <row r="695" ht="14.25" customHeight="1">
      <c r="D695" s="4"/>
    </row>
    <row r="696" ht="14.25" customHeight="1">
      <c r="D696" s="4"/>
    </row>
    <row r="697" ht="14.25" customHeight="1">
      <c r="D697" s="4"/>
    </row>
    <row r="698" ht="14.25" customHeight="1">
      <c r="D698" s="4"/>
    </row>
    <row r="699" ht="14.25" customHeight="1">
      <c r="D699" s="4"/>
    </row>
    <row r="700" ht="14.25" customHeight="1">
      <c r="D700" s="4"/>
    </row>
    <row r="701" ht="14.25" customHeight="1">
      <c r="D701" s="4"/>
    </row>
    <row r="702" ht="14.25" customHeight="1">
      <c r="D702" s="4"/>
    </row>
    <row r="703" ht="14.25" customHeight="1">
      <c r="D703" s="4"/>
    </row>
    <row r="704" ht="14.25" customHeight="1">
      <c r="D704" s="4"/>
    </row>
    <row r="705" ht="14.25" customHeight="1">
      <c r="D705" s="4"/>
    </row>
    <row r="706" ht="14.25" customHeight="1">
      <c r="D706" s="4"/>
    </row>
    <row r="707" ht="14.25" customHeight="1">
      <c r="D707" s="4"/>
    </row>
    <row r="708" ht="14.25" customHeight="1">
      <c r="D708" s="4"/>
    </row>
    <row r="709" ht="14.25" customHeight="1">
      <c r="D709" s="4"/>
    </row>
    <row r="710" ht="14.25" customHeight="1">
      <c r="D710" s="4"/>
    </row>
    <row r="711" ht="14.25" customHeight="1">
      <c r="D711" s="4"/>
    </row>
    <row r="712" ht="14.25" customHeight="1">
      <c r="D712" s="4"/>
    </row>
    <row r="713" ht="14.25" customHeight="1">
      <c r="D713" s="4"/>
    </row>
    <row r="714" ht="14.25" customHeight="1">
      <c r="D714" s="4"/>
    </row>
    <row r="715" ht="14.25" customHeight="1">
      <c r="D715" s="4"/>
    </row>
    <row r="716" ht="14.25" customHeight="1">
      <c r="D716" s="4"/>
    </row>
    <row r="717" ht="14.25" customHeight="1">
      <c r="D717" s="4"/>
    </row>
    <row r="718" ht="14.25" customHeight="1">
      <c r="D718" s="4"/>
    </row>
    <row r="719" ht="14.25" customHeight="1">
      <c r="D719" s="4"/>
    </row>
    <row r="720" ht="14.25" customHeight="1">
      <c r="D720" s="4"/>
    </row>
    <row r="721" ht="14.25" customHeight="1">
      <c r="D721" s="4"/>
    </row>
    <row r="722" ht="14.25" customHeight="1">
      <c r="D722" s="4"/>
    </row>
    <row r="723" ht="14.25" customHeight="1">
      <c r="D723" s="4"/>
    </row>
    <row r="724" ht="14.25" customHeight="1">
      <c r="D724" s="4"/>
    </row>
    <row r="725" ht="14.25" customHeight="1">
      <c r="D725" s="4"/>
    </row>
    <row r="726" ht="14.25" customHeight="1">
      <c r="D726" s="4"/>
    </row>
    <row r="727" ht="14.25" customHeight="1">
      <c r="D727" s="4"/>
    </row>
    <row r="728" ht="14.25" customHeight="1">
      <c r="D728" s="4"/>
    </row>
    <row r="729" ht="14.25" customHeight="1">
      <c r="D729" s="4"/>
    </row>
    <row r="730" ht="14.25" customHeight="1">
      <c r="D730" s="4"/>
    </row>
    <row r="731" ht="14.25" customHeight="1">
      <c r="D731" s="4"/>
    </row>
    <row r="732" ht="14.25" customHeight="1">
      <c r="D732" s="4"/>
    </row>
    <row r="733" ht="14.25" customHeight="1">
      <c r="D733" s="4"/>
    </row>
    <row r="734" ht="14.25" customHeight="1">
      <c r="D734" s="4"/>
    </row>
    <row r="735" ht="14.25" customHeight="1">
      <c r="D735" s="4"/>
    </row>
    <row r="736" ht="14.25" customHeight="1">
      <c r="D736" s="4"/>
    </row>
    <row r="737" ht="14.25" customHeight="1">
      <c r="D737" s="4"/>
    </row>
    <row r="738" ht="14.25" customHeight="1">
      <c r="D738" s="4"/>
    </row>
    <row r="739" ht="14.25" customHeight="1">
      <c r="D739" s="4"/>
    </row>
    <row r="740" ht="14.25" customHeight="1">
      <c r="D740" s="4"/>
    </row>
    <row r="741" ht="14.25" customHeight="1">
      <c r="D741" s="4"/>
    </row>
    <row r="742" ht="14.25" customHeight="1">
      <c r="D742" s="4"/>
    </row>
    <row r="743" ht="14.25" customHeight="1">
      <c r="D743" s="4"/>
    </row>
    <row r="744" ht="14.25" customHeight="1">
      <c r="D744" s="4"/>
    </row>
    <row r="745" ht="14.25" customHeight="1">
      <c r="D745" s="4"/>
    </row>
    <row r="746" ht="14.25" customHeight="1">
      <c r="D746" s="4"/>
    </row>
    <row r="747" ht="14.25" customHeight="1">
      <c r="D747" s="4"/>
    </row>
    <row r="748" ht="14.25" customHeight="1">
      <c r="D748" s="4"/>
    </row>
    <row r="749" ht="14.25" customHeight="1">
      <c r="D749" s="4"/>
    </row>
    <row r="750" ht="14.25" customHeight="1">
      <c r="D750" s="4"/>
    </row>
    <row r="751" ht="14.25" customHeight="1">
      <c r="D751" s="4"/>
    </row>
    <row r="752" ht="14.25" customHeight="1">
      <c r="D752" s="4"/>
    </row>
    <row r="753" ht="14.25" customHeight="1">
      <c r="D753" s="4"/>
    </row>
    <row r="754" ht="14.25" customHeight="1">
      <c r="D754" s="4"/>
    </row>
    <row r="755" ht="14.25" customHeight="1">
      <c r="D755" s="4"/>
    </row>
    <row r="756" ht="14.25" customHeight="1">
      <c r="D756" s="4"/>
    </row>
    <row r="757" ht="14.25" customHeight="1">
      <c r="D757" s="4"/>
    </row>
    <row r="758" ht="14.25" customHeight="1">
      <c r="D758" s="4"/>
    </row>
    <row r="759" ht="14.25" customHeight="1">
      <c r="D759" s="4"/>
    </row>
    <row r="760" ht="14.25" customHeight="1">
      <c r="D760" s="4"/>
    </row>
    <row r="761" ht="14.25" customHeight="1">
      <c r="D761" s="4"/>
    </row>
    <row r="762" ht="14.25" customHeight="1">
      <c r="D762" s="4"/>
    </row>
    <row r="763" ht="14.25" customHeight="1">
      <c r="D763" s="4"/>
    </row>
    <row r="764" ht="14.25" customHeight="1">
      <c r="D764" s="4"/>
    </row>
    <row r="765" ht="14.25" customHeight="1">
      <c r="D765" s="4"/>
    </row>
    <row r="766" ht="14.25" customHeight="1">
      <c r="D766" s="4"/>
    </row>
    <row r="767" ht="14.25" customHeight="1">
      <c r="D767" s="4"/>
    </row>
    <row r="768" ht="14.25" customHeight="1">
      <c r="D768" s="4"/>
    </row>
    <row r="769" ht="14.25" customHeight="1">
      <c r="D769" s="4"/>
    </row>
    <row r="770" ht="14.25" customHeight="1">
      <c r="D770" s="4"/>
    </row>
    <row r="771" ht="14.25" customHeight="1">
      <c r="D771" s="4"/>
    </row>
    <row r="772" ht="14.25" customHeight="1">
      <c r="D772" s="4"/>
    </row>
    <row r="773" ht="14.25" customHeight="1">
      <c r="D773" s="4"/>
    </row>
    <row r="774" ht="14.25" customHeight="1">
      <c r="D774" s="4"/>
    </row>
    <row r="775" ht="14.25" customHeight="1">
      <c r="D775" s="4"/>
    </row>
    <row r="776" ht="14.25" customHeight="1">
      <c r="D776" s="4"/>
    </row>
    <row r="777" ht="14.25" customHeight="1">
      <c r="D777" s="4"/>
    </row>
    <row r="778" ht="14.25" customHeight="1">
      <c r="D778" s="4"/>
    </row>
    <row r="779" ht="14.25" customHeight="1">
      <c r="D779" s="4"/>
    </row>
    <row r="780" ht="14.25" customHeight="1">
      <c r="D780" s="4"/>
    </row>
    <row r="781" ht="14.25" customHeight="1">
      <c r="D781" s="4"/>
    </row>
    <row r="782" ht="14.25" customHeight="1">
      <c r="D782" s="4"/>
    </row>
    <row r="783" ht="14.25" customHeight="1">
      <c r="D783" s="4"/>
    </row>
    <row r="784" ht="14.25" customHeight="1">
      <c r="D784" s="4"/>
    </row>
    <row r="785" ht="14.25" customHeight="1">
      <c r="D785" s="4"/>
    </row>
    <row r="786" ht="14.25" customHeight="1">
      <c r="D786" s="4"/>
    </row>
    <row r="787" ht="14.25" customHeight="1">
      <c r="D787" s="4"/>
    </row>
    <row r="788" ht="14.25" customHeight="1">
      <c r="D788" s="4"/>
    </row>
    <row r="789" ht="14.25" customHeight="1">
      <c r="D789" s="4"/>
    </row>
    <row r="790" ht="14.25" customHeight="1">
      <c r="D790" s="4"/>
    </row>
    <row r="791" ht="14.25" customHeight="1">
      <c r="D791" s="4"/>
    </row>
    <row r="792" ht="14.25" customHeight="1">
      <c r="D792" s="4"/>
    </row>
    <row r="793" ht="14.25" customHeight="1">
      <c r="D793" s="4"/>
    </row>
    <row r="794" ht="14.25" customHeight="1">
      <c r="D794" s="4"/>
    </row>
    <row r="795" ht="14.25" customHeight="1">
      <c r="D795" s="4"/>
    </row>
    <row r="796" ht="14.25" customHeight="1">
      <c r="D796" s="4"/>
    </row>
    <row r="797" ht="14.25" customHeight="1">
      <c r="D797" s="4"/>
    </row>
    <row r="798" ht="14.25" customHeight="1">
      <c r="D798" s="4"/>
    </row>
    <row r="799" ht="14.25" customHeight="1">
      <c r="D799" s="4"/>
    </row>
    <row r="800" ht="14.25" customHeight="1">
      <c r="D800" s="4"/>
    </row>
    <row r="801" ht="14.25" customHeight="1">
      <c r="D801" s="4"/>
    </row>
    <row r="802" ht="14.25" customHeight="1">
      <c r="D802" s="4"/>
    </row>
    <row r="803" ht="14.25" customHeight="1">
      <c r="D803" s="4"/>
    </row>
    <row r="804" ht="14.25" customHeight="1">
      <c r="D804" s="4"/>
    </row>
    <row r="805" ht="14.25" customHeight="1">
      <c r="D805" s="4"/>
    </row>
    <row r="806" ht="14.25" customHeight="1">
      <c r="D806" s="4"/>
    </row>
    <row r="807" ht="14.25" customHeight="1">
      <c r="D807" s="4"/>
    </row>
    <row r="808" ht="14.25" customHeight="1">
      <c r="D808" s="4"/>
    </row>
    <row r="809" ht="14.25" customHeight="1">
      <c r="D809" s="4"/>
    </row>
    <row r="810" ht="14.25" customHeight="1">
      <c r="D810" s="4"/>
    </row>
    <row r="811" ht="14.25" customHeight="1">
      <c r="D811" s="4"/>
    </row>
    <row r="812" ht="14.25" customHeight="1">
      <c r="D812" s="4"/>
    </row>
    <row r="813" ht="14.25" customHeight="1">
      <c r="D813" s="4"/>
    </row>
    <row r="814" ht="14.25" customHeight="1">
      <c r="D814" s="4"/>
    </row>
    <row r="815" ht="14.25" customHeight="1">
      <c r="D815" s="4"/>
    </row>
    <row r="816" ht="14.25" customHeight="1">
      <c r="D816" s="4"/>
    </row>
    <row r="817" ht="14.25" customHeight="1">
      <c r="D817" s="4"/>
    </row>
    <row r="818" ht="14.25" customHeight="1">
      <c r="D818" s="4"/>
    </row>
    <row r="819" ht="14.25" customHeight="1">
      <c r="D819" s="4"/>
    </row>
    <row r="820" ht="14.25" customHeight="1">
      <c r="D820" s="4"/>
    </row>
    <row r="821" ht="14.25" customHeight="1">
      <c r="D821" s="4"/>
    </row>
    <row r="822" ht="14.25" customHeight="1">
      <c r="D822" s="4"/>
    </row>
    <row r="823" ht="14.25" customHeight="1">
      <c r="D823" s="4"/>
    </row>
    <row r="824" ht="14.25" customHeight="1">
      <c r="D824" s="4"/>
    </row>
    <row r="825" ht="14.25" customHeight="1">
      <c r="D825" s="4"/>
    </row>
    <row r="826" ht="14.25" customHeight="1">
      <c r="D826" s="4"/>
    </row>
    <row r="827" ht="14.25" customHeight="1">
      <c r="D827" s="4"/>
    </row>
    <row r="828" ht="14.25" customHeight="1">
      <c r="D828" s="4"/>
    </row>
    <row r="829" ht="14.25" customHeight="1">
      <c r="D829" s="4"/>
    </row>
    <row r="830" ht="14.25" customHeight="1">
      <c r="D830" s="4"/>
    </row>
    <row r="831" ht="14.25" customHeight="1">
      <c r="D831" s="4"/>
    </row>
    <row r="832" ht="14.25" customHeight="1">
      <c r="D832" s="4"/>
    </row>
    <row r="833" ht="14.25" customHeight="1">
      <c r="D833" s="4"/>
    </row>
    <row r="834" ht="14.25" customHeight="1">
      <c r="D834" s="4"/>
    </row>
    <row r="835" ht="14.25" customHeight="1">
      <c r="D835" s="4"/>
    </row>
    <row r="836" ht="14.25" customHeight="1">
      <c r="D836" s="4"/>
    </row>
    <row r="837" ht="14.25" customHeight="1">
      <c r="D837" s="4"/>
    </row>
    <row r="838" ht="14.25" customHeight="1">
      <c r="D838" s="4"/>
    </row>
    <row r="839" ht="14.25" customHeight="1">
      <c r="D839" s="4"/>
    </row>
    <row r="840" ht="14.25" customHeight="1">
      <c r="D840" s="4"/>
    </row>
    <row r="841" ht="14.25" customHeight="1">
      <c r="D841" s="4"/>
    </row>
    <row r="842" ht="14.25" customHeight="1">
      <c r="D842" s="4"/>
    </row>
    <row r="843" ht="14.25" customHeight="1">
      <c r="D843" s="4"/>
    </row>
    <row r="844" ht="14.25" customHeight="1">
      <c r="D844" s="4"/>
    </row>
    <row r="845" ht="14.25" customHeight="1">
      <c r="D845" s="4"/>
    </row>
    <row r="846" ht="14.25" customHeight="1">
      <c r="D846" s="4"/>
    </row>
    <row r="847" ht="14.25" customHeight="1">
      <c r="D847" s="4"/>
    </row>
    <row r="848" ht="14.25" customHeight="1">
      <c r="D848" s="4"/>
    </row>
    <row r="849" ht="14.25" customHeight="1">
      <c r="D849" s="4"/>
    </row>
    <row r="850" ht="14.25" customHeight="1">
      <c r="D850" s="4"/>
    </row>
    <row r="851" ht="14.25" customHeight="1">
      <c r="D851" s="4"/>
    </row>
    <row r="852" ht="14.25" customHeight="1">
      <c r="D852" s="4"/>
    </row>
    <row r="853" ht="14.25" customHeight="1">
      <c r="D853" s="4"/>
    </row>
    <row r="854" ht="14.25" customHeight="1">
      <c r="D854" s="4"/>
    </row>
    <row r="855" ht="14.25" customHeight="1">
      <c r="D855" s="4"/>
    </row>
    <row r="856" ht="14.25" customHeight="1">
      <c r="D856" s="4"/>
    </row>
    <row r="857" ht="14.25" customHeight="1">
      <c r="D857" s="4"/>
    </row>
    <row r="858" ht="14.25" customHeight="1">
      <c r="D858" s="4"/>
    </row>
    <row r="859" ht="14.25" customHeight="1">
      <c r="D859" s="4"/>
    </row>
    <row r="860" ht="14.25" customHeight="1">
      <c r="D860" s="4"/>
    </row>
    <row r="861" ht="14.25" customHeight="1">
      <c r="D861" s="4"/>
    </row>
    <row r="862" ht="14.25" customHeight="1">
      <c r="D862" s="4"/>
    </row>
    <row r="863" ht="14.25" customHeight="1">
      <c r="D863" s="4"/>
    </row>
    <row r="864" ht="14.25" customHeight="1">
      <c r="D864" s="4"/>
    </row>
    <row r="865" ht="14.25" customHeight="1">
      <c r="D865" s="4"/>
    </row>
    <row r="866" ht="14.25" customHeight="1">
      <c r="D866" s="4"/>
    </row>
    <row r="867" ht="14.25" customHeight="1">
      <c r="D867" s="4"/>
    </row>
    <row r="868" ht="14.25" customHeight="1">
      <c r="D868" s="4"/>
    </row>
    <row r="869" ht="14.25" customHeight="1">
      <c r="D869" s="4"/>
    </row>
    <row r="870" ht="14.25" customHeight="1">
      <c r="D870" s="4"/>
    </row>
    <row r="871" ht="14.25" customHeight="1">
      <c r="D871" s="4"/>
    </row>
    <row r="872" ht="14.25" customHeight="1">
      <c r="D872" s="4"/>
    </row>
    <row r="873" ht="14.25" customHeight="1">
      <c r="D873" s="4"/>
    </row>
    <row r="874" ht="14.25" customHeight="1">
      <c r="D874" s="4"/>
    </row>
    <row r="875" ht="14.25" customHeight="1">
      <c r="D875" s="4"/>
    </row>
    <row r="876" ht="14.25" customHeight="1">
      <c r="D876" s="4"/>
    </row>
    <row r="877" ht="14.25" customHeight="1">
      <c r="D877" s="4"/>
    </row>
    <row r="878" ht="14.25" customHeight="1">
      <c r="D878" s="4"/>
    </row>
    <row r="879" ht="14.25" customHeight="1">
      <c r="D879" s="4"/>
    </row>
    <row r="880" ht="14.25" customHeight="1">
      <c r="D880" s="4"/>
    </row>
    <row r="881" ht="14.25" customHeight="1">
      <c r="D881" s="4"/>
    </row>
    <row r="882" ht="14.25" customHeight="1">
      <c r="D882" s="4"/>
    </row>
    <row r="883" ht="14.25" customHeight="1">
      <c r="D883" s="4"/>
    </row>
    <row r="884" ht="14.25" customHeight="1">
      <c r="D884" s="4"/>
    </row>
    <row r="885" ht="14.25" customHeight="1">
      <c r="D885" s="4"/>
    </row>
    <row r="886" ht="14.25" customHeight="1">
      <c r="D886" s="4"/>
    </row>
    <row r="887" ht="14.25" customHeight="1">
      <c r="D887" s="4"/>
    </row>
    <row r="888" ht="14.25" customHeight="1">
      <c r="D888" s="4"/>
    </row>
    <row r="889" ht="14.25" customHeight="1">
      <c r="D889" s="4"/>
    </row>
    <row r="890" ht="14.25" customHeight="1">
      <c r="D890" s="4"/>
    </row>
    <row r="891" ht="14.25" customHeight="1">
      <c r="D891" s="4"/>
    </row>
    <row r="892" ht="14.25" customHeight="1">
      <c r="D892" s="4"/>
    </row>
    <row r="893" ht="14.25" customHeight="1">
      <c r="D893" s="4"/>
    </row>
    <row r="894" ht="14.25" customHeight="1">
      <c r="D894" s="4"/>
    </row>
    <row r="895" ht="14.25" customHeight="1">
      <c r="D895" s="4"/>
    </row>
    <row r="896" ht="14.25" customHeight="1">
      <c r="D896" s="4"/>
    </row>
    <row r="897" ht="14.25" customHeight="1">
      <c r="D897" s="4"/>
    </row>
    <row r="898" ht="14.25" customHeight="1">
      <c r="D898" s="4"/>
    </row>
    <row r="899" ht="14.25" customHeight="1">
      <c r="D899" s="4"/>
    </row>
    <row r="900" ht="14.25" customHeight="1">
      <c r="D900" s="4"/>
    </row>
    <row r="901" ht="14.25" customHeight="1">
      <c r="D901" s="4"/>
    </row>
    <row r="902" ht="14.25" customHeight="1">
      <c r="D902" s="4"/>
    </row>
    <row r="903" ht="14.25" customHeight="1">
      <c r="D903" s="4"/>
    </row>
    <row r="904" ht="14.25" customHeight="1">
      <c r="D904" s="4"/>
    </row>
    <row r="905" ht="14.25" customHeight="1">
      <c r="D905" s="4"/>
    </row>
    <row r="906" ht="14.25" customHeight="1">
      <c r="D906" s="4"/>
    </row>
    <row r="907" ht="14.25" customHeight="1">
      <c r="D907" s="4"/>
    </row>
    <row r="908" ht="14.25" customHeight="1">
      <c r="D908" s="4"/>
    </row>
    <row r="909" ht="14.25" customHeight="1">
      <c r="D909" s="4"/>
    </row>
    <row r="910" ht="14.25" customHeight="1">
      <c r="D910" s="4"/>
    </row>
    <row r="911" ht="14.25" customHeight="1">
      <c r="D911" s="4"/>
    </row>
    <row r="912" ht="14.25" customHeight="1">
      <c r="D912" s="4"/>
    </row>
    <row r="913" ht="14.25" customHeight="1">
      <c r="D913" s="4"/>
    </row>
    <row r="914" ht="14.25" customHeight="1">
      <c r="D914" s="4"/>
    </row>
    <row r="915" ht="14.25" customHeight="1">
      <c r="D915" s="4"/>
    </row>
    <row r="916" ht="14.25" customHeight="1">
      <c r="D916" s="4"/>
    </row>
    <row r="917" ht="14.25" customHeight="1">
      <c r="D917" s="4"/>
    </row>
    <row r="918" ht="14.25" customHeight="1">
      <c r="D918" s="4"/>
    </row>
    <row r="919" ht="14.25" customHeight="1">
      <c r="D919" s="4"/>
    </row>
    <row r="920" ht="14.25" customHeight="1">
      <c r="D920" s="4"/>
    </row>
    <row r="921" ht="14.25" customHeight="1">
      <c r="D921" s="4"/>
    </row>
    <row r="922" ht="14.25" customHeight="1">
      <c r="D922" s="4"/>
    </row>
    <row r="923" ht="14.25" customHeight="1">
      <c r="D923" s="4"/>
    </row>
    <row r="924" ht="14.25" customHeight="1">
      <c r="D924" s="4"/>
    </row>
    <row r="925" ht="14.25" customHeight="1">
      <c r="D925" s="4"/>
    </row>
    <row r="926" ht="14.25" customHeight="1">
      <c r="D926" s="4"/>
    </row>
    <row r="927" ht="14.25" customHeight="1">
      <c r="D927" s="4"/>
    </row>
    <row r="928" ht="14.25" customHeight="1">
      <c r="D928" s="4"/>
    </row>
    <row r="929" ht="14.25" customHeight="1">
      <c r="D929" s="4"/>
    </row>
    <row r="930" ht="14.25" customHeight="1">
      <c r="D930" s="4"/>
    </row>
    <row r="931" ht="14.25" customHeight="1">
      <c r="D931" s="4"/>
    </row>
    <row r="932" ht="14.25" customHeight="1">
      <c r="D932" s="4"/>
    </row>
    <row r="933" ht="14.25" customHeight="1">
      <c r="D933" s="4"/>
    </row>
    <row r="934" ht="14.25" customHeight="1">
      <c r="D934" s="4"/>
    </row>
    <row r="935" ht="14.25" customHeight="1">
      <c r="D935" s="4"/>
    </row>
    <row r="936" ht="14.25" customHeight="1">
      <c r="D936" s="4"/>
    </row>
    <row r="937" ht="14.25" customHeight="1">
      <c r="D937" s="4"/>
    </row>
    <row r="938" ht="14.25" customHeight="1">
      <c r="D938" s="4"/>
    </row>
    <row r="939" ht="14.25" customHeight="1">
      <c r="D939" s="4"/>
    </row>
    <row r="940" ht="14.25" customHeight="1">
      <c r="D940" s="4"/>
    </row>
    <row r="941" ht="14.25" customHeight="1">
      <c r="D941" s="4"/>
    </row>
    <row r="942" ht="14.25" customHeight="1">
      <c r="D942" s="4"/>
    </row>
    <row r="943" ht="14.25" customHeight="1">
      <c r="D943" s="4"/>
    </row>
    <row r="944" ht="14.25" customHeight="1">
      <c r="D944" s="4"/>
    </row>
    <row r="945" ht="14.25" customHeight="1">
      <c r="D945" s="4"/>
    </row>
    <row r="946" ht="14.25" customHeight="1">
      <c r="D946" s="4"/>
    </row>
    <row r="947" ht="14.25" customHeight="1">
      <c r="D947" s="4"/>
    </row>
    <row r="948" ht="14.25" customHeight="1">
      <c r="D948" s="4"/>
    </row>
    <row r="949" ht="14.25" customHeight="1">
      <c r="D949" s="4"/>
    </row>
    <row r="950" ht="14.25" customHeight="1">
      <c r="D950" s="4"/>
    </row>
    <row r="951" ht="14.25" customHeight="1">
      <c r="D951" s="4"/>
    </row>
    <row r="952" ht="14.25" customHeight="1">
      <c r="D952" s="4"/>
    </row>
    <row r="953" ht="14.25" customHeight="1">
      <c r="D953" s="4"/>
    </row>
    <row r="954" ht="14.25" customHeight="1">
      <c r="D954" s="4"/>
    </row>
    <row r="955" ht="14.25" customHeight="1">
      <c r="D955" s="4"/>
    </row>
    <row r="956" ht="14.25" customHeight="1">
      <c r="D956" s="4"/>
    </row>
    <row r="957" ht="14.25" customHeight="1">
      <c r="D957" s="4"/>
    </row>
    <row r="958" ht="14.25" customHeight="1">
      <c r="D958" s="4"/>
    </row>
    <row r="959" ht="14.25" customHeight="1">
      <c r="D959" s="4"/>
    </row>
    <row r="960" ht="14.25" customHeight="1">
      <c r="D960" s="4"/>
    </row>
    <row r="961" ht="14.25" customHeight="1">
      <c r="D961" s="4"/>
    </row>
    <row r="962" ht="14.25" customHeight="1">
      <c r="D962" s="4"/>
    </row>
    <row r="963" ht="14.25" customHeight="1">
      <c r="D963" s="4"/>
    </row>
    <row r="964" ht="14.25" customHeight="1">
      <c r="D964" s="4"/>
    </row>
    <row r="965" ht="14.25" customHeight="1">
      <c r="D965" s="4"/>
    </row>
    <row r="966" ht="14.25" customHeight="1">
      <c r="D966" s="4"/>
    </row>
    <row r="967" ht="14.25" customHeight="1">
      <c r="D967" s="4"/>
    </row>
    <row r="968" ht="14.25" customHeight="1">
      <c r="D968" s="4"/>
    </row>
    <row r="969" ht="14.25" customHeight="1">
      <c r="D969" s="4"/>
    </row>
    <row r="970" ht="14.25" customHeight="1">
      <c r="D970" s="4"/>
    </row>
    <row r="971" ht="14.25" customHeight="1">
      <c r="D971" s="4"/>
    </row>
    <row r="972" ht="14.25" customHeight="1">
      <c r="D972" s="4"/>
    </row>
    <row r="973" ht="14.25" customHeight="1">
      <c r="D973" s="4"/>
    </row>
    <row r="974" ht="14.25" customHeight="1">
      <c r="D974" s="4"/>
    </row>
    <row r="975" ht="14.25" customHeight="1">
      <c r="D975" s="4"/>
    </row>
    <row r="976" ht="14.25" customHeight="1">
      <c r="D976" s="4"/>
    </row>
    <row r="977" ht="14.25" customHeight="1">
      <c r="D977" s="4"/>
    </row>
    <row r="978" ht="14.25" customHeight="1">
      <c r="D978" s="4"/>
    </row>
    <row r="979" ht="14.25" customHeight="1">
      <c r="D979" s="4"/>
    </row>
    <row r="980" ht="14.25" customHeight="1">
      <c r="D980" s="4"/>
    </row>
    <row r="981" ht="14.25" customHeight="1">
      <c r="D981" s="4"/>
    </row>
    <row r="982" ht="14.25" customHeight="1">
      <c r="D982" s="4"/>
    </row>
    <row r="983" ht="14.25" customHeight="1">
      <c r="D983" s="4"/>
    </row>
    <row r="984" ht="14.25" customHeight="1">
      <c r="D984" s="4"/>
    </row>
    <row r="985" ht="14.25" customHeight="1">
      <c r="D985" s="4"/>
    </row>
    <row r="986" ht="14.25" customHeight="1">
      <c r="D986" s="4"/>
    </row>
    <row r="987" ht="14.25" customHeight="1">
      <c r="D987" s="4"/>
    </row>
    <row r="988" ht="14.25" customHeight="1">
      <c r="D988" s="4"/>
    </row>
    <row r="989" ht="14.25" customHeight="1">
      <c r="D989" s="4"/>
    </row>
    <row r="990" ht="14.25" customHeight="1">
      <c r="D990" s="4"/>
    </row>
    <row r="991" ht="14.25" customHeight="1">
      <c r="D991" s="4"/>
    </row>
    <row r="992" ht="14.25" customHeight="1">
      <c r="D992" s="4"/>
    </row>
    <row r="993" ht="14.25" customHeight="1">
      <c r="D993" s="4"/>
    </row>
    <row r="994" ht="14.25" customHeight="1">
      <c r="D994" s="4"/>
    </row>
    <row r="995" ht="14.25" customHeight="1">
      <c r="D995" s="4"/>
    </row>
    <row r="996" ht="14.25" customHeight="1">
      <c r="D996" s="4"/>
    </row>
    <row r="997" ht="14.25" customHeight="1">
      <c r="D997" s="4"/>
    </row>
    <row r="998" ht="14.25" customHeight="1">
      <c r="D998" s="4"/>
    </row>
    <row r="999" ht="14.25" customHeight="1">
      <c r="D999" s="4"/>
    </row>
    <row r="1000" ht="14.25" customHeight="1">
      <c r="D1000" s="4"/>
    </row>
  </sheetData>
  <mergeCells count="1">
    <mergeCell ref="B2:D2"/>
  </mergeCells>
  <printOptions/>
  <pageMargins bottom="0.75" footer="0.0" header="0.0" left="0.25" right="0.25" top="0.75"/>
  <pageSetup paperSize="9"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0.86"/>
    <col customWidth="1" min="2" max="2" width="6.0"/>
    <col customWidth="1" min="3" max="3" width="97.57"/>
    <col customWidth="1" min="4" max="4" width="52.86"/>
    <col customWidth="1" min="5" max="5" width="0.86"/>
    <col customWidth="1" min="6" max="13" width="9.43"/>
    <col customWidth="1" min="14" max="23" width="15.14"/>
  </cols>
  <sheetData>
    <row r="1" ht="6.0" customHeight="1">
      <c r="A1" s="4"/>
      <c r="B1" s="1"/>
      <c r="C1" s="594"/>
      <c r="D1" s="37"/>
      <c r="E1" s="4"/>
      <c r="F1" s="4"/>
      <c r="G1" s="4"/>
      <c r="H1" s="4"/>
      <c r="I1" s="4"/>
      <c r="J1" s="4"/>
      <c r="K1" s="4"/>
      <c r="L1" s="4"/>
      <c r="M1" s="4"/>
      <c r="N1" s="4"/>
      <c r="O1" s="4"/>
      <c r="P1" s="4"/>
      <c r="Q1" s="4"/>
      <c r="R1" s="4"/>
      <c r="S1" s="4"/>
      <c r="T1" s="4"/>
      <c r="U1" s="4"/>
      <c r="V1" s="4"/>
      <c r="W1" s="4"/>
    </row>
    <row r="2" ht="14.25" customHeight="1">
      <c r="A2" s="4"/>
      <c r="B2" s="609" t="s">
        <v>789</v>
      </c>
      <c r="C2" s="8"/>
      <c r="D2" s="9"/>
      <c r="E2" s="4"/>
      <c r="F2" s="4"/>
      <c r="G2" s="4"/>
      <c r="H2" s="4"/>
      <c r="I2" s="4"/>
      <c r="J2" s="4"/>
      <c r="K2" s="4"/>
      <c r="L2" s="4"/>
      <c r="M2" s="4"/>
      <c r="N2" s="4"/>
      <c r="O2" s="4"/>
      <c r="P2" s="4"/>
      <c r="Q2" s="4"/>
      <c r="R2" s="4"/>
      <c r="S2" s="4"/>
      <c r="T2" s="4"/>
      <c r="U2" s="4"/>
      <c r="V2" s="4"/>
      <c r="W2" s="4"/>
    </row>
    <row r="3" ht="14.25" customHeight="1">
      <c r="A3" s="4"/>
      <c r="B3" s="610" t="s">
        <v>678</v>
      </c>
      <c r="C3" s="611" t="s">
        <v>679</v>
      </c>
      <c r="D3" s="612" t="s">
        <v>680</v>
      </c>
      <c r="E3" s="4"/>
      <c r="F3" s="4"/>
      <c r="G3" s="4"/>
      <c r="H3" s="4"/>
      <c r="I3" s="4"/>
      <c r="J3" s="4"/>
      <c r="K3" s="4"/>
      <c r="L3" s="4"/>
      <c r="M3" s="4"/>
      <c r="N3" s="4"/>
      <c r="O3" s="4"/>
      <c r="P3" s="4"/>
      <c r="Q3" s="4"/>
      <c r="R3" s="4"/>
      <c r="S3" s="4"/>
      <c r="T3" s="4"/>
      <c r="U3" s="4"/>
      <c r="V3" s="4"/>
      <c r="W3" s="4"/>
    </row>
    <row r="4" ht="14.25" customHeight="1">
      <c r="A4" s="4"/>
      <c r="B4" s="613">
        <v>1.0</v>
      </c>
      <c r="C4" s="600" t="s">
        <v>790</v>
      </c>
      <c r="D4" s="619" t="s">
        <v>726</v>
      </c>
      <c r="E4" s="4"/>
      <c r="F4" s="4"/>
      <c r="G4" s="4"/>
      <c r="H4" s="4"/>
      <c r="I4" s="4"/>
      <c r="J4" s="4"/>
      <c r="K4" s="4"/>
      <c r="L4" s="4"/>
      <c r="M4" s="4"/>
      <c r="N4" s="4"/>
      <c r="O4" s="4"/>
      <c r="P4" s="4"/>
      <c r="Q4" s="4"/>
      <c r="R4" s="4"/>
      <c r="S4" s="4"/>
      <c r="T4" s="4"/>
      <c r="U4" s="4"/>
      <c r="V4" s="4"/>
      <c r="W4" s="4"/>
    </row>
    <row r="5" ht="14.25" customHeight="1">
      <c r="A5" s="4"/>
      <c r="B5" s="613">
        <v>2.0</v>
      </c>
      <c r="C5" s="620" t="s">
        <v>791</v>
      </c>
      <c r="D5" s="619" t="s">
        <v>726</v>
      </c>
      <c r="E5" s="4"/>
      <c r="F5" s="4"/>
      <c r="G5" s="4"/>
      <c r="H5" s="4"/>
      <c r="I5" s="4"/>
      <c r="J5" s="4"/>
      <c r="K5" s="4"/>
      <c r="L5" s="4"/>
      <c r="M5" s="4"/>
      <c r="N5" s="4"/>
      <c r="O5" s="4"/>
      <c r="P5" s="4"/>
      <c r="Q5" s="4"/>
      <c r="R5" s="4"/>
      <c r="S5" s="4"/>
      <c r="T5" s="4"/>
      <c r="U5" s="4"/>
      <c r="V5" s="4"/>
      <c r="W5" s="4"/>
    </row>
    <row r="6" ht="14.25" customHeight="1">
      <c r="A6" s="4"/>
      <c r="B6" s="613">
        <v>3.0</v>
      </c>
      <c r="C6" s="600" t="s">
        <v>792</v>
      </c>
      <c r="D6" s="619" t="s">
        <v>793</v>
      </c>
      <c r="E6" s="4"/>
      <c r="F6" s="4"/>
      <c r="G6" s="4"/>
      <c r="H6" s="4"/>
      <c r="I6" s="4"/>
      <c r="J6" s="4"/>
      <c r="K6" s="4"/>
      <c r="L6" s="4"/>
      <c r="M6" s="4"/>
      <c r="N6" s="4"/>
      <c r="O6" s="4"/>
      <c r="P6" s="4"/>
      <c r="Q6" s="4"/>
      <c r="R6" s="4"/>
      <c r="S6" s="4"/>
      <c r="T6" s="4"/>
      <c r="U6" s="4"/>
      <c r="V6" s="4"/>
      <c r="W6" s="4"/>
    </row>
    <row r="7" ht="14.25" customHeight="1">
      <c r="A7" s="4"/>
      <c r="B7" s="613">
        <v>4.0</v>
      </c>
      <c r="C7" s="600" t="s">
        <v>794</v>
      </c>
      <c r="D7" s="619" t="s">
        <v>795</v>
      </c>
      <c r="E7" s="4"/>
      <c r="F7" s="4"/>
      <c r="G7" s="4"/>
      <c r="H7" s="4"/>
      <c r="I7" s="4"/>
      <c r="J7" s="4"/>
      <c r="K7" s="4"/>
      <c r="L7" s="4"/>
      <c r="M7" s="4"/>
      <c r="N7" s="4"/>
      <c r="O7" s="4"/>
      <c r="P7" s="4"/>
      <c r="Q7" s="4"/>
      <c r="R7" s="4"/>
      <c r="S7" s="4"/>
      <c r="T7" s="4"/>
      <c r="U7" s="4"/>
      <c r="V7" s="4"/>
      <c r="W7" s="4"/>
    </row>
    <row r="8" ht="14.25" customHeight="1">
      <c r="A8" s="4"/>
      <c r="B8" s="613">
        <v>5.0</v>
      </c>
      <c r="C8" s="603" t="s">
        <v>796</v>
      </c>
      <c r="D8" s="619" t="s">
        <v>773</v>
      </c>
      <c r="E8" s="4"/>
      <c r="F8" s="4"/>
      <c r="G8" s="4"/>
      <c r="H8" s="4"/>
      <c r="I8" s="4"/>
      <c r="J8" s="4"/>
      <c r="K8" s="4"/>
      <c r="L8" s="4"/>
      <c r="M8" s="4"/>
      <c r="N8" s="4"/>
      <c r="O8" s="4"/>
      <c r="P8" s="4"/>
      <c r="Q8" s="4"/>
      <c r="R8" s="4"/>
      <c r="S8" s="4"/>
      <c r="T8" s="4"/>
      <c r="U8" s="4"/>
      <c r="V8" s="4"/>
      <c r="W8" s="4"/>
    </row>
    <row r="9" ht="25.5" customHeight="1">
      <c r="A9" s="4"/>
      <c r="B9" s="613">
        <v>6.0</v>
      </c>
      <c r="C9" s="621" t="s">
        <v>797</v>
      </c>
      <c r="D9" s="619" t="s">
        <v>798</v>
      </c>
      <c r="E9" s="4"/>
      <c r="F9" s="4"/>
      <c r="G9" s="4"/>
      <c r="H9" s="4"/>
      <c r="I9" s="4"/>
      <c r="J9" s="4"/>
      <c r="K9" s="4"/>
      <c r="L9" s="4"/>
      <c r="M9" s="4"/>
      <c r="N9" s="4"/>
      <c r="O9" s="4"/>
      <c r="P9" s="4"/>
      <c r="Q9" s="4"/>
      <c r="R9" s="4"/>
      <c r="S9" s="4"/>
      <c r="T9" s="4"/>
      <c r="U9" s="4"/>
      <c r="V9" s="4"/>
      <c r="W9" s="4"/>
    </row>
    <row r="10" ht="25.5" customHeight="1">
      <c r="A10" s="4"/>
      <c r="B10" s="613">
        <v>7.0</v>
      </c>
      <c r="C10" s="600" t="s">
        <v>799</v>
      </c>
      <c r="D10" s="619" t="s">
        <v>800</v>
      </c>
      <c r="E10" s="4"/>
      <c r="F10" s="4"/>
      <c r="G10" s="4"/>
      <c r="H10" s="4"/>
      <c r="I10" s="4"/>
      <c r="J10" s="4"/>
      <c r="K10" s="4"/>
      <c r="L10" s="4"/>
      <c r="M10" s="4"/>
      <c r="N10" s="4"/>
      <c r="O10" s="4"/>
      <c r="P10" s="4"/>
      <c r="Q10" s="4"/>
      <c r="R10" s="4"/>
      <c r="S10" s="4"/>
      <c r="T10" s="4"/>
      <c r="U10" s="4"/>
      <c r="V10" s="4"/>
      <c r="W10" s="4"/>
    </row>
    <row r="11" ht="25.5" customHeight="1">
      <c r="A11" s="4"/>
      <c r="B11" s="613">
        <v>8.0</v>
      </c>
      <c r="C11" s="600" t="s">
        <v>801</v>
      </c>
      <c r="D11" s="619" t="s">
        <v>802</v>
      </c>
      <c r="E11" s="4"/>
      <c r="F11" s="4"/>
      <c r="G11" s="4"/>
      <c r="H11" s="4"/>
      <c r="I11" s="4"/>
      <c r="J11" s="4"/>
      <c r="K11" s="4"/>
      <c r="L11" s="4"/>
      <c r="M11" s="4"/>
      <c r="N11" s="4"/>
      <c r="O11" s="4"/>
      <c r="P11" s="4"/>
      <c r="Q11" s="4"/>
      <c r="R11" s="4"/>
      <c r="S11" s="4"/>
      <c r="T11" s="4"/>
      <c r="U11" s="4"/>
      <c r="V11" s="4"/>
      <c r="W11" s="4"/>
    </row>
    <row r="12" ht="223.5" customHeight="1">
      <c r="A12" s="4"/>
      <c r="B12" s="613">
        <v>9.0</v>
      </c>
      <c r="C12" s="600" t="s">
        <v>803</v>
      </c>
      <c r="D12" s="619" t="s">
        <v>726</v>
      </c>
      <c r="E12" s="4"/>
      <c r="F12" s="4"/>
      <c r="G12" s="4"/>
      <c r="H12" s="4"/>
      <c r="I12" s="4"/>
      <c r="J12" s="4"/>
      <c r="K12" s="4"/>
      <c r="L12" s="4"/>
      <c r="M12" s="4"/>
      <c r="N12" s="4"/>
      <c r="O12" s="4"/>
      <c r="P12" s="4"/>
      <c r="Q12" s="4"/>
      <c r="R12" s="4"/>
      <c r="S12" s="4"/>
      <c r="T12" s="4"/>
      <c r="U12" s="4"/>
      <c r="V12" s="4"/>
      <c r="W12" s="4"/>
    </row>
    <row r="13" ht="24.0" customHeight="1">
      <c r="A13" s="4"/>
      <c r="B13" s="613">
        <v>10.0</v>
      </c>
      <c r="C13" s="603" t="s">
        <v>804</v>
      </c>
      <c r="D13" s="622" t="s">
        <v>805</v>
      </c>
      <c r="E13" s="4"/>
      <c r="F13" s="4"/>
      <c r="G13" s="4"/>
      <c r="H13" s="4"/>
      <c r="I13" s="4"/>
      <c r="J13" s="4"/>
      <c r="K13" s="4"/>
      <c r="L13" s="4"/>
      <c r="M13" s="4"/>
      <c r="N13" s="4"/>
      <c r="O13" s="4"/>
      <c r="P13" s="4"/>
      <c r="Q13" s="4"/>
      <c r="R13" s="4"/>
      <c r="S13" s="4"/>
      <c r="T13" s="4"/>
      <c r="U13" s="4"/>
      <c r="V13" s="4"/>
      <c r="W13" s="4"/>
    </row>
    <row r="14" ht="14.25" customHeight="1">
      <c r="A14" s="4"/>
      <c r="B14" s="613">
        <v>11.0</v>
      </c>
      <c r="C14" s="600" t="s">
        <v>806</v>
      </c>
      <c r="D14" s="622" t="s">
        <v>807</v>
      </c>
      <c r="E14" s="4"/>
      <c r="F14" s="4"/>
      <c r="G14" s="4"/>
      <c r="H14" s="4"/>
      <c r="I14" s="4"/>
      <c r="J14" s="4"/>
      <c r="K14" s="4"/>
      <c r="L14" s="4"/>
      <c r="M14" s="4"/>
      <c r="N14" s="4"/>
      <c r="O14" s="4"/>
      <c r="P14" s="4"/>
      <c r="Q14" s="4"/>
      <c r="R14" s="4"/>
      <c r="S14" s="4"/>
      <c r="T14" s="4"/>
      <c r="U14" s="4"/>
      <c r="V14" s="4"/>
      <c r="W14" s="4"/>
    </row>
    <row r="15" ht="18.0" customHeight="1">
      <c r="A15" s="4"/>
      <c r="B15" s="613">
        <v>12.0</v>
      </c>
      <c r="C15" s="600" t="s">
        <v>685</v>
      </c>
      <c r="D15" s="619" t="s">
        <v>766</v>
      </c>
      <c r="E15" s="4"/>
      <c r="F15" s="4"/>
      <c r="G15" s="4"/>
      <c r="H15" s="4"/>
      <c r="I15" s="4"/>
      <c r="J15" s="4"/>
      <c r="K15" s="4"/>
      <c r="L15" s="4"/>
      <c r="M15" s="4"/>
      <c r="N15" s="4"/>
      <c r="O15" s="4"/>
      <c r="P15" s="4"/>
      <c r="Q15" s="4"/>
      <c r="R15" s="4"/>
      <c r="S15" s="4"/>
      <c r="T15" s="4"/>
      <c r="U15" s="4"/>
      <c r="V15" s="4"/>
      <c r="W15" s="4"/>
    </row>
    <row r="16" ht="14.25" customHeight="1">
      <c r="A16" s="4"/>
      <c r="B16" s="613">
        <v>13.0</v>
      </c>
      <c r="C16" s="600" t="s">
        <v>808</v>
      </c>
      <c r="D16" s="622" t="s">
        <v>809</v>
      </c>
      <c r="E16" s="4"/>
      <c r="F16" s="4"/>
      <c r="G16" s="4"/>
      <c r="H16" s="4"/>
      <c r="I16" s="4"/>
      <c r="J16" s="4"/>
      <c r="K16" s="4"/>
      <c r="L16" s="4"/>
      <c r="M16" s="4"/>
      <c r="N16" s="4"/>
      <c r="O16" s="4"/>
      <c r="P16" s="4"/>
      <c r="Q16" s="4"/>
      <c r="R16" s="4"/>
      <c r="S16" s="4"/>
      <c r="T16" s="4"/>
      <c r="U16" s="4"/>
      <c r="V16" s="4"/>
      <c r="W16" s="4"/>
    </row>
    <row r="17" ht="30.0" customHeight="1">
      <c r="A17" s="4"/>
      <c r="B17" s="613">
        <v>14.0</v>
      </c>
      <c r="C17" s="600" t="s">
        <v>691</v>
      </c>
      <c r="D17" s="619" t="s">
        <v>810</v>
      </c>
      <c r="E17" s="4"/>
      <c r="F17" s="4"/>
      <c r="G17" s="4"/>
      <c r="H17" s="4"/>
      <c r="I17" s="4"/>
      <c r="J17" s="4"/>
      <c r="K17" s="4"/>
      <c r="L17" s="4"/>
      <c r="M17" s="4"/>
      <c r="N17" s="4"/>
      <c r="O17" s="4"/>
      <c r="P17" s="4"/>
      <c r="Q17" s="4"/>
      <c r="R17" s="4"/>
      <c r="S17" s="4"/>
      <c r="T17" s="4"/>
      <c r="U17" s="4"/>
      <c r="V17" s="4"/>
      <c r="W17" s="4"/>
    </row>
    <row r="18" ht="30.0" customHeight="1">
      <c r="A18" s="4"/>
      <c r="B18" s="613">
        <v>15.0</v>
      </c>
      <c r="C18" s="600" t="s">
        <v>811</v>
      </c>
      <c r="D18" s="619" t="s">
        <v>812</v>
      </c>
      <c r="E18" s="4"/>
      <c r="F18" s="4"/>
      <c r="G18" s="4"/>
      <c r="H18" s="4"/>
      <c r="I18" s="4"/>
      <c r="J18" s="4"/>
      <c r="K18" s="4"/>
      <c r="L18" s="4"/>
      <c r="M18" s="4"/>
      <c r="N18" s="4"/>
      <c r="O18" s="4"/>
      <c r="P18" s="4"/>
      <c r="Q18" s="4"/>
      <c r="R18" s="4"/>
      <c r="S18" s="4"/>
      <c r="T18" s="4"/>
      <c r="U18" s="4"/>
      <c r="V18" s="4"/>
      <c r="W18" s="4"/>
    </row>
    <row r="19" ht="20.25" customHeight="1">
      <c r="A19" s="4"/>
      <c r="B19" s="613">
        <v>16.0</v>
      </c>
      <c r="C19" s="600" t="s">
        <v>693</v>
      </c>
      <c r="D19" s="619" t="s">
        <v>813</v>
      </c>
      <c r="E19" s="4"/>
      <c r="F19" s="4"/>
      <c r="G19" s="4"/>
      <c r="H19" s="4"/>
      <c r="I19" s="4"/>
      <c r="J19" s="4"/>
      <c r="K19" s="4"/>
      <c r="L19" s="4"/>
      <c r="M19" s="4"/>
      <c r="N19" s="4"/>
      <c r="O19" s="4"/>
      <c r="P19" s="4"/>
      <c r="Q19" s="4"/>
      <c r="R19" s="4"/>
      <c r="S19" s="4"/>
      <c r="T19" s="4"/>
      <c r="U19" s="4"/>
      <c r="V19" s="4"/>
      <c r="W19" s="4"/>
    </row>
    <row r="20" ht="14.25" customHeight="1">
      <c r="A20" s="4"/>
      <c r="B20" s="613">
        <v>17.0</v>
      </c>
      <c r="C20" s="600" t="s">
        <v>695</v>
      </c>
      <c r="D20" s="619" t="s">
        <v>726</v>
      </c>
      <c r="E20" s="4"/>
      <c r="F20" s="4"/>
      <c r="G20" s="4"/>
      <c r="H20" s="4"/>
      <c r="I20" s="4"/>
      <c r="J20" s="4"/>
      <c r="K20" s="4"/>
      <c r="L20" s="4"/>
      <c r="M20" s="4"/>
      <c r="N20" s="4"/>
      <c r="O20" s="4"/>
      <c r="P20" s="4"/>
      <c r="Q20" s="4"/>
      <c r="R20" s="4"/>
      <c r="S20" s="4"/>
      <c r="T20" s="4"/>
      <c r="U20" s="4"/>
      <c r="V20" s="4"/>
      <c r="W20" s="4"/>
    </row>
    <row r="21" ht="19.5" customHeight="1">
      <c r="A21" s="4"/>
      <c r="B21" s="613">
        <v>18.0</v>
      </c>
      <c r="C21" s="600" t="s">
        <v>697</v>
      </c>
      <c r="D21" s="619" t="s">
        <v>814</v>
      </c>
      <c r="E21" s="4"/>
      <c r="F21" s="4"/>
      <c r="G21" s="4"/>
      <c r="H21" s="4"/>
      <c r="I21" s="4"/>
      <c r="J21" s="4"/>
      <c r="K21" s="4"/>
      <c r="L21" s="4"/>
      <c r="M21" s="4"/>
      <c r="N21" s="4"/>
      <c r="O21" s="4"/>
      <c r="P21" s="4"/>
      <c r="Q21" s="4"/>
      <c r="R21" s="4"/>
      <c r="S21" s="4"/>
      <c r="T21" s="4"/>
      <c r="U21" s="4"/>
      <c r="V21" s="4"/>
      <c r="W21" s="4"/>
    </row>
    <row r="22" ht="17.25" customHeight="1">
      <c r="A22" s="4"/>
      <c r="B22" s="613">
        <v>19.0</v>
      </c>
      <c r="C22" s="600" t="s">
        <v>699</v>
      </c>
      <c r="D22" s="619" t="s">
        <v>726</v>
      </c>
      <c r="E22" s="4"/>
      <c r="F22" s="4"/>
      <c r="G22" s="4"/>
      <c r="H22" s="4"/>
      <c r="I22" s="4"/>
      <c r="J22" s="4"/>
      <c r="K22" s="4"/>
      <c r="L22" s="4"/>
      <c r="M22" s="4"/>
      <c r="N22" s="4"/>
      <c r="O22" s="4"/>
      <c r="P22" s="4"/>
      <c r="Q22" s="4"/>
      <c r="R22" s="4"/>
      <c r="S22" s="4"/>
      <c r="T22" s="4"/>
      <c r="U22" s="4"/>
      <c r="V22" s="4"/>
      <c r="W22" s="4"/>
    </row>
    <row r="23" ht="14.25" customHeight="1">
      <c r="B23" s="613">
        <v>20.0</v>
      </c>
      <c r="C23" s="600" t="s">
        <v>753</v>
      </c>
      <c r="D23" s="619" t="s">
        <v>815</v>
      </c>
    </row>
    <row r="24" ht="14.25" customHeight="1">
      <c r="B24" s="613">
        <v>21.0</v>
      </c>
      <c r="C24" s="600" t="s">
        <v>755</v>
      </c>
      <c r="D24" s="619" t="s">
        <v>816</v>
      </c>
    </row>
    <row r="25" ht="14.25" customHeight="1">
      <c r="B25" s="613">
        <v>22.0</v>
      </c>
      <c r="C25" s="600" t="s">
        <v>757</v>
      </c>
      <c r="D25" s="619" t="s">
        <v>817</v>
      </c>
    </row>
    <row r="26" ht="30.0" customHeight="1">
      <c r="B26" s="613">
        <v>23.0</v>
      </c>
      <c r="C26" s="600" t="s">
        <v>760</v>
      </c>
      <c r="D26" s="619" t="s">
        <v>726</v>
      </c>
    </row>
    <row r="27" ht="14.25" customHeight="1">
      <c r="B27" s="613">
        <v>24.0</v>
      </c>
      <c r="C27" s="600" t="s">
        <v>761</v>
      </c>
      <c r="D27" s="619" t="s">
        <v>726</v>
      </c>
    </row>
    <row r="28" ht="4.5" customHeight="1">
      <c r="D28" s="4"/>
    </row>
    <row r="29" ht="14.25" customHeight="1">
      <c r="D29" s="4"/>
    </row>
    <row r="30" ht="14.25" customHeight="1">
      <c r="D30" s="4"/>
    </row>
    <row r="31" ht="14.25" customHeight="1">
      <c r="D31" s="4"/>
    </row>
    <row r="32" ht="14.25" customHeight="1">
      <c r="D32" s="4"/>
    </row>
    <row r="33" ht="14.25" customHeight="1">
      <c r="D33" s="4"/>
    </row>
    <row r="34" ht="14.25" customHeight="1">
      <c r="D34" s="4"/>
    </row>
    <row r="35" ht="14.25" customHeight="1">
      <c r="D35" s="4"/>
    </row>
    <row r="36" ht="14.25" customHeight="1">
      <c r="D36" s="4"/>
    </row>
    <row r="37" ht="14.25" customHeight="1">
      <c r="D37" s="4"/>
    </row>
    <row r="38" ht="14.25" customHeight="1">
      <c r="D38" s="4"/>
    </row>
    <row r="39" ht="14.25" customHeight="1">
      <c r="D39" s="4"/>
    </row>
    <row r="40" ht="14.25" customHeight="1">
      <c r="D40" s="4"/>
    </row>
    <row r="41" ht="14.25" customHeight="1">
      <c r="D41" s="4"/>
    </row>
    <row r="42" ht="14.25" customHeight="1">
      <c r="D42" s="4"/>
    </row>
    <row r="43" ht="14.25" customHeight="1">
      <c r="D43" s="4"/>
    </row>
    <row r="44" ht="14.25" customHeight="1">
      <c r="D44" s="4"/>
    </row>
    <row r="45" ht="14.25" customHeight="1">
      <c r="D45" s="4"/>
    </row>
    <row r="46" ht="14.25" customHeight="1">
      <c r="D46" s="4"/>
    </row>
    <row r="47" ht="14.25" customHeight="1">
      <c r="D47" s="4"/>
    </row>
    <row r="48" ht="14.25" customHeight="1">
      <c r="D48" s="4"/>
    </row>
    <row r="49" ht="14.25" customHeight="1">
      <c r="D49" s="4"/>
    </row>
    <row r="50" ht="14.25" customHeight="1">
      <c r="D50" s="4"/>
    </row>
    <row r="51" ht="14.25" customHeight="1">
      <c r="D51" s="4"/>
    </row>
    <row r="52" ht="14.25" customHeight="1">
      <c r="D52" s="4"/>
    </row>
    <row r="53" ht="14.25" customHeight="1">
      <c r="D53" s="4"/>
    </row>
    <row r="54" ht="14.25" customHeight="1">
      <c r="D54" s="4"/>
    </row>
    <row r="55" ht="14.25" customHeight="1">
      <c r="D55" s="4"/>
    </row>
    <row r="56" ht="14.25" customHeight="1">
      <c r="D56" s="4"/>
    </row>
    <row r="57" ht="14.25" customHeight="1">
      <c r="D57" s="4"/>
    </row>
    <row r="58" ht="14.25" customHeight="1">
      <c r="D58" s="4"/>
    </row>
    <row r="59" ht="14.25" customHeight="1">
      <c r="D59" s="4"/>
    </row>
    <row r="60" ht="14.25" customHeight="1">
      <c r="D60" s="4"/>
    </row>
    <row r="61" ht="14.25" customHeight="1">
      <c r="D61" s="4"/>
    </row>
    <row r="62" ht="14.25" customHeight="1">
      <c r="D62" s="4"/>
    </row>
    <row r="63" ht="14.25" customHeight="1">
      <c r="D63" s="4"/>
    </row>
    <row r="64" ht="14.25" customHeight="1">
      <c r="D64" s="4"/>
    </row>
    <row r="65" ht="14.25" customHeight="1">
      <c r="D65" s="4"/>
    </row>
    <row r="66" ht="14.25" customHeight="1">
      <c r="D66" s="4"/>
    </row>
    <row r="67" ht="14.25" customHeight="1">
      <c r="D67" s="4"/>
    </row>
    <row r="68" ht="14.25" customHeight="1">
      <c r="D68" s="4"/>
    </row>
    <row r="69" ht="14.25" customHeight="1">
      <c r="D69" s="4"/>
    </row>
    <row r="70" ht="14.25" customHeight="1">
      <c r="D70" s="4"/>
    </row>
    <row r="71" ht="14.25" customHeight="1">
      <c r="D71" s="4"/>
    </row>
    <row r="72" ht="14.25" customHeight="1">
      <c r="D72" s="4"/>
    </row>
    <row r="73" ht="14.25" customHeight="1">
      <c r="D73" s="4"/>
    </row>
    <row r="74" ht="14.25" customHeight="1">
      <c r="D74" s="4"/>
    </row>
    <row r="75" ht="14.25" customHeight="1">
      <c r="D75" s="4"/>
    </row>
    <row r="76" ht="14.25" customHeight="1">
      <c r="D76" s="4"/>
    </row>
    <row r="77" ht="14.25" customHeight="1">
      <c r="D77" s="4"/>
    </row>
    <row r="78" ht="14.25" customHeight="1">
      <c r="D78" s="4"/>
    </row>
    <row r="79" ht="14.25" customHeight="1">
      <c r="D79" s="4"/>
    </row>
    <row r="80" ht="14.25" customHeight="1">
      <c r="D80" s="4"/>
    </row>
    <row r="81" ht="14.25" customHeight="1">
      <c r="D81" s="4"/>
    </row>
    <row r="82" ht="14.25" customHeight="1">
      <c r="D82" s="4"/>
    </row>
    <row r="83" ht="14.25" customHeight="1">
      <c r="D83" s="4"/>
    </row>
    <row r="84" ht="14.25" customHeight="1">
      <c r="D84" s="4"/>
    </row>
    <row r="85" ht="14.25" customHeight="1">
      <c r="D85" s="4"/>
    </row>
    <row r="86" ht="14.25" customHeight="1">
      <c r="D86" s="4"/>
    </row>
    <row r="87" ht="14.25" customHeight="1">
      <c r="D87" s="4"/>
    </row>
    <row r="88" ht="14.25" customHeight="1">
      <c r="D88" s="4"/>
    </row>
    <row r="89" ht="14.25" customHeight="1">
      <c r="D89" s="4"/>
    </row>
    <row r="90" ht="14.25" customHeight="1">
      <c r="D90" s="4"/>
    </row>
    <row r="91" ht="14.25" customHeight="1">
      <c r="D91" s="4"/>
    </row>
    <row r="92" ht="14.25" customHeight="1">
      <c r="D92" s="4"/>
    </row>
    <row r="93" ht="14.25" customHeight="1">
      <c r="D93" s="4"/>
    </row>
    <row r="94" ht="14.25" customHeight="1">
      <c r="D94" s="4"/>
    </row>
    <row r="95" ht="14.25" customHeight="1">
      <c r="D95" s="4"/>
    </row>
    <row r="96" ht="14.25" customHeight="1">
      <c r="D96" s="4"/>
    </row>
    <row r="97" ht="14.25" customHeight="1">
      <c r="D97" s="4"/>
    </row>
    <row r="98" ht="14.25" customHeight="1">
      <c r="D98" s="4"/>
    </row>
    <row r="99" ht="14.25" customHeight="1">
      <c r="D99" s="4"/>
    </row>
    <row r="100" ht="14.25" customHeight="1">
      <c r="D100" s="4"/>
    </row>
    <row r="101" ht="14.25" customHeight="1">
      <c r="D101" s="4"/>
    </row>
    <row r="102" ht="14.25" customHeight="1">
      <c r="D102" s="4"/>
    </row>
    <row r="103" ht="14.25" customHeight="1">
      <c r="D103" s="4"/>
    </row>
    <row r="104" ht="14.25" customHeight="1">
      <c r="D104" s="4"/>
    </row>
    <row r="105" ht="14.25" customHeight="1">
      <c r="D105" s="4"/>
    </row>
    <row r="106" ht="14.25" customHeight="1">
      <c r="D106" s="4"/>
    </row>
    <row r="107" ht="14.25" customHeight="1">
      <c r="D107" s="4"/>
    </row>
    <row r="108" ht="14.25" customHeight="1">
      <c r="D108" s="4"/>
    </row>
    <row r="109" ht="14.25" customHeight="1">
      <c r="D109" s="4"/>
    </row>
    <row r="110" ht="14.25" customHeight="1">
      <c r="D110" s="4"/>
    </row>
    <row r="111" ht="14.25" customHeight="1">
      <c r="D111" s="4"/>
    </row>
    <row r="112" ht="14.25" customHeight="1">
      <c r="D112" s="4"/>
    </row>
    <row r="113" ht="14.25" customHeight="1">
      <c r="D113" s="4"/>
    </row>
    <row r="114" ht="14.25" customHeight="1">
      <c r="D114" s="4"/>
    </row>
    <row r="115" ht="14.25" customHeight="1">
      <c r="D115" s="4"/>
    </row>
    <row r="116" ht="14.25" customHeight="1">
      <c r="D116" s="4"/>
    </row>
    <row r="117" ht="14.25" customHeight="1">
      <c r="D117" s="4"/>
    </row>
    <row r="118" ht="14.25" customHeight="1">
      <c r="D118" s="4"/>
    </row>
    <row r="119" ht="14.25" customHeight="1">
      <c r="D119" s="4"/>
    </row>
    <row r="120" ht="14.25" customHeight="1">
      <c r="D120" s="4"/>
    </row>
    <row r="121" ht="14.25" customHeight="1">
      <c r="D121" s="4"/>
    </row>
    <row r="122" ht="14.25" customHeight="1">
      <c r="D122" s="4"/>
    </row>
    <row r="123" ht="14.25" customHeight="1">
      <c r="D123" s="4"/>
    </row>
    <row r="124" ht="14.25" customHeight="1">
      <c r="D124" s="4"/>
    </row>
    <row r="125" ht="14.25" customHeight="1">
      <c r="D125" s="4"/>
    </row>
    <row r="126" ht="14.25" customHeight="1">
      <c r="D126" s="4"/>
    </row>
    <row r="127" ht="14.25" customHeight="1">
      <c r="D127" s="4"/>
    </row>
    <row r="128" ht="14.25" customHeight="1">
      <c r="D128" s="4"/>
    </row>
    <row r="129" ht="14.25" customHeight="1">
      <c r="D129" s="4"/>
    </row>
    <row r="130" ht="14.25" customHeight="1">
      <c r="D130" s="4"/>
    </row>
    <row r="131" ht="14.25" customHeight="1">
      <c r="D131" s="4"/>
    </row>
    <row r="132" ht="14.25" customHeight="1">
      <c r="D132" s="4"/>
    </row>
    <row r="133" ht="14.25" customHeight="1">
      <c r="D133" s="4"/>
    </row>
    <row r="134" ht="14.25" customHeight="1">
      <c r="D134" s="4"/>
    </row>
    <row r="135" ht="14.25" customHeight="1">
      <c r="D135" s="4"/>
    </row>
    <row r="136" ht="14.25" customHeight="1">
      <c r="D136" s="4"/>
    </row>
    <row r="137" ht="14.25" customHeight="1">
      <c r="D137" s="4"/>
    </row>
    <row r="138" ht="14.25" customHeight="1">
      <c r="D138" s="4"/>
    </row>
    <row r="139" ht="14.25" customHeight="1">
      <c r="D139" s="4"/>
    </row>
    <row r="140" ht="14.25" customHeight="1">
      <c r="D140" s="4"/>
    </row>
    <row r="141" ht="14.25" customHeight="1">
      <c r="D141" s="4"/>
    </row>
    <row r="142" ht="14.25" customHeight="1">
      <c r="D142" s="4"/>
    </row>
    <row r="143" ht="14.25" customHeight="1">
      <c r="D143" s="4"/>
    </row>
    <row r="144" ht="14.25" customHeight="1">
      <c r="D144" s="4"/>
    </row>
    <row r="145" ht="14.25" customHeight="1">
      <c r="D145" s="4"/>
    </row>
    <row r="146" ht="14.25" customHeight="1">
      <c r="D146" s="4"/>
    </row>
    <row r="147" ht="14.25" customHeight="1">
      <c r="D147" s="4"/>
    </row>
    <row r="148" ht="14.25" customHeight="1">
      <c r="D148" s="4"/>
    </row>
    <row r="149" ht="14.25" customHeight="1">
      <c r="D149" s="4"/>
    </row>
    <row r="150" ht="14.25" customHeight="1">
      <c r="D150" s="4"/>
    </row>
    <row r="151" ht="14.25" customHeight="1">
      <c r="D151" s="4"/>
    </row>
    <row r="152" ht="14.25" customHeight="1">
      <c r="D152" s="4"/>
    </row>
    <row r="153" ht="14.25" customHeight="1">
      <c r="D153" s="4"/>
    </row>
    <row r="154" ht="14.25" customHeight="1">
      <c r="D154" s="4"/>
    </row>
    <row r="155" ht="14.25" customHeight="1">
      <c r="D155" s="4"/>
    </row>
    <row r="156" ht="14.25" customHeight="1">
      <c r="D156" s="4"/>
    </row>
    <row r="157" ht="14.25" customHeight="1">
      <c r="D157" s="4"/>
    </row>
    <row r="158" ht="14.25" customHeight="1">
      <c r="D158" s="4"/>
    </row>
    <row r="159" ht="14.25" customHeight="1">
      <c r="D159" s="4"/>
    </row>
    <row r="160" ht="14.25" customHeight="1">
      <c r="D160" s="4"/>
    </row>
    <row r="161" ht="14.25" customHeight="1">
      <c r="D161" s="4"/>
    </row>
    <row r="162" ht="14.25" customHeight="1">
      <c r="D162" s="4"/>
    </row>
    <row r="163" ht="14.25" customHeight="1">
      <c r="D163" s="4"/>
    </row>
    <row r="164" ht="14.25" customHeight="1">
      <c r="D164" s="4"/>
    </row>
    <row r="165" ht="14.25" customHeight="1">
      <c r="D165" s="4"/>
    </row>
    <row r="166" ht="14.25" customHeight="1">
      <c r="D166" s="4"/>
    </row>
    <row r="167" ht="14.25" customHeight="1">
      <c r="D167" s="4"/>
    </row>
    <row r="168" ht="14.25" customHeight="1">
      <c r="D168" s="4"/>
    </row>
    <row r="169" ht="14.25" customHeight="1">
      <c r="D169" s="4"/>
    </row>
    <row r="170" ht="14.25" customHeight="1">
      <c r="D170" s="4"/>
    </row>
    <row r="171" ht="14.25" customHeight="1">
      <c r="D171" s="4"/>
    </row>
    <row r="172" ht="14.25" customHeight="1">
      <c r="D172" s="4"/>
    </row>
    <row r="173" ht="14.25" customHeight="1">
      <c r="D173" s="4"/>
    </row>
    <row r="174" ht="14.25" customHeight="1">
      <c r="D174" s="4"/>
    </row>
    <row r="175" ht="14.25" customHeight="1">
      <c r="D175" s="4"/>
    </row>
    <row r="176" ht="14.25" customHeight="1">
      <c r="D176" s="4"/>
    </row>
    <row r="177" ht="14.25" customHeight="1">
      <c r="D177" s="4"/>
    </row>
    <row r="178" ht="14.25" customHeight="1">
      <c r="D178" s="4"/>
    </row>
    <row r="179" ht="14.25" customHeight="1">
      <c r="D179" s="4"/>
    </row>
    <row r="180" ht="14.25" customHeight="1">
      <c r="D180" s="4"/>
    </row>
    <row r="181" ht="14.25" customHeight="1">
      <c r="D181" s="4"/>
    </row>
    <row r="182" ht="14.25" customHeight="1">
      <c r="D182" s="4"/>
    </row>
    <row r="183" ht="14.25" customHeight="1">
      <c r="D183" s="4"/>
    </row>
    <row r="184" ht="14.25" customHeight="1">
      <c r="D184" s="4"/>
    </row>
    <row r="185" ht="14.25" customHeight="1">
      <c r="D185" s="4"/>
    </row>
    <row r="186" ht="14.25" customHeight="1">
      <c r="D186" s="4"/>
    </row>
    <row r="187" ht="14.25" customHeight="1">
      <c r="D187" s="4"/>
    </row>
    <row r="188" ht="14.25" customHeight="1">
      <c r="D188" s="4"/>
    </row>
    <row r="189" ht="14.25" customHeight="1">
      <c r="D189" s="4"/>
    </row>
    <row r="190" ht="14.25" customHeight="1">
      <c r="D190" s="4"/>
    </row>
    <row r="191" ht="14.25" customHeight="1">
      <c r="D191" s="4"/>
    </row>
    <row r="192" ht="14.25" customHeight="1">
      <c r="D192" s="4"/>
    </row>
    <row r="193" ht="14.25" customHeight="1">
      <c r="D193" s="4"/>
    </row>
    <row r="194" ht="14.25" customHeight="1">
      <c r="D194" s="4"/>
    </row>
    <row r="195" ht="14.25" customHeight="1">
      <c r="D195" s="4"/>
    </row>
    <row r="196" ht="14.25" customHeight="1">
      <c r="D196" s="4"/>
    </row>
    <row r="197" ht="14.25" customHeight="1">
      <c r="D197" s="4"/>
    </row>
    <row r="198" ht="14.25" customHeight="1">
      <c r="D198" s="4"/>
    </row>
    <row r="199" ht="14.25" customHeight="1">
      <c r="D199" s="4"/>
    </row>
    <row r="200" ht="14.25" customHeight="1">
      <c r="D200" s="4"/>
    </row>
    <row r="201" ht="14.25" customHeight="1">
      <c r="D201" s="4"/>
    </row>
    <row r="202" ht="14.25" customHeight="1">
      <c r="D202" s="4"/>
    </row>
    <row r="203" ht="14.25" customHeight="1">
      <c r="D203" s="4"/>
    </row>
    <row r="204" ht="14.25" customHeight="1">
      <c r="D204" s="4"/>
    </row>
    <row r="205" ht="14.25" customHeight="1">
      <c r="D205" s="4"/>
    </row>
    <row r="206" ht="14.25" customHeight="1">
      <c r="D206" s="4"/>
    </row>
    <row r="207" ht="14.25" customHeight="1">
      <c r="D207" s="4"/>
    </row>
    <row r="208" ht="14.25" customHeight="1">
      <c r="D208" s="4"/>
    </row>
    <row r="209" ht="14.25" customHeight="1">
      <c r="D209" s="4"/>
    </row>
    <row r="210" ht="14.25" customHeight="1">
      <c r="D210" s="4"/>
    </row>
    <row r="211" ht="14.25" customHeight="1">
      <c r="D211" s="4"/>
    </row>
    <row r="212" ht="14.25" customHeight="1">
      <c r="D212" s="4"/>
    </row>
    <row r="213" ht="14.25" customHeight="1">
      <c r="D213" s="4"/>
    </row>
    <row r="214" ht="14.25" customHeight="1">
      <c r="D214" s="4"/>
    </row>
    <row r="215" ht="14.25" customHeight="1">
      <c r="D215" s="4"/>
    </row>
    <row r="216" ht="14.25" customHeight="1">
      <c r="D216" s="4"/>
    </row>
    <row r="217" ht="14.25" customHeight="1">
      <c r="D217" s="4"/>
    </row>
    <row r="218" ht="14.25" customHeight="1">
      <c r="D218" s="4"/>
    </row>
    <row r="219" ht="14.25" customHeight="1">
      <c r="D219" s="4"/>
    </row>
    <row r="220" ht="14.25" customHeight="1">
      <c r="D220" s="4"/>
    </row>
    <row r="221" ht="14.25" customHeight="1">
      <c r="D221" s="4"/>
    </row>
    <row r="222" ht="14.25" customHeight="1">
      <c r="D222" s="4"/>
    </row>
    <row r="223" ht="14.25" customHeight="1">
      <c r="D223" s="4"/>
    </row>
    <row r="224" ht="14.25" customHeight="1">
      <c r="D224" s="4"/>
    </row>
    <row r="225" ht="14.25" customHeight="1">
      <c r="D225" s="4"/>
    </row>
    <row r="226" ht="14.25" customHeight="1">
      <c r="D226" s="4"/>
    </row>
    <row r="227" ht="14.25" customHeight="1">
      <c r="D227" s="4"/>
    </row>
    <row r="228" ht="14.25" customHeight="1">
      <c r="D228" s="4"/>
    </row>
    <row r="229" ht="14.25" customHeight="1">
      <c r="D229" s="4"/>
    </row>
    <row r="230" ht="14.25" customHeight="1">
      <c r="D230" s="4"/>
    </row>
    <row r="231" ht="14.25" customHeight="1">
      <c r="D231" s="4"/>
    </row>
    <row r="232" ht="14.25" customHeight="1">
      <c r="D232" s="4"/>
    </row>
    <row r="233" ht="14.25" customHeight="1">
      <c r="D233" s="4"/>
    </row>
    <row r="234" ht="14.25" customHeight="1">
      <c r="D234" s="4"/>
    </row>
    <row r="235" ht="14.25" customHeight="1">
      <c r="D235" s="4"/>
    </row>
    <row r="236" ht="14.25" customHeight="1">
      <c r="D236" s="4"/>
    </row>
    <row r="237" ht="14.25" customHeight="1">
      <c r="D237" s="4"/>
    </row>
    <row r="238" ht="14.25" customHeight="1">
      <c r="D238" s="4"/>
    </row>
    <row r="239" ht="14.25" customHeight="1">
      <c r="D239" s="4"/>
    </row>
    <row r="240" ht="14.25" customHeight="1">
      <c r="D240" s="4"/>
    </row>
    <row r="241" ht="14.25" customHeight="1">
      <c r="D241" s="4"/>
    </row>
    <row r="242" ht="14.25" customHeight="1">
      <c r="D242" s="4"/>
    </row>
    <row r="243" ht="14.25" customHeight="1">
      <c r="D243" s="4"/>
    </row>
    <row r="244" ht="14.25" customHeight="1">
      <c r="D244" s="4"/>
    </row>
    <row r="245" ht="14.25" customHeight="1">
      <c r="D245" s="4"/>
    </row>
    <row r="246" ht="14.25" customHeight="1">
      <c r="D246" s="4"/>
    </row>
    <row r="247" ht="14.25" customHeight="1">
      <c r="D247" s="4"/>
    </row>
    <row r="248" ht="14.25" customHeight="1">
      <c r="D248" s="4"/>
    </row>
    <row r="249" ht="14.25" customHeight="1">
      <c r="D249" s="4"/>
    </row>
    <row r="250" ht="14.25" customHeight="1">
      <c r="D250" s="4"/>
    </row>
    <row r="251" ht="14.25" customHeight="1">
      <c r="D251" s="4"/>
    </row>
    <row r="252" ht="14.25" customHeight="1">
      <c r="D252" s="4"/>
    </row>
    <row r="253" ht="14.25" customHeight="1">
      <c r="D253" s="4"/>
    </row>
    <row r="254" ht="14.25" customHeight="1">
      <c r="D254" s="4"/>
    </row>
    <row r="255" ht="14.25" customHeight="1">
      <c r="D255" s="4"/>
    </row>
    <row r="256" ht="14.25" customHeight="1">
      <c r="D256" s="4"/>
    </row>
    <row r="257" ht="14.25" customHeight="1">
      <c r="D257" s="4"/>
    </row>
    <row r="258" ht="14.25" customHeight="1">
      <c r="D258" s="4"/>
    </row>
    <row r="259" ht="14.25" customHeight="1">
      <c r="D259" s="4"/>
    </row>
    <row r="260" ht="14.25" customHeight="1">
      <c r="D260" s="4"/>
    </row>
    <row r="261" ht="14.25" customHeight="1">
      <c r="D261" s="4"/>
    </row>
    <row r="262" ht="14.25" customHeight="1">
      <c r="D262" s="4"/>
    </row>
    <row r="263" ht="14.25" customHeight="1">
      <c r="D263" s="4"/>
    </row>
    <row r="264" ht="14.25" customHeight="1">
      <c r="D264" s="4"/>
    </row>
    <row r="265" ht="14.25" customHeight="1">
      <c r="D265" s="4"/>
    </row>
    <row r="266" ht="14.25" customHeight="1">
      <c r="D266" s="4"/>
    </row>
    <row r="267" ht="14.25" customHeight="1">
      <c r="D267" s="4"/>
    </row>
    <row r="268" ht="14.25" customHeight="1">
      <c r="D268" s="4"/>
    </row>
    <row r="269" ht="14.25" customHeight="1">
      <c r="D269" s="4"/>
    </row>
    <row r="270" ht="14.25" customHeight="1">
      <c r="D270" s="4"/>
    </row>
    <row r="271" ht="14.25" customHeight="1">
      <c r="D271" s="4"/>
    </row>
    <row r="272" ht="14.25" customHeight="1">
      <c r="D272" s="4"/>
    </row>
    <row r="273" ht="14.25" customHeight="1">
      <c r="D273" s="4"/>
    </row>
    <row r="274" ht="14.25" customHeight="1">
      <c r="D274" s="4"/>
    </row>
    <row r="275" ht="14.25" customHeight="1">
      <c r="D275" s="4"/>
    </row>
    <row r="276" ht="14.25" customHeight="1">
      <c r="D276" s="4"/>
    </row>
    <row r="277" ht="14.25" customHeight="1">
      <c r="D277" s="4"/>
    </row>
    <row r="278" ht="14.25" customHeight="1">
      <c r="D278" s="4"/>
    </row>
    <row r="279" ht="14.25" customHeight="1">
      <c r="D279" s="4"/>
    </row>
    <row r="280" ht="14.25" customHeight="1">
      <c r="D280" s="4"/>
    </row>
    <row r="281" ht="14.25" customHeight="1">
      <c r="D281" s="4"/>
    </row>
    <row r="282" ht="14.25" customHeight="1">
      <c r="D282" s="4"/>
    </row>
    <row r="283" ht="14.25" customHeight="1">
      <c r="D283" s="4"/>
    </row>
    <row r="284" ht="14.25" customHeight="1">
      <c r="D284" s="4"/>
    </row>
    <row r="285" ht="14.25" customHeight="1">
      <c r="D285" s="4"/>
    </row>
    <row r="286" ht="14.25" customHeight="1">
      <c r="D286" s="4"/>
    </row>
    <row r="287" ht="14.25" customHeight="1">
      <c r="D287" s="4"/>
    </row>
    <row r="288" ht="14.25" customHeight="1">
      <c r="D288" s="4"/>
    </row>
    <row r="289" ht="14.25" customHeight="1">
      <c r="D289" s="4"/>
    </row>
    <row r="290" ht="14.25" customHeight="1">
      <c r="D290" s="4"/>
    </row>
    <row r="291" ht="14.25" customHeight="1">
      <c r="D291" s="4"/>
    </row>
    <row r="292" ht="14.25" customHeight="1">
      <c r="D292" s="4"/>
    </row>
    <row r="293" ht="14.25" customHeight="1">
      <c r="D293" s="4"/>
    </row>
    <row r="294" ht="14.25" customHeight="1">
      <c r="D294" s="4"/>
    </row>
    <row r="295" ht="14.25" customHeight="1">
      <c r="D295" s="4"/>
    </row>
    <row r="296" ht="14.25" customHeight="1">
      <c r="D296" s="4"/>
    </row>
    <row r="297" ht="14.25" customHeight="1">
      <c r="D297" s="4"/>
    </row>
    <row r="298" ht="14.25" customHeight="1">
      <c r="D298" s="4"/>
    </row>
    <row r="299" ht="14.25" customHeight="1">
      <c r="D299" s="4"/>
    </row>
    <row r="300" ht="14.25" customHeight="1">
      <c r="D300" s="4"/>
    </row>
    <row r="301" ht="14.25" customHeight="1">
      <c r="D301" s="4"/>
    </row>
    <row r="302" ht="14.25" customHeight="1">
      <c r="D302" s="4"/>
    </row>
    <row r="303" ht="14.25" customHeight="1">
      <c r="D303" s="4"/>
    </row>
    <row r="304" ht="14.25" customHeight="1">
      <c r="D304" s="4"/>
    </row>
    <row r="305" ht="14.25" customHeight="1">
      <c r="D305" s="4"/>
    </row>
    <row r="306" ht="14.25" customHeight="1">
      <c r="D306" s="4"/>
    </row>
    <row r="307" ht="14.25" customHeight="1">
      <c r="D307" s="4"/>
    </row>
    <row r="308" ht="14.25" customHeight="1">
      <c r="D308" s="4"/>
    </row>
    <row r="309" ht="14.25" customHeight="1">
      <c r="D309" s="4"/>
    </row>
    <row r="310" ht="14.25" customHeight="1">
      <c r="D310" s="4"/>
    </row>
    <row r="311" ht="14.25" customHeight="1">
      <c r="D311" s="4"/>
    </row>
    <row r="312" ht="14.25" customHeight="1">
      <c r="D312" s="4"/>
    </row>
    <row r="313" ht="14.25" customHeight="1">
      <c r="D313" s="4"/>
    </row>
    <row r="314" ht="14.25" customHeight="1">
      <c r="D314" s="4"/>
    </row>
    <row r="315" ht="14.25" customHeight="1">
      <c r="D315" s="4"/>
    </row>
    <row r="316" ht="14.25" customHeight="1">
      <c r="D316" s="4"/>
    </row>
    <row r="317" ht="14.25" customHeight="1">
      <c r="D317" s="4"/>
    </row>
    <row r="318" ht="14.25" customHeight="1">
      <c r="D318" s="4"/>
    </row>
    <row r="319" ht="14.25" customHeight="1">
      <c r="D319" s="4"/>
    </row>
    <row r="320" ht="14.25" customHeight="1">
      <c r="D320" s="4"/>
    </row>
    <row r="321" ht="14.25" customHeight="1">
      <c r="D321" s="4"/>
    </row>
    <row r="322" ht="14.25" customHeight="1">
      <c r="D322" s="4"/>
    </row>
    <row r="323" ht="14.25" customHeight="1">
      <c r="D323" s="4"/>
    </row>
    <row r="324" ht="14.25" customHeight="1">
      <c r="D324" s="4"/>
    </row>
    <row r="325" ht="14.25" customHeight="1">
      <c r="D325" s="4"/>
    </row>
    <row r="326" ht="14.25" customHeight="1">
      <c r="D326" s="4"/>
    </row>
    <row r="327" ht="14.25" customHeight="1">
      <c r="D327" s="4"/>
    </row>
    <row r="328" ht="14.25" customHeight="1">
      <c r="D328" s="4"/>
    </row>
    <row r="329" ht="14.25" customHeight="1">
      <c r="D329" s="4"/>
    </row>
    <row r="330" ht="14.25" customHeight="1">
      <c r="D330" s="4"/>
    </row>
    <row r="331" ht="14.25" customHeight="1">
      <c r="D331" s="4"/>
    </row>
    <row r="332" ht="14.25" customHeight="1">
      <c r="D332" s="4"/>
    </row>
    <row r="333" ht="14.25" customHeight="1">
      <c r="D333" s="4"/>
    </row>
    <row r="334" ht="14.25" customHeight="1">
      <c r="D334" s="4"/>
    </row>
    <row r="335" ht="14.25" customHeight="1">
      <c r="D335" s="4"/>
    </row>
    <row r="336" ht="14.25" customHeight="1">
      <c r="D336" s="4"/>
    </row>
    <row r="337" ht="14.25" customHeight="1">
      <c r="D337" s="4"/>
    </row>
    <row r="338" ht="14.25" customHeight="1">
      <c r="D338" s="4"/>
    </row>
    <row r="339" ht="14.25" customHeight="1">
      <c r="D339" s="4"/>
    </row>
    <row r="340" ht="14.25" customHeight="1">
      <c r="D340" s="4"/>
    </row>
    <row r="341" ht="14.25" customHeight="1">
      <c r="D341" s="4"/>
    </row>
    <row r="342" ht="14.25" customHeight="1">
      <c r="D342" s="4"/>
    </row>
    <row r="343" ht="14.25" customHeight="1">
      <c r="D343" s="4"/>
    </row>
    <row r="344" ht="14.25" customHeight="1">
      <c r="D344" s="4"/>
    </row>
    <row r="345" ht="14.25" customHeight="1">
      <c r="D345" s="4"/>
    </row>
    <row r="346" ht="14.25" customHeight="1">
      <c r="D346" s="4"/>
    </row>
    <row r="347" ht="14.25" customHeight="1">
      <c r="D347" s="4"/>
    </row>
    <row r="348" ht="14.25" customHeight="1">
      <c r="D348" s="4"/>
    </row>
    <row r="349" ht="14.25" customHeight="1">
      <c r="D349" s="4"/>
    </row>
    <row r="350" ht="14.25" customHeight="1">
      <c r="D350" s="4"/>
    </row>
    <row r="351" ht="14.25" customHeight="1">
      <c r="D351" s="4"/>
    </row>
    <row r="352" ht="14.25" customHeight="1">
      <c r="D352" s="4"/>
    </row>
    <row r="353" ht="14.25" customHeight="1">
      <c r="D353" s="4"/>
    </row>
    <row r="354" ht="14.25" customHeight="1">
      <c r="D354" s="4"/>
    </row>
    <row r="355" ht="14.25" customHeight="1">
      <c r="D355" s="4"/>
    </row>
    <row r="356" ht="14.25" customHeight="1">
      <c r="D356" s="4"/>
    </row>
    <row r="357" ht="14.25" customHeight="1">
      <c r="D357" s="4"/>
    </row>
    <row r="358" ht="14.25" customHeight="1">
      <c r="D358" s="4"/>
    </row>
    <row r="359" ht="14.25" customHeight="1">
      <c r="D359" s="4"/>
    </row>
    <row r="360" ht="14.25" customHeight="1">
      <c r="D360" s="4"/>
    </row>
    <row r="361" ht="14.25" customHeight="1">
      <c r="D361" s="4"/>
    </row>
    <row r="362" ht="14.25" customHeight="1">
      <c r="D362" s="4"/>
    </row>
    <row r="363" ht="14.25" customHeight="1">
      <c r="D363" s="4"/>
    </row>
    <row r="364" ht="14.25" customHeight="1">
      <c r="D364" s="4"/>
    </row>
    <row r="365" ht="14.25" customHeight="1">
      <c r="D365" s="4"/>
    </row>
    <row r="366" ht="14.25" customHeight="1">
      <c r="D366" s="4"/>
    </row>
    <row r="367" ht="14.25" customHeight="1">
      <c r="D367" s="4"/>
    </row>
    <row r="368" ht="14.25" customHeight="1">
      <c r="D368" s="4"/>
    </row>
    <row r="369" ht="14.25" customHeight="1">
      <c r="D369" s="4"/>
    </row>
    <row r="370" ht="14.25" customHeight="1">
      <c r="D370" s="4"/>
    </row>
    <row r="371" ht="14.25" customHeight="1">
      <c r="D371" s="4"/>
    </row>
    <row r="372" ht="14.25" customHeight="1">
      <c r="D372" s="4"/>
    </row>
    <row r="373" ht="14.25" customHeight="1">
      <c r="D373" s="4"/>
    </row>
    <row r="374" ht="14.25" customHeight="1">
      <c r="D374" s="4"/>
    </row>
    <row r="375" ht="14.25" customHeight="1">
      <c r="D375" s="4"/>
    </row>
    <row r="376" ht="14.25" customHeight="1">
      <c r="D376" s="4"/>
    </row>
    <row r="377" ht="14.25" customHeight="1">
      <c r="D377" s="4"/>
    </row>
    <row r="378" ht="14.25" customHeight="1">
      <c r="D378" s="4"/>
    </row>
    <row r="379" ht="14.25" customHeight="1">
      <c r="D379" s="4"/>
    </row>
    <row r="380" ht="14.25" customHeight="1">
      <c r="D380" s="4"/>
    </row>
    <row r="381" ht="14.25" customHeight="1">
      <c r="D381" s="4"/>
    </row>
    <row r="382" ht="14.25" customHeight="1">
      <c r="D382" s="4"/>
    </row>
    <row r="383" ht="14.25" customHeight="1">
      <c r="D383" s="4"/>
    </row>
    <row r="384" ht="14.25" customHeight="1">
      <c r="D384" s="4"/>
    </row>
    <row r="385" ht="14.25" customHeight="1">
      <c r="D385" s="4"/>
    </row>
    <row r="386" ht="14.25" customHeight="1">
      <c r="D386" s="4"/>
    </row>
    <row r="387" ht="14.25" customHeight="1">
      <c r="D387" s="4"/>
    </row>
    <row r="388" ht="14.25" customHeight="1">
      <c r="D388" s="4"/>
    </row>
    <row r="389" ht="14.25" customHeight="1">
      <c r="D389" s="4"/>
    </row>
    <row r="390" ht="14.25" customHeight="1">
      <c r="D390" s="4"/>
    </row>
    <row r="391" ht="14.25" customHeight="1">
      <c r="D391" s="4"/>
    </row>
    <row r="392" ht="14.25" customHeight="1">
      <c r="D392" s="4"/>
    </row>
    <row r="393" ht="14.25" customHeight="1">
      <c r="D393" s="4"/>
    </row>
    <row r="394" ht="14.25" customHeight="1">
      <c r="D394" s="4"/>
    </row>
    <row r="395" ht="14.25" customHeight="1">
      <c r="D395" s="4"/>
    </row>
    <row r="396" ht="14.25" customHeight="1">
      <c r="D396" s="4"/>
    </row>
    <row r="397" ht="14.25" customHeight="1">
      <c r="D397" s="4"/>
    </row>
    <row r="398" ht="14.25" customHeight="1">
      <c r="D398" s="4"/>
    </row>
    <row r="399" ht="14.25" customHeight="1">
      <c r="D399" s="4"/>
    </row>
    <row r="400" ht="14.25" customHeight="1">
      <c r="D400" s="4"/>
    </row>
    <row r="401" ht="14.25" customHeight="1">
      <c r="D401" s="4"/>
    </row>
    <row r="402" ht="14.25" customHeight="1">
      <c r="D402" s="4"/>
    </row>
    <row r="403" ht="14.25" customHeight="1">
      <c r="D403" s="4"/>
    </row>
    <row r="404" ht="14.25" customHeight="1">
      <c r="D404" s="4"/>
    </row>
    <row r="405" ht="14.25" customHeight="1">
      <c r="D405" s="4"/>
    </row>
    <row r="406" ht="14.25" customHeight="1">
      <c r="D406" s="4"/>
    </row>
    <row r="407" ht="14.25" customHeight="1">
      <c r="D407" s="4"/>
    </row>
    <row r="408" ht="14.25" customHeight="1">
      <c r="D408" s="4"/>
    </row>
    <row r="409" ht="14.25" customHeight="1">
      <c r="D409" s="4"/>
    </row>
    <row r="410" ht="14.25" customHeight="1">
      <c r="D410" s="4"/>
    </row>
    <row r="411" ht="14.25" customHeight="1">
      <c r="D411" s="4"/>
    </row>
    <row r="412" ht="14.25" customHeight="1">
      <c r="D412" s="4"/>
    </row>
    <row r="413" ht="14.25" customHeight="1">
      <c r="D413" s="4"/>
    </row>
    <row r="414" ht="14.25" customHeight="1">
      <c r="D414" s="4"/>
    </row>
    <row r="415" ht="14.25" customHeight="1">
      <c r="D415" s="4"/>
    </row>
    <row r="416" ht="14.25" customHeight="1">
      <c r="D416" s="4"/>
    </row>
    <row r="417" ht="14.25" customHeight="1">
      <c r="D417" s="4"/>
    </row>
    <row r="418" ht="14.25" customHeight="1">
      <c r="D418" s="4"/>
    </row>
    <row r="419" ht="14.25" customHeight="1">
      <c r="D419" s="4"/>
    </row>
    <row r="420" ht="14.25" customHeight="1">
      <c r="D420" s="4"/>
    </row>
    <row r="421" ht="14.25" customHeight="1">
      <c r="D421" s="4"/>
    </row>
    <row r="422" ht="14.25" customHeight="1">
      <c r="D422" s="4"/>
    </row>
    <row r="423" ht="14.25" customHeight="1">
      <c r="D423" s="4"/>
    </row>
    <row r="424" ht="14.25" customHeight="1">
      <c r="D424" s="4"/>
    </row>
    <row r="425" ht="14.25" customHeight="1">
      <c r="D425" s="4"/>
    </row>
    <row r="426" ht="14.25" customHeight="1">
      <c r="D426" s="4"/>
    </row>
    <row r="427" ht="14.25" customHeight="1">
      <c r="D427" s="4"/>
    </row>
    <row r="428" ht="14.25" customHeight="1">
      <c r="D428" s="4"/>
    </row>
    <row r="429" ht="14.25" customHeight="1">
      <c r="D429" s="4"/>
    </row>
    <row r="430" ht="14.25" customHeight="1">
      <c r="D430" s="4"/>
    </row>
    <row r="431" ht="14.25" customHeight="1">
      <c r="D431" s="4"/>
    </row>
    <row r="432" ht="14.25" customHeight="1">
      <c r="D432" s="4"/>
    </row>
    <row r="433" ht="14.25" customHeight="1">
      <c r="D433" s="4"/>
    </row>
    <row r="434" ht="14.25" customHeight="1">
      <c r="D434" s="4"/>
    </row>
    <row r="435" ht="14.25" customHeight="1">
      <c r="D435" s="4"/>
    </row>
    <row r="436" ht="14.25" customHeight="1">
      <c r="D436" s="4"/>
    </row>
    <row r="437" ht="14.25" customHeight="1">
      <c r="D437" s="4"/>
    </row>
    <row r="438" ht="14.25" customHeight="1">
      <c r="D438" s="4"/>
    </row>
    <row r="439" ht="14.25" customHeight="1">
      <c r="D439" s="4"/>
    </row>
    <row r="440" ht="14.25" customHeight="1">
      <c r="D440" s="4"/>
    </row>
    <row r="441" ht="14.25" customHeight="1">
      <c r="D441" s="4"/>
    </row>
    <row r="442" ht="14.25" customHeight="1">
      <c r="D442" s="4"/>
    </row>
    <row r="443" ht="14.25" customHeight="1">
      <c r="D443" s="4"/>
    </row>
    <row r="444" ht="14.25" customHeight="1">
      <c r="D444" s="4"/>
    </row>
    <row r="445" ht="14.25" customHeight="1">
      <c r="D445" s="4"/>
    </row>
    <row r="446" ht="14.25" customHeight="1">
      <c r="D446" s="4"/>
    </row>
    <row r="447" ht="14.25" customHeight="1">
      <c r="D447" s="4"/>
    </row>
    <row r="448" ht="14.25" customHeight="1">
      <c r="D448" s="4"/>
    </row>
    <row r="449" ht="14.25" customHeight="1">
      <c r="D449" s="4"/>
    </row>
    <row r="450" ht="14.25" customHeight="1">
      <c r="D450" s="4"/>
    </row>
    <row r="451" ht="14.25" customHeight="1">
      <c r="D451" s="4"/>
    </row>
    <row r="452" ht="14.25" customHeight="1">
      <c r="D452" s="4"/>
    </row>
    <row r="453" ht="14.25" customHeight="1">
      <c r="D453" s="4"/>
    </row>
    <row r="454" ht="14.25" customHeight="1">
      <c r="D454" s="4"/>
    </row>
    <row r="455" ht="14.25" customHeight="1">
      <c r="D455" s="4"/>
    </row>
    <row r="456" ht="14.25" customHeight="1">
      <c r="D456" s="4"/>
    </row>
    <row r="457" ht="14.25" customHeight="1">
      <c r="D457" s="4"/>
    </row>
    <row r="458" ht="14.25" customHeight="1">
      <c r="D458" s="4"/>
    </row>
    <row r="459" ht="14.25" customHeight="1">
      <c r="D459" s="4"/>
    </row>
    <row r="460" ht="14.25" customHeight="1">
      <c r="D460" s="4"/>
    </row>
    <row r="461" ht="14.25" customHeight="1">
      <c r="D461" s="4"/>
    </row>
    <row r="462" ht="14.25" customHeight="1">
      <c r="D462" s="4"/>
    </row>
    <row r="463" ht="14.25" customHeight="1">
      <c r="D463" s="4"/>
    </row>
    <row r="464" ht="14.25" customHeight="1">
      <c r="D464" s="4"/>
    </row>
    <row r="465" ht="14.25" customHeight="1">
      <c r="D465" s="4"/>
    </row>
    <row r="466" ht="14.25" customHeight="1">
      <c r="D466" s="4"/>
    </row>
    <row r="467" ht="14.25" customHeight="1">
      <c r="D467" s="4"/>
    </row>
    <row r="468" ht="14.25" customHeight="1">
      <c r="D468" s="4"/>
    </row>
    <row r="469" ht="14.25" customHeight="1">
      <c r="D469" s="4"/>
    </row>
    <row r="470" ht="14.25" customHeight="1">
      <c r="D470" s="4"/>
    </row>
    <row r="471" ht="14.25" customHeight="1">
      <c r="D471" s="4"/>
    </row>
    <row r="472" ht="14.25" customHeight="1">
      <c r="D472" s="4"/>
    </row>
    <row r="473" ht="14.25" customHeight="1">
      <c r="D473" s="4"/>
    </row>
    <row r="474" ht="14.25" customHeight="1">
      <c r="D474" s="4"/>
    </row>
    <row r="475" ht="14.25" customHeight="1">
      <c r="D475" s="4"/>
    </row>
    <row r="476" ht="14.25" customHeight="1">
      <c r="D476" s="4"/>
    </row>
    <row r="477" ht="14.25" customHeight="1">
      <c r="D477" s="4"/>
    </row>
    <row r="478" ht="14.25" customHeight="1">
      <c r="D478" s="4"/>
    </row>
    <row r="479" ht="14.25" customHeight="1">
      <c r="D479" s="4"/>
    </row>
    <row r="480" ht="14.25" customHeight="1">
      <c r="D480" s="4"/>
    </row>
    <row r="481" ht="14.25" customHeight="1">
      <c r="D481" s="4"/>
    </row>
    <row r="482" ht="14.25" customHeight="1">
      <c r="D482" s="4"/>
    </row>
    <row r="483" ht="14.25" customHeight="1">
      <c r="D483" s="4"/>
    </row>
    <row r="484" ht="14.25" customHeight="1">
      <c r="D484" s="4"/>
    </row>
    <row r="485" ht="14.25" customHeight="1">
      <c r="D485" s="4"/>
    </row>
    <row r="486" ht="14.25" customHeight="1">
      <c r="D486" s="4"/>
    </row>
    <row r="487" ht="14.25" customHeight="1">
      <c r="D487" s="4"/>
    </row>
    <row r="488" ht="14.25" customHeight="1">
      <c r="D488" s="4"/>
    </row>
    <row r="489" ht="14.25" customHeight="1">
      <c r="D489" s="4"/>
    </row>
    <row r="490" ht="14.25" customHeight="1">
      <c r="D490" s="4"/>
    </row>
    <row r="491" ht="14.25" customHeight="1">
      <c r="D491" s="4"/>
    </row>
    <row r="492" ht="14.25" customHeight="1">
      <c r="D492" s="4"/>
    </row>
    <row r="493" ht="14.25" customHeight="1">
      <c r="D493" s="4"/>
    </row>
    <row r="494" ht="14.25" customHeight="1">
      <c r="D494" s="4"/>
    </row>
    <row r="495" ht="14.25" customHeight="1">
      <c r="D495" s="4"/>
    </row>
    <row r="496" ht="14.25" customHeight="1">
      <c r="D496" s="4"/>
    </row>
    <row r="497" ht="14.25" customHeight="1">
      <c r="D497" s="4"/>
    </row>
    <row r="498" ht="14.25" customHeight="1">
      <c r="D498" s="4"/>
    </row>
    <row r="499" ht="14.25" customHeight="1">
      <c r="D499" s="4"/>
    </row>
    <row r="500" ht="14.25" customHeight="1">
      <c r="D500" s="4"/>
    </row>
    <row r="501" ht="14.25" customHeight="1">
      <c r="D501" s="4"/>
    </row>
    <row r="502" ht="14.25" customHeight="1">
      <c r="D502" s="4"/>
    </row>
    <row r="503" ht="14.25" customHeight="1">
      <c r="D503" s="4"/>
    </row>
    <row r="504" ht="14.25" customHeight="1">
      <c r="D504" s="4"/>
    </row>
    <row r="505" ht="14.25" customHeight="1">
      <c r="D505" s="4"/>
    </row>
    <row r="506" ht="14.25" customHeight="1">
      <c r="D506" s="4"/>
    </row>
    <row r="507" ht="14.25" customHeight="1">
      <c r="D507" s="4"/>
    </row>
    <row r="508" ht="14.25" customHeight="1">
      <c r="D508" s="4"/>
    </row>
    <row r="509" ht="14.25" customHeight="1">
      <c r="D509" s="4"/>
    </row>
    <row r="510" ht="14.25" customHeight="1">
      <c r="D510" s="4"/>
    </row>
    <row r="511" ht="14.25" customHeight="1">
      <c r="D511" s="4"/>
    </row>
    <row r="512" ht="14.25" customHeight="1">
      <c r="D512" s="4"/>
    </row>
    <row r="513" ht="14.25" customHeight="1">
      <c r="D513" s="4"/>
    </row>
    <row r="514" ht="14.25" customHeight="1">
      <c r="D514" s="4"/>
    </row>
    <row r="515" ht="14.25" customHeight="1">
      <c r="D515" s="4"/>
    </row>
    <row r="516" ht="14.25" customHeight="1">
      <c r="D516" s="4"/>
    </row>
    <row r="517" ht="14.25" customHeight="1">
      <c r="D517" s="4"/>
    </row>
    <row r="518" ht="14.25" customHeight="1">
      <c r="D518" s="4"/>
    </row>
    <row r="519" ht="14.25" customHeight="1">
      <c r="D519" s="4"/>
    </row>
    <row r="520" ht="14.25" customHeight="1">
      <c r="D520" s="4"/>
    </row>
    <row r="521" ht="14.25" customHeight="1">
      <c r="D521" s="4"/>
    </row>
    <row r="522" ht="14.25" customHeight="1">
      <c r="D522" s="4"/>
    </row>
    <row r="523" ht="14.25" customHeight="1">
      <c r="D523" s="4"/>
    </row>
    <row r="524" ht="14.25" customHeight="1">
      <c r="D524" s="4"/>
    </row>
    <row r="525" ht="14.25" customHeight="1">
      <c r="D525" s="4"/>
    </row>
    <row r="526" ht="14.25" customHeight="1">
      <c r="D526" s="4"/>
    </row>
    <row r="527" ht="14.25" customHeight="1">
      <c r="D527" s="4"/>
    </row>
    <row r="528" ht="14.25" customHeight="1">
      <c r="D528" s="4"/>
    </row>
    <row r="529" ht="14.25" customHeight="1">
      <c r="D529" s="4"/>
    </row>
    <row r="530" ht="14.25" customHeight="1">
      <c r="D530" s="4"/>
    </row>
    <row r="531" ht="14.25" customHeight="1">
      <c r="D531" s="4"/>
    </row>
    <row r="532" ht="14.25" customHeight="1">
      <c r="D532" s="4"/>
    </row>
    <row r="533" ht="14.25" customHeight="1">
      <c r="D533" s="4"/>
    </row>
    <row r="534" ht="14.25" customHeight="1">
      <c r="D534" s="4"/>
    </row>
    <row r="535" ht="14.25" customHeight="1">
      <c r="D535" s="4"/>
    </row>
    <row r="536" ht="14.25" customHeight="1">
      <c r="D536" s="4"/>
    </row>
    <row r="537" ht="14.25" customHeight="1">
      <c r="D537" s="4"/>
    </row>
    <row r="538" ht="14.25" customHeight="1">
      <c r="D538" s="4"/>
    </row>
    <row r="539" ht="14.25" customHeight="1">
      <c r="D539" s="4"/>
    </row>
    <row r="540" ht="14.25" customHeight="1">
      <c r="D540" s="4"/>
    </row>
    <row r="541" ht="14.25" customHeight="1">
      <c r="D541" s="4"/>
    </row>
    <row r="542" ht="14.25" customHeight="1">
      <c r="D542" s="4"/>
    </row>
    <row r="543" ht="14.25" customHeight="1">
      <c r="D543" s="4"/>
    </row>
    <row r="544" ht="14.25" customHeight="1">
      <c r="D544" s="4"/>
    </row>
    <row r="545" ht="14.25" customHeight="1">
      <c r="D545" s="4"/>
    </row>
    <row r="546" ht="14.25" customHeight="1">
      <c r="D546" s="4"/>
    </row>
    <row r="547" ht="14.25" customHeight="1">
      <c r="D547" s="4"/>
    </row>
    <row r="548" ht="14.25" customHeight="1">
      <c r="D548" s="4"/>
    </row>
    <row r="549" ht="14.25" customHeight="1">
      <c r="D549" s="4"/>
    </row>
    <row r="550" ht="14.25" customHeight="1">
      <c r="D550" s="4"/>
    </row>
    <row r="551" ht="14.25" customHeight="1">
      <c r="D551" s="4"/>
    </row>
    <row r="552" ht="14.25" customHeight="1">
      <c r="D552" s="4"/>
    </row>
    <row r="553" ht="14.25" customHeight="1">
      <c r="D553" s="4"/>
    </row>
    <row r="554" ht="14.25" customHeight="1">
      <c r="D554" s="4"/>
    </row>
    <row r="555" ht="14.25" customHeight="1">
      <c r="D555" s="4"/>
    </row>
    <row r="556" ht="14.25" customHeight="1">
      <c r="D556" s="4"/>
    </row>
    <row r="557" ht="14.25" customHeight="1">
      <c r="D557" s="4"/>
    </row>
    <row r="558" ht="14.25" customHeight="1">
      <c r="D558" s="4"/>
    </row>
    <row r="559" ht="14.25" customHeight="1">
      <c r="D559" s="4"/>
    </row>
    <row r="560" ht="14.25" customHeight="1">
      <c r="D560" s="4"/>
    </row>
    <row r="561" ht="14.25" customHeight="1">
      <c r="D561" s="4"/>
    </row>
    <row r="562" ht="14.25" customHeight="1">
      <c r="D562" s="4"/>
    </row>
    <row r="563" ht="14.25" customHeight="1">
      <c r="D563" s="4"/>
    </row>
    <row r="564" ht="14.25" customHeight="1">
      <c r="D564" s="4"/>
    </row>
    <row r="565" ht="14.25" customHeight="1">
      <c r="D565" s="4"/>
    </row>
    <row r="566" ht="14.25" customHeight="1">
      <c r="D566" s="4"/>
    </row>
    <row r="567" ht="14.25" customHeight="1">
      <c r="D567" s="4"/>
    </row>
    <row r="568" ht="14.25" customHeight="1">
      <c r="D568" s="4"/>
    </row>
    <row r="569" ht="14.25" customHeight="1">
      <c r="D569" s="4"/>
    </row>
    <row r="570" ht="14.25" customHeight="1">
      <c r="D570" s="4"/>
    </row>
    <row r="571" ht="14.25" customHeight="1">
      <c r="D571" s="4"/>
    </row>
    <row r="572" ht="14.25" customHeight="1">
      <c r="D572" s="4"/>
    </row>
    <row r="573" ht="14.25" customHeight="1">
      <c r="D573" s="4"/>
    </row>
    <row r="574" ht="14.25" customHeight="1">
      <c r="D574" s="4"/>
    </row>
    <row r="575" ht="14.25" customHeight="1">
      <c r="D575" s="4"/>
    </row>
    <row r="576" ht="14.25" customHeight="1">
      <c r="D576" s="4"/>
    </row>
    <row r="577" ht="14.25" customHeight="1">
      <c r="D577" s="4"/>
    </row>
    <row r="578" ht="14.25" customHeight="1">
      <c r="D578" s="4"/>
    </row>
    <row r="579" ht="14.25" customHeight="1">
      <c r="D579" s="4"/>
    </row>
    <row r="580" ht="14.25" customHeight="1">
      <c r="D580" s="4"/>
    </row>
    <row r="581" ht="14.25" customHeight="1">
      <c r="D581" s="4"/>
    </row>
    <row r="582" ht="14.25" customHeight="1">
      <c r="D582" s="4"/>
    </row>
    <row r="583" ht="14.25" customHeight="1">
      <c r="D583" s="4"/>
    </row>
    <row r="584" ht="14.25" customHeight="1">
      <c r="D584" s="4"/>
    </row>
    <row r="585" ht="14.25" customHeight="1">
      <c r="D585" s="4"/>
    </row>
    <row r="586" ht="14.25" customHeight="1">
      <c r="D586" s="4"/>
    </row>
    <row r="587" ht="14.25" customHeight="1">
      <c r="D587" s="4"/>
    </row>
    <row r="588" ht="14.25" customHeight="1">
      <c r="D588" s="4"/>
    </row>
    <row r="589" ht="14.25" customHeight="1">
      <c r="D589" s="4"/>
    </row>
    <row r="590" ht="14.25" customHeight="1">
      <c r="D590" s="4"/>
    </row>
    <row r="591" ht="14.25" customHeight="1">
      <c r="D591" s="4"/>
    </row>
    <row r="592" ht="14.25" customHeight="1">
      <c r="D592" s="4"/>
    </row>
    <row r="593" ht="14.25" customHeight="1">
      <c r="D593" s="4"/>
    </row>
    <row r="594" ht="14.25" customHeight="1">
      <c r="D594" s="4"/>
    </row>
    <row r="595" ht="14.25" customHeight="1">
      <c r="D595" s="4"/>
    </row>
    <row r="596" ht="14.25" customHeight="1">
      <c r="D596" s="4"/>
    </row>
    <row r="597" ht="14.25" customHeight="1">
      <c r="D597" s="4"/>
    </row>
    <row r="598" ht="14.25" customHeight="1">
      <c r="D598" s="4"/>
    </row>
    <row r="599" ht="14.25" customHeight="1">
      <c r="D599" s="4"/>
    </row>
    <row r="600" ht="14.25" customHeight="1">
      <c r="D600" s="4"/>
    </row>
    <row r="601" ht="14.25" customHeight="1">
      <c r="D601" s="4"/>
    </row>
    <row r="602" ht="14.25" customHeight="1">
      <c r="D602" s="4"/>
    </row>
    <row r="603" ht="14.25" customHeight="1">
      <c r="D603" s="4"/>
    </row>
    <row r="604" ht="14.25" customHeight="1">
      <c r="D604" s="4"/>
    </row>
    <row r="605" ht="14.25" customHeight="1">
      <c r="D605" s="4"/>
    </row>
    <row r="606" ht="14.25" customHeight="1">
      <c r="D606" s="4"/>
    </row>
    <row r="607" ht="14.25" customHeight="1">
      <c r="D607" s="4"/>
    </row>
    <row r="608" ht="14.25" customHeight="1">
      <c r="D608" s="4"/>
    </row>
    <row r="609" ht="14.25" customHeight="1">
      <c r="D609" s="4"/>
    </row>
    <row r="610" ht="14.25" customHeight="1">
      <c r="D610" s="4"/>
    </row>
    <row r="611" ht="14.25" customHeight="1">
      <c r="D611" s="4"/>
    </row>
    <row r="612" ht="14.25" customHeight="1">
      <c r="D612" s="4"/>
    </row>
    <row r="613" ht="14.25" customHeight="1">
      <c r="D613" s="4"/>
    </row>
    <row r="614" ht="14.25" customHeight="1">
      <c r="D614" s="4"/>
    </row>
    <row r="615" ht="14.25" customHeight="1">
      <c r="D615" s="4"/>
    </row>
    <row r="616" ht="14.25" customHeight="1">
      <c r="D616" s="4"/>
    </row>
    <row r="617" ht="14.25" customHeight="1">
      <c r="D617" s="4"/>
    </row>
    <row r="618" ht="14.25" customHeight="1">
      <c r="D618" s="4"/>
    </row>
    <row r="619" ht="14.25" customHeight="1">
      <c r="D619" s="4"/>
    </row>
    <row r="620" ht="14.25" customHeight="1">
      <c r="D620" s="4"/>
    </row>
    <row r="621" ht="14.25" customHeight="1">
      <c r="D621" s="4"/>
    </row>
    <row r="622" ht="14.25" customHeight="1">
      <c r="D622" s="4"/>
    </row>
    <row r="623" ht="14.25" customHeight="1">
      <c r="D623" s="4"/>
    </row>
    <row r="624" ht="14.25" customHeight="1">
      <c r="D624" s="4"/>
    </row>
    <row r="625" ht="14.25" customHeight="1">
      <c r="D625" s="4"/>
    </row>
    <row r="626" ht="14.25" customHeight="1">
      <c r="D626" s="4"/>
    </row>
    <row r="627" ht="14.25" customHeight="1">
      <c r="D627" s="4"/>
    </row>
    <row r="628" ht="14.25" customHeight="1">
      <c r="D628" s="4"/>
    </row>
    <row r="629" ht="14.25" customHeight="1">
      <c r="D629" s="4"/>
    </row>
    <row r="630" ht="14.25" customHeight="1">
      <c r="D630" s="4"/>
    </row>
    <row r="631" ht="14.25" customHeight="1">
      <c r="D631" s="4"/>
    </row>
    <row r="632" ht="14.25" customHeight="1">
      <c r="D632" s="4"/>
    </row>
    <row r="633" ht="14.25" customHeight="1">
      <c r="D633" s="4"/>
    </row>
    <row r="634" ht="14.25" customHeight="1">
      <c r="D634" s="4"/>
    </row>
    <row r="635" ht="14.25" customHeight="1">
      <c r="D635" s="4"/>
    </row>
    <row r="636" ht="14.25" customHeight="1">
      <c r="D636" s="4"/>
    </row>
    <row r="637" ht="14.25" customHeight="1">
      <c r="D637" s="4"/>
    </row>
    <row r="638" ht="14.25" customHeight="1">
      <c r="D638" s="4"/>
    </row>
    <row r="639" ht="14.25" customHeight="1">
      <c r="D639" s="4"/>
    </row>
    <row r="640" ht="14.25" customHeight="1">
      <c r="D640" s="4"/>
    </row>
    <row r="641" ht="14.25" customHeight="1">
      <c r="D641" s="4"/>
    </row>
    <row r="642" ht="14.25" customHeight="1">
      <c r="D642" s="4"/>
    </row>
    <row r="643" ht="14.25" customHeight="1">
      <c r="D643" s="4"/>
    </row>
    <row r="644" ht="14.25" customHeight="1">
      <c r="D644" s="4"/>
    </row>
    <row r="645" ht="14.25" customHeight="1">
      <c r="D645" s="4"/>
    </row>
    <row r="646" ht="14.25" customHeight="1">
      <c r="D646" s="4"/>
    </row>
    <row r="647" ht="14.25" customHeight="1">
      <c r="D647" s="4"/>
    </row>
    <row r="648" ht="14.25" customHeight="1">
      <c r="D648" s="4"/>
    </row>
    <row r="649" ht="14.25" customHeight="1">
      <c r="D649" s="4"/>
    </row>
    <row r="650" ht="14.25" customHeight="1">
      <c r="D650" s="4"/>
    </row>
    <row r="651" ht="14.25" customHeight="1">
      <c r="D651" s="4"/>
    </row>
    <row r="652" ht="14.25" customHeight="1">
      <c r="D652" s="4"/>
    </row>
    <row r="653" ht="14.25" customHeight="1">
      <c r="D653" s="4"/>
    </row>
    <row r="654" ht="14.25" customHeight="1">
      <c r="D654" s="4"/>
    </row>
    <row r="655" ht="14.25" customHeight="1">
      <c r="D655" s="4"/>
    </row>
    <row r="656" ht="14.25" customHeight="1">
      <c r="D656" s="4"/>
    </row>
    <row r="657" ht="14.25" customHeight="1">
      <c r="D657" s="4"/>
    </row>
    <row r="658" ht="14.25" customHeight="1">
      <c r="D658" s="4"/>
    </row>
    <row r="659" ht="14.25" customHeight="1">
      <c r="D659" s="4"/>
    </row>
    <row r="660" ht="14.25" customHeight="1">
      <c r="D660" s="4"/>
    </row>
    <row r="661" ht="14.25" customHeight="1">
      <c r="D661" s="4"/>
    </row>
    <row r="662" ht="14.25" customHeight="1">
      <c r="D662" s="4"/>
    </row>
    <row r="663" ht="14.25" customHeight="1">
      <c r="D663" s="4"/>
    </row>
    <row r="664" ht="14.25" customHeight="1">
      <c r="D664" s="4"/>
    </row>
    <row r="665" ht="14.25" customHeight="1">
      <c r="D665" s="4"/>
    </row>
    <row r="666" ht="14.25" customHeight="1">
      <c r="D666" s="4"/>
    </row>
    <row r="667" ht="14.25" customHeight="1">
      <c r="D667" s="4"/>
    </row>
    <row r="668" ht="14.25" customHeight="1">
      <c r="D668" s="4"/>
    </row>
    <row r="669" ht="14.25" customHeight="1">
      <c r="D669" s="4"/>
    </row>
    <row r="670" ht="14.25" customHeight="1">
      <c r="D670" s="4"/>
    </row>
    <row r="671" ht="14.25" customHeight="1">
      <c r="D671" s="4"/>
    </row>
    <row r="672" ht="14.25" customHeight="1">
      <c r="D672" s="4"/>
    </row>
    <row r="673" ht="14.25" customHeight="1">
      <c r="D673" s="4"/>
    </row>
    <row r="674" ht="14.25" customHeight="1">
      <c r="D674" s="4"/>
    </row>
    <row r="675" ht="14.25" customHeight="1">
      <c r="D675" s="4"/>
    </row>
    <row r="676" ht="14.25" customHeight="1">
      <c r="D676" s="4"/>
    </row>
    <row r="677" ht="14.25" customHeight="1">
      <c r="D677" s="4"/>
    </row>
    <row r="678" ht="14.25" customHeight="1">
      <c r="D678" s="4"/>
    </row>
    <row r="679" ht="14.25" customHeight="1">
      <c r="D679" s="4"/>
    </row>
    <row r="680" ht="14.25" customHeight="1">
      <c r="D680" s="4"/>
    </row>
    <row r="681" ht="14.25" customHeight="1">
      <c r="D681" s="4"/>
    </row>
    <row r="682" ht="14.25" customHeight="1">
      <c r="D682" s="4"/>
    </row>
    <row r="683" ht="14.25" customHeight="1">
      <c r="D683" s="4"/>
    </row>
    <row r="684" ht="14.25" customHeight="1">
      <c r="D684" s="4"/>
    </row>
    <row r="685" ht="14.25" customHeight="1">
      <c r="D685" s="4"/>
    </row>
    <row r="686" ht="14.25" customHeight="1">
      <c r="D686" s="4"/>
    </row>
    <row r="687" ht="14.25" customHeight="1">
      <c r="D687" s="4"/>
    </row>
    <row r="688" ht="14.25" customHeight="1">
      <c r="D688" s="4"/>
    </row>
    <row r="689" ht="14.25" customHeight="1">
      <c r="D689" s="4"/>
    </row>
    <row r="690" ht="14.25" customHeight="1">
      <c r="D690" s="4"/>
    </row>
    <row r="691" ht="14.25" customHeight="1">
      <c r="D691" s="4"/>
    </row>
    <row r="692" ht="14.25" customHeight="1">
      <c r="D692" s="4"/>
    </row>
    <row r="693" ht="14.25" customHeight="1">
      <c r="D693" s="4"/>
    </row>
    <row r="694" ht="14.25" customHeight="1">
      <c r="D694" s="4"/>
    </row>
    <row r="695" ht="14.25" customHeight="1">
      <c r="D695" s="4"/>
    </row>
    <row r="696" ht="14.25" customHeight="1">
      <c r="D696" s="4"/>
    </row>
    <row r="697" ht="14.25" customHeight="1">
      <c r="D697" s="4"/>
    </row>
    <row r="698" ht="14.25" customHeight="1">
      <c r="D698" s="4"/>
    </row>
    <row r="699" ht="14.25" customHeight="1">
      <c r="D699" s="4"/>
    </row>
    <row r="700" ht="14.25" customHeight="1">
      <c r="D700" s="4"/>
    </row>
    <row r="701" ht="14.25" customHeight="1">
      <c r="D701" s="4"/>
    </row>
    <row r="702" ht="14.25" customHeight="1">
      <c r="D702" s="4"/>
    </row>
    <row r="703" ht="14.25" customHeight="1">
      <c r="D703" s="4"/>
    </row>
    <row r="704" ht="14.25" customHeight="1">
      <c r="D704" s="4"/>
    </row>
    <row r="705" ht="14.25" customHeight="1">
      <c r="D705" s="4"/>
    </row>
    <row r="706" ht="14.25" customHeight="1">
      <c r="D706" s="4"/>
    </row>
    <row r="707" ht="14.25" customHeight="1">
      <c r="D707" s="4"/>
    </row>
    <row r="708" ht="14.25" customHeight="1">
      <c r="D708" s="4"/>
    </row>
    <row r="709" ht="14.25" customHeight="1">
      <c r="D709" s="4"/>
    </row>
    <row r="710" ht="14.25" customHeight="1">
      <c r="D710" s="4"/>
    </row>
    <row r="711" ht="14.25" customHeight="1">
      <c r="D711" s="4"/>
    </row>
    <row r="712" ht="14.25" customHeight="1">
      <c r="D712" s="4"/>
    </row>
    <row r="713" ht="14.25" customHeight="1">
      <c r="D713" s="4"/>
    </row>
    <row r="714" ht="14.25" customHeight="1">
      <c r="D714" s="4"/>
    </row>
    <row r="715" ht="14.25" customHeight="1">
      <c r="D715" s="4"/>
    </row>
    <row r="716" ht="14.25" customHeight="1">
      <c r="D716" s="4"/>
    </row>
    <row r="717" ht="14.25" customHeight="1">
      <c r="D717" s="4"/>
    </row>
    <row r="718" ht="14.25" customHeight="1">
      <c r="D718" s="4"/>
    </row>
    <row r="719" ht="14.25" customHeight="1">
      <c r="D719" s="4"/>
    </row>
    <row r="720" ht="14.25" customHeight="1">
      <c r="D720" s="4"/>
    </row>
    <row r="721" ht="14.25" customHeight="1">
      <c r="D721" s="4"/>
    </row>
    <row r="722" ht="14.25" customHeight="1">
      <c r="D722" s="4"/>
    </row>
    <row r="723" ht="14.25" customHeight="1">
      <c r="D723" s="4"/>
    </row>
    <row r="724" ht="14.25" customHeight="1">
      <c r="D724" s="4"/>
    </row>
    <row r="725" ht="14.25" customHeight="1">
      <c r="D725" s="4"/>
    </row>
    <row r="726" ht="14.25" customHeight="1">
      <c r="D726" s="4"/>
    </row>
    <row r="727" ht="14.25" customHeight="1">
      <c r="D727" s="4"/>
    </row>
    <row r="728" ht="14.25" customHeight="1">
      <c r="D728" s="4"/>
    </row>
    <row r="729" ht="14.25" customHeight="1">
      <c r="D729" s="4"/>
    </row>
    <row r="730" ht="14.25" customHeight="1">
      <c r="D730" s="4"/>
    </row>
    <row r="731" ht="14.25" customHeight="1">
      <c r="D731" s="4"/>
    </row>
    <row r="732" ht="14.25" customHeight="1">
      <c r="D732" s="4"/>
    </row>
    <row r="733" ht="14.25" customHeight="1">
      <c r="D733" s="4"/>
    </row>
    <row r="734" ht="14.25" customHeight="1">
      <c r="D734" s="4"/>
    </row>
    <row r="735" ht="14.25" customHeight="1">
      <c r="D735" s="4"/>
    </row>
    <row r="736" ht="14.25" customHeight="1">
      <c r="D736" s="4"/>
    </row>
    <row r="737" ht="14.25" customHeight="1">
      <c r="D737" s="4"/>
    </row>
    <row r="738" ht="14.25" customHeight="1">
      <c r="D738" s="4"/>
    </row>
    <row r="739" ht="14.25" customHeight="1">
      <c r="D739" s="4"/>
    </row>
    <row r="740" ht="14.25" customHeight="1">
      <c r="D740" s="4"/>
    </row>
    <row r="741" ht="14.25" customHeight="1">
      <c r="D741" s="4"/>
    </row>
    <row r="742" ht="14.25" customHeight="1">
      <c r="D742" s="4"/>
    </row>
    <row r="743" ht="14.25" customHeight="1">
      <c r="D743" s="4"/>
    </row>
    <row r="744" ht="14.25" customHeight="1">
      <c r="D744" s="4"/>
    </row>
    <row r="745" ht="14.25" customHeight="1">
      <c r="D745" s="4"/>
    </row>
    <row r="746" ht="14.25" customHeight="1">
      <c r="D746" s="4"/>
    </row>
    <row r="747" ht="14.25" customHeight="1">
      <c r="D747" s="4"/>
    </row>
    <row r="748" ht="14.25" customHeight="1">
      <c r="D748" s="4"/>
    </row>
    <row r="749" ht="14.25" customHeight="1">
      <c r="D749" s="4"/>
    </row>
    <row r="750" ht="14.25" customHeight="1">
      <c r="D750" s="4"/>
    </row>
    <row r="751" ht="14.25" customHeight="1">
      <c r="D751" s="4"/>
    </row>
    <row r="752" ht="14.25" customHeight="1">
      <c r="D752" s="4"/>
    </row>
    <row r="753" ht="14.25" customHeight="1">
      <c r="D753" s="4"/>
    </row>
    <row r="754" ht="14.25" customHeight="1">
      <c r="D754" s="4"/>
    </row>
    <row r="755" ht="14.25" customHeight="1">
      <c r="D755" s="4"/>
    </row>
    <row r="756" ht="14.25" customHeight="1">
      <c r="D756" s="4"/>
    </row>
    <row r="757" ht="14.25" customHeight="1">
      <c r="D757" s="4"/>
    </row>
    <row r="758" ht="14.25" customHeight="1">
      <c r="D758" s="4"/>
    </row>
    <row r="759" ht="14.25" customHeight="1">
      <c r="D759" s="4"/>
    </row>
    <row r="760" ht="14.25" customHeight="1">
      <c r="D760" s="4"/>
    </row>
    <row r="761" ht="14.25" customHeight="1">
      <c r="D761" s="4"/>
    </row>
    <row r="762" ht="14.25" customHeight="1">
      <c r="D762" s="4"/>
    </row>
    <row r="763" ht="14.25" customHeight="1">
      <c r="D763" s="4"/>
    </row>
    <row r="764" ht="14.25" customHeight="1">
      <c r="D764" s="4"/>
    </row>
    <row r="765" ht="14.25" customHeight="1">
      <c r="D765" s="4"/>
    </row>
    <row r="766" ht="14.25" customHeight="1">
      <c r="D766" s="4"/>
    </row>
    <row r="767" ht="14.25" customHeight="1">
      <c r="D767" s="4"/>
    </row>
    <row r="768" ht="14.25" customHeight="1">
      <c r="D768" s="4"/>
    </row>
    <row r="769" ht="14.25" customHeight="1">
      <c r="D769" s="4"/>
    </row>
    <row r="770" ht="14.25" customHeight="1">
      <c r="D770" s="4"/>
    </row>
    <row r="771" ht="14.25" customHeight="1">
      <c r="D771" s="4"/>
    </row>
    <row r="772" ht="14.25" customHeight="1">
      <c r="D772" s="4"/>
    </row>
    <row r="773" ht="14.25" customHeight="1">
      <c r="D773" s="4"/>
    </row>
    <row r="774" ht="14.25" customHeight="1">
      <c r="D774" s="4"/>
    </row>
    <row r="775" ht="14.25" customHeight="1">
      <c r="D775" s="4"/>
    </row>
    <row r="776" ht="14.25" customHeight="1">
      <c r="D776" s="4"/>
    </row>
    <row r="777" ht="14.25" customHeight="1">
      <c r="D777" s="4"/>
    </row>
    <row r="778" ht="14.25" customHeight="1">
      <c r="D778" s="4"/>
    </row>
    <row r="779" ht="14.25" customHeight="1">
      <c r="D779" s="4"/>
    </row>
    <row r="780" ht="14.25" customHeight="1">
      <c r="D780" s="4"/>
    </row>
    <row r="781" ht="14.25" customHeight="1">
      <c r="D781" s="4"/>
    </row>
    <row r="782" ht="14.25" customHeight="1">
      <c r="D782" s="4"/>
    </row>
    <row r="783" ht="14.25" customHeight="1">
      <c r="D783" s="4"/>
    </row>
    <row r="784" ht="14.25" customHeight="1">
      <c r="D784" s="4"/>
    </row>
    <row r="785" ht="14.25" customHeight="1">
      <c r="D785" s="4"/>
    </row>
    <row r="786" ht="14.25" customHeight="1">
      <c r="D786" s="4"/>
    </row>
    <row r="787" ht="14.25" customHeight="1">
      <c r="D787" s="4"/>
    </row>
    <row r="788" ht="14.25" customHeight="1">
      <c r="D788" s="4"/>
    </row>
    <row r="789" ht="14.25" customHeight="1">
      <c r="D789" s="4"/>
    </row>
    <row r="790" ht="14.25" customHeight="1">
      <c r="D790" s="4"/>
    </row>
    <row r="791" ht="14.25" customHeight="1">
      <c r="D791" s="4"/>
    </row>
    <row r="792" ht="14.25" customHeight="1">
      <c r="D792" s="4"/>
    </row>
    <row r="793" ht="14.25" customHeight="1">
      <c r="D793" s="4"/>
    </row>
    <row r="794" ht="14.25" customHeight="1">
      <c r="D794" s="4"/>
    </row>
    <row r="795" ht="14.25" customHeight="1">
      <c r="D795" s="4"/>
    </row>
    <row r="796" ht="14.25" customHeight="1">
      <c r="D796" s="4"/>
    </row>
    <row r="797" ht="14.25" customHeight="1">
      <c r="D797" s="4"/>
    </row>
    <row r="798" ht="14.25" customHeight="1">
      <c r="D798" s="4"/>
    </row>
    <row r="799" ht="14.25" customHeight="1">
      <c r="D799" s="4"/>
    </row>
    <row r="800" ht="14.25" customHeight="1">
      <c r="D800" s="4"/>
    </row>
    <row r="801" ht="14.25" customHeight="1">
      <c r="D801" s="4"/>
    </row>
    <row r="802" ht="14.25" customHeight="1">
      <c r="D802" s="4"/>
    </row>
    <row r="803" ht="14.25" customHeight="1">
      <c r="D803" s="4"/>
    </row>
    <row r="804" ht="14.25" customHeight="1">
      <c r="D804" s="4"/>
    </row>
    <row r="805" ht="14.25" customHeight="1">
      <c r="D805" s="4"/>
    </row>
    <row r="806" ht="14.25" customHeight="1">
      <c r="D806" s="4"/>
    </row>
    <row r="807" ht="14.25" customHeight="1">
      <c r="D807" s="4"/>
    </row>
    <row r="808" ht="14.25" customHeight="1">
      <c r="D808" s="4"/>
    </row>
    <row r="809" ht="14.25" customHeight="1">
      <c r="D809" s="4"/>
    </row>
    <row r="810" ht="14.25" customHeight="1">
      <c r="D810" s="4"/>
    </row>
    <row r="811" ht="14.25" customHeight="1">
      <c r="D811" s="4"/>
    </row>
    <row r="812" ht="14.25" customHeight="1">
      <c r="D812" s="4"/>
    </row>
    <row r="813" ht="14.25" customHeight="1">
      <c r="D813" s="4"/>
    </row>
    <row r="814" ht="14.25" customHeight="1">
      <c r="D814" s="4"/>
    </row>
    <row r="815" ht="14.25" customHeight="1">
      <c r="D815" s="4"/>
    </row>
    <row r="816" ht="14.25" customHeight="1">
      <c r="D816" s="4"/>
    </row>
    <row r="817" ht="14.25" customHeight="1">
      <c r="D817" s="4"/>
    </row>
    <row r="818" ht="14.25" customHeight="1">
      <c r="D818" s="4"/>
    </row>
    <row r="819" ht="14.25" customHeight="1">
      <c r="D819" s="4"/>
    </row>
    <row r="820" ht="14.25" customHeight="1">
      <c r="D820" s="4"/>
    </row>
    <row r="821" ht="14.25" customHeight="1">
      <c r="D821" s="4"/>
    </row>
    <row r="822" ht="14.25" customHeight="1">
      <c r="D822" s="4"/>
    </row>
    <row r="823" ht="14.25" customHeight="1">
      <c r="D823" s="4"/>
    </row>
    <row r="824" ht="14.25" customHeight="1">
      <c r="D824" s="4"/>
    </row>
    <row r="825" ht="14.25" customHeight="1">
      <c r="D825" s="4"/>
    </row>
    <row r="826" ht="14.25" customHeight="1">
      <c r="D826" s="4"/>
    </row>
    <row r="827" ht="14.25" customHeight="1">
      <c r="D827" s="4"/>
    </row>
    <row r="828" ht="14.25" customHeight="1">
      <c r="D828" s="4"/>
    </row>
    <row r="829" ht="14.25" customHeight="1">
      <c r="D829" s="4"/>
    </row>
    <row r="830" ht="14.25" customHeight="1">
      <c r="D830" s="4"/>
    </row>
    <row r="831" ht="14.25" customHeight="1">
      <c r="D831" s="4"/>
    </row>
    <row r="832" ht="14.25" customHeight="1">
      <c r="D832" s="4"/>
    </row>
    <row r="833" ht="14.25" customHeight="1">
      <c r="D833" s="4"/>
    </row>
    <row r="834" ht="14.25" customHeight="1">
      <c r="D834" s="4"/>
    </row>
    <row r="835" ht="14.25" customHeight="1">
      <c r="D835" s="4"/>
    </row>
    <row r="836" ht="14.25" customHeight="1">
      <c r="D836" s="4"/>
    </row>
    <row r="837" ht="14.25" customHeight="1">
      <c r="D837" s="4"/>
    </row>
    <row r="838" ht="14.25" customHeight="1">
      <c r="D838" s="4"/>
    </row>
    <row r="839" ht="14.25" customHeight="1">
      <c r="D839" s="4"/>
    </row>
    <row r="840" ht="14.25" customHeight="1">
      <c r="D840" s="4"/>
    </row>
    <row r="841" ht="14.25" customHeight="1">
      <c r="D841" s="4"/>
    </row>
    <row r="842" ht="14.25" customHeight="1">
      <c r="D842" s="4"/>
    </row>
    <row r="843" ht="14.25" customHeight="1">
      <c r="D843" s="4"/>
    </row>
    <row r="844" ht="14.25" customHeight="1">
      <c r="D844" s="4"/>
    </row>
    <row r="845" ht="14.25" customHeight="1">
      <c r="D845" s="4"/>
    </row>
    <row r="846" ht="14.25" customHeight="1">
      <c r="D846" s="4"/>
    </row>
    <row r="847" ht="14.25" customHeight="1">
      <c r="D847" s="4"/>
    </row>
    <row r="848" ht="14.25" customHeight="1">
      <c r="D848" s="4"/>
    </row>
    <row r="849" ht="14.25" customHeight="1">
      <c r="D849" s="4"/>
    </row>
    <row r="850" ht="14.25" customHeight="1">
      <c r="D850" s="4"/>
    </row>
    <row r="851" ht="14.25" customHeight="1">
      <c r="D851" s="4"/>
    </row>
    <row r="852" ht="14.25" customHeight="1">
      <c r="D852" s="4"/>
    </row>
    <row r="853" ht="14.25" customHeight="1">
      <c r="D853" s="4"/>
    </row>
    <row r="854" ht="14.25" customHeight="1">
      <c r="D854" s="4"/>
    </row>
    <row r="855" ht="14.25" customHeight="1">
      <c r="D855" s="4"/>
    </row>
    <row r="856" ht="14.25" customHeight="1">
      <c r="D856" s="4"/>
    </row>
    <row r="857" ht="14.25" customHeight="1">
      <c r="D857" s="4"/>
    </row>
    <row r="858" ht="14.25" customHeight="1">
      <c r="D858" s="4"/>
    </row>
    <row r="859" ht="14.25" customHeight="1">
      <c r="D859" s="4"/>
    </row>
    <row r="860" ht="14.25" customHeight="1">
      <c r="D860" s="4"/>
    </row>
    <row r="861" ht="14.25" customHeight="1">
      <c r="D861" s="4"/>
    </row>
    <row r="862" ht="14.25" customHeight="1">
      <c r="D862" s="4"/>
    </row>
    <row r="863" ht="14.25" customHeight="1">
      <c r="D863" s="4"/>
    </row>
    <row r="864" ht="14.25" customHeight="1">
      <c r="D864" s="4"/>
    </row>
    <row r="865" ht="14.25" customHeight="1">
      <c r="D865" s="4"/>
    </row>
    <row r="866" ht="14.25" customHeight="1">
      <c r="D866" s="4"/>
    </row>
    <row r="867" ht="14.25" customHeight="1">
      <c r="D867" s="4"/>
    </row>
    <row r="868" ht="14.25" customHeight="1">
      <c r="D868" s="4"/>
    </row>
    <row r="869" ht="14.25" customHeight="1">
      <c r="D869" s="4"/>
    </row>
    <row r="870" ht="14.25" customHeight="1">
      <c r="D870" s="4"/>
    </row>
    <row r="871" ht="14.25" customHeight="1">
      <c r="D871" s="4"/>
    </row>
    <row r="872" ht="14.25" customHeight="1">
      <c r="D872" s="4"/>
    </row>
    <row r="873" ht="14.25" customHeight="1">
      <c r="D873" s="4"/>
    </row>
    <row r="874" ht="14.25" customHeight="1">
      <c r="D874" s="4"/>
    </row>
    <row r="875" ht="14.25" customHeight="1">
      <c r="D875" s="4"/>
    </row>
    <row r="876" ht="14.25" customHeight="1">
      <c r="D876" s="4"/>
    </row>
    <row r="877" ht="14.25" customHeight="1">
      <c r="D877" s="4"/>
    </row>
    <row r="878" ht="14.25" customHeight="1">
      <c r="D878" s="4"/>
    </row>
    <row r="879" ht="14.25" customHeight="1">
      <c r="D879" s="4"/>
    </row>
    <row r="880" ht="14.25" customHeight="1">
      <c r="D880" s="4"/>
    </row>
    <row r="881" ht="14.25" customHeight="1">
      <c r="D881" s="4"/>
    </row>
    <row r="882" ht="14.25" customHeight="1">
      <c r="D882" s="4"/>
    </row>
    <row r="883" ht="14.25" customHeight="1">
      <c r="D883" s="4"/>
    </row>
    <row r="884" ht="14.25" customHeight="1">
      <c r="D884" s="4"/>
    </row>
    <row r="885" ht="14.25" customHeight="1">
      <c r="D885" s="4"/>
    </row>
    <row r="886" ht="14.25" customHeight="1">
      <c r="D886" s="4"/>
    </row>
    <row r="887" ht="14.25" customHeight="1">
      <c r="D887" s="4"/>
    </row>
    <row r="888" ht="14.25" customHeight="1">
      <c r="D888" s="4"/>
    </row>
    <row r="889" ht="14.25" customHeight="1">
      <c r="D889" s="4"/>
    </row>
    <row r="890" ht="14.25" customHeight="1">
      <c r="D890" s="4"/>
    </row>
    <row r="891" ht="14.25" customHeight="1">
      <c r="D891" s="4"/>
    </row>
    <row r="892" ht="14.25" customHeight="1">
      <c r="D892" s="4"/>
    </row>
    <row r="893" ht="14.25" customHeight="1">
      <c r="D893" s="4"/>
    </row>
    <row r="894" ht="14.25" customHeight="1">
      <c r="D894" s="4"/>
    </row>
    <row r="895" ht="14.25" customHeight="1">
      <c r="D895" s="4"/>
    </row>
    <row r="896" ht="14.25" customHeight="1">
      <c r="D896" s="4"/>
    </row>
    <row r="897" ht="14.25" customHeight="1">
      <c r="D897" s="4"/>
    </row>
    <row r="898" ht="14.25" customHeight="1">
      <c r="D898" s="4"/>
    </row>
    <row r="899" ht="14.25" customHeight="1">
      <c r="D899" s="4"/>
    </row>
    <row r="900" ht="14.25" customHeight="1">
      <c r="D900" s="4"/>
    </row>
    <row r="901" ht="14.25" customHeight="1">
      <c r="D901" s="4"/>
    </row>
    <row r="902" ht="14.25" customHeight="1">
      <c r="D902" s="4"/>
    </row>
    <row r="903" ht="14.25" customHeight="1">
      <c r="D903" s="4"/>
    </row>
    <row r="904" ht="14.25" customHeight="1">
      <c r="D904" s="4"/>
    </row>
    <row r="905" ht="14.25" customHeight="1">
      <c r="D905" s="4"/>
    </row>
    <row r="906" ht="14.25" customHeight="1">
      <c r="D906" s="4"/>
    </row>
    <row r="907" ht="14.25" customHeight="1">
      <c r="D907" s="4"/>
    </row>
    <row r="908" ht="14.25" customHeight="1">
      <c r="D908" s="4"/>
    </row>
    <row r="909" ht="14.25" customHeight="1">
      <c r="D909" s="4"/>
    </row>
    <row r="910" ht="14.25" customHeight="1">
      <c r="D910" s="4"/>
    </row>
    <row r="911" ht="14.25" customHeight="1">
      <c r="D911" s="4"/>
    </row>
    <row r="912" ht="14.25" customHeight="1">
      <c r="D912" s="4"/>
    </row>
    <row r="913" ht="14.25" customHeight="1">
      <c r="D913" s="4"/>
    </row>
    <row r="914" ht="14.25" customHeight="1">
      <c r="D914" s="4"/>
    </row>
    <row r="915" ht="14.25" customHeight="1">
      <c r="D915" s="4"/>
    </row>
    <row r="916" ht="14.25" customHeight="1">
      <c r="D916" s="4"/>
    </row>
    <row r="917" ht="14.25" customHeight="1">
      <c r="D917" s="4"/>
    </row>
    <row r="918" ht="14.25" customHeight="1">
      <c r="D918" s="4"/>
    </row>
    <row r="919" ht="14.25" customHeight="1">
      <c r="D919" s="4"/>
    </row>
    <row r="920" ht="14.25" customHeight="1">
      <c r="D920" s="4"/>
    </row>
    <row r="921" ht="14.25" customHeight="1">
      <c r="D921" s="4"/>
    </row>
    <row r="922" ht="14.25" customHeight="1">
      <c r="D922" s="4"/>
    </row>
    <row r="923" ht="14.25" customHeight="1">
      <c r="D923" s="4"/>
    </row>
    <row r="924" ht="14.25" customHeight="1">
      <c r="D924" s="4"/>
    </row>
    <row r="925" ht="14.25" customHeight="1">
      <c r="D925" s="4"/>
    </row>
    <row r="926" ht="14.25" customHeight="1">
      <c r="D926" s="4"/>
    </row>
    <row r="927" ht="14.25" customHeight="1">
      <c r="D927" s="4"/>
    </row>
    <row r="928" ht="14.25" customHeight="1">
      <c r="D928" s="4"/>
    </row>
    <row r="929" ht="14.25" customHeight="1">
      <c r="D929" s="4"/>
    </row>
    <row r="930" ht="14.25" customHeight="1">
      <c r="D930" s="4"/>
    </row>
    <row r="931" ht="14.25" customHeight="1">
      <c r="D931" s="4"/>
    </row>
    <row r="932" ht="14.25" customHeight="1">
      <c r="D932" s="4"/>
    </row>
    <row r="933" ht="14.25" customHeight="1">
      <c r="D933" s="4"/>
    </row>
    <row r="934" ht="14.25" customHeight="1">
      <c r="D934" s="4"/>
    </row>
    <row r="935" ht="14.25" customHeight="1">
      <c r="D935" s="4"/>
    </row>
    <row r="936" ht="14.25" customHeight="1">
      <c r="D936" s="4"/>
    </row>
    <row r="937" ht="14.25" customHeight="1">
      <c r="D937" s="4"/>
    </row>
    <row r="938" ht="14.25" customHeight="1">
      <c r="D938" s="4"/>
    </row>
    <row r="939" ht="14.25" customHeight="1">
      <c r="D939" s="4"/>
    </row>
    <row r="940" ht="14.25" customHeight="1">
      <c r="D940" s="4"/>
    </row>
    <row r="941" ht="14.25" customHeight="1">
      <c r="D941" s="4"/>
    </row>
    <row r="942" ht="14.25" customHeight="1">
      <c r="D942" s="4"/>
    </row>
    <row r="943" ht="14.25" customHeight="1">
      <c r="D943" s="4"/>
    </row>
    <row r="944" ht="14.25" customHeight="1">
      <c r="D944" s="4"/>
    </row>
    <row r="945" ht="14.25" customHeight="1">
      <c r="D945" s="4"/>
    </row>
    <row r="946" ht="14.25" customHeight="1">
      <c r="D946" s="4"/>
    </row>
    <row r="947" ht="14.25" customHeight="1">
      <c r="D947" s="4"/>
    </row>
    <row r="948" ht="14.25" customHeight="1">
      <c r="D948" s="4"/>
    </row>
    <row r="949" ht="14.25" customHeight="1">
      <c r="D949" s="4"/>
    </row>
    <row r="950" ht="14.25" customHeight="1">
      <c r="D950" s="4"/>
    </row>
    <row r="951" ht="14.25" customHeight="1">
      <c r="D951" s="4"/>
    </row>
    <row r="952" ht="14.25" customHeight="1">
      <c r="D952" s="4"/>
    </row>
    <row r="953" ht="14.25" customHeight="1">
      <c r="D953" s="4"/>
    </row>
    <row r="954" ht="14.25" customHeight="1">
      <c r="D954" s="4"/>
    </row>
    <row r="955" ht="14.25" customHeight="1">
      <c r="D955" s="4"/>
    </row>
    <row r="956" ht="14.25" customHeight="1">
      <c r="D956" s="4"/>
    </row>
    <row r="957" ht="14.25" customHeight="1">
      <c r="D957" s="4"/>
    </row>
    <row r="958" ht="14.25" customHeight="1">
      <c r="D958" s="4"/>
    </row>
    <row r="959" ht="14.25" customHeight="1">
      <c r="D959" s="4"/>
    </row>
    <row r="960" ht="14.25" customHeight="1">
      <c r="D960" s="4"/>
    </row>
    <row r="961" ht="14.25" customHeight="1">
      <c r="D961" s="4"/>
    </row>
    <row r="962" ht="14.25" customHeight="1">
      <c r="D962" s="4"/>
    </row>
    <row r="963" ht="14.25" customHeight="1">
      <c r="D963" s="4"/>
    </row>
    <row r="964" ht="14.25" customHeight="1">
      <c r="D964" s="4"/>
    </row>
    <row r="965" ht="14.25" customHeight="1">
      <c r="D965" s="4"/>
    </row>
    <row r="966" ht="14.25" customHeight="1">
      <c r="D966" s="4"/>
    </row>
    <row r="967" ht="14.25" customHeight="1">
      <c r="D967" s="4"/>
    </row>
    <row r="968" ht="14.25" customHeight="1">
      <c r="D968" s="4"/>
    </row>
    <row r="969" ht="14.25" customHeight="1">
      <c r="D969" s="4"/>
    </row>
    <row r="970" ht="14.25" customHeight="1">
      <c r="D970" s="4"/>
    </row>
    <row r="971" ht="14.25" customHeight="1">
      <c r="D971" s="4"/>
    </row>
    <row r="972" ht="14.25" customHeight="1">
      <c r="D972" s="4"/>
    </row>
    <row r="973" ht="14.25" customHeight="1">
      <c r="D973" s="4"/>
    </row>
    <row r="974" ht="14.25" customHeight="1">
      <c r="D974" s="4"/>
    </row>
    <row r="975" ht="14.25" customHeight="1">
      <c r="D975" s="4"/>
    </row>
    <row r="976" ht="14.25" customHeight="1">
      <c r="D976" s="4"/>
    </row>
    <row r="977" ht="14.25" customHeight="1">
      <c r="D977" s="4"/>
    </row>
    <row r="978" ht="14.25" customHeight="1">
      <c r="D978" s="4"/>
    </row>
    <row r="979" ht="14.25" customHeight="1">
      <c r="D979" s="4"/>
    </row>
    <row r="980" ht="14.25" customHeight="1">
      <c r="D980" s="4"/>
    </row>
    <row r="981" ht="14.25" customHeight="1">
      <c r="D981" s="4"/>
    </row>
    <row r="982" ht="14.25" customHeight="1">
      <c r="D982" s="4"/>
    </row>
    <row r="983" ht="14.25" customHeight="1">
      <c r="D983" s="4"/>
    </row>
    <row r="984" ht="14.25" customHeight="1">
      <c r="D984" s="4"/>
    </row>
    <row r="985" ht="14.25" customHeight="1">
      <c r="D985" s="4"/>
    </row>
    <row r="986" ht="14.25" customHeight="1">
      <c r="D986" s="4"/>
    </row>
    <row r="987" ht="14.25" customHeight="1">
      <c r="D987" s="4"/>
    </row>
    <row r="988" ht="14.25" customHeight="1">
      <c r="D988" s="4"/>
    </row>
    <row r="989" ht="14.25" customHeight="1">
      <c r="D989" s="4"/>
    </row>
    <row r="990" ht="14.25" customHeight="1">
      <c r="D990" s="4"/>
    </row>
    <row r="991" ht="14.25" customHeight="1">
      <c r="D991" s="4"/>
    </row>
    <row r="992" ht="14.25" customHeight="1">
      <c r="D992" s="4"/>
    </row>
    <row r="993" ht="14.25" customHeight="1">
      <c r="D993" s="4"/>
    </row>
    <row r="994" ht="14.25" customHeight="1">
      <c r="D994" s="4"/>
    </row>
    <row r="995" ht="14.25" customHeight="1">
      <c r="D995" s="4"/>
    </row>
    <row r="996" ht="14.25" customHeight="1">
      <c r="D996" s="4"/>
    </row>
    <row r="997" ht="14.25" customHeight="1">
      <c r="D997" s="4"/>
    </row>
    <row r="998" ht="14.25" customHeight="1">
      <c r="D998" s="4"/>
    </row>
    <row r="999" ht="14.25" customHeight="1">
      <c r="D999" s="4"/>
    </row>
    <row r="1000" ht="14.25" customHeight="1">
      <c r="D1000" s="4"/>
    </row>
  </sheetData>
  <mergeCells count="1">
    <mergeCell ref="B2:D2"/>
  </mergeCells>
  <printOptions/>
  <pageMargins bottom="0.75" footer="0.0" header="0.0" left="0.7" right="0.7" top="0.75"/>
  <pageSetup paperSize="9"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71"/>
    <col customWidth="1" min="2" max="2" width="4.71"/>
    <col customWidth="1" min="3" max="3" width="35.86"/>
    <col customWidth="1" min="4" max="4" width="3.43"/>
    <col customWidth="1" min="5" max="5" width="5.57"/>
    <col customWidth="1" min="6" max="6" width="32.43"/>
    <col customWidth="1" min="7" max="7" width="1.86"/>
    <col customWidth="1" min="8" max="26" width="10.71"/>
  </cols>
  <sheetData>
    <row r="1" ht="9.0" customHeight="1">
      <c r="A1" s="623"/>
      <c r="B1" s="623"/>
      <c r="C1" s="623"/>
      <c r="D1" s="623"/>
      <c r="E1" s="623"/>
      <c r="F1" s="623"/>
      <c r="G1" s="623"/>
    </row>
    <row r="2" ht="14.25" customHeight="1">
      <c r="A2" s="623"/>
      <c r="B2" s="624">
        <v>1.0</v>
      </c>
      <c r="C2" s="624" t="s">
        <v>818</v>
      </c>
      <c r="D2" s="623"/>
      <c r="E2" s="625">
        <v>43.0</v>
      </c>
      <c r="F2" s="624" t="s">
        <v>819</v>
      </c>
      <c r="G2" s="623"/>
    </row>
    <row r="3" ht="14.25" customHeight="1">
      <c r="A3" s="623"/>
      <c r="B3" s="624">
        <v>2.0</v>
      </c>
      <c r="C3" s="626" t="s">
        <v>820</v>
      </c>
      <c r="D3" s="623"/>
      <c r="E3" s="624">
        <v>44.0</v>
      </c>
      <c r="F3" s="626" t="s">
        <v>821</v>
      </c>
      <c r="G3" s="623"/>
    </row>
    <row r="4" ht="14.25" customHeight="1">
      <c r="A4" s="623"/>
      <c r="B4" s="624">
        <v>3.0</v>
      </c>
      <c r="C4" s="626" t="s">
        <v>822</v>
      </c>
      <c r="D4" s="623"/>
      <c r="E4" s="624">
        <v>45.0</v>
      </c>
      <c r="F4" s="626" t="s">
        <v>823</v>
      </c>
      <c r="G4" s="623"/>
    </row>
    <row r="5" ht="14.25" customHeight="1">
      <c r="A5" s="623"/>
      <c r="B5" s="624">
        <v>4.0</v>
      </c>
      <c r="C5" s="626" t="s">
        <v>824</v>
      </c>
      <c r="D5" s="623"/>
      <c r="E5" s="624">
        <v>46.0</v>
      </c>
      <c r="F5" s="626" t="s">
        <v>825</v>
      </c>
      <c r="G5" s="623"/>
    </row>
    <row r="6" ht="14.25" customHeight="1">
      <c r="A6" s="623"/>
      <c r="B6" s="624">
        <v>5.0</v>
      </c>
      <c r="C6" s="626" t="s">
        <v>826</v>
      </c>
      <c r="D6" s="623"/>
      <c r="E6" s="624">
        <v>47.0</v>
      </c>
      <c r="F6" s="626" t="s">
        <v>827</v>
      </c>
      <c r="G6" s="623"/>
    </row>
    <row r="7" ht="14.25" customHeight="1">
      <c r="A7" s="623"/>
      <c r="B7" s="624">
        <v>6.0</v>
      </c>
      <c r="C7" s="626" t="s">
        <v>828</v>
      </c>
      <c r="D7" s="623"/>
      <c r="E7" s="624">
        <v>48.0</v>
      </c>
      <c r="F7" s="626" t="s">
        <v>829</v>
      </c>
      <c r="G7" s="623"/>
    </row>
    <row r="8" ht="14.25" customHeight="1">
      <c r="A8" s="623"/>
      <c r="B8" s="624">
        <v>7.0</v>
      </c>
      <c r="C8" s="626" t="s">
        <v>830</v>
      </c>
      <c r="D8" s="623"/>
      <c r="E8" s="624">
        <v>49.0</v>
      </c>
      <c r="F8" s="626" t="s">
        <v>831</v>
      </c>
      <c r="G8" s="623"/>
      <c r="K8" s="627" t="str">
        <f>IMPORTXML("http://192.168.20.205:8006/hallazgos/historial", "xpath")</f>
        <v>#ERROR!</v>
      </c>
    </row>
    <row r="9" ht="14.25" customHeight="1">
      <c r="A9" s="623"/>
      <c r="B9" s="624">
        <v>8.0</v>
      </c>
      <c r="C9" s="626" t="s">
        <v>832</v>
      </c>
      <c r="D9" s="623"/>
      <c r="E9" s="624">
        <v>50.0</v>
      </c>
      <c r="F9" s="626" t="s">
        <v>833</v>
      </c>
      <c r="G9" s="623"/>
    </row>
    <row r="10" ht="14.25" customHeight="1">
      <c r="A10" s="623"/>
      <c r="B10" s="624">
        <v>9.0</v>
      </c>
      <c r="C10" s="626" t="s">
        <v>834</v>
      </c>
      <c r="D10" s="623"/>
      <c r="E10" s="623"/>
      <c r="F10" s="623"/>
      <c r="G10" s="623"/>
    </row>
    <row r="11" ht="14.25" customHeight="1">
      <c r="A11" s="623"/>
      <c r="B11" s="624">
        <v>10.0</v>
      </c>
      <c r="C11" s="626" t="s">
        <v>835</v>
      </c>
      <c r="D11" s="623"/>
      <c r="E11" s="623"/>
      <c r="F11" s="623"/>
      <c r="G11" s="623"/>
    </row>
    <row r="12" ht="14.25" customHeight="1">
      <c r="A12" s="623"/>
      <c r="B12" s="624">
        <v>11.0</v>
      </c>
      <c r="C12" s="626" t="s">
        <v>836</v>
      </c>
      <c r="D12" s="623"/>
      <c r="E12" s="623"/>
      <c r="F12" s="623"/>
      <c r="G12" s="623"/>
    </row>
    <row r="13" ht="14.25" customHeight="1">
      <c r="A13" s="623"/>
      <c r="B13" s="624">
        <v>12.0</v>
      </c>
      <c r="C13" s="626" t="s">
        <v>837</v>
      </c>
      <c r="D13" s="623"/>
      <c r="E13" s="623"/>
      <c r="F13" s="623"/>
      <c r="G13" s="623"/>
    </row>
    <row r="14" ht="14.25" customHeight="1">
      <c r="A14" s="623"/>
      <c r="B14" s="624">
        <v>13.0</v>
      </c>
      <c r="C14" s="626" t="s">
        <v>838</v>
      </c>
      <c r="D14" s="623"/>
      <c r="E14" s="623"/>
      <c r="F14" s="623"/>
      <c r="G14" s="623"/>
    </row>
    <row r="15" ht="14.25" customHeight="1">
      <c r="A15" s="623"/>
      <c r="B15" s="624">
        <v>14.0</v>
      </c>
      <c r="C15" s="626" t="s">
        <v>839</v>
      </c>
      <c r="D15" s="623"/>
      <c r="E15" s="623"/>
      <c r="F15" s="623"/>
      <c r="G15" s="623"/>
    </row>
    <row r="16" ht="14.25" customHeight="1">
      <c r="A16" s="623"/>
      <c r="B16" s="624">
        <v>15.0</v>
      </c>
      <c r="C16" s="626" t="s">
        <v>840</v>
      </c>
      <c r="D16" s="623"/>
      <c r="E16" s="623"/>
      <c r="F16" s="623"/>
      <c r="G16" s="623"/>
    </row>
    <row r="17" ht="14.25" customHeight="1">
      <c r="A17" s="623"/>
      <c r="B17" s="624">
        <v>16.0</v>
      </c>
      <c r="C17" s="626" t="s">
        <v>841</v>
      </c>
      <c r="D17" s="623"/>
      <c r="E17" s="623"/>
      <c r="F17" s="623"/>
      <c r="G17" s="623"/>
    </row>
    <row r="18" ht="14.25" customHeight="1">
      <c r="A18" s="623"/>
      <c r="B18" s="624">
        <v>17.0</v>
      </c>
      <c r="C18" s="626" t="s">
        <v>842</v>
      </c>
      <c r="D18" s="623"/>
      <c r="E18" s="623"/>
      <c r="F18" s="623"/>
      <c r="G18" s="623"/>
    </row>
    <row r="19" ht="14.25" customHeight="1">
      <c r="A19" s="623"/>
      <c r="B19" s="624">
        <v>18.0</v>
      </c>
      <c r="C19" s="626" t="s">
        <v>843</v>
      </c>
      <c r="D19" s="623"/>
      <c r="E19" s="623"/>
      <c r="F19" s="623"/>
      <c r="G19" s="623"/>
    </row>
    <row r="20" ht="14.25" customHeight="1">
      <c r="A20" s="623"/>
      <c r="B20" s="624">
        <v>19.0</v>
      </c>
      <c r="C20" s="626" t="s">
        <v>844</v>
      </c>
      <c r="D20" s="623"/>
      <c r="E20" s="623"/>
      <c r="F20" s="623"/>
      <c r="G20" s="623"/>
    </row>
    <row r="21" ht="14.25" customHeight="1">
      <c r="A21" s="623"/>
      <c r="B21" s="624">
        <v>20.0</v>
      </c>
      <c r="C21" s="626" t="s">
        <v>845</v>
      </c>
      <c r="D21" s="623"/>
      <c r="E21" s="623"/>
      <c r="F21" s="623"/>
      <c r="G21" s="623"/>
    </row>
    <row r="22" ht="14.25" customHeight="1">
      <c r="A22" s="623"/>
      <c r="B22" s="624">
        <v>21.0</v>
      </c>
      <c r="C22" s="626" t="s">
        <v>846</v>
      </c>
      <c r="D22" s="623"/>
      <c r="E22" s="623"/>
      <c r="F22" s="623"/>
      <c r="G22" s="623"/>
    </row>
    <row r="23" ht="14.25" customHeight="1">
      <c r="A23" s="623"/>
      <c r="B23" s="624">
        <v>22.0</v>
      </c>
      <c r="C23" s="626" t="s">
        <v>847</v>
      </c>
      <c r="D23" s="623"/>
      <c r="E23" s="623"/>
      <c r="F23" s="623"/>
      <c r="G23" s="623"/>
    </row>
    <row r="24" ht="14.25" customHeight="1">
      <c r="A24" s="623"/>
      <c r="B24" s="624">
        <v>23.0</v>
      </c>
      <c r="C24" s="626" t="s">
        <v>848</v>
      </c>
      <c r="D24" s="623"/>
      <c r="E24" s="623"/>
      <c r="F24" s="623"/>
      <c r="G24" s="623"/>
    </row>
    <row r="25" ht="14.25" customHeight="1">
      <c r="A25" s="623"/>
      <c r="B25" s="624">
        <v>24.0</v>
      </c>
      <c r="C25" s="626" t="s">
        <v>630</v>
      </c>
      <c r="D25" s="623"/>
      <c r="E25" s="623"/>
      <c r="F25" s="623"/>
      <c r="G25" s="623"/>
    </row>
    <row r="26" ht="14.25" customHeight="1">
      <c r="A26" s="623"/>
      <c r="B26" s="624">
        <v>25.0</v>
      </c>
      <c r="C26" s="626" t="s">
        <v>849</v>
      </c>
      <c r="D26" s="623"/>
      <c r="E26" s="623"/>
      <c r="F26" s="623"/>
      <c r="G26" s="623"/>
    </row>
    <row r="27" ht="14.25" customHeight="1">
      <c r="A27" s="623"/>
      <c r="B27" s="624">
        <v>26.0</v>
      </c>
      <c r="C27" s="626" t="s">
        <v>850</v>
      </c>
      <c r="D27" s="623"/>
      <c r="E27" s="623"/>
      <c r="F27" s="623"/>
      <c r="G27" s="623"/>
    </row>
    <row r="28" ht="14.25" customHeight="1">
      <c r="A28" s="623"/>
      <c r="B28" s="624">
        <v>27.0</v>
      </c>
      <c r="C28" s="626" t="s">
        <v>851</v>
      </c>
      <c r="D28" s="623"/>
      <c r="E28" s="623"/>
      <c r="F28" s="623"/>
      <c r="G28" s="623"/>
    </row>
    <row r="29" ht="14.25" customHeight="1">
      <c r="A29" s="623"/>
      <c r="B29" s="624">
        <v>28.0</v>
      </c>
      <c r="C29" s="626" t="s">
        <v>852</v>
      </c>
      <c r="D29" s="623"/>
      <c r="E29" s="623"/>
      <c r="F29" s="623"/>
      <c r="G29" s="623"/>
    </row>
    <row r="30" ht="14.25" customHeight="1">
      <c r="A30" s="623"/>
      <c r="B30" s="624">
        <v>29.0</v>
      </c>
      <c r="C30" s="626" t="s">
        <v>853</v>
      </c>
      <c r="D30" s="623"/>
      <c r="E30" s="623"/>
      <c r="F30" s="623"/>
      <c r="G30" s="623"/>
    </row>
    <row r="31" ht="14.25" customHeight="1">
      <c r="A31" s="623"/>
      <c r="B31" s="624">
        <v>30.0</v>
      </c>
      <c r="C31" s="626" t="s">
        <v>854</v>
      </c>
      <c r="D31" s="623"/>
      <c r="E31" s="623"/>
      <c r="F31" s="623"/>
      <c r="G31" s="623"/>
    </row>
    <row r="32" ht="14.25" customHeight="1">
      <c r="A32" s="623"/>
      <c r="B32" s="624">
        <v>31.0</v>
      </c>
      <c r="C32" s="626" t="s">
        <v>855</v>
      </c>
      <c r="D32" s="623"/>
      <c r="E32" s="623"/>
      <c r="F32" s="623"/>
      <c r="G32" s="623"/>
    </row>
    <row r="33" ht="14.25" customHeight="1">
      <c r="A33" s="623"/>
      <c r="B33" s="624">
        <v>32.0</v>
      </c>
      <c r="C33" s="626" t="s">
        <v>856</v>
      </c>
      <c r="D33" s="623"/>
      <c r="E33" s="623"/>
      <c r="F33" s="623"/>
      <c r="G33" s="623"/>
    </row>
    <row r="34" ht="14.25" customHeight="1">
      <c r="A34" s="623"/>
      <c r="B34" s="624">
        <v>33.0</v>
      </c>
      <c r="C34" s="626" t="s">
        <v>857</v>
      </c>
      <c r="D34" s="623"/>
      <c r="E34" s="623"/>
      <c r="F34" s="623"/>
      <c r="G34" s="623"/>
    </row>
    <row r="35" ht="14.25" customHeight="1">
      <c r="A35" s="623"/>
      <c r="B35" s="624">
        <v>34.0</v>
      </c>
      <c r="C35" s="626" t="s">
        <v>858</v>
      </c>
      <c r="D35" s="623"/>
      <c r="E35" s="623"/>
      <c r="F35" s="623"/>
      <c r="G35" s="623"/>
    </row>
    <row r="36" ht="14.25" customHeight="1">
      <c r="A36" s="623"/>
      <c r="B36" s="624">
        <v>35.0</v>
      </c>
      <c r="C36" s="626" t="s">
        <v>859</v>
      </c>
      <c r="D36" s="623"/>
      <c r="E36" s="623"/>
      <c r="F36" s="623"/>
      <c r="G36" s="623"/>
    </row>
    <row r="37" ht="14.25" customHeight="1">
      <c r="A37" s="623"/>
      <c r="B37" s="624">
        <v>36.0</v>
      </c>
      <c r="C37" s="626" t="s">
        <v>860</v>
      </c>
      <c r="D37" s="623"/>
      <c r="E37" s="623"/>
      <c r="F37" s="623"/>
      <c r="G37" s="623"/>
    </row>
    <row r="38" ht="14.25" customHeight="1">
      <c r="A38" s="623"/>
      <c r="B38" s="624">
        <v>37.0</v>
      </c>
      <c r="C38" s="626" t="s">
        <v>861</v>
      </c>
      <c r="D38" s="623"/>
      <c r="E38" s="623"/>
      <c r="F38" s="623"/>
      <c r="G38" s="623"/>
    </row>
    <row r="39" ht="14.25" customHeight="1">
      <c r="A39" s="623"/>
      <c r="B39" s="624">
        <v>38.0</v>
      </c>
      <c r="C39" s="626" t="s">
        <v>862</v>
      </c>
      <c r="D39" s="623"/>
      <c r="E39" s="623"/>
      <c r="F39" s="623"/>
      <c r="G39" s="623"/>
    </row>
    <row r="40" ht="14.25" customHeight="1">
      <c r="A40" s="623"/>
      <c r="B40" s="624">
        <v>39.0</v>
      </c>
      <c r="C40" s="626" t="s">
        <v>863</v>
      </c>
      <c r="D40" s="623"/>
      <c r="E40" s="623"/>
      <c r="F40" s="623"/>
      <c r="G40" s="623"/>
    </row>
    <row r="41" ht="14.25" customHeight="1">
      <c r="A41" s="623"/>
      <c r="B41" s="624">
        <v>40.0</v>
      </c>
      <c r="C41" s="626" t="s">
        <v>864</v>
      </c>
      <c r="D41" s="623"/>
      <c r="E41" s="623"/>
      <c r="F41" s="623"/>
      <c r="G41" s="623"/>
    </row>
    <row r="42" ht="14.25" customHeight="1">
      <c r="A42" s="623"/>
      <c r="B42" s="624">
        <v>41.0</v>
      </c>
      <c r="C42" s="626" t="s">
        <v>865</v>
      </c>
      <c r="D42" s="623"/>
      <c r="E42" s="623"/>
      <c r="F42" s="623"/>
      <c r="G42" s="623"/>
    </row>
    <row r="43" ht="14.25" customHeight="1">
      <c r="A43" s="623"/>
      <c r="B43" s="624">
        <v>42.0</v>
      </c>
      <c r="C43" s="626" t="s">
        <v>866</v>
      </c>
      <c r="D43" s="623"/>
      <c r="E43" s="623"/>
      <c r="F43" s="623"/>
      <c r="G43" s="623"/>
    </row>
    <row r="44" ht="14.25" customHeight="1">
      <c r="A44" s="623"/>
      <c r="B44" s="623"/>
      <c r="C44" s="623"/>
      <c r="D44" s="623"/>
      <c r="E44" s="623"/>
      <c r="F44" s="623"/>
      <c r="G44" s="623"/>
    </row>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5" max="5" width="18.71"/>
    <col customWidth="1" min="6" max="6" width="19.14"/>
    <col customWidth="1" min="7" max="7" width="21.43"/>
    <col customWidth="1" min="8" max="8" width="22.0"/>
  </cols>
  <sheetData>
    <row r="1"/>
    <row r="2">
      <c r="I2" s="443"/>
    </row>
    <row r="3">
      <c r="I3" s="534"/>
    </row>
    <row r="4">
      <c r="I4" s="534"/>
    </row>
    <row r="5">
      <c r="I5" s="534"/>
    </row>
    <row r="6">
      <c r="I6" s="534"/>
    </row>
    <row r="7">
      <c r="I7" s="534"/>
    </row>
    <row r="8">
      <c r="I8" s="534"/>
    </row>
    <row r="9">
      <c r="I9" s="534"/>
    </row>
    <row r="10">
      <c r="I10" s="534"/>
    </row>
    <row r="11">
      <c r="F11" s="443"/>
      <c r="G11" s="443"/>
      <c r="H11" s="443"/>
      <c r="I11" s="443"/>
    </row>
  </sheetData>
  <drawing r:id="rId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57"/>
    <col customWidth="1" min="2" max="2" width="14.29"/>
    <col customWidth="1" min="3" max="3" width="49.71"/>
    <col customWidth="1" min="4" max="4" width="49.43"/>
    <col customWidth="1" min="5" max="5" width="17.86"/>
  </cols>
  <sheetData>
    <row r="1">
      <c r="A1" s="630" t="s">
        <v>872</v>
      </c>
      <c r="E1" s="441"/>
      <c r="F1" s="631"/>
      <c r="G1" s="631"/>
      <c r="H1" s="631"/>
      <c r="I1" s="631"/>
      <c r="J1" s="631"/>
      <c r="K1" s="631"/>
      <c r="L1" s="631"/>
      <c r="M1" s="631"/>
      <c r="N1" s="631"/>
      <c r="O1" s="631"/>
      <c r="P1" s="631"/>
      <c r="Q1" s="631"/>
      <c r="R1" s="631"/>
      <c r="S1" s="631"/>
      <c r="T1" s="631"/>
      <c r="U1" s="631"/>
      <c r="V1" s="631"/>
      <c r="W1" s="631"/>
      <c r="X1" s="631"/>
      <c r="Y1" s="631"/>
    </row>
    <row r="2" ht="21.75" customHeight="1">
      <c r="A2" s="632" t="s">
        <v>5</v>
      </c>
      <c r="B2" s="632" t="s">
        <v>873</v>
      </c>
      <c r="C2" s="632" t="s">
        <v>874</v>
      </c>
      <c r="D2" s="633" t="s">
        <v>875</v>
      </c>
      <c r="E2" s="634" t="s">
        <v>876</v>
      </c>
      <c r="F2" s="631"/>
      <c r="G2" s="631"/>
      <c r="H2" s="631"/>
      <c r="I2" s="631"/>
      <c r="J2" s="631"/>
      <c r="K2" s="631"/>
      <c r="L2" s="631"/>
      <c r="M2" s="631"/>
      <c r="N2" s="631"/>
      <c r="O2" s="631"/>
      <c r="P2" s="631"/>
      <c r="Q2" s="631"/>
      <c r="R2" s="631"/>
      <c r="S2" s="631"/>
      <c r="T2" s="631"/>
      <c r="U2" s="631"/>
      <c r="V2" s="631"/>
      <c r="W2" s="631"/>
      <c r="X2" s="631"/>
      <c r="Y2" s="631"/>
    </row>
    <row r="3" ht="83.25" customHeight="1">
      <c r="A3" s="635"/>
      <c r="B3" s="636" t="s">
        <v>877</v>
      </c>
      <c r="C3" s="637" t="s">
        <v>878</v>
      </c>
      <c r="D3" s="638" t="s">
        <v>879</v>
      </c>
      <c r="E3" s="441"/>
      <c r="F3" s="631"/>
      <c r="G3" s="631"/>
      <c r="H3" s="631"/>
      <c r="I3" s="631"/>
      <c r="J3" s="631"/>
      <c r="K3" s="631"/>
      <c r="L3" s="631"/>
      <c r="M3" s="631"/>
      <c r="N3" s="631"/>
      <c r="O3" s="631"/>
      <c r="P3" s="631"/>
      <c r="Q3" s="631"/>
      <c r="R3" s="631"/>
      <c r="S3" s="631"/>
      <c r="T3" s="631"/>
      <c r="U3" s="631"/>
      <c r="V3" s="631"/>
      <c r="W3" s="631"/>
      <c r="X3" s="631"/>
      <c r="Y3" s="631"/>
    </row>
    <row r="4" ht="108.0" customHeight="1">
      <c r="A4" s="635">
        <v>8.0</v>
      </c>
      <c r="B4" s="636" t="s">
        <v>880</v>
      </c>
      <c r="C4" s="638" t="s">
        <v>881</v>
      </c>
      <c r="D4" s="638" t="s">
        <v>882</v>
      </c>
      <c r="E4" s="634">
        <v>0.3</v>
      </c>
      <c r="F4" s="631"/>
      <c r="G4" s="631"/>
      <c r="H4" s="631"/>
      <c r="I4" s="631"/>
      <c r="J4" s="631"/>
      <c r="K4" s="631"/>
      <c r="L4" s="631"/>
      <c r="M4" s="631"/>
      <c r="N4" s="631"/>
      <c r="O4" s="631"/>
      <c r="P4" s="631"/>
      <c r="Q4" s="631"/>
      <c r="R4" s="631"/>
      <c r="S4" s="631"/>
      <c r="T4" s="631"/>
      <c r="U4" s="631"/>
      <c r="V4" s="631"/>
      <c r="W4" s="631"/>
      <c r="X4" s="631"/>
      <c r="Y4" s="631"/>
    </row>
    <row r="5" ht="45.0" customHeight="1">
      <c r="A5" s="635">
        <v>3.0</v>
      </c>
      <c r="B5" s="636" t="s">
        <v>883</v>
      </c>
      <c r="C5" s="637"/>
      <c r="D5" s="639" t="s">
        <v>884</v>
      </c>
      <c r="E5" s="441"/>
      <c r="F5" s="631"/>
      <c r="G5" s="631"/>
      <c r="H5" s="631"/>
      <c r="I5" s="631"/>
      <c r="J5" s="631"/>
      <c r="K5" s="631"/>
      <c r="L5" s="631"/>
      <c r="M5" s="631"/>
      <c r="N5" s="631"/>
      <c r="O5" s="631"/>
      <c r="P5" s="631"/>
      <c r="Q5" s="631"/>
      <c r="R5" s="631"/>
      <c r="S5" s="631"/>
      <c r="T5" s="631"/>
      <c r="U5" s="631"/>
      <c r="V5" s="631"/>
      <c r="W5" s="631"/>
      <c r="X5" s="631"/>
      <c r="Y5" s="631"/>
    </row>
    <row r="6" ht="72.0" customHeight="1">
      <c r="A6" s="635">
        <v>5.0</v>
      </c>
      <c r="B6" s="636" t="s">
        <v>885</v>
      </c>
      <c r="C6" s="639" t="s">
        <v>886</v>
      </c>
      <c r="D6" s="639" t="s">
        <v>887</v>
      </c>
      <c r="E6" s="441"/>
      <c r="F6" s="631"/>
      <c r="G6" s="631"/>
      <c r="H6" s="631"/>
      <c r="I6" s="631"/>
      <c r="J6" s="631"/>
      <c r="K6" s="631"/>
      <c r="L6" s="631"/>
      <c r="M6" s="631"/>
      <c r="N6" s="631"/>
      <c r="O6" s="631"/>
      <c r="P6" s="631"/>
      <c r="Q6" s="631"/>
      <c r="R6" s="631"/>
      <c r="S6" s="631"/>
      <c r="T6" s="631"/>
      <c r="U6" s="631"/>
      <c r="V6" s="631"/>
      <c r="W6" s="631"/>
      <c r="X6" s="631"/>
      <c r="Y6" s="631"/>
    </row>
    <row r="7" ht="83.25" customHeight="1">
      <c r="A7" s="635">
        <v>1.0</v>
      </c>
      <c r="B7" s="636" t="s">
        <v>888</v>
      </c>
      <c r="C7" s="637" t="s">
        <v>889</v>
      </c>
      <c r="D7" s="638" t="s">
        <v>890</v>
      </c>
      <c r="E7" s="441"/>
      <c r="F7" s="631"/>
      <c r="G7" s="631"/>
      <c r="H7" s="631"/>
      <c r="I7" s="631"/>
      <c r="J7" s="631"/>
      <c r="K7" s="631"/>
      <c r="L7" s="631"/>
      <c r="M7" s="631"/>
      <c r="N7" s="631"/>
      <c r="O7" s="631"/>
      <c r="P7" s="631"/>
      <c r="Q7" s="631"/>
      <c r="R7" s="631"/>
      <c r="S7" s="631"/>
      <c r="T7" s="631"/>
      <c r="U7" s="631"/>
      <c r="V7" s="631"/>
      <c r="W7" s="631"/>
      <c r="X7" s="631"/>
      <c r="Y7" s="631"/>
    </row>
    <row r="8" ht="74.25" customHeight="1">
      <c r="A8" s="635">
        <v>4.0</v>
      </c>
      <c r="B8" s="636" t="s">
        <v>891</v>
      </c>
      <c r="C8" s="640"/>
      <c r="D8" s="639" t="s">
        <v>892</v>
      </c>
      <c r="E8" s="441"/>
      <c r="F8" s="631"/>
      <c r="G8" s="631"/>
      <c r="H8" s="631"/>
      <c r="I8" s="631"/>
      <c r="J8" s="631"/>
      <c r="K8" s="631"/>
      <c r="L8" s="631"/>
      <c r="M8" s="631"/>
      <c r="N8" s="631"/>
      <c r="O8" s="631"/>
      <c r="P8" s="631"/>
      <c r="Q8" s="631"/>
      <c r="R8" s="631"/>
      <c r="S8" s="631"/>
      <c r="T8" s="631"/>
      <c r="U8" s="631"/>
      <c r="V8" s="631"/>
      <c r="W8" s="631"/>
      <c r="X8" s="631"/>
      <c r="Y8" s="631"/>
    </row>
    <row r="9" ht="79.5" customHeight="1">
      <c r="A9" s="635">
        <v>6.0</v>
      </c>
      <c r="B9" s="636" t="s">
        <v>893</v>
      </c>
      <c r="C9" s="637" t="s">
        <v>894</v>
      </c>
      <c r="D9" s="638" t="s">
        <v>895</v>
      </c>
      <c r="E9" s="441"/>
      <c r="F9" s="631"/>
      <c r="G9" s="631"/>
      <c r="H9" s="631"/>
      <c r="I9" s="631"/>
      <c r="J9" s="631"/>
      <c r="K9" s="631"/>
      <c r="L9" s="631"/>
      <c r="M9" s="631"/>
      <c r="N9" s="631"/>
      <c r="O9" s="631"/>
      <c r="P9" s="631"/>
      <c r="Q9" s="631"/>
      <c r="R9" s="631"/>
      <c r="S9" s="631"/>
      <c r="T9" s="631"/>
      <c r="U9" s="631"/>
      <c r="V9" s="631"/>
      <c r="W9" s="631"/>
      <c r="X9" s="631"/>
      <c r="Y9" s="631"/>
    </row>
    <row r="10" ht="83.25" customHeight="1">
      <c r="A10" s="635"/>
      <c r="B10" s="636" t="s">
        <v>896</v>
      </c>
      <c r="C10" s="637"/>
      <c r="D10" s="638" t="s">
        <v>897</v>
      </c>
      <c r="E10" s="441"/>
      <c r="F10" s="631"/>
      <c r="G10" s="631"/>
      <c r="H10" s="631"/>
      <c r="I10" s="631"/>
      <c r="J10" s="631"/>
      <c r="K10" s="631"/>
      <c r="L10" s="631"/>
      <c r="M10" s="631"/>
      <c r="N10" s="631"/>
      <c r="O10" s="631"/>
      <c r="P10" s="631"/>
      <c r="Q10" s="631"/>
      <c r="R10" s="631"/>
      <c r="S10" s="631"/>
      <c r="T10" s="631"/>
      <c r="U10" s="631"/>
      <c r="V10" s="631"/>
      <c r="W10" s="631"/>
      <c r="X10" s="631"/>
      <c r="Y10" s="631"/>
    </row>
    <row r="11" ht="83.25" customHeight="1">
      <c r="A11" s="635"/>
      <c r="B11" s="636" t="s">
        <v>898</v>
      </c>
      <c r="C11" s="637"/>
      <c r="D11" s="638" t="s">
        <v>899</v>
      </c>
      <c r="E11" s="441"/>
      <c r="F11" s="631"/>
      <c r="G11" s="631"/>
      <c r="H11" s="631"/>
      <c r="I11" s="631"/>
      <c r="J11" s="631"/>
      <c r="K11" s="631"/>
      <c r="L11" s="631"/>
      <c r="M11" s="631"/>
      <c r="N11" s="631"/>
      <c r="O11" s="631"/>
      <c r="P11" s="631"/>
      <c r="Q11" s="631"/>
      <c r="R11" s="631"/>
      <c r="S11" s="631"/>
      <c r="T11" s="631"/>
      <c r="U11" s="631"/>
      <c r="V11" s="631"/>
      <c r="W11" s="631"/>
      <c r="X11" s="631"/>
      <c r="Y11" s="631"/>
    </row>
    <row r="12" ht="63.75" customHeight="1">
      <c r="A12" s="635"/>
      <c r="B12" s="636" t="s">
        <v>900</v>
      </c>
      <c r="C12" s="637"/>
      <c r="D12" s="639" t="s">
        <v>901</v>
      </c>
      <c r="E12" s="441"/>
      <c r="F12" s="631"/>
      <c r="G12" s="631"/>
      <c r="H12" s="631"/>
      <c r="I12" s="631"/>
      <c r="J12" s="631"/>
      <c r="K12" s="631"/>
      <c r="L12" s="631"/>
      <c r="M12" s="631"/>
      <c r="N12" s="631"/>
      <c r="O12" s="631"/>
      <c r="P12" s="631"/>
      <c r="Q12" s="631"/>
      <c r="R12" s="631"/>
      <c r="S12" s="631"/>
      <c r="T12" s="631"/>
      <c r="U12" s="631"/>
      <c r="V12" s="631"/>
      <c r="W12" s="631"/>
      <c r="X12" s="631"/>
      <c r="Y12" s="631"/>
    </row>
    <row r="13" ht="63.75" customHeight="1">
      <c r="A13" s="635">
        <v>2.0</v>
      </c>
      <c r="B13" s="636" t="s">
        <v>902</v>
      </c>
      <c r="C13" s="637" t="s">
        <v>903</v>
      </c>
      <c r="D13" s="639" t="s">
        <v>904</v>
      </c>
      <c r="E13" s="441"/>
      <c r="F13" s="631"/>
      <c r="G13" s="631"/>
      <c r="H13" s="631"/>
      <c r="I13" s="631"/>
      <c r="J13" s="631"/>
      <c r="K13" s="631"/>
      <c r="L13" s="631"/>
      <c r="M13" s="631"/>
      <c r="N13" s="631"/>
      <c r="O13" s="631"/>
      <c r="P13" s="631"/>
      <c r="Q13" s="631"/>
      <c r="R13" s="631"/>
      <c r="S13" s="631"/>
      <c r="T13" s="631"/>
      <c r="U13" s="631"/>
      <c r="V13" s="631"/>
      <c r="W13" s="631"/>
      <c r="X13" s="631"/>
      <c r="Y13" s="631"/>
    </row>
    <row r="14" ht="109.5" customHeight="1">
      <c r="A14" s="635">
        <v>7.0</v>
      </c>
      <c r="B14" s="636" t="s">
        <v>905</v>
      </c>
      <c r="C14" s="638" t="s">
        <v>906</v>
      </c>
      <c r="D14" s="638" t="s">
        <v>907</v>
      </c>
      <c r="E14" s="441"/>
      <c r="F14" s="631"/>
      <c r="G14" s="631"/>
      <c r="H14" s="631"/>
      <c r="I14" s="631"/>
      <c r="J14" s="631"/>
      <c r="K14" s="631"/>
      <c r="L14" s="631"/>
      <c r="M14" s="631"/>
      <c r="N14" s="631"/>
      <c r="O14" s="631"/>
      <c r="P14" s="631"/>
      <c r="Q14" s="631"/>
      <c r="R14" s="631"/>
      <c r="S14" s="631"/>
      <c r="T14" s="631"/>
      <c r="U14" s="631"/>
      <c r="V14" s="631"/>
      <c r="W14" s="631"/>
      <c r="X14" s="631"/>
      <c r="Y14" s="631"/>
    </row>
    <row r="15">
      <c r="A15" s="635">
        <v>9.0</v>
      </c>
      <c r="B15" s="641"/>
      <c r="C15" s="641"/>
      <c r="D15" s="631"/>
      <c r="E15" s="441"/>
      <c r="F15" s="631"/>
      <c r="G15" s="631"/>
      <c r="H15" s="631"/>
      <c r="I15" s="631"/>
      <c r="J15" s="631"/>
      <c r="K15" s="631"/>
      <c r="L15" s="631"/>
      <c r="M15" s="631"/>
      <c r="N15" s="631"/>
      <c r="O15" s="631"/>
      <c r="P15" s="631"/>
      <c r="Q15" s="631"/>
      <c r="R15" s="631"/>
      <c r="S15" s="631"/>
      <c r="T15" s="631"/>
      <c r="U15" s="631"/>
      <c r="V15" s="631"/>
      <c r="W15" s="631"/>
      <c r="X15" s="631"/>
      <c r="Y15" s="631"/>
    </row>
    <row r="16">
      <c r="A16" s="631"/>
      <c r="B16" s="641"/>
      <c r="C16" s="641"/>
      <c r="D16" s="631"/>
      <c r="E16" s="441"/>
      <c r="F16" s="631"/>
      <c r="G16" s="631"/>
      <c r="H16" s="631"/>
      <c r="I16" s="631"/>
      <c r="J16" s="631"/>
      <c r="K16" s="631"/>
      <c r="L16" s="631"/>
      <c r="M16" s="631"/>
      <c r="N16" s="631"/>
      <c r="O16" s="631"/>
      <c r="P16" s="631"/>
      <c r="Q16" s="631"/>
      <c r="R16" s="631"/>
      <c r="S16" s="631"/>
      <c r="T16" s="631"/>
      <c r="U16" s="631"/>
      <c r="V16" s="631"/>
      <c r="W16" s="631"/>
      <c r="X16" s="631"/>
      <c r="Y16" s="631"/>
    </row>
    <row r="17">
      <c r="A17" s="631"/>
      <c r="B17" s="641"/>
      <c r="C17" s="641"/>
      <c r="D17" s="631"/>
      <c r="E17" s="441"/>
      <c r="F17" s="631"/>
      <c r="G17" s="631"/>
      <c r="H17" s="631"/>
      <c r="I17" s="631"/>
      <c r="J17" s="631"/>
      <c r="K17" s="631"/>
      <c r="L17" s="631"/>
      <c r="M17" s="631"/>
      <c r="N17" s="631"/>
      <c r="O17" s="631"/>
      <c r="P17" s="631"/>
      <c r="Q17" s="631"/>
      <c r="R17" s="631"/>
      <c r="S17" s="631"/>
      <c r="T17" s="631"/>
      <c r="U17" s="631"/>
      <c r="V17" s="631"/>
      <c r="W17" s="631"/>
      <c r="X17" s="631"/>
      <c r="Y17" s="631"/>
    </row>
    <row r="18">
      <c r="A18" s="631"/>
      <c r="B18" s="641"/>
      <c r="C18" s="641"/>
      <c r="D18" s="631"/>
      <c r="E18" s="441"/>
      <c r="F18" s="631"/>
      <c r="G18" s="631"/>
      <c r="H18" s="631"/>
      <c r="I18" s="631"/>
      <c r="J18" s="631"/>
      <c r="K18" s="631"/>
      <c r="L18" s="631"/>
      <c r="M18" s="631"/>
      <c r="N18" s="631"/>
      <c r="O18" s="631"/>
      <c r="P18" s="631"/>
      <c r="Q18" s="631"/>
      <c r="R18" s="631"/>
      <c r="S18" s="631"/>
      <c r="T18" s="631"/>
      <c r="U18" s="631"/>
      <c r="V18" s="631"/>
      <c r="W18" s="631"/>
      <c r="X18" s="631"/>
      <c r="Y18" s="631"/>
    </row>
    <row r="19">
      <c r="A19" s="631"/>
      <c r="B19" s="641"/>
      <c r="C19" s="641"/>
      <c r="D19" s="631"/>
      <c r="E19" s="441"/>
      <c r="F19" s="631"/>
      <c r="G19" s="631"/>
      <c r="H19" s="631"/>
      <c r="I19" s="631"/>
      <c r="J19" s="631"/>
      <c r="K19" s="631"/>
      <c r="L19" s="631"/>
      <c r="M19" s="631"/>
      <c r="N19" s="631"/>
      <c r="O19" s="631"/>
      <c r="P19" s="631"/>
      <c r="Q19" s="631"/>
      <c r="R19" s="631"/>
      <c r="S19" s="631"/>
      <c r="T19" s="631"/>
      <c r="U19" s="631"/>
      <c r="V19" s="631"/>
      <c r="W19" s="631"/>
      <c r="X19" s="631"/>
      <c r="Y19" s="631"/>
    </row>
    <row r="20">
      <c r="A20" s="631"/>
      <c r="B20" s="641"/>
      <c r="C20" s="641"/>
      <c r="D20" s="631"/>
      <c r="E20" s="441"/>
      <c r="F20" s="631"/>
      <c r="G20" s="631"/>
      <c r="H20" s="631"/>
      <c r="I20" s="631"/>
      <c r="J20" s="631"/>
      <c r="K20" s="631"/>
      <c r="L20" s="631"/>
      <c r="M20" s="631"/>
      <c r="N20" s="631"/>
      <c r="O20" s="631"/>
      <c r="P20" s="631"/>
      <c r="Q20" s="631"/>
      <c r="R20" s="631"/>
      <c r="S20" s="631"/>
      <c r="T20" s="631"/>
      <c r="U20" s="631"/>
      <c r="V20" s="631"/>
      <c r="W20" s="631"/>
      <c r="X20" s="631"/>
      <c r="Y20" s="631"/>
    </row>
    <row r="21">
      <c r="A21" s="631"/>
      <c r="B21" s="641"/>
      <c r="C21" s="641"/>
      <c r="D21" s="631"/>
      <c r="E21" s="441"/>
      <c r="F21" s="631"/>
      <c r="G21" s="631"/>
      <c r="H21" s="631"/>
      <c r="I21" s="631"/>
      <c r="J21" s="631"/>
      <c r="K21" s="631"/>
      <c r="L21" s="631"/>
      <c r="M21" s="631"/>
      <c r="N21" s="631"/>
      <c r="O21" s="631"/>
      <c r="P21" s="631"/>
      <c r="Q21" s="631"/>
      <c r="R21" s="631"/>
      <c r="S21" s="631"/>
      <c r="T21" s="631"/>
      <c r="U21" s="631"/>
      <c r="V21" s="631"/>
      <c r="W21" s="631"/>
      <c r="X21" s="631"/>
      <c r="Y21" s="631"/>
    </row>
    <row r="22">
      <c r="A22" s="631"/>
      <c r="B22" s="641"/>
      <c r="C22" s="641"/>
      <c r="D22" s="631"/>
      <c r="E22" s="441"/>
      <c r="F22" s="631"/>
      <c r="G22" s="631"/>
      <c r="H22" s="631"/>
      <c r="I22" s="631"/>
      <c r="J22" s="631"/>
      <c r="K22" s="631"/>
      <c r="L22" s="631"/>
      <c r="M22" s="631"/>
      <c r="N22" s="631"/>
      <c r="O22" s="631"/>
      <c r="P22" s="631"/>
      <c r="Q22" s="631"/>
      <c r="R22" s="631"/>
      <c r="S22" s="631"/>
      <c r="T22" s="631"/>
      <c r="U22" s="631"/>
      <c r="V22" s="631"/>
      <c r="W22" s="631"/>
      <c r="X22" s="631"/>
      <c r="Y22" s="631"/>
    </row>
    <row r="23">
      <c r="A23" s="631"/>
      <c r="B23" s="641"/>
      <c r="C23" s="641"/>
      <c r="D23" s="631"/>
      <c r="E23" s="441"/>
      <c r="F23" s="631"/>
      <c r="G23" s="631"/>
      <c r="H23" s="631"/>
      <c r="I23" s="631"/>
      <c r="J23" s="631"/>
      <c r="K23" s="631"/>
      <c r="L23" s="631"/>
      <c r="M23" s="631"/>
      <c r="N23" s="631"/>
      <c r="O23" s="631"/>
      <c r="P23" s="631"/>
      <c r="Q23" s="631"/>
      <c r="R23" s="631"/>
      <c r="S23" s="631"/>
      <c r="T23" s="631"/>
      <c r="U23" s="631"/>
      <c r="V23" s="631"/>
      <c r="W23" s="631"/>
      <c r="X23" s="631"/>
      <c r="Y23" s="631"/>
    </row>
    <row r="24">
      <c r="A24" s="631"/>
      <c r="B24" s="641"/>
      <c r="C24" s="641"/>
      <c r="D24" s="631"/>
      <c r="E24" s="441"/>
      <c r="F24" s="631"/>
      <c r="G24" s="631"/>
      <c r="H24" s="631"/>
      <c r="I24" s="631"/>
      <c r="J24" s="631"/>
      <c r="K24" s="631"/>
      <c r="L24" s="631"/>
      <c r="M24" s="631"/>
      <c r="N24" s="631"/>
      <c r="O24" s="631"/>
      <c r="P24" s="631"/>
      <c r="Q24" s="631"/>
      <c r="R24" s="631"/>
      <c r="S24" s="631"/>
      <c r="T24" s="631"/>
      <c r="U24" s="631"/>
      <c r="V24" s="631"/>
      <c r="W24" s="631"/>
      <c r="X24" s="631"/>
      <c r="Y24" s="631"/>
    </row>
    <row r="25">
      <c r="A25" s="631"/>
      <c r="B25" s="641"/>
      <c r="C25" s="641"/>
      <c r="D25" s="631"/>
      <c r="E25" s="441"/>
      <c r="F25" s="631"/>
      <c r="G25" s="631"/>
      <c r="H25" s="631"/>
      <c r="I25" s="631"/>
      <c r="J25" s="631"/>
      <c r="K25" s="631"/>
      <c r="L25" s="631"/>
      <c r="M25" s="631"/>
      <c r="N25" s="631"/>
      <c r="O25" s="631"/>
      <c r="P25" s="631"/>
      <c r="Q25" s="631"/>
      <c r="R25" s="631"/>
      <c r="S25" s="631"/>
      <c r="T25" s="631"/>
      <c r="U25" s="631"/>
      <c r="V25" s="631"/>
      <c r="W25" s="631"/>
      <c r="X25" s="631"/>
      <c r="Y25" s="631"/>
    </row>
    <row r="26">
      <c r="A26" s="631"/>
      <c r="B26" s="641"/>
      <c r="C26" s="641"/>
      <c r="D26" s="631"/>
      <c r="E26" s="441"/>
      <c r="F26" s="631"/>
      <c r="G26" s="631"/>
      <c r="H26" s="631"/>
      <c r="I26" s="631"/>
      <c r="J26" s="631"/>
      <c r="K26" s="631"/>
      <c r="L26" s="631"/>
      <c r="M26" s="631"/>
      <c r="N26" s="631"/>
      <c r="O26" s="631"/>
      <c r="P26" s="631"/>
      <c r="Q26" s="631"/>
      <c r="R26" s="631"/>
      <c r="S26" s="631"/>
      <c r="T26" s="631"/>
      <c r="U26" s="631"/>
      <c r="V26" s="631"/>
      <c r="W26" s="631"/>
      <c r="X26" s="631"/>
      <c r="Y26" s="631"/>
    </row>
    <row r="27">
      <c r="A27" s="631"/>
      <c r="B27" s="641"/>
      <c r="C27" s="641"/>
      <c r="D27" s="631"/>
      <c r="E27" s="441"/>
      <c r="F27" s="631"/>
      <c r="G27" s="631"/>
      <c r="H27" s="631"/>
      <c r="I27" s="631"/>
      <c r="J27" s="631"/>
      <c r="K27" s="631"/>
      <c r="L27" s="631"/>
      <c r="M27" s="631"/>
      <c r="N27" s="631"/>
      <c r="O27" s="631"/>
      <c r="P27" s="631"/>
      <c r="Q27" s="631"/>
      <c r="R27" s="631"/>
      <c r="S27" s="631"/>
      <c r="T27" s="631"/>
      <c r="U27" s="631"/>
      <c r="V27" s="631"/>
      <c r="W27" s="631"/>
      <c r="X27" s="631"/>
      <c r="Y27" s="631"/>
    </row>
    <row r="28">
      <c r="A28" s="631"/>
      <c r="B28" s="641"/>
      <c r="C28" s="641"/>
      <c r="D28" s="631"/>
      <c r="E28" s="441"/>
      <c r="F28" s="631"/>
      <c r="G28" s="631"/>
      <c r="H28" s="631"/>
      <c r="I28" s="631"/>
      <c r="J28" s="631"/>
      <c r="K28" s="631"/>
      <c r="L28" s="631"/>
      <c r="M28" s="631"/>
      <c r="N28" s="631"/>
      <c r="O28" s="631"/>
      <c r="P28" s="631"/>
      <c r="Q28" s="631"/>
      <c r="R28" s="631"/>
      <c r="S28" s="631"/>
      <c r="T28" s="631"/>
      <c r="U28" s="631"/>
      <c r="V28" s="631"/>
      <c r="W28" s="631"/>
      <c r="X28" s="631"/>
      <c r="Y28" s="631"/>
    </row>
    <row r="29">
      <c r="A29" s="631"/>
      <c r="B29" s="631"/>
      <c r="C29" s="631"/>
      <c r="D29" s="631"/>
      <c r="E29" s="441"/>
      <c r="F29" s="631"/>
      <c r="G29" s="631"/>
      <c r="H29" s="631"/>
      <c r="I29" s="631"/>
      <c r="J29" s="631"/>
      <c r="K29" s="631"/>
      <c r="L29" s="631"/>
      <c r="M29" s="631"/>
      <c r="N29" s="631"/>
      <c r="O29" s="631"/>
      <c r="P29" s="631"/>
      <c r="Q29" s="631"/>
      <c r="R29" s="631"/>
      <c r="S29" s="631"/>
      <c r="T29" s="631"/>
      <c r="U29" s="631"/>
      <c r="V29" s="631"/>
      <c r="W29" s="631"/>
      <c r="X29" s="631"/>
      <c r="Y29" s="631"/>
    </row>
    <row r="30">
      <c r="A30" s="631"/>
      <c r="B30" s="631"/>
      <c r="C30" s="631"/>
      <c r="D30" s="631"/>
      <c r="E30" s="441"/>
      <c r="F30" s="631"/>
      <c r="G30" s="631"/>
      <c r="H30" s="631"/>
      <c r="I30" s="631"/>
      <c r="J30" s="631"/>
      <c r="K30" s="631"/>
      <c r="L30" s="631"/>
      <c r="M30" s="631"/>
      <c r="N30" s="631"/>
      <c r="O30" s="631"/>
      <c r="P30" s="631"/>
      <c r="Q30" s="631"/>
      <c r="R30" s="631"/>
      <c r="S30" s="631"/>
      <c r="T30" s="631"/>
      <c r="U30" s="631"/>
      <c r="V30" s="631"/>
      <c r="W30" s="631"/>
      <c r="X30" s="631"/>
      <c r="Y30" s="631"/>
    </row>
    <row r="31">
      <c r="A31" s="631"/>
      <c r="B31" s="631"/>
      <c r="C31" s="631"/>
      <c r="D31" s="631"/>
      <c r="E31" s="441"/>
      <c r="F31" s="631"/>
      <c r="G31" s="631"/>
      <c r="H31" s="631"/>
      <c r="I31" s="631"/>
      <c r="J31" s="631"/>
      <c r="K31" s="631"/>
      <c r="L31" s="631"/>
      <c r="M31" s="631"/>
      <c r="N31" s="631"/>
      <c r="O31" s="631"/>
      <c r="P31" s="631"/>
      <c r="Q31" s="631"/>
      <c r="R31" s="631"/>
      <c r="S31" s="631"/>
      <c r="T31" s="631"/>
      <c r="U31" s="631"/>
      <c r="V31" s="631"/>
      <c r="W31" s="631"/>
      <c r="X31" s="631"/>
      <c r="Y31" s="631"/>
    </row>
    <row r="32">
      <c r="A32" s="631"/>
      <c r="B32" s="631"/>
      <c r="C32" s="631"/>
      <c r="D32" s="631"/>
      <c r="E32" s="441"/>
      <c r="F32" s="631"/>
      <c r="G32" s="631"/>
      <c r="H32" s="631"/>
      <c r="I32" s="631"/>
      <c r="J32" s="631"/>
      <c r="K32" s="631"/>
      <c r="L32" s="631"/>
      <c r="M32" s="631"/>
      <c r="N32" s="631"/>
      <c r="O32" s="631"/>
      <c r="P32" s="631"/>
      <c r="Q32" s="631"/>
      <c r="R32" s="631"/>
      <c r="S32" s="631"/>
      <c r="T32" s="631"/>
      <c r="U32" s="631"/>
      <c r="V32" s="631"/>
      <c r="W32" s="631"/>
      <c r="X32" s="631"/>
      <c r="Y32" s="631"/>
    </row>
    <row r="33">
      <c r="A33" s="631"/>
      <c r="B33" s="631"/>
      <c r="C33" s="631"/>
      <c r="D33" s="631"/>
      <c r="E33" s="441"/>
      <c r="F33" s="631"/>
      <c r="G33" s="631"/>
      <c r="H33" s="631"/>
      <c r="I33" s="631"/>
      <c r="J33" s="631"/>
      <c r="K33" s="631"/>
      <c r="L33" s="631"/>
      <c r="M33" s="631"/>
      <c r="N33" s="631"/>
      <c r="O33" s="631"/>
      <c r="P33" s="631"/>
      <c r="Q33" s="631"/>
      <c r="R33" s="631"/>
      <c r="S33" s="631"/>
      <c r="T33" s="631"/>
      <c r="U33" s="631"/>
      <c r="V33" s="631"/>
      <c r="W33" s="631"/>
      <c r="X33" s="631"/>
      <c r="Y33" s="631"/>
    </row>
    <row r="34">
      <c r="A34" s="631"/>
      <c r="B34" s="631"/>
      <c r="C34" s="631"/>
      <c r="D34" s="631"/>
      <c r="E34" s="441"/>
      <c r="F34" s="631"/>
      <c r="G34" s="631"/>
      <c r="H34" s="631"/>
      <c r="I34" s="631"/>
      <c r="J34" s="631"/>
      <c r="K34" s="631"/>
      <c r="L34" s="631"/>
      <c r="M34" s="631"/>
      <c r="N34" s="631"/>
      <c r="O34" s="631"/>
      <c r="P34" s="631"/>
      <c r="Q34" s="631"/>
      <c r="R34" s="631"/>
      <c r="S34" s="631"/>
      <c r="T34" s="631"/>
      <c r="U34" s="631"/>
      <c r="V34" s="631"/>
      <c r="W34" s="631"/>
      <c r="X34" s="631"/>
      <c r="Y34" s="631"/>
    </row>
    <row r="35">
      <c r="A35" s="631"/>
      <c r="B35" s="631"/>
      <c r="C35" s="631"/>
      <c r="D35" s="631"/>
      <c r="E35" s="441"/>
      <c r="F35" s="631"/>
      <c r="G35" s="631"/>
      <c r="H35" s="631"/>
      <c r="I35" s="631"/>
      <c r="J35" s="631"/>
      <c r="K35" s="631"/>
      <c r="L35" s="631"/>
      <c r="M35" s="631"/>
      <c r="N35" s="631"/>
      <c r="O35" s="631"/>
      <c r="P35" s="631"/>
      <c r="Q35" s="631"/>
      <c r="R35" s="631"/>
      <c r="S35" s="631"/>
      <c r="T35" s="631"/>
      <c r="U35" s="631"/>
      <c r="V35" s="631"/>
      <c r="W35" s="631"/>
      <c r="X35" s="631"/>
      <c r="Y35" s="631"/>
    </row>
    <row r="36">
      <c r="A36" s="631"/>
      <c r="B36" s="631"/>
      <c r="C36" s="631"/>
      <c r="D36" s="631"/>
      <c r="E36" s="441"/>
      <c r="F36" s="631"/>
      <c r="G36" s="631"/>
      <c r="H36" s="631"/>
      <c r="I36" s="631"/>
      <c r="J36" s="631"/>
      <c r="K36" s="631"/>
      <c r="L36" s="631"/>
      <c r="M36" s="631"/>
      <c r="N36" s="631"/>
      <c r="O36" s="631"/>
      <c r="P36" s="631"/>
      <c r="Q36" s="631"/>
      <c r="R36" s="631"/>
      <c r="S36" s="631"/>
      <c r="T36" s="631"/>
      <c r="U36" s="631"/>
      <c r="V36" s="631"/>
      <c r="W36" s="631"/>
      <c r="X36" s="631"/>
      <c r="Y36" s="631"/>
    </row>
    <row r="37">
      <c r="A37" s="631"/>
      <c r="B37" s="631"/>
      <c r="C37" s="631"/>
      <c r="D37" s="631"/>
      <c r="E37" s="441"/>
      <c r="F37" s="631"/>
      <c r="G37" s="631"/>
      <c r="H37" s="631"/>
      <c r="I37" s="631"/>
      <c r="J37" s="631"/>
      <c r="K37" s="631"/>
      <c r="L37" s="631"/>
      <c r="M37" s="631"/>
      <c r="N37" s="631"/>
      <c r="O37" s="631"/>
      <c r="P37" s="631"/>
      <c r="Q37" s="631"/>
      <c r="R37" s="631"/>
      <c r="S37" s="631"/>
      <c r="T37" s="631"/>
      <c r="U37" s="631"/>
      <c r="V37" s="631"/>
      <c r="W37" s="631"/>
      <c r="X37" s="631"/>
      <c r="Y37" s="631"/>
    </row>
    <row r="38">
      <c r="A38" s="631"/>
      <c r="B38" s="631"/>
      <c r="C38" s="631"/>
      <c r="D38" s="631"/>
      <c r="E38" s="441"/>
      <c r="F38" s="631"/>
      <c r="G38" s="631"/>
      <c r="H38" s="631"/>
      <c r="I38" s="631"/>
      <c r="J38" s="631"/>
      <c r="K38" s="631"/>
      <c r="L38" s="631"/>
      <c r="M38" s="631"/>
      <c r="N38" s="631"/>
      <c r="O38" s="631"/>
      <c r="P38" s="631"/>
      <c r="Q38" s="631"/>
      <c r="R38" s="631"/>
      <c r="S38" s="631"/>
      <c r="T38" s="631"/>
      <c r="U38" s="631"/>
      <c r="V38" s="631"/>
      <c r="W38" s="631"/>
      <c r="X38" s="631"/>
      <c r="Y38" s="631"/>
    </row>
    <row r="39">
      <c r="A39" s="631"/>
      <c r="B39" s="631"/>
      <c r="C39" s="631"/>
      <c r="D39" s="631"/>
      <c r="E39" s="441"/>
      <c r="F39" s="631"/>
      <c r="G39" s="631"/>
      <c r="H39" s="631"/>
      <c r="I39" s="631"/>
      <c r="J39" s="631"/>
      <c r="K39" s="631"/>
      <c r="L39" s="631"/>
      <c r="M39" s="631"/>
      <c r="N39" s="631"/>
      <c r="O39" s="631"/>
      <c r="P39" s="631"/>
      <c r="Q39" s="631"/>
      <c r="R39" s="631"/>
      <c r="S39" s="631"/>
      <c r="T39" s="631"/>
      <c r="U39" s="631"/>
      <c r="V39" s="631"/>
      <c r="W39" s="631"/>
      <c r="X39" s="631"/>
      <c r="Y39" s="631"/>
    </row>
    <row r="40">
      <c r="A40" s="631"/>
      <c r="B40" s="631"/>
      <c r="C40" s="631"/>
      <c r="D40" s="631"/>
      <c r="E40" s="441"/>
      <c r="F40" s="631"/>
      <c r="G40" s="631"/>
      <c r="H40" s="631"/>
      <c r="I40" s="631"/>
      <c r="J40" s="631"/>
      <c r="K40" s="631"/>
      <c r="L40" s="631"/>
      <c r="M40" s="631"/>
      <c r="N40" s="631"/>
      <c r="O40" s="631"/>
      <c r="P40" s="631"/>
      <c r="Q40" s="631"/>
      <c r="R40" s="631"/>
      <c r="S40" s="631"/>
      <c r="T40" s="631"/>
      <c r="U40" s="631"/>
      <c r="V40" s="631"/>
      <c r="W40" s="631"/>
      <c r="X40" s="631"/>
      <c r="Y40" s="631"/>
    </row>
    <row r="41">
      <c r="A41" s="631"/>
      <c r="B41" s="631"/>
      <c r="C41" s="631"/>
      <c r="D41" s="631"/>
      <c r="E41" s="441"/>
      <c r="F41" s="631"/>
      <c r="G41" s="631"/>
      <c r="H41" s="631"/>
      <c r="I41" s="631"/>
      <c r="J41" s="631"/>
      <c r="K41" s="631"/>
      <c r="L41" s="631"/>
      <c r="M41" s="631"/>
      <c r="N41" s="631"/>
      <c r="O41" s="631"/>
      <c r="P41" s="631"/>
      <c r="Q41" s="631"/>
      <c r="R41" s="631"/>
      <c r="S41" s="631"/>
      <c r="T41" s="631"/>
      <c r="U41" s="631"/>
      <c r="V41" s="631"/>
      <c r="W41" s="631"/>
      <c r="X41" s="631"/>
      <c r="Y41" s="631"/>
    </row>
    <row r="42">
      <c r="A42" s="631"/>
      <c r="B42" s="631"/>
      <c r="C42" s="631"/>
      <c r="D42" s="631"/>
      <c r="E42" s="441"/>
      <c r="F42" s="631"/>
      <c r="G42" s="631"/>
      <c r="H42" s="631"/>
      <c r="I42" s="631"/>
      <c r="J42" s="631"/>
      <c r="K42" s="631"/>
      <c r="L42" s="631"/>
      <c r="M42" s="631"/>
      <c r="N42" s="631"/>
      <c r="O42" s="631"/>
      <c r="P42" s="631"/>
      <c r="Q42" s="631"/>
      <c r="R42" s="631"/>
      <c r="S42" s="631"/>
      <c r="T42" s="631"/>
      <c r="U42" s="631"/>
      <c r="V42" s="631"/>
      <c r="W42" s="631"/>
      <c r="X42" s="631"/>
      <c r="Y42" s="631"/>
    </row>
    <row r="43">
      <c r="A43" s="631"/>
      <c r="B43" s="631"/>
      <c r="C43" s="631"/>
      <c r="D43" s="631"/>
      <c r="E43" s="441"/>
      <c r="F43" s="631"/>
      <c r="G43" s="631"/>
      <c r="H43" s="631"/>
      <c r="I43" s="631"/>
      <c r="J43" s="631"/>
      <c r="K43" s="631"/>
      <c r="L43" s="631"/>
      <c r="M43" s="631"/>
      <c r="N43" s="631"/>
      <c r="O43" s="631"/>
      <c r="P43" s="631"/>
      <c r="Q43" s="631"/>
      <c r="R43" s="631"/>
      <c r="S43" s="631"/>
      <c r="T43" s="631"/>
      <c r="U43" s="631"/>
      <c r="V43" s="631"/>
      <c r="W43" s="631"/>
      <c r="X43" s="631"/>
      <c r="Y43" s="631"/>
    </row>
    <row r="44">
      <c r="A44" s="631"/>
      <c r="B44" s="631"/>
      <c r="C44" s="631"/>
      <c r="D44" s="631"/>
      <c r="E44" s="441"/>
      <c r="F44" s="631"/>
      <c r="G44" s="631"/>
      <c r="H44" s="631"/>
      <c r="I44" s="631"/>
      <c r="J44" s="631"/>
      <c r="K44" s="631"/>
      <c r="L44" s="631"/>
      <c r="M44" s="631"/>
      <c r="N44" s="631"/>
      <c r="O44" s="631"/>
      <c r="P44" s="631"/>
      <c r="Q44" s="631"/>
      <c r="R44" s="631"/>
      <c r="S44" s="631"/>
      <c r="T44" s="631"/>
      <c r="U44" s="631"/>
      <c r="V44" s="631"/>
      <c r="W44" s="631"/>
      <c r="X44" s="631"/>
      <c r="Y44" s="631"/>
    </row>
    <row r="45">
      <c r="A45" s="631"/>
      <c r="B45" s="631"/>
      <c r="C45" s="631"/>
      <c r="D45" s="631"/>
      <c r="E45" s="441"/>
      <c r="F45" s="631"/>
      <c r="G45" s="631"/>
      <c r="H45" s="631"/>
      <c r="I45" s="631"/>
      <c r="J45" s="631"/>
      <c r="K45" s="631"/>
      <c r="L45" s="631"/>
      <c r="M45" s="631"/>
      <c r="N45" s="631"/>
      <c r="O45" s="631"/>
      <c r="P45" s="631"/>
      <c r="Q45" s="631"/>
      <c r="R45" s="631"/>
      <c r="S45" s="631"/>
      <c r="T45" s="631"/>
      <c r="U45" s="631"/>
      <c r="V45" s="631"/>
      <c r="W45" s="631"/>
      <c r="X45" s="631"/>
      <c r="Y45" s="631"/>
    </row>
    <row r="46">
      <c r="A46" s="631"/>
      <c r="B46" s="631"/>
      <c r="C46" s="631"/>
      <c r="D46" s="631"/>
      <c r="E46" s="441"/>
      <c r="F46" s="631"/>
      <c r="G46" s="631"/>
      <c r="H46" s="631"/>
      <c r="I46" s="631"/>
      <c r="J46" s="631"/>
      <c r="K46" s="631"/>
      <c r="L46" s="631"/>
      <c r="M46" s="631"/>
      <c r="N46" s="631"/>
      <c r="O46" s="631"/>
      <c r="P46" s="631"/>
      <c r="Q46" s="631"/>
      <c r="R46" s="631"/>
      <c r="S46" s="631"/>
      <c r="T46" s="631"/>
      <c r="U46" s="631"/>
      <c r="V46" s="631"/>
      <c r="W46" s="631"/>
      <c r="X46" s="631"/>
      <c r="Y46" s="631"/>
    </row>
    <row r="47">
      <c r="A47" s="631"/>
      <c r="B47" s="631"/>
      <c r="C47" s="631"/>
      <c r="D47" s="631"/>
      <c r="E47" s="441"/>
      <c r="F47" s="631"/>
      <c r="G47" s="631"/>
      <c r="H47" s="631"/>
      <c r="I47" s="631"/>
      <c r="J47" s="631"/>
      <c r="K47" s="631"/>
      <c r="L47" s="631"/>
      <c r="M47" s="631"/>
      <c r="N47" s="631"/>
      <c r="O47" s="631"/>
      <c r="P47" s="631"/>
      <c r="Q47" s="631"/>
      <c r="R47" s="631"/>
      <c r="S47" s="631"/>
      <c r="T47" s="631"/>
      <c r="U47" s="631"/>
      <c r="V47" s="631"/>
      <c r="W47" s="631"/>
      <c r="X47" s="631"/>
      <c r="Y47" s="631"/>
    </row>
    <row r="48">
      <c r="A48" s="631"/>
      <c r="B48" s="631"/>
      <c r="C48" s="631"/>
      <c r="D48" s="631"/>
      <c r="E48" s="441"/>
      <c r="F48" s="631"/>
      <c r="G48" s="631"/>
      <c r="H48" s="631"/>
      <c r="I48" s="631"/>
      <c r="J48" s="631"/>
      <c r="K48" s="631"/>
      <c r="L48" s="631"/>
      <c r="M48" s="631"/>
      <c r="N48" s="631"/>
      <c r="O48" s="631"/>
      <c r="P48" s="631"/>
      <c r="Q48" s="631"/>
      <c r="R48" s="631"/>
      <c r="S48" s="631"/>
      <c r="T48" s="631"/>
      <c r="U48" s="631"/>
      <c r="V48" s="631"/>
      <c r="W48" s="631"/>
      <c r="X48" s="631"/>
      <c r="Y48" s="631"/>
    </row>
    <row r="49">
      <c r="A49" s="631"/>
      <c r="B49" s="631"/>
      <c r="C49" s="631"/>
      <c r="D49" s="631"/>
      <c r="E49" s="441"/>
      <c r="F49" s="631"/>
      <c r="G49" s="631"/>
      <c r="H49" s="631"/>
      <c r="I49" s="631"/>
      <c r="J49" s="631"/>
      <c r="K49" s="631"/>
      <c r="L49" s="631"/>
      <c r="M49" s="631"/>
      <c r="N49" s="631"/>
      <c r="O49" s="631"/>
      <c r="P49" s="631"/>
      <c r="Q49" s="631"/>
      <c r="R49" s="631"/>
      <c r="S49" s="631"/>
      <c r="T49" s="631"/>
      <c r="U49" s="631"/>
      <c r="V49" s="631"/>
      <c r="W49" s="631"/>
      <c r="X49" s="631"/>
      <c r="Y49" s="631"/>
    </row>
    <row r="50">
      <c r="A50" s="631"/>
      <c r="B50" s="631"/>
      <c r="C50" s="631"/>
      <c r="D50" s="631"/>
      <c r="E50" s="441"/>
      <c r="F50" s="631"/>
      <c r="G50" s="631"/>
      <c r="H50" s="631"/>
      <c r="I50" s="631"/>
      <c r="J50" s="631"/>
      <c r="K50" s="631"/>
      <c r="L50" s="631"/>
      <c r="M50" s="631"/>
      <c r="N50" s="631"/>
      <c r="O50" s="631"/>
      <c r="P50" s="631"/>
      <c r="Q50" s="631"/>
      <c r="R50" s="631"/>
      <c r="S50" s="631"/>
      <c r="T50" s="631"/>
      <c r="U50" s="631"/>
      <c r="V50" s="631"/>
      <c r="W50" s="631"/>
      <c r="X50" s="631"/>
      <c r="Y50" s="631"/>
    </row>
    <row r="51">
      <c r="A51" s="631"/>
      <c r="B51" s="631"/>
      <c r="C51" s="631"/>
      <c r="D51" s="631"/>
      <c r="E51" s="441"/>
      <c r="F51" s="631"/>
      <c r="G51" s="631"/>
      <c r="H51" s="631"/>
      <c r="I51" s="631"/>
      <c r="J51" s="631"/>
      <c r="K51" s="631"/>
      <c r="L51" s="631"/>
      <c r="M51" s="631"/>
      <c r="N51" s="631"/>
      <c r="O51" s="631"/>
      <c r="P51" s="631"/>
      <c r="Q51" s="631"/>
      <c r="R51" s="631"/>
      <c r="S51" s="631"/>
      <c r="T51" s="631"/>
      <c r="U51" s="631"/>
      <c r="V51" s="631"/>
      <c r="W51" s="631"/>
      <c r="X51" s="631"/>
      <c r="Y51" s="631"/>
    </row>
    <row r="52">
      <c r="A52" s="631"/>
      <c r="B52" s="631"/>
      <c r="C52" s="631"/>
      <c r="D52" s="631"/>
      <c r="E52" s="441"/>
      <c r="F52" s="631"/>
      <c r="G52" s="631"/>
      <c r="H52" s="631"/>
      <c r="I52" s="631"/>
      <c r="J52" s="631"/>
      <c r="K52" s="631"/>
      <c r="L52" s="631"/>
      <c r="M52" s="631"/>
      <c r="N52" s="631"/>
      <c r="O52" s="631"/>
      <c r="P52" s="631"/>
      <c r="Q52" s="631"/>
      <c r="R52" s="631"/>
      <c r="S52" s="631"/>
      <c r="T52" s="631"/>
      <c r="U52" s="631"/>
      <c r="V52" s="631"/>
      <c r="W52" s="631"/>
      <c r="X52" s="631"/>
      <c r="Y52" s="631"/>
    </row>
    <row r="53">
      <c r="A53" s="631"/>
      <c r="B53" s="631"/>
      <c r="C53" s="631"/>
      <c r="D53" s="631"/>
      <c r="E53" s="441"/>
      <c r="F53" s="631"/>
      <c r="G53" s="631"/>
      <c r="H53" s="631"/>
      <c r="I53" s="631"/>
      <c r="J53" s="631"/>
      <c r="K53" s="631"/>
      <c r="L53" s="631"/>
      <c r="M53" s="631"/>
      <c r="N53" s="631"/>
      <c r="O53" s="631"/>
      <c r="P53" s="631"/>
      <c r="Q53" s="631"/>
      <c r="R53" s="631"/>
      <c r="S53" s="631"/>
      <c r="T53" s="631"/>
      <c r="U53" s="631"/>
      <c r="V53" s="631"/>
      <c r="W53" s="631"/>
      <c r="X53" s="631"/>
      <c r="Y53" s="631"/>
    </row>
    <row r="54">
      <c r="A54" s="631"/>
      <c r="B54" s="631"/>
      <c r="C54" s="631"/>
      <c r="D54" s="631"/>
      <c r="E54" s="441"/>
      <c r="F54" s="631"/>
      <c r="G54" s="631"/>
      <c r="H54" s="631"/>
      <c r="I54" s="631"/>
      <c r="J54" s="631"/>
      <c r="K54" s="631"/>
      <c r="L54" s="631"/>
      <c r="M54" s="631"/>
      <c r="N54" s="631"/>
      <c r="O54" s="631"/>
      <c r="P54" s="631"/>
      <c r="Q54" s="631"/>
      <c r="R54" s="631"/>
      <c r="S54" s="631"/>
      <c r="T54" s="631"/>
      <c r="U54" s="631"/>
      <c r="V54" s="631"/>
      <c r="W54" s="631"/>
      <c r="X54" s="631"/>
      <c r="Y54" s="631"/>
    </row>
    <row r="55">
      <c r="A55" s="631"/>
      <c r="B55" s="631"/>
      <c r="C55" s="631"/>
      <c r="D55" s="631"/>
      <c r="E55" s="441"/>
      <c r="F55" s="631"/>
      <c r="G55" s="631"/>
      <c r="H55" s="631"/>
      <c r="I55" s="631"/>
      <c r="J55" s="631"/>
      <c r="K55" s="631"/>
      <c r="L55" s="631"/>
      <c r="M55" s="631"/>
      <c r="N55" s="631"/>
      <c r="O55" s="631"/>
      <c r="P55" s="631"/>
      <c r="Q55" s="631"/>
      <c r="R55" s="631"/>
      <c r="S55" s="631"/>
      <c r="T55" s="631"/>
      <c r="U55" s="631"/>
      <c r="V55" s="631"/>
      <c r="W55" s="631"/>
      <c r="X55" s="631"/>
      <c r="Y55" s="631"/>
    </row>
    <row r="56">
      <c r="A56" s="631"/>
      <c r="B56" s="631"/>
      <c r="C56" s="631"/>
      <c r="D56" s="631"/>
      <c r="E56" s="441"/>
      <c r="F56" s="631"/>
      <c r="G56" s="631"/>
      <c r="H56" s="631"/>
      <c r="I56" s="631"/>
      <c r="J56" s="631"/>
      <c r="K56" s="631"/>
      <c r="L56" s="631"/>
      <c r="M56" s="631"/>
      <c r="N56" s="631"/>
      <c r="O56" s="631"/>
      <c r="P56" s="631"/>
      <c r="Q56" s="631"/>
      <c r="R56" s="631"/>
      <c r="S56" s="631"/>
      <c r="T56" s="631"/>
      <c r="U56" s="631"/>
      <c r="V56" s="631"/>
      <c r="W56" s="631"/>
      <c r="X56" s="631"/>
      <c r="Y56" s="631"/>
    </row>
    <row r="57">
      <c r="A57" s="631"/>
      <c r="B57" s="631"/>
      <c r="C57" s="631"/>
      <c r="D57" s="631"/>
      <c r="E57" s="441"/>
      <c r="F57" s="631"/>
      <c r="G57" s="631"/>
      <c r="H57" s="631"/>
      <c r="I57" s="631"/>
      <c r="J57" s="631"/>
      <c r="K57" s="631"/>
      <c r="L57" s="631"/>
      <c r="M57" s="631"/>
      <c r="N57" s="631"/>
      <c r="O57" s="631"/>
      <c r="P57" s="631"/>
      <c r="Q57" s="631"/>
      <c r="R57" s="631"/>
      <c r="S57" s="631"/>
      <c r="T57" s="631"/>
      <c r="U57" s="631"/>
      <c r="V57" s="631"/>
      <c r="W57" s="631"/>
      <c r="X57" s="631"/>
      <c r="Y57" s="631"/>
    </row>
    <row r="58">
      <c r="A58" s="631"/>
      <c r="B58" s="631"/>
      <c r="C58" s="631"/>
      <c r="D58" s="631"/>
      <c r="E58" s="441"/>
      <c r="F58" s="631"/>
      <c r="G58" s="631"/>
      <c r="H58" s="631"/>
      <c r="I58" s="631"/>
      <c r="J58" s="631"/>
      <c r="K58" s="631"/>
      <c r="L58" s="631"/>
      <c r="M58" s="631"/>
      <c r="N58" s="631"/>
      <c r="O58" s="631"/>
      <c r="P58" s="631"/>
      <c r="Q58" s="631"/>
      <c r="R58" s="631"/>
      <c r="S58" s="631"/>
      <c r="T58" s="631"/>
      <c r="U58" s="631"/>
      <c r="V58" s="631"/>
      <c r="W58" s="631"/>
      <c r="X58" s="631"/>
      <c r="Y58" s="631"/>
    </row>
    <row r="59">
      <c r="A59" s="631"/>
      <c r="B59" s="631"/>
      <c r="C59" s="631"/>
      <c r="D59" s="631"/>
      <c r="E59" s="441"/>
      <c r="F59" s="631"/>
      <c r="G59" s="631"/>
      <c r="H59" s="631"/>
      <c r="I59" s="631"/>
      <c r="J59" s="631"/>
      <c r="K59" s="631"/>
      <c r="L59" s="631"/>
      <c r="M59" s="631"/>
      <c r="N59" s="631"/>
      <c r="O59" s="631"/>
      <c r="P59" s="631"/>
      <c r="Q59" s="631"/>
      <c r="R59" s="631"/>
      <c r="S59" s="631"/>
      <c r="T59" s="631"/>
      <c r="U59" s="631"/>
      <c r="V59" s="631"/>
      <c r="W59" s="631"/>
      <c r="X59" s="631"/>
      <c r="Y59" s="631"/>
    </row>
    <row r="60">
      <c r="A60" s="631"/>
      <c r="B60" s="631"/>
      <c r="C60" s="631"/>
      <c r="D60" s="631"/>
      <c r="E60" s="441"/>
      <c r="F60" s="631"/>
      <c r="G60" s="631"/>
      <c r="H60" s="631"/>
      <c r="I60" s="631"/>
      <c r="J60" s="631"/>
      <c r="K60" s="631"/>
      <c r="L60" s="631"/>
      <c r="M60" s="631"/>
      <c r="N60" s="631"/>
      <c r="O60" s="631"/>
      <c r="P60" s="631"/>
      <c r="Q60" s="631"/>
      <c r="R60" s="631"/>
      <c r="S60" s="631"/>
      <c r="T60" s="631"/>
      <c r="U60" s="631"/>
      <c r="V60" s="631"/>
      <c r="W60" s="631"/>
      <c r="X60" s="631"/>
      <c r="Y60" s="631"/>
    </row>
    <row r="61">
      <c r="A61" s="631"/>
      <c r="B61" s="631"/>
      <c r="C61" s="631"/>
      <c r="D61" s="631"/>
      <c r="E61" s="441"/>
      <c r="F61" s="631"/>
      <c r="G61" s="631"/>
      <c r="H61" s="631"/>
      <c r="I61" s="631"/>
      <c r="J61" s="631"/>
      <c r="K61" s="631"/>
      <c r="L61" s="631"/>
      <c r="M61" s="631"/>
      <c r="N61" s="631"/>
      <c r="O61" s="631"/>
      <c r="P61" s="631"/>
      <c r="Q61" s="631"/>
      <c r="R61" s="631"/>
      <c r="S61" s="631"/>
      <c r="T61" s="631"/>
      <c r="U61" s="631"/>
      <c r="V61" s="631"/>
      <c r="W61" s="631"/>
      <c r="X61" s="631"/>
      <c r="Y61" s="631"/>
    </row>
    <row r="62">
      <c r="A62" s="631"/>
      <c r="B62" s="631"/>
      <c r="C62" s="631"/>
      <c r="D62" s="631"/>
      <c r="E62" s="441"/>
      <c r="F62" s="631"/>
      <c r="G62" s="631"/>
      <c r="H62" s="631"/>
      <c r="I62" s="631"/>
      <c r="J62" s="631"/>
      <c r="K62" s="631"/>
      <c r="L62" s="631"/>
      <c r="M62" s="631"/>
      <c r="N62" s="631"/>
      <c r="O62" s="631"/>
      <c r="P62" s="631"/>
      <c r="Q62" s="631"/>
      <c r="R62" s="631"/>
      <c r="S62" s="631"/>
      <c r="T62" s="631"/>
      <c r="U62" s="631"/>
      <c r="V62" s="631"/>
      <c r="W62" s="631"/>
      <c r="X62" s="631"/>
      <c r="Y62" s="631"/>
    </row>
    <row r="63">
      <c r="A63" s="631"/>
      <c r="B63" s="631"/>
      <c r="C63" s="631"/>
      <c r="D63" s="631"/>
      <c r="E63" s="441"/>
      <c r="F63" s="631"/>
      <c r="G63" s="631"/>
      <c r="H63" s="631"/>
      <c r="I63" s="631"/>
      <c r="J63" s="631"/>
      <c r="K63" s="631"/>
      <c r="L63" s="631"/>
      <c r="M63" s="631"/>
      <c r="N63" s="631"/>
      <c r="O63" s="631"/>
      <c r="P63" s="631"/>
      <c r="Q63" s="631"/>
      <c r="R63" s="631"/>
      <c r="S63" s="631"/>
      <c r="T63" s="631"/>
      <c r="U63" s="631"/>
      <c r="V63" s="631"/>
      <c r="W63" s="631"/>
      <c r="X63" s="631"/>
      <c r="Y63" s="631"/>
    </row>
    <row r="64">
      <c r="A64" s="631"/>
      <c r="B64" s="631"/>
      <c r="C64" s="631"/>
      <c r="D64" s="631"/>
      <c r="E64" s="441"/>
      <c r="F64" s="631"/>
      <c r="G64" s="631"/>
      <c r="H64" s="631"/>
      <c r="I64" s="631"/>
      <c r="J64" s="631"/>
      <c r="K64" s="631"/>
      <c r="L64" s="631"/>
      <c r="M64" s="631"/>
      <c r="N64" s="631"/>
      <c r="O64" s="631"/>
      <c r="P64" s="631"/>
      <c r="Q64" s="631"/>
      <c r="R64" s="631"/>
      <c r="S64" s="631"/>
      <c r="T64" s="631"/>
      <c r="U64" s="631"/>
      <c r="V64" s="631"/>
      <c r="W64" s="631"/>
      <c r="X64" s="631"/>
      <c r="Y64" s="631"/>
    </row>
    <row r="65">
      <c r="A65" s="631"/>
      <c r="B65" s="631"/>
      <c r="C65" s="631"/>
      <c r="D65" s="631"/>
      <c r="E65" s="441"/>
      <c r="F65" s="631"/>
      <c r="G65" s="631"/>
      <c r="H65" s="631"/>
      <c r="I65" s="631"/>
      <c r="J65" s="631"/>
      <c r="K65" s="631"/>
      <c r="L65" s="631"/>
      <c r="M65" s="631"/>
      <c r="N65" s="631"/>
      <c r="O65" s="631"/>
      <c r="P65" s="631"/>
      <c r="Q65" s="631"/>
      <c r="R65" s="631"/>
      <c r="S65" s="631"/>
      <c r="T65" s="631"/>
      <c r="U65" s="631"/>
      <c r="V65" s="631"/>
      <c r="W65" s="631"/>
      <c r="X65" s="631"/>
      <c r="Y65" s="631"/>
    </row>
    <row r="66">
      <c r="A66" s="631"/>
      <c r="B66" s="631"/>
      <c r="C66" s="631"/>
      <c r="D66" s="631"/>
      <c r="E66" s="441"/>
      <c r="F66" s="631"/>
      <c r="G66" s="631"/>
      <c r="H66" s="631"/>
      <c r="I66" s="631"/>
      <c r="J66" s="631"/>
      <c r="K66" s="631"/>
      <c r="L66" s="631"/>
      <c r="M66" s="631"/>
      <c r="N66" s="631"/>
      <c r="O66" s="631"/>
      <c r="P66" s="631"/>
      <c r="Q66" s="631"/>
      <c r="R66" s="631"/>
      <c r="S66" s="631"/>
      <c r="T66" s="631"/>
      <c r="U66" s="631"/>
      <c r="V66" s="631"/>
      <c r="W66" s="631"/>
      <c r="X66" s="631"/>
      <c r="Y66" s="631"/>
    </row>
    <row r="67">
      <c r="A67" s="631"/>
      <c r="B67" s="631"/>
      <c r="C67" s="631"/>
      <c r="D67" s="631"/>
      <c r="E67" s="441"/>
      <c r="F67" s="631"/>
      <c r="G67" s="631"/>
      <c r="H67" s="631"/>
      <c r="I67" s="631"/>
      <c r="J67" s="631"/>
      <c r="K67" s="631"/>
      <c r="L67" s="631"/>
      <c r="M67" s="631"/>
      <c r="N67" s="631"/>
      <c r="O67" s="631"/>
      <c r="P67" s="631"/>
      <c r="Q67" s="631"/>
      <c r="R67" s="631"/>
      <c r="S67" s="631"/>
      <c r="T67" s="631"/>
      <c r="U67" s="631"/>
      <c r="V67" s="631"/>
      <c r="W67" s="631"/>
      <c r="X67" s="631"/>
      <c r="Y67" s="631"/>
    </row>
    <row r="68">
      <c r="A68" s="631"/>
      <c r="B68" s="631"/>
      <c r="C68" s="631"/>
      <c r="D68" s="631"/>
      <c r="E68" s="441"/>
      <c r="F68" s="631"/>
      <c r="G68" s="631"/>
      <c r="H68" s="631"/>
      <c r="I68" s="631"/>
      <c r="J68" s="631"/>
      <c r="K68" s="631"/>
      <c r="L68" s="631"/>
      <c r="M68" s="631"/>
      <c r="N68" s="631"/>
      <c r="O68" s="631"/>
      <c r="P68" s="631"/>
      <c r="Q68" s="631"/>
      <c r="R68" s="631"/>
      <c r="S68" s="631"/>
      <c r="T68" s="631"/>
      <c r="U68" s="631"/>
      <c r="V68" s="631"/>
      <c r="W68" s="631"/>
      <c r="X68" s="631"/>
      <c r="Y68" s="631"/>
    </row>
    <row r="69">
      <c r="A69" s="631"/>
      <c r="B69" s="631"/>
      <c r="C69" s="631"/>
      <c r="D69" s="631"/>
      <c r="E69" s="441"/>
      <c r="F69" s="631"/>
      <c r="G69" s="631"/>
      <c r="H69" s="631"/>
      <c r="I69" s="631"/>
      <c r="J69" s="631"/>
      <c r="K69" s="631"/>
      <c r="L69" s="631"/>
      <c r="M69" s="631"/>
      <c r="N69" s="631"/>
      <c r="O69" s="631"/>
      <c r="P69" s="631"/>
      <c r="Q69" s="631"/>
      <c r="R69" s="631"/>
      <c r="S69" s="631"/>
      <c r="T69" s="631"/>
      <c r="U69" s="631"/>
      <c r="V69" s="631"/>
      <c r="W69" s="631"/>
      <c r="X69" s="631"/>
      <c r="Y69" s="631"/>
    </row>
    <row r="70">
      <c r="A70" s="631"/>
      <c r="B70" s="631"/>
      <c r="C70" s="631"/>
      <c r="D70" s="631"/>
      <c r="E70" s="441"/>
      <c r="F70" s="631"/>
      <c r="G70" s="631"/>
      <c r="H70" s="631"/>
      <c r="I70" s="631"/>
      <c r="J70" s="631"/>
      <c r="K70" s="631"/>
      <c r="L70" s="631"/>
      <c r="M70" s="631"/>
      <c r="N70" s="631"/>
      <c r="O70" s="631"/>
      <c r="P70" s="631"/>
      <c r="Q70" s="631"/>
      <c r="R70" s="631"/>
      <c r="S70" s="631"/>
      <c r="T70" s="631"/>
      <c r="U70" s="631"/>
      <c r="V70" s="631"/>
      <c r="W70" s="631"/>
      <c r="X70" s="631"/>
      <c r="Y70" s="631"/>
    </row>
    <row r="71">
      <c r="A71" s="631"/>
      <c r="B71" s="631"/>
      <c r="C71" s="631"/>
      <c r="D71" s="631"/>
      <c r="E71" s="441"/>
      <c r="F71" s="631"/>
      <c r="G71" s="631"/>
      <c r="H71" s="631"/>
      <c r="I71" s="631"/>
      <c r="J71" s="631"/>
      <c r="K71" s="631"/>
      <c r="L71" s="631"/>
      <c r="M71" s="631"/>
      <c r="N71" s="631"/>
      <c r="O71" s="631"/>
      <c r="P71" s="631"/>
      <c r="Q71" s="631"/>
      <c r="R71" s="631"/>
      <c r="S71" s="631"/>
      <c r="T71" s="631"/>
      <c r="U71" s="631"/>
      <c r="V71" s="631"/>
      <c r="W71" s="631"/>
      <c r="X71" s="631"/>
      <c r="Y71" s="631"/>
    </row>
    <row r="72">
      <c r="A72" s="631"/>
      <c r="B72" s="631"/>
      <c r="C72" s="631"/>
      <c r="D72" s="631"/>
      <c r="E72" s="441"/>
      <c r="F72" s="631"/>
      <c r="G72" s="631"/>
      <c r="H72" s="631"/>
      <c r="I72" s="631"/>
      <c r="J72" s="631"/>
      <c r="K72" s="631"/>
      <c r="L72" s="631"/>
      <c r="M72" s="631"/>
      <c r="N72" s="631"/>
      <c r="O72" s="631"/>
      <c r="P72" s="631"/>
      <c r="Q72" s="631"/>
      <c r="R72" s="631"/>
      <c r="S72" s="631"/>
      <c r="T72" s="631"/>
      <c r="U72" s="631"/>
      <c r="V72" s="631"/>
      <c r="W72" s="631"/>
      <c r="X72" s="631"/>
      <c r="Y72" s="631"/>
    </row>
    <row r="73">
      <c r="A73" s="631"/>
      <c r="B73" s="631"/>
      <c r="C73" s="631"/>
      <c r="D73" s="631"/>
      <c r="E73" s="441"/>
      <c r="F73" s="631"/>
      <c r="G73" s="631"/>
      <c r="H73" s="631"/>
      <c r="I73" s="631"/>
      <c r="J73" s="631"/>
      <c r="K73" s="631"/>
      <c r="L73" s="631"/>
      <c r="M73" s="631"/>
      <c r="N73" s="631"/>
      <c r="O73" s="631"/>
      <c r="P73" s="631"/>
      <c r="Q73" s="631"/>
      <c r="R73" s="631"/>
      <c r="S73" s="631"/>
      <c r="T73" s="631"/>
      <c r="U73" s="631"/>
      <c r="V73" s="631"/>
      <c r="W73" s="631"/>
      <c r="X73" s="631"/>
      <c r="Y73" s="631"/>
    </row>
    <row r="74">
      <c r="A74" s="631"/>
      <c r="B74" s="631"/>
      <c r="C74" s="631"/>
      <c r="D74" s="631"/>
      <c r="E74" s="441"/>
      <c r="F74" s="631"/>
      <c r="G74" s="631"/>
      <c r="H74" s="631"/>
      <c r="I74" s="631"/>
      <c r="J74" s="631"/>
      <c r="K74" s="631"/>
      <c r="L74" s="631"/>
      <c r="M74" s="631"/>
      <c r="N74" s="631"/>
      <c r="O74" s="631"/>
      <c r="P74" s="631"/>
      <c r="Q74" s="631"/>
      <c r="R74" s="631"/>
      <c r="S74" s="631"/>
      <c r="T74" s="631"/>
      <c r="U74" s="631"/>
      <c r="V74" s="631"/>
      <c r="W74" s="631"/>
      <c r="X74" s="631"/>
      <c r="Y74" s="631"/>
    </row>
    <row r="75">
      <c r="A75" s="631"/>
      <c r="B75" s="631"/>
      <c r="C75" s="631"/>
      <c r="D75" s="631"/>
      <c r="E75" s="441"/>
      <c r="F75" s="631"/>
      <c r="G75" s="631"/>
      <c r="H75" s="631"/>
      <c r="I75" s="631"/>
      <c r="J75" s="631"/>
      <c r="K75" s="631"/>
      <c r="L75" s="631"/>
      <c r="M75" s="631"/>
      <c r="N75" s="631"/>
      <c r="O75" s="631"/>
      <c r="P75" s="631"/>
      <c r="Q75" s="631"/>
      <c r="R75" s="631"/>
      <c r="S75" s="631"/>
      <c r="T75" s="631"/>
      <c r="U75" s="631"/>
      <c r="V75" s="631"/>
      <c r="W75" s="631"/>
      <c r="X75" s="631"/>
      <c r="Y75" s="631"/>
    </row>
    <row r="76">
      <c r="A76" s="631"/>
      <c r="B76" s="631"/>
      <c r="C76" s="631"/>
      <c r="D76" s="631"/>
      <c r="E76" s="441"/>
      <c r="F76" s="631"/>
      <c r="G76" s="631"/>
      <c r="H76" s="631"/>
      <c r="I76" s="631"/>
      <c r="J76" s="631"/>
      <c r="K76" s="631"/>
      <c r="L76" s="631"/>
      <c r="M76" s="631"/>
      <c r="N76" s="631"/>
      <c r="O76" s="631"/>
      <c r="P76" s="631"/>
      <c r="Q76" s="631"/>
      <c r="R76" s="631"/>
      <c r="S76" s="631"/>
      <c r="T76" s="631"/>
      <c r="U76" s="631"/>
      <c r="V76" s="631"/>
      <c r="W76" s="631"/>
      <c r="X76" s="631"/>
      <c r="Y76" s="631"/>
    </row>
    <row r="77">
      <c r="A77" s="631"/>
      <c r="B77" s="631"/>
      <c r="C77" s="631"/>
      <c r="D77" s="631"/>
      <c r="E77" s="441"/>
      <c r="F77" s="631"/>
      <c r="G77" s="631"/>
      <c r="H77" s="631"/>
      <c r="I77" s="631"/>
      <c r="J77" s="631"/>
      <c r="K77" s="631"/>
      <c r="L77" s="631"/>
      <c r="M77" s="631"/>
      <c r="N77" s="631"/>
      <c r="O77" s="631"/>
      <c r="P77" s="631"/>
      <c r="Q77" s="631"/>
      <c r="R77" s="631"/>
      <c r="S77" s="631"/>
      <c r="T77" s="631"/>
      <c r="U77" s="631"/>
      <c r="V77" s="631"/>
      <c r="W77" s="631"/>
      <c r="X77" s="631"/>
      <c r="Y77" s="631"/>
    </row>
    <row r="78">
      <c r="A78" s="631"/>
      <c r="B78" s="631"/>
      <c r="C78" s="631"/>
      <c r="D78" s="631"/>
      <c r="E78" s="441"/>
      <c r="F78" s="631"/>
      <c r="G78" s="631"/>
      <c r="H78" s="631"/>
      <c r="I78" s="631"/>
      <c r="J78" s="631"/>
      <c r="K78" s="631"/>
      <c r="L78" s="631"/>
      <c r="M78" s="631"/>
      <c r="N78" s="631"/>
      <c r="O78" s="631"/>
      <c r="P78" s="631"/>
      <c r="Q78" s="631"/>
      <c r="R78" s="631"/>
      <c r="S78" s="631"/>
      <c r="T78" s="631"/>
      <c r="U78" s="631"/>
      <c r="V78" s="631"/>
      <c r="W78" s="631"/>
      <c r="X78" s="631"/>
      <c r="Y78" s="631"/>
    </row>
    <row r="79">
      <c r="A79" s="631"/>
      <c r="B79" s="631"/>
      <c r="C79" s="631"/>
      <c r="D79" s="631"/>
      <c r="E79" s="441"/>
      <c r="F79" s="631"/>
      <c r="G79" s="631"/>
      <c r="H79" s="631"/>
      <c r="I79" s="631"/>
      <c r="J79" s="631"/>
      <c r="K79" s="631"/>
      <c r="L79" s="631"/>
      <c r="M79" s="631"/>
      <c r="N79" s="631"/>
      <c r="O79" s="631"/>
      <c r="P79" s="631"/>
      <c r="Q79" s="631"/>
      <c r="R79" s="631"/>
      <c r="S79" s="631"/>
      <c r="T79" s="631"/>
      <c r="U79" s="631"/>
      <c r="V79" s="631"/>
      <c r="W79" s="631"/>
      <c r="X79" s="631"/>
      <c r="Y79" s="631"/>
    </row>
    <row r="80">
      <c r="A80" s="631"/>
      <c r="B80" s="631"/>
      <c r="C80" s="631"/>
      <c r="D80" s="631"/>
      <c r="E80" s="441"/>
      <c r="F80" s="631"/>
      <c r="G80" s="631"/>
      <c r="H80" s="631"/>
      <c r="I80" s="631"/>
      <c r="J80" s="631"/>
      <c r="K80" s="631"/>
      <c r="L80" s="631"/>
      <c r="M80" s="631"/>
      <c r="N80" s="631"/>
      <c r="O80" s="631"/>
      <c r="P80" s="631"/>
      <c r="Q80" s="631"/>
      <c r="R80" s="631"/>
      <c r="S80" s="631"/>
      <c r="T80" s="631"/>
      <c r="U80" s="631"/>
      <c r="V80" s="631"/>
      <c r="W80" s="631"/>
      <c r="X80" s="631"/>
      <c r="Y80" s="631"/>
    </row>
    <row r="81">
      <c r="A81" s="631"/>
      <c r="B81" s="631"/>
      <c r="C81" s="631"/>
      <c r="D81" s="631"/>
      <c r="E81" s="441"/>
      <c r="F81" s="631"/>
      <c r="G81" s="631"/>
      <c r="H81" s="631"/>
      <c r="I81" s="631"/>
      <c r="J81" s="631"/>
      <c r="K81" s="631"/>
      <c r="L81" s="631"/>
      <c r="M81" s="631"/>
      <c r="N81" s="631"/>
      <c r="O81" s="631"/>
      <c r="P81" s="631"/>
      <c r="Q81" s="631"/>
      <c r="R81" s="631"/>
      <c r="S81" s="631"/>
      <c r="T81" s="631"/>
      <c r="U81" s="631"/>
      <c r="V81" s="631"/>
      <c r="W81" s="631"/>
      <c r="X81" s="631"/>
      <c r="Y81" s="631"/>
    </row>
    <row r="82">
      <c r="A82" s="631"/>
      <c r="B82" s="631"/>
      <c r="C82" s="631"/>
      <c r="D82" s="631"/>
      <c r="E82" s="441"/>
      <c r="F82" s="631"/>
      <c r="G82" s="631"/>
      <c r="H82" s="631"/>
      <c r="I82" s="631"/>
      <c r="J82" s="631"/>
      <c r="K82" s="631"/>
      <c r="L82" s="631"/>
      <c r="M82" s="631"/>
      <c r="N82" s="631"/>
      <c r="O82" s="631"/>
      <c r="P82" s="631"/>
      <c r="Q82" s="631"/>
      <c r="R82" s="631"/>
      <c r="S82" s="631"/>
      <c r="T82" s="631"/>
      <c r="U82" s="631"/>
      <c r="V82" s="631"/>
      <c r="W82" s="631"/>
      <c r="X82" s="631"/>
      <c r="Y82" s="631"/>
    </row>
    <row r="83">
      <c r="A83" s="631"/>
      <c r="B83" s="631"/>
      <c r="C83" s="631"/>
      <c r="D83" s="631"/>
      <c r="E83" s="441"/>
      <c r="F83" s="631"/>
      <c r="G83" s="631"/>
      <c r="H83" s="631"/>
      <c r="I83" s="631"/>
      <c r="J83" s="631"/>
      <c r="K83" s="631"/>
      <c r="L83" s="631"/>
      <c r="M83" s="631"/>
      <c r="N83" s="631"/>
      <c r="O83" s="631"/>
      <c r="P83" s="631"/>
      <c r="Q83" s="631"/>
      <c r="R83" s="631"/>
      <c r="S83" s="631"/>
      <c r="T83" s="631"/>
      <c r="U83" s="631"/>
      <c r="V83" s="631"/>
      <c r="W83" s="631"/>
      <c r="X83" s="631"/>
      <c r="Y83" s="631"/>
    </row>
    <row r="84">
      <c r="A84" s="631"/>
      <c r="B84" s="631"/>
      <c r="C84" s="631"/>
      <c r="D84" s="631"/>
      <c r="E84" s="441"/>
      <c r="F84" s="631"/>
      <c r="G84" s="631"/>
      <c r="H84" s="631"/>
      <c r="I84" s="631"/>
      <c r="J84" s="631"/>
      <c r="K84" s="631"/>
      <c r="L84" s="631"/>
      <c r="M84" s="631"/>
      <c r="N84" s="631"/>
      <c r="O84" s="631"/>
      <c r="P84" s="631"/>
      <c r="Q84" s="631"/>
      <c r="R84" s="631"/>
      <c r="S84" s="631"/>
      <c r="T84" s="631"/>
      <c r="U84" s="631"/>
      <c r="V84" s="631"/>
      <c r="W84" s="631"/>
      <c r="X84" s="631"/>
      <c r="Y84" s="631"/>
    </row>
    <row r="85">
      <c r="A85" s="631"/>
      <c r="B85" s="631"/>
      <c r="C85" s="631"/>
      <c r="D85" s="631"/>
      <c r="E85" s="441"/>
      <c r="F85" s="631"/>
      <c r="G85" s="631"/>
      <c r="H85" s="631"/>
      <c r="I85" s="631"/>
      <c r="J85" s="631"/>
      <c r="K85" s="631"/>
      <c r="L85" s="631"/>
      <c r="M85" s="631"/>
      <c r="N85" s="631"/>
      <c r="O85" s="631"/>
      <c r="P85" s="631"/>
      <c r="Q85" s="631"/>
      <c r="R85" s="631"/>
      <c r="S85" s="631"/>
      <c r="T85" s="631"/>
      <c r="U85" s="631"/>
      <c r="V85" s="631"/>
      <c r="W85" s="631"/>
      <c r="X85" s="631"/>
      <c r="Y85" s="631"/>
    </row>
    <row r="86">
      <c r="A86" s="631"/>
      <c r="B86" s="631"/>
      <c r="C86" s="631"/>
      <c r="D86" s="631"/>
      <c r="E86" s="441"/>
      <c r="F86" s="631"/>
      <c r="G86" s="631"/>
      <c r="H86" s="631"/>
      <c r="I86" s="631"/>
      <c r="J86" s="631"/>
      <c r="K86" s="631"/>
      <c r="L86" s="631"/>
      <c r="M86" s="631"/>
      <c r="N86" s="631"/>
      <c r="O86" s="631"/>
      <c r="P86" s="631"/>
      <c r="Q86" s="631"/>
      <c r="R86" s="631"/>
      <c r="S86" s="631"/>
      <c r="T86" s="631"/>
      <c r="U86" s="631"/>
      <c r="V86" s="631"/>
      <c r="W86" s="631"/>
      <c r="X86" s="631"/>
      <c r="Y86" s="631"/>
    </row>
    <row r="87">
      <c r="A87" s="631"/>
      <c r="B87" s="631"/>
      <c r="C87" s="631"/>
      <c r="D87" s="631"/>
      <c r="E87" s="441"/>
      <c r="F87" s="631"/>
      <c r="G87" s="631"/>
      <c r="H87" s="631"/>
      <c r="I87" s="631"/>
      <c r="J87" s="631"/>
      <c r="K87" s="631"/>
      <c r="L87" s="631"/>
      <c r="M87" s="631"/>
      <c r="N87" s="631"/>
      <c r="O87" s="631"/>
      <c r="P87" s="631"/>
      <c r="Q87" s="631"/>
      <c r="R87" s="631"/>
      <c r="S87" s="631"/>
      <c r="T87" s="631"/>
      <c r="U87" s="631"/>
      <c r="V87" s="631"/>
      <c r="W87" s="631"/>
      <c r="X87" s="631"/>
      <c r="Y87" s="631"/>
    </row>
    <row r="88">
      <c r="A88" s="631"/>
      <c r="B88" s="631"/>
      <c r="C88" s="631"/>
      <c r="D88" s="631"/>
      <c r="E88" s="441"/>
      <c r="F88" s="631"/>
      <c r="G88" s="631"/>
      <c r="H88" s="631"/>
      <c r="I88" s="631"/>
      <c r="J88" s="631"/>
      <c r="K88" s="631"/>
      <c r="L88" s="631"/>
      <c r="M88" s="631"/>
      <c r="N88" s="631"/>
      <c r="O88" s="631"/>
      <c r="P88" s="631"/>
      <c r="Q88" s="631"/>
      <c r="R88" s="631"/>
      <c r="S88" s="631"/>
      <c r="T88" s="631"/>
      <c r="U88" s="631"/>
      <c r="V88" s="631"/>
      <c r="W88" s="631"/>
      <c r="X88" s="631"/>
      <c r="Y88" s="631"/>
    </row>
    <row r="89">
      <c r="A89" s="631"/>
      <c r="B89" s="631"/>
      <c r="C89" s="631"/>
      <c r="D89" s="631"/>
      <c r="E89" s="441"/>
      <c r="F89" s="631"/>
      <c r="G89" s="631"/>
      <c r="H89" s="631"/>
      <c r="I89" s="631"/>
      <c r="J89" s="631"/>
      <c r="K89" s="631"/>
      <c r="L89" s="631"/>
      <c r="M89" s="631"/>
      <c r="N89" s="631"/>
      <c r="O89" s="631"/>
      <c r="P89" s="631"/>
      <c r="Q89" s="631"/>
      <c r="R89" s="631"/>
      <c r="S89" s="631"/>
      <c r="T89" s="631"/>
      <c r="U89" s="631"/>
      <c r="V89" s="631"/>
      <c r="W89" s="631"/>
      <c r="X89" s="631"/>
      <c r="Y89" s="631"/>
    </row>
    <row r="90">
      <c r="A90" s="631"/>
      <c r="B90" s="631"/>
      <c r="C90" s="631"/>
      <c r="D90" s="631"/>
      <c r="E90" s="441"/>
      <c r="F90" s="631"/>
      <c r="G90" s="631"/>
      <c r="H90" s="631"/>
      <c r="I90" s="631"/>
      <c r="J90" s="631"/>
      <c r="K90" s="631"/>
      <c r="L90" s="631"/>
      <c r="M90" s="631"/>
      <c r="N90" s="631"/>
      <c r="O90" s="631"/>
      <c r="P90" s="631"/>
      <c r="Q90" s="631"/>
      <c r="R90" s="631"/>
      <c r="S90" s="631"/>
      <c r="T90" s="631"/>
      <c r="U90" s="631"/>
      <c r="V90" s="631"/>
      <c r="W90" s="631"/>
      <c r="X90" s="631"/>
      <c r="Y90" s="631"/>
    </row>
    <row r="91">
      <c r="A91" s="631"/>
      <c r="B91" s="631"/>
      <c r="C91" s="631"/>
      <c r="D91" s="631"/>
      <c r="E91" s="441"/>
      <c r="F91" s="631"/>
      <c r="G91" s="631"/>
      <c r="H91" s="631"/>
      <c r="I91" s="631"/>
      <c r="J91" s="631"/>
      <c r="K91" s="631"/>
      <c r="L91" s="631"/>
      <c r="M91" s="631"/>
      <c r="N91" s="631"/>
      <c r="O91" s="631"/>
      <c r="P91" s="631"/>
      <c r="Q91" s="631"/>
      <c r="R91" s="631"/>
      <c r="S91" s="631"/>
      <c r="T91" s="631"/>
      <c r="U91" s="631"/>
      <c r="V91" s="631"/>
      <c r="W91" s="631"/>
      <c r="X91" s="631"/>
      <c r="Y91" s="631"/>
    </row>
    <row r="92">
      <c r="A92" s="631"/>
      <c r="B92" s="631"/>
      <c r="C92" s="631"/>
      <c r="D92" s="631"/>
      <c r="E92" s="441"/>
      <c r="F92" s="631"/>
      <c r="G92" s="631"/>
      <c r="H92" s="631"/>
      <c r="I92" s="631"/>
      <c r="J92" s="631"/>
      <c r="K92" s="631"/>
      <c r="L92" s="631"/>
      <c r="M92" s="631"/>
      <c r="N92" s="631"/>
      <c r="O92" s="631"/>
      <c r="P92" s="631"/>
      <c r="Q92" s="631"/>
      <c r="R92" s="631"/>
      <c r="S92" s="631"/>
      <c r="T92" s="631"/>
      <c r="U92" s="631"/>
      <c r="V92" s="631"/>
      <c r="W92" s="631"/>
      <c r="X92" s="631"/>
      <c r="Y92" s="631"/>
    </row>
    <row r="93">
      <c r="A93" s="631"/>
      <c r="B93" s="631"/>
      <c r="C93" s="631"/>
      <c r="D93" s="631"/>
      <c r="E93" s="441"/>
      <c r="F93" s="631"/>
      <c r="G93" s="631"/>
      <c r="H93" s="631"/>
      <c r="I93" s="631"/>
      <c r="J93" s="631"/>
      <c r="K93" s="631"/>
      <c r="L93" s="631"/>
      <c r="M93" s="631"/>
      <c r="N93" s="631"/>
      <c r="O93" s="631"/>
      <c r="P93" s="631"/>
      <c r="Q93" s="631"/>
      <c r="R93" s="631"/>
      <c r="S93" s="631"/>
      <c r="T93" s="631"/>
      <c r="U93" s="631"/>
      <c r="V93" s="631"/>
      <c r="W93" s="631"/>
      <c r="X93" s="631"/>
      <c r="Y93" s="631"/>
    </row>
    <row r="94">
      <c r="A94" s="631"/>
      <c r="B94" s="631"/>
      <c r="C94" s="631"/>
      <c r="D94" s="631"/>
      <c r="E94" s="441"/>
      <c r="F94" s="631"/>
      <c r="G94" s="631"/>
      <c r="H94" s="631"/>
      <c r="I94" s="631"/>
      <c r="J94" s="631"/>
      <c r="K94" s="631"/>
      <c r="L94" s="631"/>
      <c r="M94" s="631"/>
      <c r="N94" s="631"/>
      <c r="O94" s="631"/>
      <c r="P94" s="631"/>
      <c r="Q94" s="631"/>
      <c r="R94" s="631"/>
      <c r="S94" s="631"/>
      <c r="T94" s="631"/>
      <c r="U94" s="631"/>
      <c r="V94" s="631"/>
      <c r="W94" s="631"/>
      <c r="X94" s="631"/>
      <c r="Y94" s="631"/>
    </row>
    <row r="95">
      <c r="A95" s="631"/>
      <c r="B95" s="631"/>
      <c r="C95" s="631"/>
      <c r="D95" s="631"/>
      <c r="E95" s="441"/>
      <c r="F95" s="631"/>
      <c r="G95" s="631"/>
      <c r="H95" s="631"/>
      <c r="I95" s="631"/>
      <c r="J95" s="631"/>
      <c r="K95" s="631"/>
      <c r="L95" s="631"/>
      <c r="M95" s="631"/>
      <c r="N95" s="631"/>
      <c r="O95" s="631"/>
      <c r="P95" s="631"/>
      <c r="Q95" s="631"/>
      <c r="R95" s="631"/>
      <c r="S95" s="631"/>
      <c r="T95" s="631"/>
      <c r="U95" s="631"/>
      <c r="V95" s="631"/>
      <c r="W95" s="631"/>
      <c r="X95" s="631"/>
      <c r="Y95" s="631"/>
    </row>
    <row r="96">
      <c r="A96" s="631"/>
      <c r="B96" s="631"/>
      <c r="C96" s="631"/>
      <c r="D96" s="631"/>
      <c r="E96" s="441"/>
      <c r="F96" s="631"/>
      <c r="G96" s="631"/>
      <c r="H96" s="631"/>
      <c r="I96" s="631"/>
      <c r="J96" s="631"/>
      <c r="K96" s="631"/>
      <c r="L96" s="631"/>
      <c r="M96" s="631"/>
      <c r="N96" s="631"/>
      <c r="O96" s="631"/>
      <c r="P96" s="631"/>
      <c r="Q96" s="631"/>
      <c r="R96" s="631"/>
      <c r="S96" s="631"/>
      <c r="T96" s="631"/>
      <c r="U96" s="631"/>
      <c r="V96" s="631"/>
      <c r="W96" s="631"/>
      <c r="X96" s="631"/>
      <c r="Y96" s="631"/>
    </row>
    <row r="97">
      <c r="A97" s="631"/>
      <c r="B97" s="631"/>
      <c r="C97" s="631"/>
      <c r="D97" s="631"/>
      <c r="E97" s="441"/>
      <c r="F97" s="631"/>
      <c r="G97" s="631"/>
      <c r="H97" s="631"/>
      <c r="I97" s="631"/>
      <c r="J97" s="631"/>
      <c r="K97" s="631"/>
      <c r="L97" s="631"/>
      <c r="M97" s="631"/>
      <c r="N97" s="631"/>
      <c r="O97" s="631"/>
      <c r="P97" s="631"/>
      <c r="Q97" s="631"/>
      <c r="R97" s="631"/>
      <c r="S97" s="631"/>
      <c r="T97" s="631"/>
      <c r="U97" s="631"/>
      <c r="V97" s="631"/>
      <c r="W97" s="631"/>
      <c r="X97" s="631"/>
      <c r="Y97" s="631"/>
    </row>
    <row r="98">
      <c r="A98" s="631"/>
      <c r="B98" s="631"/>
      <c r="C98" s="631"/>
      <c r="D98" s="631"/>
      <c r="E98" s="441"/>
      <c r="F98" s="631"/>
      <c r="G98" s="631"/>
      <c r="H98" s="631"/>
      <c r="I98" s="631"/>
      <c r="J98" s="631"/>
      <c r="K98" s="631"/>
      <c r="L98" s="631"/>
      <c r="M98" s="631"/>
      <c r="N98" s="631"/>
      <c r="O98" s="631"/>
      <c r="P98" s="631"/>
      <c r="Q98" s="631"/>
      <c r="R98" s="631"/>
      <c r="S98" s="631"/>
      <c r="T98" s="631"/>
      <c r="U98" s="631"/>
      <c r="V98" s="631"/>
      <c r="W98" s="631"/>
      <c r="X98" s="631"/>
      <c r="Y98" s="631"/>
    </row>
    <row r="99">
      <c r="A99" s="631"/>
      <c r="B99" s="631"/>
      <c r="C99" s="631"/>
      <c r="D99" s="631"/>
      <c r="E99" s="441"/>
      <c r="F99" s="631"/>
      <c r="G99" s="631"/>
      <c r="H99" s="631"/>
      <c r="I99" s="631"/>
      <c r="J99" s="631"/>
      <c r="K99" s="631"/>
      <c r="L99" s="631"/>
      <c r="M99" s="631"/>
      <c r="N99" s="631"/>
      <c r="O99" s="631"/>
      <c r="P99" s="631"/>
      <c r="Q99" s="631"/>
      <c r="R99" s="631"/>
      <c r="S99" s="631"/>
      <c r="T99" s="631"/>
      <c r="U99" s="631"/>
      <c r="V99" s="631"/>
      <c r="W99" s="631"/>
      <c r="X99" s="631"/>
      <c r="Y99" s="631"/>
    </row>
    <row r="100">
      <c r="A100" s="631"/>
      <c r="B100" s="631"/>
      <c r="C100" s="631"/>
      <c r="D100" s="631"/>
      <c r="E100" s="441"/>
      <c r="F100" s="631"/>
      <c r="G100" s="631"/>
      <c r="H100" s="631"/>
      <c r="I100" s="631"/>
      <c r="J100" s="631"/>
      <c r="K100" s="631"/>
      <c r="L100" s="631"/>
      <c r="M100" s="631"/>
      <c r="N100" s="631"/>
      <c r="O100" s="631"/>
      <c r="P100" s="631"/>
      <c r="Q100" s="631"/>
      <c r="R100" s="631"/>
      <c r="S100" s="631"/>
      <c r="T100" s="631"/>
      <c r="U100" s="631"/>
      <c r="V100" s="631"/>
      <c r="W100" s="631"/>
      <c r="X100" s="631"/>
      <c r="Y100" s="631"/>
    </row>
    <row r="101">
      <c r="A101" s="631"/>
      <c r="B101" s="631"/>
      <c r="C101" s="631"/>
      <c r="D101" s="631"/>
      <c r="E101" s="441"/>
      <c r="F101" s="631"/>
      <c r="G101" s="631"/>
      <c r="H101" s="631"/>
      <c r="I101" s="631"/>
      <c r="J101" s="631"/>
      <c r="K101" s="631"/>
      <c r="L101" s="631"/>
      <c r="M101" s="631"/>
      <c r="N101" s="631"/>
      <c r="O101" s="631"/>
      <c r="P101" s="631"/>
      <c r="Q101" s="631"/>
      <c r="R101" s="631"/>
      <c r="S101" s="631"/>
      <c r="T101" s="631"/>
      <c r="U101" s="631"/>
      <c r="V101" s="631"/>
      <c r="W101" s="631"/>
      <c r="X101" s="631"/>
      <c r="Y101" s="631"/>
    </row>
    <row r="102">
      <c r="A102" s="631"/>
      <c r="B102" s="631"/>
      <c r="C102" s="631"/>
      <c r="D102" s="631"/>
      <c r="E102" s="441"/>
      <c r="F102" s="631"/>
      <c r="G102" s="631"/>
      <c r="H102" s="631"/>
      <c r="I102" s="631"/>
      <c r="J102" s="631"/>
      <c r="K102" s="631"/>
      <c r="L102" s="631"/>
      <c r="M102" s="631"/>
      <c r="N102" s="631"/>
      <c r="O102" s="631"/>
      <c r="P102" s="631"/>
      <c r="Q102" s="631"/>
      <c r="R102" s="631"/>
      <c r="S102" s="631"/>
      <c r="T102" s="631"/>
      <c r="U102" s="631"/>
      <c r="V102" s="631"/>
      <c r="W102" s="631"/>
      <c r="X102" s="631"/>
      <c r="Y102" s="631"/>
    </row>
    <row r="103">
      <c r="A103" s="631"/>
      <c r="B103" s="631"/>
      <c r="C103" s="631"/>
      <c r="D103" s="631"/>
      <c r="E103" s="441"/>
      <c r="F103" s="631"/>
      <c r="G103" s="631"/>
      <c r="H103" s="631"/>
      <c r="I103" s="631"/>
      <c r="J103" s="631"/>
      <c r="K103" s="631"/>
      <c r="L103" s="631"/>
      <c r="M103" s="631"/>
      <c r="N103" s="631"/>
      <c r="O103" s="631"/>
      <c r="P103" s="631"/>
      <c r="Q103" s="631"/>
      <c r="R103" s="631"/>
      <c r="S103" s="631"/>
      <c r="T103" s="631"/>
      <c r="U103" s="631"/>
      <c r="V103" s="631"/>
      <c r="W103" s="631"/>
      <c r="X103" s="631"/>
      <c r="Y103" s="631"/>
    </row>
    <row r="104">
      <c r="A104" s="631"/>
      <c r="B104" s="631"/>
      <c r="C104" s="631"/>
      <c r="D104" s="631"/>
      <c r="E104" s="441"/>
      <c r="F104" s="631"/>
      <c r="G104" s="631"/>
      <c r="H104" s="631"/>
      <c r="I104" s="631"/>
      <c r="J104" s="631"/>
      <c r="K104" s="631"/>
      <c r="L104" s="631"/>
      <c r="M104" s="631"/>
      <c r="N104" s="631"/>
      <c r="O104" s="631"/>
      <c r="P104" s="631"/>
      <c r="Q104" s="631"/>
      <c r="R104" s="631"/>
      <c r="S104" s="631"/>
      <c r="T104" s="631"/>
      <c r="U104" s="631"/>
      <c r="V104" s="631"/>
      <c r="W104" s="631"/>
      <c r="X104" s="631"/>
      <c r="Y104" s="631"/>
    </row>
    <row r="105">
      <c r="A105" s="631"/>
      <c r="B105" s="631"/>
      <c r="C105" s="631"/>
      <c r="D105" s="631"/>
      <c r="E105" s="441"/>
      <c r="F105" s="631"/>
      <c r="G105" s="631"/>
      <c r="H105" s="631"/>
      <c r="I105" s="631"/>
      <c r="J105" s="631"/>
      <c r="K105" s="631"/>
      <c r="L105" s="631"/>
      <c r="M105" s="631"/>
      <c r="N105" s="631"/>
      <c r="O105" s="631"/>
      <c r="P105" s="631"/>
      <c r="Q105" s="631"/>
      <c r="R105" s="631"/>
      <c r="S105" s="631"/>
      <c r="T105" s="631"/>
      <c r="U105" s="631"/>
      <c r="V105" s="631"/>
      <c r="W105" s="631"/>
      <c r="X105" s="631"/>
      <c r="Y105" s="631"/>
    </row>
    <row r="106">
      <c r="A106" s="631"/>
      <c r="B106" s="631"/>
      <c r="C106" s="631"/>
      <c r="D106" s="631"/>
      <c r="E106" s="441"/>
      <c r="F106" s="631"/>
      <c r="G106" s="631"/>
      <c r="H106" s="631"/>
      <c r="I106" s="631"/>
      <c r="J106" s="631"/>
      <c r="K106" s="631"/>
      <c r="L106" s="631"/>
      <c r="M106" s="631"/>
      <c r="N106" s="631"/>
      <c r="O106" s="631"/>
      <c r="P106" s="631"/>
      <c r="Q106" s="631"/>
      <c r="R106" s="631"/>
      <c r="S106" s="631"/>
      <c r="T106" s="631"/>
      <c r="U106" s="631"/>
      <c r="V106" s="631"/>
      <c r="W106" s="631"/>
      <c r="X106" s="631"/>
      <c r="Y106" s="631"/>
    </row>
    <row r="107">
      <c r="A107" s="631"/>
      <c r="B107" s="631"/>
      <c r="C107" s="631"/>
      <c r="D107" s="631"/>
      <c r="E107" s="441"/>
      <c r="F107" s="631"/>
      <c r="G107" s="631"/>
      <c r="H107" s="631"/>
      <c r="I107" s="631"/>
      <c r="J107" s="631"/>
      <c r="K107" s="631"/>
      <c r="L107" s="631"/>
      <c r="M107" s="631"/>
      <c r="N107" s="631"/>
      <c r="O107" s="631"/>
      <c r="P107" s="631"/>
      <c r="Q107" s="631"/>
      <c r="R107" s="631"/>
      <c r="S107" s="631"/>
      <c r="T107" s="631"/>
      <c r="U107" s="631"/>
      <c r="V107" s="631"/>
      <c r="W107" s="631"/>
      <c r="X107" s="631"/>
      <c r="Y107" s="631"/>
    </row>
    <row r="108">
      <c r="A108" s="631"/>
      <c r="B108" s="631"/>
      <c r="C108" s="631"/>
      <c r="D108" s="631"/>
      <c r="E108" s="441"/>
      <c r="F108" s="631"/>
      <c r="G108" s="631"/>
      <c r="H108" s="631"/>
      <c r="I108" s="631"/>
      <c r="J108" s="631"/>
      <c r="K108" s="631"/>
      <c r="L108" s="631"/>
      <c r="M108" s="631"/>
      <c r="N108" s="631"/>
      <c r="O108" s="631"/>
      <c r="P108" s="631"/>
      <c r="Q108" s="631"/>
      <c r="R108" s="631"/>
      <c r="S108" s="631"/>
      <c r="T108" s="631"/>
      <c r="U108" s="631"/>
      <c r="V108" s="631"/>
      <c r="W108" s="631"/>
      <c r="X108" s="631"/>
      <c r="Y108" s="631"/>
    </row>
    <row r="109">
      <c r="A109" s="631"/>
      <c r="B109" s="631"/>
      <c r="C109" s="631"/>
      <c r="D109" s="631"/>
      <c r="E109" s="441"/>
      <c r="F109" s="631"/>
      <c r="G109" s="631"/>
      <c r="H109" s="631"/>
      <c r="I109" s="631"/>
      <c r="J109" s="631"/>
      <c r="K109" s="631"/>
      <c r="L109" s="631"/>
      <c r="M109" s="631"/>
      <c r="N109" s="631"/>
      <c r="O109" s="631"/>
      <c r="P109" s="631"/>
      <c r="Q109" s="631"/>
      <c r="R109" s="631"/>
      <c r="S109" s="631"/>
      <c r="T109" s="631"/>
      <c r="U109" s="631"/>
      <c r="V109" s="631"/>
      <c r="W109" s="631"/>
      <c r="X109" s="631"/>
      <c r="Y109" s="631"/>
    </row>
    <row r="110">
      <c r="A110" s="631"/>
      <c r="B110" s="631"/>
      <c r="C110" s="631"/>
      <c r="D110" s="631"/>
      <c r="E110" s="441"/>
      <c r="F110" s="631"/>
      <c r="G110" s="631"/>
      <c r="H110" s="631"/>
      <c r="I110" s="631"/>
      <c r="J110" s="631"/>
      <c r="K110" s="631"/>
      <c r="L110" s="631"/>
      <c r="M110" s="631"/>
      <c r="N110" s="631"/>
      <c r="O110" s="631"/>
      <c r="P110" s="631"/>
      <c r="Q110" s="631"/>
      <c r="R110" s="631"/>
      <c r="S110" s="631"/>
      <c r="T110" s="631"/>
      <c r="U110" s="631"/>
      <c r="V110" s="631"/>
      <c r="W110" s="631"/>
      <c r="X110" s="631"/>
      <c r="Y110" s="631"/>
    </row>
    <row r="111">
      <c r="A111" s="631"/>
      <c r="B111" s="631"/>
      <c r="C111" s="631"/>
      <c r="D111" s="631"/>
      <c r="E111" s="441"/>
      <c r="F111" s="631"/>
      <c r="G111" s="631"/>
      <c r="H111" s="631"/>
      <c r="I111" s="631"/>
      <c r="J111" s="631"/>
      <c r="K111" s="631"/>
      <c r="L111" s="631"/>
      <c r="M111" s="631"/>
      <c r="N111" s="631"/>
      <c r="O111" s="631"/>
      <c r="P111" s="631"/>
      <c r="Q111" s="631"/>
      <c r="R111" s="631"/>
      <c r="S111" s="631"/>
      <c r="T111" s="631"/>
      <c r="U111" s="631"/>
      <c r="V111" s="631"/>
      <c r="W111" s="631"/>
      <c r="X111" s="631"/>
      <c r="Y111" s="631"/>
    </row>
    <row r="112">
      <c r="A112" s="631"/>
      <c r="B112" s="631"/>
      <c r="C112" s="631"/>
      <c r="D112" s="631"/>
      <c r="E112" s="441"/>
      <c r="F112" s="631"/>
      <c r="G112" s="631"/>
      <c r="H112" s="631"/>
      <c r="I112" s="631"/>
      <c r="J112" s="631"/>
      <c r="K112" s="631"/>
      <c r="L112" s="631"/>
      <c r="M112" s="631"/>
      <c r="N112" s="631"/>
      <c r="O112" s="631"/>
      <c r="P112" s="631"/>
      <c r="Q112" s="631"/>
      <c r="R112" s="631"/>
      <c r="S112" s="631"/>
      <c r="T112" s="631"/>
      <c r="U112" s="631"/>
      <c r="V112" s="631"/>
      <c r="W112" s="631"/>
      <c r="X112" s="631"/>
      <c r="Y112" s="631"/>
    </row>
    <row r="113">
      <c r="A113" s="631"/>
      <c r="B113" s="631"/>
      <c r="C113" s="631"/>
      <c r="D113" s="631"/>
      <c r="E113" s="441"/>
      <c r="F113" s="631"/>
      <c r="G113" s="631"/>
      <c r="H113" s="631"/>
      <c r="I113" s="631"/>
      <c r="J113" s="631"/>
      <c r="K113" s="631"/>
      <c r="L113" s="631"/>
      <c r="M113" s="631"/>
      <c r="N113" s="631"/>
      <c r="O113" s="631"/>
      <c r="P113" s="631"/>
      <c r="Q113" s="631"/>
      <c r="R113" s="631"/>
      <c r="S113" s="631"/>
      <c r="T113" s="631"/>
      <c r="U113" s="631"/>
      <c r="V113" s="631"/>
      <c r="W113" s="631"/>
      <c r="X113" s="631"/>
      <c r="Y113" s="631"/>
    </row>
    <row r="114">
      <c r="A114" s="631"/>
      <c r="B114" s="631"/>
      <c r="C114" s="631"/>
      <c r="D114" s="631"/>
      <c r="E114" s="441"/>
      <c r="F114" s="631"/>
      <c r="G114" s="631"/>
      <c r="H114" s="631"/>
      <c r="I114" s="631"/>
      <c r="J114" s="631"/>
      <c r="K114" s="631"/>
      <c r="L114" s="631"/>
      <c r="M114" s="631"/>
      <c r="N114" s="631"/>
      <c r="O114" s="631"/>
      <c r="P114" s="631"/>
      <c r="Q114" s="631"/>
      <c r="R114" s="631"/>
      <c r="S114" s="631"/>
      <c r="T114" s="631"/>
      <c r="U114" s="631"/>
      <c r="V114" s="631"/>
      <c r="W114" s="631"/>
      <c r="X114" s="631"/>
      <c r="Y114" s="631"/>
    </row>
    <row r="115">
      <c r="A115" s="631"/>
      <c r="B115" s="631"/>
      <c r="C115" s="631"/>
      <c r="D115" s="631"/>
      <c r="E115" s="441"/>
      <c r="F115" s="631"/>
      <c r="G115" s="631"/>
      <c r="H115" s="631"/>
      <c r="I115" s="631"/>
      <c r="J115" s="631"/>
      <c r="K115" s="631"/>
      <c r="L115" s="631"/>
      <c r="M115" s="631"/>
      <c r="N115" s="631"/>
      <c r="O115" s="631"/>
      <c r="P115" s="631"/>
      <c r="Q115" s="631"/>
      <c r="R115" s="631"/>
      <c r="S115" s="631"/>
      <c r="T115" s="631"/>
      <c r="U115" s="631"/>
      <c r="V115" s="631"/>
      <c r="W115" s="631"/>
      <c r="X115" s="631"/>
      <c r="Y115" s="631"/>
    </row>
    <row r="116">
      <c r="A116" s="631"/>
      <c r="B116" s="631"/>
      <c r="C116" s="631"/>
      <c r="D116" s="631"/>
      <c r="E116" s="441"/>
      <c r="F116" s="631"/>
      <c r="G116" s="631"/>
      <c r="H116" s="631"/>
      <c r="I116" s="631"/>
      <c r="J116" s="631"/>
      <c r="K116" s="631"/>
      <c r="L116" s="631"/>
      <c r="M116" s="631"/>
      <c r="N116" s="631"/>
      <c r="O116" s="631"/>
      <c r="P116" s="631"/>
      <c r="Q116" s="631"/>
      <c r="R116" s="631"/>
      <c r="S116" s="631"/>
      <c r="T116" s="631"/>
      <c r="U116" s="631"/>
      <c r="V116" s="631"/>
      <c r="W116" s="631"/>
      <c r="X116" s="631"/>
      <c r="Y116" s="631"/>
    </row>
    <row r="117">
      <c r="A117" s="631"/>
      <c r="B117" s="631"/>
      <c r="C117" s="631"/>
      <c r="D117" s="631"/>
      <c r="E117" s="441"/>
      <c r="F117" s="631"/>
      <c r="G117" s="631"/>
      <c r="H117" s="631"/>
      <c r="I117" s="631"/>
      <c r="J117" s="631"/>
      <c r="K117" s="631"/>
      <c r="L117" s="631"/>
      <c r="M117" s="631"/>
      <c r="N117" s="631"/>
      <c r="O117" s="631"/>
      <c r="P117" s="631"/>
      <c r="Q117" s="631"/>
      <c r="R117" s="631"/>
      <c r="S117" s="631"/>
      <c r="T117" s="631"/>
      <c r="U117" s="631"/>
      <c r="V117" s="631"/>
      <c r="W117" s="631"/>
      <c r="X117" s="631"/>
      <c r="Y117" s="631"/>
    </row>
    <row r="118">
      <c r="A118" s="631"/>
      <c r="B118" s="631"/>
      <c r="C118" s="631"/>
      <c r="D118" s="631"/>
      <c r="E118" s="441"/>
      <c r="F118" s="631"/>
      <c r="G118" s="631"/>
      <c r="H118" s="631"/>
      <c r="I118" s="631"/>
      <c r="J118" s="631"/>
      <c r="K118" s="631"/>
      <c r="L118" s="631"/>
      <c r="M118" s="631"/>
      <c r="N118" s="631"/>
      <c r="O118" s="631"/>
      <c r="P118" s="631"/>
      <c r="Q118" s="631"/>
      <c r="R118" s="631"/>
      <c r="S118" s="631"/>
      <c r="T118" s="631"/>
      <c r="U118" s="631"/>
      <c r="V118" s="631"/>
      <c r="W118" s="631"/>
      <c r="X118" s="631"/>
      <c r="Y118" s="631"/>
    </row>
    <row r="119">
      <c r="A119" s="631"/>
      <c r="B119" s="631"/>
      <c r="C119" s="631"/>
      <c r="D119" s="631"/>
      <c r="E119" s="441"/>
      <c r="F119" s="631"/>
      <c r="G119" s="631"/>
      <c r="H119" s="631"/>
      <c r="I119" s="631"/>
      <c r="J119" s="631"/>
      <c r="K119" s="631"/>
      <c r="L119" s="631"/>
      <c r="M119" s="631"/>
      <c r="N119" s="631"/>
      <c r="O119" s="631"/>
      <c r="P119" s="631"/>
      <c r="Q119" s="631"/>
      <c r="R119" s="631"/>
      <c r="S119" s="631"/>
      <c r="T119" s="631"/>
      <c r="U119" s="631"/>
      <c r="V119" s="631"/>
      <c r="W119" s="631"/>
      <c r="X119" s="631"/>
      <c r="Y119" s="631"/>
    </row>
    <row r="120">
      <c r="A120" s="631"/>
      <c r="B120" s="631"/>
      <c r="C120" s="631"/>
      <c r="D120" s="631"/>
      <c r="E120" s="441"/>
      <c r="F120" s="631"/>
      <c r="G120" s="631"/>
      <c r="H120" s="631"/>
      <c r="I120" s="631"/>
      <c r="J120" s="631"/>
      <c r="K120" s="631"/>
      <c r="L120" s="631"/>
      <c r="M120" s="631"/>
      <c r="N120" s="631"/>
      <c r="O120" s="631"/>
      <c r="P120" s="631"/>
      <c r="Q120" s="631"/>
      <c r="R120" s="631"/>
      <c r="S120" s="631"/>
      <c r="T120" s="631"/>
      <c r="U120" s="631"/>
      <c r="V120" s="631"/>
      <c r="W120" s="631"/>
      <c r="X120" s="631"/>
      <c r="Y120" s="631"/>
    </row>
    <row r="121">
      <c r="A121" s="631"/>
      <c r="B121" s="631"/>
      <c r="C121" s="631"/>
      <c r="D121" s="631"/>
      <c r="E121" s="441"/>
      <c r="F121" s="631"/>
      <c r="G121" s="631"/>
      <c r="H121" s="631"/>
      <c r="I121" s="631"/>
      <c r="J121" s="631"/>
      <c r="K121" s="631"/>
      <c r="L121" s="631"/>
      <c r="M121" s="631"/>
      <c r="N121" s="631"/>
      <c r="O121" s="631"/>
      <c r="P121" s="631"/>
      <c r="Q121" s="631"/>
      <c r="R121" s="631"/>
      <c r="S121" s="631"/>
      <c r="T121" s="631"/>
      <c r="U121" s="631"/>
      <c r="V121" s="631"/>
      <c r="W121" s="631"/>
      <c r="X121" s="631"/>
      <c r="Y121" s="631"/>
    </row>
    <row r="122">
      <c r="A122" s="631"/>
      <c r="B122" s="631"/>
      <c r="C122" s="631"/>
      <c r="D122" s="631"/>
      <c r="E122" s="441"/>
      <c r="F122" s="631"/>
      <c r="G122" s="631"/>
      <c r="H122" s="631"/>
      <c r="I122" s="631"/>
      <c r="J122" s="631"/>
      <c r="K122" s="631"/>
      <c r="L122" s="631"/>
      <c r="M122" s="631"/>
      <c r="N122" s="631"/>
      <c r="O122" s="631"/>
      <c r="P122" s="631"/>
      <c r="Q122" s="631"/>
      <c r="R122" s="631"/>
      <c r="S122" s="631"/>
      <c r="T122" s="631"/>
      <c r="U122" s="631"/>
      <c r="V122" s="631"/>
      <c r="W122" s="631"/>
      <c r="X122" s="631"/>
      <c r="Y122" s="631"/>
    </row>
    <row r="123">
      <c r="A123" s="631"/>
      <c r="B123" s="631"/>
      <c r="C123" s="631"/>
      <c r="D123" s="631"/>
      <c r="E123" s="441"/>
      <c r="F123" s="631"/>
      <c r="G123" s="631"/>
      <c r="H123" s="631"/>
      <c r="I123" s="631"/>
      <c r="J123" s="631"/>
      <c r="K123" s="631"/>
      <c r="L123" s="631"/>
      <c r="M123" s="631"/>
      <c r="N123" s="631"/>
      <c r="O123" s="631"/>
      <c r="P123" s="631"/>
      <c r="Q123" s="631"/>
      <c r="R123" s="631"/>
      <c r="S123" s="631"/>
      <c r="T123" s="631"/>
      <c r="U123" s="631"/>
      <c r="V123" s="631"/>
      <c r="W123" s="631"/>
      <c r="X123" s="631"/>
      <c r="Y123" s="631"/>
    </row>
    <row r="124">
      <c r="A124" s="631"/>
      <c r="B124" s="631"/>
      <c r="C124" s="631"/>
      <c r="D124" s="631"/>
      <c r="E124" s="441"/>
      <c r="F124" s="631"/>
      <c r="G124" s="631"/>
      <c r="H124" s="631"/>
      <c r="I124" s="631"/>
      <c r="J124" s="631"/>
      <c r="K124" s="631"/>
      <c r="L124" s="631"/>
      <c r="M124" s="631"/>
      <c r="N124" s="631"/>
      <c r="O124" s="631"/>
      <c r="P124" s="631"/>
      <c r="Q124" s="631"/>
      <c r="R124" s="631"/>
      <c r="S124" s="631"/>
      <c r="T124" s="631"/>
      <c r="U124" s="631"/>
      <c r="V124" s="631"/>
      <c r="W124" s="631"/>
      <c r="X124" s="631"/>
      <c r="Y124" s="631"/>
    </row>
    <row r="125">
      <c r="A125" s="631"/>
      <c r="B125" s="631"/>
      <c r="C125" s="631"/>
      <c r="D125" s="631"/>
      <c r="E125" s="441"/>
      <c r="F125" s="631"/>
      <c r="G125" s="631"/>
      <c r="H125" s="631"/>
      <c r="I125" s="631"/>
      <c r="J125" s="631"/>
      <c r="K125" s="631"/>
      <c r="L125" s="631"/>
      <c r="M125" s="631"/>
      <c r="N125" s="631"/>
      <c r="O125" s="631"/>
      <c r="P125" s="631"/>
      <c r="Q125" s="631"/>
      <c r="R125" s="631"/>
      <c r="S125" s="631"/>
      <c r="T125" s="631"/>
      <c r="U125" s="631"/>
      <c r="V125" s="631"/>
      <c r="W125" s="631"/>
      <c r="X125" s="631"/>
      <c r="Y125" s="631"/>
    </row>
    <row r="126">
      <c r="A126" s="631"/>
      <c r="B126" s="631"/>
      <c r="C126" s="631"/>
      <c r="D126" s="631"/>
      <c r="E126" s="441"/>
      <c r="F126" s="631"/>
      <c r="G126" s="631"/>
      <c r="H126" s="631"/>
      <c r="I126" s="631"/>
      <c r="J126" s="631"/>
      <c r="K126" s="631"/>
      <c r="L126" s="631"/>
      <c r="M126" s="631"/>
      <c r="N126" s="631"/>
      <c r="O126" s="631"/>
      <c r="P126" s="631"/>
      <c r="Q126" s="631"/>
      <c r="R126" s="631"/>
      <c r="S126" s="631"/>
      <c r="T126" s="631"/>
      <c r="U126" s="631"/>
      <c r="V126" s="631"/>
      <c r="W126" s="631"/>
      <c r="X126" s="631"/>
      <c r="Y126" s="631"/>
    </row>
    <row r="127">
      <c r="A127" s="631"/>
      <c r="B127" s="631"/>
      <c r="C127" s="631"/>
      <c r="D127" s="631"/>
      <c r="E127" s="441"/>
      <c r="F127" s="631"/>
      <c r="G127" s="631"/>
      <c r="H127" s="631"/>
      <c r="I127" s="631"/>
      <c r="J127" s="631"/>
      <c r="K127" s="631"/>
      <c r="L127" s="631"/>
      <c r="M127" s="631"/>
      <c r="N127" s="631"/>
      <c r="O127" s="631"/>
      <c r="P127" s="631"/>
      <c r="Q127" s="631"/>
      <c r="R127" s="631"/>
      <c r="S127" s="631"/>
      <c r="T127" s="631"/>
      <c r="U127" s="631"/>
      <c r="V127" s="631"/>
      <c r="W127" s="631"/>
      <c r="X127" s="631"/>
      <c r="Y127" s="631"/>
    </row>
    <row r="128">
      <c r="A128" s="631"/>
      <c r="B128" s="631"/>
      <c r="C128" s="631"/>
      <c r="D128" s="631"/>
      <c r="E128" s="441"/>
      <c r="F128" s="631"/>
      <c r="G128" s="631"/>
      <c r="H128" s="631"/>
      <c r="I128" s="631"/>
      <c r="J128" s="631"/>
      <c r="K128" s="631"/>
      <c r="L128" s="631"/>
      <c r="M128" s="631"/>
      <c r="N128" s="631"/>
      <c r="O128" s="631"/>
      <c r="P128" s="631"/>
      <c r="Q128" s="631"/>
      <c r="R128" s="631"/>
      <c r="S128" s="631"/>
      <c r="T128" s="631"/>
      <c r="U128" s="631"/>
      <c r="V128" s="631"/>
      <c r="W128" s="631"/>
      <c r="X128" s="631"/>
      <c r="Y128" s="631"/>
    </row>
    <row r="129">
      <c r="A129" s="631"/>
      <c r="B129" s="631"/>
      <c r="C129" s="631"/>
      <c r="D129" s="631"/>
      <c r="E129" s="441"/>
      <c r="F129" s="631"/>
      <c r="G129" s="631"/>
      <c r="H129" s="631"/>
      <c r="I129" s="631"/>
      <c r="J129" s="631"/>
      <c r="K129" s="631"/>
      <c r="L129" s="631"/>
      <c r="M129" s="631"/>
      <c r="N129" s="631"/>
      <c r="O129" s="631"/>
      <c r="P129" s="631"/>
      <c r="Q129" s="631"/>
      <c r="R129" s="631"/>
      <c r="S129" s="631"/>
      <c r="T129" s="631"/>
      <c r="U129" s="631"/>
      <c r="V129" s="631"/>
      <c r="W129" s="631"/>
      <c r="X129" s="631"/>
      <c r="Y129" s="631"/>
    </row>
    <row r="130">
      <c r="A130" s="631"/>
      <c r="B130" s="631"/>
      <c r="C130" s="631"/>
      <c r="D130" s="631"/>
      <c r="E130" s="441"/>
      <c r="F130" s="631"/>
      <c r="G130" s="631"/>
      <c r="H130" s="631"/>
      <c r="I130" s="631"/>
      <c r="J130" s="631"/>
      <c r="K130" s="631"/>
      <c r="L130" s="631"/>
      <c r="M130" s="631"/>
      <c r="N130" s="631"/>
      <c r="O130" s="631"/>
      <c r="P130" s="631"/>
      <c r="Q130" s="631"/>
      <c r="R130" s="631"/>
      <c r="S130" s="631"/>
      <c r="T130" s="631"/>
      <c r="U130" s="631"/>
      <c r="V130" s="631"/>
      <c r="W130" s="631"/>
      <c r="X130" s="631"/>
      <c r="Y130" s="631"/>
    </row>
    <row r="131">
      <c r="A131" s="631"/>
      <c r="B131" s="631"/>
      <c r="C131" s="631"/>
      <c r="D131" s="631"/>
      <c r="E131" s="441"/>
      <c r="F131" s="631"/>
      <c r="G131" s="631"/>
      <c r="H131" s="631"/>
      <c r="I131" s="631"/>
      <c r="J131" s="631"/>
      <c r="K131" s="631"/>
      <c r="L131" s="631"/>
      <c r="M131" s="631"/>
      <c r="N131" s="631"/>
      <c r="O131" s="631"/>
      <c r="P131" s="631"/>
      <c r="Q131" s="631"/>
      <c r="R131" s="631"/>
      <c r="S131" s="631"/>
      <c r="T131" s="631"/>
      <c r="U131" s="631"/>
      <c r="V131" s="631"/>
      <c r="W131" s="631"/>
      <c r="X131" s="631"/>
      <c r="Y131" s="631"/>
    </row>
    <row r="132">
      <c r="A132" s="631"/>
      <c r="B132" s="631"/>
      <c r="C132" s="631"/>
      <c r="D132" s="631"/>
      <c r="E132" s="441"/>
      <c r="F132" s="631"/>
      <c r="G132" s="631"/>
      <c r="H132" s="631"/>
      <c r="I132" s="631"/>
      <c r="J132" s="631"/>
      <c r="K132" s="631"/>
      <c r="L132" s="631"/>
      <c r="M132" s="631"/>
      <c r="N132" s="631"/>
      <c r="O132" s="631"/>
      <c r="P132" s="631"/>
      <c r="Q132" s="631"/>
      <c r="R132" s="631"/>
      <c r="S132" s="631"/>
      <c r="T132" s="631"/>
      <c r="U132" s="631"/>
      <c r="V132" s="631"/>
      <c r="W132" s="631"/>
      <c r="X132" s="631"/>
      <c r="Y132" s="631"/>
    </row>
    <row r="133">
      <c r="A133" s="631"/>
      <c r="B133" s="631"/>
      <c r="C133" s="631"/>
      <c r="D133" s="631"/>
      <c r="E133" s="441"/>
      <c r="F133" s="631"/>
      <c r="G133" s="631"/>
      <c r="H133" s="631"/>
      <c r="I133" s="631"/>
      <c r="J133" s="631"/>
      <c r="K133" s="631"/>
      <c r="L133" s="631"/>
      <c r="M133" s="631"/>
      <c r="N133" s="631"/>
      <c r="O133" s="631"/>
      <c r="P133" s="631"/>
      <c r="Q133" s="631"/>
      <c r="R133" s="631"/>
      <c r="S133" s="631"/>
      <c r="T133" s="631"/>
      <c r="U133" s="631"/>
      <c r="V133" s="631"/>
      <c r="W133" s="631"/>
      <c r="X133" s="631"/>
      <c r="Y133" s="631"/>
    </row>
    <row r="134">
      <c r="A134" s="631"/>
      <c r="B134" s="631"/>
      <c r="C134" s="631"/>
      <c r="D134" s="631"/>
      <c r="E134" s="441"/>
      <c r="F134" s="631"/>
      <c r="G134" s="631"/>
      <c r="H134" s="631"/>
      <c r="I134" s="631"/>
      <c r="J134" s="631"/>
      <c r="K134" s="631"/>
      <c r="L134" s="631"/>
      <c r="M134" s="631"/>
      <c r="N134" s="631"/>
      <c r="O134" s="631"/>
      <c r="P134" s="631"/>
      <c r="Q134" s="631"/>
      <c r="R134" s="631"/>
      <c r="S134" s="631"/>
      <c r="T134" s="631"/>
      <c r="U134" s="631"/>
      <c r="V134" s="631"/>
      <c r="W134" s="631"/>
      <c r="X134" s="631"/>
      <c r="Y134" s="631"/>
    </row>
    <row r="135">
      <c r="A135" s="631"/>
      <c r="B135" s="631"/>
      <c r="C135" s="631"/>
      <c r="D135" s="631"/>
      <c r="E135" s="441"/>
      <c r="F135" s="631"/>
      <c r="G135" s="631"/>
      <c r="H135" s="631"/>
      <c r="I135" s="631"/>
      <c r="J135" s="631"/>
      <c r="K135" s="631"/>
      <c r="L135" s="631"/>
      <c r="M135" s="631"/>
      <c r="N135" s="631"/>
      <c r="O135" s="631"/>
      <c r="P135" s="631"/>
      <c r="Q135" s="631"/>
      <c r="R135" s="631"/>
      <c r="S135" s="631"/>
      <c r="T135" s="631"/>
      <c r="U135" s="631"/>
      <c r="V135" s="631"/>
      <c r="W135" s="631"/>
      <c r="X135" s="631"/>
      <c r="Y135" s="631"/>
    </row>
    <row r="136">
      <c r="A136" s="631"/>
      <c r="B136" s="631"/>
      <c r="C136" s="631"/>
      <c r="D136" s="631"/>
      <c r="E136" s="441"/>
      <c r="F136" s="631"/>
      <c r="G136" s="631"/>
      <c r="H136" s="631"/>
      <c r="I136" s="631"/>
      <c r="J136" s="631"/>
      <c r="K136" s="631"/>
      <c r="L136" s="631"/>
      <c r="M136" s="631"/>
      <c r="N136" s="631"/>
      <c r="O136" s="631"/>
      <c r="P136" s="631"/>
      <c r="Q136" s="631"/>
      <c r="R136" s="631"/>
      <c r="S136" s="631"/>
      <c r="T136" s="631"/>
      <c r="U136" s="631"/>
      <c r="V136" s="631"/>
      <c r="W136" s="631"/>
      <c r="X136" s="631"/>
      <c r="Y136" s="631"/>
    </row>
    <row r="137">
      <c r="A137" s="631"/>
      <c r="B137" s="631"/>
      <c r="C137" s="631"/>
      <c r="D137" s="631"/>
      <c r="E137" s="441"/>
      <c r="F137" s="631"/>
      <c r="G137" s="631"/>
      <c r="H137" s="631"/>
      <c r="I137" s="631"/>
      <c r="J137" s="631"/>
      <c r="K137" s="631"/>
      <c r="L137" s="631"/>
      <c r="M137" s="631"/>
      <c r="N137" s="631"/>
      <c r="O137" s="631"/>
      <c r="P137" s="631"/>
      <c r="Q137" s="631"/>
      <c r="R137" s="631"/>
      <c r="S137" s="631"/>
      <c r="T137" s="631"/>
      <c r="U137" s="631"/>
      <c r="V137" s="631"/>
      <c r="W137" s="631"/>
      <c r="X137" s="631"/>
      <c r="Y137" s="631"/>
    </row>
    <row r="138">
      <c r="A138" s="631"/>
      <c r="B138" s="631"/>
      <c r="C138" s="631"/>
      <c r="D138" s="631"/>
      <c r="E138" s="441"/>
      <c r="F138" s="631"/>
      <c r="G138" s="631"/>
      <c r="H138" s="631"/>
      <c r="I138" s="631"/>
      <c r="J138" s="631"/>
      <c r="K138" s="631"/>
      <c r="L138" s="631"/>
      <c r="M138" s="631"/>
      <c r="N138" s="631"/>
      <c r="O138" s="631"/>
      <c r="P138" s="631"/>
      <c r="Q138" s="631"/>
      <c r="R138" s="631"/>
      <c r="S138" s="631"/>
      <c r="T138" s="631"/>
      <c r="U138" s="631"/>
      <c r="V138" s="631"/>
      <c r="W138" s="631"/>
      <c r="X138" s="631"/>
      <c r="Y138" s="631"/>
    </row>
    <row r="139">
      <c r="A139" s="631"/>
      <c r="B139" s="631"/>
      <c r="C139" s="631"/>
      <c r="D139" s="631"/>
      <c r="E139" s="441"/>
      <c r="F139" s="631"/>
      <c r="G139" s="631"/>
      <c r="H139" s="631"/>
      <c r="I139" s="631"/>
      <c r="J139" s="631"/>
      <c r="K139" s="631"/>
      <c r="L139" s="631"/>
      <c r="M139" s="631"/>
      <c r="N139" s="631"/>
      <c r="O139" s="631"/>
      <c r="P139" s="631"/>
      <c r="Q139" s="631"/>
      <c r="R139" s="631"/>
      <c r="S139" s="631"/>
      <c r="T139" s="631"/>
      <c r="U139" s="631"/>
      <c r="V139" s="631"/>
      <c r="W139" s="631"/>
      <c r="X139" s="631"/>
      <c r="Y139" s="631"/>
    </row>
    <row r="140">
      <c r="A140" s="631"/>
      <c r="B140" s="631"/>
      <c r="C140" s="631"/>
      <c r="D140" s="631"/>
      <c r="E140" s="441"/>
      <c r="F140" s="631"/>
      <c r="G140" s="631"/>
      <c r="H140" s="631"/>
      <c r="I140" s="631"/>
      <c r="J140" s="631"/>
      <c r="K140" s="631"/>
      <c r="L140" s="631"/>
      <c r="M140" s="631"/>
      <c r="N140" s="631"/>
      <c r="O140" s="631"/>
      <c r="P140" s="631"/>
      <c r="Q140" s="631"/>
      <c r="R140" s="631"/>
      <c r="S140" s="631"/>
      <c r="T140" s="631"/>
      <c r="U140" s="631"/>
      <c r="V140" s="631"/>
      <c r="W140" s="631"/>
      <c r="X140" s="631"/>
      <c r="Y140" s="631"/>
    </row>
    <row r="141">
      <c r="A141" s="631"/>
      <c r="B141" s="631"/>
      <c r="C141" s="631"/>
      <c r="D141" s="631"/>
      <c r="E141" s="441"/>
      <c r="F141" s="631"/>
      <c r="G141" s="631"/>
      <c r="H141" s="631"/>
      <c r="I141" s="631"/>
      <c r="J141" s="631"/>
      <c r="K141" s="631"/>
      <c r="L141" s="631"/>
      <c r="M141" s="631"/>
      <c r="N141" s="631"/>
      <c r="O141" s="631"/>
      <c r="P141" s="631"/>
      <c r="Q141" s="631"/>
      <c r="R141" s="631"/>
      <c r="S141" s="631"/>
      <c r="T141" s="631"/>
      <c r="U141" s="631"/>
      <c r="V141" s="631"/>
      <c r="W141" s="631"/>
      <c r="X141" s="631"/>
      <c r="Y141" s="631"/>
    </row>
    <row r="142">
      <c r="A142" s="631"/>
      <c r="B142" s="631"/>
      <c r="C142" s="631"/>
      <c r="D142" s="631"/>
      <c r="E142" s="441"/>
      <c r="F142" s="631"/>
      <c r="G142" s="631"/>
      <c r="H142" s="631"/>
      <c r="I142" s="631"/>
      <c r="J142" s="631"/>
      <c r="K142" s="631"/>
      <c r="L142" s="631"/>
      <c r="M142" s="631"/>
      <c r="N142" s="631"/>
      <c r="O142" s="631"/>
      <c r="P142" s="631"/>
      <c r="Q142" s="631"/>
      <c r="R142" s="631"/>
      <c r="S142" s="631"/>
      <c r="T142" s="631"/>
      <c r="U142" s="631"/>
      <c r="V142" s="631"/>
      <c r="W142" s="631"/>
      <c r="X142" s="631"/>
      <c r="Y142" s="631"/>
    </row>
    <row r="143">
      <c r="A143" s="631"/>
      <c r="B143" s="631"/>
      <c r="C143" s="631"/>
      <c r="D143" s="631"/>
      <c r="E143" s="441"/>
      <c r="F143" s="631"/>
      <c r="G143" s="631"/>
      <c r="H143" s="631"/>
      <c r="I143" s="631"/>
      <c r="J143" s="631"/>
      <c r="K143" s="631"/>
      <c r="L143" s="631"/>
      <c r="M143" s="631"/>
      <c r="N143" s="631"/>
      <c r="O143" s="631"/>
      <c r="P143" s="631"/>
      <c r="Q143" s="631"/>
      <c r="R143" s="631"/>
      <c r="S143" s="631"/>
      <c r="T143" s="631"/>
      <c r="U143" s="631"/>
      <c r="V143" s="631"/>
      <c r="W143" s="631"/>
      <c r="X143" s="631"/>
      <c r="Y143" s="631"/>
    </row>
    <row r="144">
      <c r="A144" s="631"/>
      <c r="B144" s="631"/>
      <c r="C144" s="631"/>
      <c r="D144" s="631"/>
      <c r="E144" s="441"/>
      <c r="F144" s="631"/>
      <c r="G144" s="631"/>
      <c r="H144" s="631"/>
      <c r="I144" s="631"/>
      <c r="J144" s="631"/>
      <c r="K144" s="631"/>
      <c r="L144" s="631"/>
      <c r="M144" s="631"/>
      <c r="N144" s="631"/>
      <c r="O144" s="631"/>
      <c r="P144" s="631"/>
      <c r="Q144" s="631"/>
      <c r="R144" s="631"/>
      <c r="S144" s="631"/>
      <c r="T144" s="631"/>
      <c r="U144" s="631"/>
      <c r="V144" s="631"/>
      <c r="W144" s="631"/>
      <c r="X144" s="631"/>
      <c r="Y144" s="631"/>
    </row>
    <row r="145">
      <c r="A145" s="631"/>
      <c r="B145" s="631"/>
      <c r="C145" s="631"/>
      <c r="D145" s="631"/>
      <c r="E145" s="441"/>
      <c r="F145" s="631"/>
      <c r="G145" s="631"/>
      <c r="H145" s="631"/>
      <c r="I145" s="631"/>
      <c r="J145" s="631"/>
      <c r="K145" s="631"/>
      <c r="L145" s="631"/>
      <c r="M145" s="631"/>
      <c r="N145" s="631"/>
      <c r="O145" s="631"/>
      <c r="P145" s="631"/>
      <c r="Q145" s="631"/>
      <c r="R145" s="631"/>
      <c r="S145" s="631"/>
      <c r="T145" s="631"/>
      <c r="U145" s="631"/>
      <c r="V145" s="631"/>
      <c r="W145" s="631"/>
      <c r="X145" s="631"/>
      <c r="Y145" s="631"/>
    </row>
    <row r="146">
      <c r="A146" s="631"/>
      <c r="B146" s="631"/>
      <c r="C146" s="631"/>
      <c r="D146" s="631"/>
      <c r="E146" s="441"/>
      <c r="F146" s="631"/>
      <c r="G146" s="631"/>
      <c r="H146" s="631"/>
      <c r="I146" s="631"/>
      <c r="J146" s="631"/>
      <c r="K146" s="631"/>
      <c r="L146" s="631"/>
      <c r="M146" s="631"/>
      <c r="N146" s="631"/>
      <c r="O146" s="631"/>
      <c r="P146" s="631"/>
      <c r="Q146" s="631"/>
      <c r="R146" s="631"/>
      <c r="S146" s="631"/>
      <c r="T146" s="631"/>
      <c r="U146" s="631"/>
      <c r="V146" s="631"/>
      <c r="W146" s="631"/>
      <c r="X146" s="631"/>
      <c r="Y146" s="631"/>
    </row>
    <row r="147">
      <c r="A147" s="631"/>
      <c r="B147" s="631"/>
      <c r="C147" s="631"/>
      <c r="D147" s="631"/>
      <c r="E147" s="441"/>
      <c r="F147" s="631"/>
      <c r="G147" s="631"/>
      <c r="H147" s="631"/>
      <c r="I147" s="631"/>
      <c r="J147" s="631"/>
      <c r="K147" s="631"/>
      <c r="L147" s="631"/>
      <c r="M147" s="631"/>
      <c r="N147" s="631"/>
      <c r="O147" s="631"/>
      <c r="P147" s="631"/>
      <c r="Q147" s="631"/>
      <c r="R147" s="631"/>
      <c r="S147" s="631"/>
      <c r="T147" s="631"/>
      <c r="U147" s="631"/>
      <c r="V147" s="631"/>
      <c r="W147" s="631"/>
      <c r="X147" s="631"/>
      <c r="Y147" s="631"/>
    </row>
    <row r="148">
      <c r="A148" s="631"/>
      <c r="B148" s="631"/>
      <c r="C148" s="631"/>
      <c r="D148" s="631"/>
      <c r="E148" s="441"/>
      <c r="F148" s="631"/>
      <c r="G148" s="631"/>
      <c r="H148" s="631"/>
      <c r="I148" s="631"/>
      <c r="J148" s="631"/>
      <c r="K148" s="631"/>
      <c r="L148" s="631"/>
      <c r="M148" s="631"/>
      <c r="N148" s="631"/>
      <c r="O148" s="631"/>
      <c r="P148" s="631"/>
      <c r="Q148" s="631"/>
      <c r="R148" s="631"/>
      <c r="S148" s="631"/>
      <c r="T148" s="631"/>
      <c r="U148" s="631"/>
      <c r="V148" s="631"/>
      <c r="W148" s="631"/>
      <c r="X148" s="631"/>
      <c r="Y148" s="631"/>
    </row>
    <row r="149">
      <c r="A149" s="631"/>
      <c r="B149" s="631"/>
      <c r="C149" s="631"/>
      <c r="D149" s="631"/>
      <c r="E149" s="441"/>
      <c r="F149" s="631"/>
      <c r="G149" s="631"/>
      <c r="H149" s="631"/>
      <c r="I149" s="631"/>
      <c r="J149" s="631"/>
      <c r="K149" s="631"/>
      <c r="L149" s="631"/>
      <c r="M149" s="631"/>
      <c r="N149" s="631"/>
      <c r="O149" s="631"/>
      <c r="P149" s="631"/>
      <c r="Q149" s="631"/>
      <c r="R149" s="631"/>
      <c r="S149" s="631"/>
      <c r="T149" s="631"/>
      <c r="U149" s="631"/>
      <c r="V149" s="631"/>
      <c r="W149" s="631"/>
      <c r="X149" s="631"/>
      <c r="Y149" s="631"/>
    </row>
    <row r="150">
      <c r="A150" s="631"/>
      <c r="B150" s="631"/>
      <c r="C150" s="631"/>
      <c r="D150" s="631"/>
      <c r="E150" s="441"/>
      <c r="F150" s="631"/>
      <c r="G150" s="631"/>
      <c r="H150" s="631"/>
      <c r="I150" s="631"/>
      <c r="J150" s="631"/>
      <c r="K150" s="631"/>
      <c r="L150" s="631"/>
      <c r="M150" s="631"/>
      <c r="N150" s="631"/>
      <c r="O150" s="631"/>
      <c r="P150" s="631"/>
      <c r="Q150" s="631"/>
      <c r="R150" s="631"/>
      <c r="S150" s="631"/>
      <c r="T150" s="631"/>
      <c r="U150" s="631"/>
      <c r="V150" s="631"/>
      <c r="W150" s="631"/>
      <c r="X150" s="631"/>
      <c r="Y150" s="631"/>
    </row>
    <row r="151">
      <c r="A151" s="631"/>
      <c r="B151" s="631"/>
      <c r="C151" s="631"/>
      <c r="D151" s="631"/>
      <c r="E151" s="441"/>
      <c r="F151" s="631"/>
      <c r="G151" s="631"/>
      <c r="H151" s="631"/>
      <c r="I151" s="631"/>
      <c r="J151" s="631"/>
      <c r="K151" s="631"/>
      <c r="L151" s="631"/>
      <c r="M151" s="631"/>
      <c r="N151" s="631"/>
      <c r="O151" s="631"/>
      <c r="P151" s="631"/>
      <c r="Q151" s="631"/>
      <c r="R151" s="631"/>
      <c r="S151" s="631"/>
      <c r="T151" s="631"/>
      <c r="U151" s="631"/>
      <c r="V151" s="631"/>
      <c r="W151" s="631"/>
      <c r="X151" s="631"/>
      <c r="Y151" s="631"/>
    </row>
    <row r="152">
      <c r="A152" s="631"/>
      <c r="B152" s="631"/>
      <c r="C152" s="631"/>
      <c r="D152" s="631"/>
      <c r="E152" s="441"/>
      <c r="F152" s="631"/>
      <c r="G152" s="631"/>
      <c r="H152" s="631"/>
      <c r="I152" s="631"/>
      <c r="J152" s="631"/>
      <c r="K152" s="631"/>
      <c r="L152" s="631"/>
      <c r="M152" s="631"/>
      <c r="N152" s="631"/>
      <c r="O152" s="631"/>
      <c r="P152" s="631"/>
      <c r="Q152" s="631"/>
      <c r="R152" s="631"/>
      <c r="S152" s="631"/>
      <c r="T152" s="631"/>
      <c r="U152" s="631"/>
      <c r="V152" s="631"/>
      <c r="W152" s="631"/>
      <c r="X152" s="631"/>
      <c r="Y152" s="631"/>
    </row>
    <row r="153">
      <c r="A153" s="631"/>
      <c r="B153" s="631"/>
      <c r="C153" s="631"/>
      <c r="D153" s="631"/>
      <c r="E153" s="441"/>
      <c r="F153" s="631"/>
      <c r="G153" s="631"/>
      <c r="H153" s="631"/>
      <c r="I153" s="631"/>
      <c r="J153" s="631"/>
      <c r="K153" s="631"/>
      <c r="L153" s="631"/>
      <c r="M153" s="631"/>
      <c r="N153" s="631"/>
      <c r="O153" s="631"/>
      <c r="P153" s="631"/>
      <c r="Q153" s="631"/>
      <c r="R153" s="631"/>
      <c r="S153" s="631"/>
      <c r="T153" s="631"/>
      <c r="U153" s="631"/>
      <c r="V153" s="631"/>
      <c r="W153" s="631"/>
      <c r="X153" s="631"/>
      <c r="Y153" s="631"/>
    </row>
    <row r="154">
      <c r="A154" s="631"/>
      <c r="B154" s="631"/>
      <c r="C154" s="631"/>
      <c r="D154" s="631"/>
      <c r="E154" s="441"/>
      <c r="F154" s="631"/>
      <c r="G154" s="631"/>
      <c r="H154" s="631"/>
      <c r="I154" s="631"/>
      <c r="J154" s="631"/>
      <c r="K154" s="631"/>
      <c r="L154" s="631"/>
      <c r="M154" s="631"/>
      <c r="N154" s="631"/>
      <c r="O154" s="631"/>
      <c r="P154" s="631"/>
      <c r="Q154" s="631"/>
      <c r="R154" s="631"/>
      <c r="S154" s="631"/>
      <c r="T154" s="631"/>
      <c r="U154" s="631"/>
      <c r="V154" s="631"/>
      <c r="W154" s="631"/>
      <c r="X154" s="631"/>
      <c r="Y154" s="631"/>
    </row>
    <row r="155">
      <c r="A155" s="631"/>
      <c r="B155" s="631"/>
      <c r="C155" s="631"/>
      <c r="D155" s="631"/>
      <c r="E155" s="441"/>
      <c r="F155" s="631"/>
      <c r="G155" s="631"/>
      <c r="H155" s="631"/>
      <c r="I155" s="631"/>
      <c r="J155" s="631"/>
      <c r="K155" s="631"/>
      <c r="L155" s="631"/>
      <c r="M155" s="631"/>
      <c r="N155" s="631"/>
      <c r="O155" s="631"/>
      <c r="P155" s="631"/>
      <c r="Q155" s="631"/>
      <c r="R155" s="631"/>
      <c r="S155" s="631"/>
      <c r="T155" s="631"/>
      <c r="U155" s="631"/>
      <c r="V155" s="631"/>
      <c r="W155" s="631"/>
      <c r="X155" s="631"/>
      <c r="Y155" s="631"/>
    </row>
    <row r="156">
      <c r="A156" s="631"/>
      <c r="B156" s="631"/>
      <c r="C156" s="631"/>
      <c r="D156" s="631"/>
      <c r="E156" s="441"/>
      <c r="F156" s="631"/>
      <c r="G156" s="631"/>
      <c r="H156" s="631"/>
      <c r="I156" s="631"/>
      <c r="J156" s="631"/>
      <c r="K156" s="631"/>
      <c r="L156" s="631"/>
      <c r="M156" s="631"/>
      <c r="N156" s="631"/>
      <c r="O156" s="631"/>
      <c r="P156" s="631"/>
      <c r="Q156" s="631"/>
      <c r="R156" s="631"/>
      <c r="S156" s="631"/>
      <c r="T156" s="631"/>
      <c r="U156" s="631"/>
      <c r="V156" s="631"/>
      <c r="W156" s="631"/>
      <c r="X156" s="631"/>
      <c r="Y156" s="631"/>
    </row>
    <row r="157">
      <c r="A157" s="631"/>
      <c r="B157" s="631"/>
      <c r="C157" s="631"/>
      <c r="D157" s="631"/>
      <c r="E157" s="441"/>
      <c r="F157" s="631"/>
      <c r="G157" s="631"/>
      <c r="H157" s="631"/>
      <c r="I157" s="631"/>
      <c r="J157" s="631"/>
      <c r="K157" s="631"/>
      <c r="L157" s="631"/>
      <c r="M157" s="631"/>
      <c r="N157" s="631"/>
      <c r="O157" s="631"/>
      <c r="P157" s="631"/>
      <c r="Q157" s="631"/>
      <c r="R157" s="631"/>
      <c r="S157" s="631"/>
      <c r="T157" s="631"/>
      <c r="U157" s="631"/>
      <c r="V157" s="631"/>
      <c r="W157" s="631"/>
      <c r="X157" s="631"/>
      <c r="Y157" s="631"/>
    </row>
    <row r="158">
      <c r="A158" s="631"/>
      <c r="B158" s="631"/>
      <c r="C158" s="631"/>
      <c r="D158" s="631"/>
      <c r="E158" s="441"/>
      <c r="F158" s="631"/>
      <c r="G158" s="631"/>
      <c r="H158" s="631"/>
      <c r="I158" s="631"/>
      <c r="J158" s="631"/>
      <c r="K158" s="631"/>
      <c r="L158" s="631"/>
      <c r="M158" s="631"/>
      <c r="N158" s="631"/>
      <c r="O158" s="631"/>
      <c r="P158" s="631"/>
      <c r="Q158" s="631"/>
      <c r="R158" s="631"/>
      <c r="S158" s="631"/>
      <c r="T158" s="631"/>
      <c r="U158" s="631"/>
      <c r="V158" s="631"/>
      <c r="W158" s="631"/>
      <c r="X158" s="631"/>
      <c r="Y158" s="631"/>
    </row>
    <row r="159">
      <c r="A159" s="631"/>
      <c r="B159" s="631"/>
      <c r="C159" s="631"/>
      <c r="D159" s="631"/>
      <c r="E159" s="441"/>
      <c r="F159" s="631"/>
      <c r="G159" s="631"/>
      <c r="H159" s="631"/>
      <c r="I159" s="631"/>
      <c r="J159" s="631"/>
      <c r="K159" s="631"/>
      <c r="L159" s="631"/>
      <c r="M159" s="631"/>
      <c r="N159" s="631"/>
      <c r="O159" s="631"/>
      <c r="P159" s="631"/>
      <c r="Q159" s="631"/>
      <c r="R159" s="631"/>
      <c r="S159" s="631"/>
      <c r="T159" s="631"/>
      <c r="U159" s="631"/>
      <c r="V159" s="631"/>
      <c r="W159" s="631"/>
      <c r="X159" s="631"/>
      <c r="Y159" s="631"/>
    </row>
    <row r="160">
      <c r="A160" s="631"/>
      <c r="B160" s="631"/>
      <c r="C160" s="631"/>
      <c r="D160" s="631"/>
      <c r="E160" s="441"/>
      <c r="F160" s="631"/>
      <c r="G160" s="631"/>
      <c r="H160" s="631"/>
      <c r="I160" s="631"/>
      <c r="J160" s="631"/>
      <c r="K160" s="631"/>
      <c r="L160" s="631"/>
      <c r="M160" s="631"/>
      <c r="N160" s="631"/>
      <c r="O160" s="631"/>
      <c r="P160" s="631"/>
      <c r="Q160" s="631"/>
      <c r="R160" s="631"/>
      <c r="S160" s="631"/>
      <c r="T160" s="631"/>
      <c r="U160" s="631"/>
      <c r="V160" s="631"/>
      <c r="W160" s="631"/>
      <c r="X160" s="631"/>
      <c r="Y160" s="631"/>
    </row>
    <row r="161">
      <c r="A161" s="631"/>
      <c r="B161" s="631"/>
      <c r="C161" s="631"/>
      <c r="D161" s="631"/>
      <c r="E161" s="441"/>
      <c r="F161" s="631"/>
      <c r="G161" s="631"/>
      <c r="H161" s="631"/>
      <c r="I161" s="631"/>
      <c r="J161" s="631"/>
      <c r="K161" s="631"/>
      <c r="L161" s="631"/>
      <c r="M161" s="631"/>
      <c r="N161" s="631"/>
      <c r="O161" s="631"/>
      <c r="P161" s="631"/>
      <c r="Q161" s="631"/>
      <c r="R161" s="631"/>
      <c r="S161" s="631"/>
      <c r="T161" s="631"/>
      <c r="U161" s="631"/>
      <c r="V161" s="631"/>
      <c r="W161" s="631"/>
      <c r="X161" s="631"/>
      <c r="Y161" s="631"/>
    </row>
    <row r="162">
      <c r="A162" s="631"/>
      <c r="B162" s="631"/>
      <c r="C162" s="631"/>
      <c r="D162" s="631"/>
      <c r="E162" s="441"/>
      <c r="F162" s="631"/>
      <c r="G162" s="631"/>
      <c r="H162" s="631"/>
      <c r="I162" s="631"/>
      <c r="J162" s="631"/>
      <c r="K162" s="631"/>
      <c r="L162" s="631"/>
      <c r="M162" s="631"/>
      <c r="N162" s="631"/>
      <c r="O162" s="631"/>
      <c r="P162" s="631"/>
      <c r="Q162" s="631"/>
      <c r="R162" s="631"/>
      <c r="S162" s="631"/>
      <c r="T162" s="631"/>
      <c r="U162" s="631"/>
      <c r="V162" s="631"/>
      <c r="W162" s="631"/>
      <c r="X162" s="631"/>
      <c r="Y162" s="631"/>
    </row>
    <row r="163">
      <c r="A163" s="631"/>
      <c r="B163" s="631"/>
      <c r="C163" s="631"/>
      <c r="D163" s="631"/>
      <c r="E163" s="441"/>
      <c r="F163" s="631"/>
      <c r="G163" s="631"/>
      <c r="H163" s="631"/>
      <c r="I163" s="631"/>
      <c r="J163" s="631"/>
      <c r="K163" s="631"/>
      <c r="L163" s="631"/>
      <c r="M163" s="631"/>
      <c r="N163" s="631"/>
      <c r="O163" s="631"/>
      <c r="P163" s="631"/>
      <c r="Q163" s="631"/>
      <c r="R163" s="631"/>
      <c r="S163" s="631"/>
      <c r="T163" s="631"/>
      <c r="U163" s="631"/>
      <c r="V163" s="631"/>
      <c r="W163" s="631"/>
      <c r="X163" s="631"/>
      <c r="Y163" s="631"/>
    </row>
    <row r="164">
      <c r="A164" s="631"/>
      <c r="B164" s="631"/>
      <c r="C164" s="631"/>
      <c r="D164" s="631"/>
      <c r="E164" s="441"/>
      <c r="F164" s="631"/>
      <c r="G164" s="631"/>
      <c r="H164" s="631"/>
      <c r="I164" s="631"/>
      <c r="J164" s="631"/>
      <c r="K164" s="631"/>
      <c r="L164" s="631"/>
      <c r="M164" s="631"/>
      <c r="N164" s="631"/>
      <c r="O164" s="631"/>
      <c r="P164" s="631"/>
      <c r="Q164" s="631"/>
      <c r="R164" s="631"/>
      <c r="S164" s="631"/>
      <c r="T164" s="631"/>
      <c r="U164" s="631"/>
      <c r="V164" s="631"/>
      <c r="W164" s="631"/>
      <c r="X164" s="631"/>
      <c r="Y164" s="631"/>
    </row>
    <row r="165">
      <c r="A165" s="631"/>
      <c r="B165" s="631"/>
      <c r="C165" s="631"/>
      <c r="D165" s="631"/>
      <c r="E165" s="441"/>
      <c r="F165" s="631"/>
      <c r="G165" s="631"/>
      <c r="H165" s="631"/>
      <c r="I165" s="631"/>
      <c r="J165" s="631"/>
      <c r="K165" s="631"/>
      <c r="L165" s="631"/>
      <c r="M165" s="631"/>
      <c r="N165" s="631"/>
      <c r="O165" s="631"/>
      <c r="P165" s="631"/>
      <c r="Q165" s="631"/>
      <c r="R165" s="631"/>
      <c r="S165" s="631"/>
      <c r="T165" s="631"/>
      <c r="U165" s="631"/>
      <c r="V165" s="631"/>
      <c r="W165" s="631"/>
      <c r="X165" s="631"/>
      <c r="Y165" s="631"/>
    </row>
    <row r="166">
      <c r="A166" s="631"/>
      <c r="B166" s="631"/>
      <c r="C166" s="631"/>
      <c r="D166" s="631"/>
      <c r="E166" s="441"/>
      <c r="F166" s="631"/>
      <c r="G166" s="631"/>
      <c r="H166" s="631"/>
      <c r="I166" s="631"/>
      <c r="J166" s="631"/>
      <c r="K166" s="631"/>
      <c r="L166" s="631"/>
      <c r="M166" s="631"/>
      <c r="N166" s="631"/>
      <c r="O166" s="631"/>
      <c r="P166" s="631"/>
      <c r="Q166" s="631"/>
      <c r="R166" s="631"/>
      <c r="S166" s="631"/>
      <c r="T166" s="631"/>
      <c r="U166" s="631"/>
      <c r="V166" s="631"/>
      <c r="W166" s="631"/>
      <c r="X166" s="631"/>
      <c r="Y166" s="631"/>
    </row>
    <row r="167">
      <c r="A167" s="631"/>
      <c r="B167" s="631"/>
      <c r="C167" s="631"/>
      <c r="D167" s="631"/>
      <c r="E167" s="441"/>
      <c r="F167" s="631"/>
      <c r="G167" s="631"/>
      <c r="H167" s="631"/>
      <c r="I167" s="631"/>
      <c r="J167" s="631"/>
      <c r="K167" s="631"/>
      <c r="L167" s="631"/>
      <c r="M167" s="631"/>
      <c r="N167" s="631"/>
      <c r="O167" s="631"/>
      <c r="P167" s="631"/>
      <c r="Q167" s="631"/>
      <c r="R167" s="631"/>
      <c r="S167" s="631"/>
      <c r="T167" s="631"/>
      <c r="U167" s="631"/>
      <c r="V167" s="631"/>
      <c r="W167" s="631"/>
      <c r="X167" s="631"/>
      <c r="Y167" s="631"/>
    </row>
    <row r="168">
      <c r="A168" s="631"/>
      <c r="B168" s="631"/>
      <c r="C168" s="631"/>
      <c r="D168" s="631"/>
      <c r="E168" s="441"/>
      <c r="F168" s="631"/>
      <c r="G168" s="631"/>
      <c r="H168" s="631"/>
      <c r="I168" s="631"/>
      <c r="J168" s="631"/>
      <c r="K168" s="631"/>
      <c r="L168" s="631"/>
      <c r="M168" s="631"/>
      <c r="N168" s="631"/>
      <c r="O168" s="631"/>
      <c r="P168" s="631"/>
      <c r="Q168" s="631"/>
      <c r="R168" s="631"/>
      <c r="S168" s="631"/>
      <c r="T168" s="631"/>
      <c r="U168" s="631"/>
      <c r="V168" s="631"/>
      <c r="W168" s="631"/>
      <c r="X168" s="631"/>
      <c r="Y168" s="631"/>
    </row>
    <row r="169">
      <c r="A169" s="631"/>
      <c r="B169" s="631"/>
      <c r="C169" s="631"/>
      <c r="D169" s="631"/>
      <c r="E169" s="441"/>
      <c r="F169" s="631"/>
      <c r="G169" s="631"/>
      <c r="H169" s="631"/>
      <c r="I169" s="631"/>
      <c r="J169" s="631"/>
      <c r="K169" s="631"/>
      <c r="L169" s="631"/>
      <c r="M169" s="631"/>
      <c r="N169" s="631"/>
      <c r="O169" s="631"/>
      <c r="P169" s="631"/>
      <c r="Q169" s="631"/>
      <c r="R169" s="631"/>
      <c r="S169" s="631"/>
      <c r="T169" s="631"/>
      <c r="U169" s="631"/>
      <c r="V169" s="631"/>
      <c r="W169" s="631"/>
      <c r="X169" s="631"/>
      <c r="Y169" s="631"/>
    </row>
    <row r="170">
      <c r="A170" s="631"/>
      <c r="B170" s="631"/>
      <c r="C170" s="631"/>
      <c r="D170" s="631"/>
      <c r="E170" s="441"/>
      <c r="F170" s="631"/>
      <c r="G170" s="631"/>
      <c r="H170" s="631"/>
      <c r="I170" s="631"/>
      <c r="J170" s="631"/>
      <c r="K170" s="631"/>
      <c r="L170" s="631"/>
      <c r="M170" s="631"/>
      <c r="N170" s="631"/>
      <c r="O170" s="631"/>
      <c r="P170" s="631"/>
      <c r="Q170" s="631"/>
      <c r="R170" s="631"/>
      <c r="S170" s="631"/>
      <c r="T170" s="631"/>
      <c r="U170" s="631"/>
      <c r="V170" s="631"/>
      <c r="W170" s="631"/>
      <c r="X170" s="631"/>
      <c r="Y170" s="631"/>
    </row>
    <row r="171">
      <c r="A171" s="631"/>
      <c r="B171" s="631"/>
      <c r="C171" s="631"/>
      <c r="D171" s="631"/>
      <c r="E171" s="441"/>
      <c r="F171" s="631"/>
      <c r="G171" s="631"/>
      <c r="H171" s="631"/>
      <c r="I171" s="631"/>
      <c r="J171" s="631"/>
      <c r="K171" s="631"/>
      <c r="L171" s="631"/>
      <c r="M171" s="631"/>
      <c r="N171" s="631"/>
      <c r="O171" s="631"/>
      <c r="P171" s="631"/>
      <c r="Q171" s="631"/>
      <c r="R171" s="631"/>
      <c r="S171" s="631"/>
      <c r="T171" s="631"/>
      <c r="U171" s="631"/>
      <c r="V171" s="631"/>
      <c r="W171" s="631"/>
      <c r="X171" s="631"/>
      <c r="Y171" s="631"/>
    </row>
    <row r="172">
      <c r="A172" s="631"/>
      <c r="B172" s="631"/>
      <c r="C172" s="631"/>
      <c r="D172" s="631"/>
      <c r="E172" s="441"/>
      <c r="F172" s="631"/>
      <c r="G172" s="631"/>
      <c r="H172" s="631"/>
      <c r="I172" s="631"/>
      <c r="J172" s="631"/>
      <c r="K172" s="631"/>
      <c r="L172" s="631"/>
      <c r="M172" s="631"/>
      <c r="N172" s="631"/>
      <c r="O172" s="631"/>
      <c r="P172" s="631"/>
      <c r="Q172" s="631"/>
      <c r="R172" s="631"/>
      <c r="S172" s="631"/>
      <c r="T172" s="631"/>
      <c r="U172" s="631"/>
      <c r="V172" s="631"/>
      <c r="W172" s="631"/>
      <c r="X172" s="631"/>
      <c r="Y172" s="631"/>
    </row>
    <row r="173">
      <c r="A173" s="631"/>
      <c r="B173" s="631"/>
      <c r="C173" s="631"/>
      <c r="D173" s="631"/>
      <c r="E173" s="441"/>
      <c r="F173" s="631"/>
      <c r="G173" s="631"/>
      <c r="H173" s="631"/>
      <c r="I173" s="631"/>
      <c r="J173" s="631"/>
      <c r="K173" s="631"/>
      <c r="L173" s="631"/>
      <c r="M173" s="631"/>
      <c r="N173" s="631"/>
      <c r="O173" s="631"/>
      <c r="P173" s="631"/>
      <c r="Q173" s="631"/>
      <c r="R173" s="631"/>
      <c r="S173" s="631"/>
      <c r="T173" s="631"/>
      <c r="U173" s="631"/>
      <c r="V173" s="631"/>
      <c r="W173" s="631"/>
      <c r="X173" s="631"/>
      <c r="Y173" s="631"/>
    </row>
    <row r="174">
      <c r="A174" s="631"/>
      <c r="B174" s="631"/>
      <c r="C174" s="631"/>
      <c r="D174" s="631"/>
      <c r="E174" s="441"/>
      <c r="F174" s="631"/>
      <c r="G174" s="631"/>
      <c r="H174" s="631"/>
      <c r="I174" s="631"/>
      <c r="J174" s="631"/>
      <c r="K174" s="631"/>
      <c r="L174" s="631"/>
      <c r="M174" s="631"/>
      <c r="N174" s="631"/>
      <c r="O174" s="631"/>
      <c r="P174" s="631"/>
      <c r="Q174" s="631"/>
      <c r="R174" s="631"/>
      <c r="S174" s="631"/>
      <c r="T174" s="631"/>
      <c r="U174" s="631"/>
      <c r="V174" s="631"/>
      <c r="W174" s="631"/>
      <c r="X174" s="631"/>
      <c r="Y174" s="631"/>
    </row>
    <row r="175">
      <c r="A175" s="631"/>
      <c r="B175" s="631"/>
      <c r="C175" s="631"/>
      <c r="D175" s="631"/>
      <c r="E175" s="441"/>
      <c r="F175" s="631"/>
      <c r="G175" s="631"/>
      <c r="H175" s="631"/>
      <c r="I175" s="631"/>
      <c r="J175" s="631"/>
      <c r="K175" s="631"/>
      <c r="L175" s="631"/>
      <c r="M175" s="631"/>
      <c r="N175" s="631"/>
      <c r="O175" s="631"/>
      <c r="P175" s="631"/>
      <c r="Q175" s="631"/>
      <c r="R175" s="631"/>
      <c r="S175" s="631"/>
      <c r="T175" s="631"/>
      <c r="U175" s="631"/>
      <c r="V175" s="631"/>
      <c r="W175" s="631"/>
      <c r="X175" s="631"/>
      <c r="Y175" s="631"/>
    </row>
    <row r="176">
      <c r="A176" s="631"/>
      <c r="B176" s="631"/>
      <c r="C176" s="631"/>
      <c r="D176" s="631"/>
      <c r="E176" s="441"/>
      <c r="F176" s="631"/>
      <c r="G176" s="631"/>
      <c r="H176" s="631"/>
      <c r="I176" s="631"/>
      <c r="J176" s="631"/>
      <c r="K176" s="631"/>
      <c r="L176" s="631"/>
      <c r="M176" s="631"/>
      <c r="N176" s="631"/>
      <c r="O176" s="631"/>
      <c r="P176" s="631"/>
      <c r="Q176" s="631"/>
      <c r="R176" s="631"/>
      <c r="S176" s="631"/>
      <c r="T176" s="631"/>
      <c r="U176" s="631"/>
      <c r="V176" s="631"/>
      <c r="W176" s="631"/>
      <c r="X176" s="631"/>
      <c r="Y176" s="631"/>
    </row>
    <row r="177">
      <c r="A177" s="631"/>
      <c r="B177" s="631"/>
      <c r="C177" s="631"/>
      <c r="D177" s="631"/>
      <c r="E177" s="441"/>
      <c r="F177" s="631"/>
      <c r="G177" s="631"/>
      <c r="H177" s="631"/>
      <c r="I177" s="631"/>
      <c r="J177" s="631"/>
      <c r="K177" s="631"/>
      <c r="L177" s="631"/>
      <c r="M177" s="631"/>
      <c r="N177" s="631"/>
      <c r="O177" s="631"/>
      <c r="P177" s="631"/>
      <c r="Q177" s="631"/>
      <c r="R177" s="631"/>
      <c r="S177" s="631"/>
      <c r="T177" s="631"/>
      <c r="U177" s="631"/>
      <c r="V177" s="631"/>
      <c r="W177" s="631"/>
      <c r="X177" s="631"/>
      <c r="Y177" s="631"/>
    </row>
    <row r="178">
      <c r="A178" s="631"/>
      <c r="B178" s="631"/>
      <c r="C178" s="631"/>
      <c r="D178" s="631"/>
      <c r="E178" s="441"/>
      <c r="F178" s="631"/>
      <c r="G178" s="631"/>
      <c r="H178" s="631"/>
      <c r="I178" s="631"/>
      <c r="J178" s="631"/>
      <c r="K178" s="631"/>
      <c r="L178" s="631"/>
      <c r="M178" s="631"/>
      <c r="N178" s="631"/>
      <c r="O178" s="631"/>
      <c r="P178" s="631"/>
      <c r="Q178" s="631"/>
      <c r="R178" s="631"/>
      <c r="S178" s="631"/>
      <c r="T178" s="631"/>
      <c r="U178" s="631"/>
      <c r="V178" s="631"/>
      <c r="W178" s="631"/>
      <c r="X178" s="631"/>
      <c r="Y178" s="631"/>
    </row>
    <row r="179">
      <c r="A179" s="631"/>
      <c r="B179" s="631"/>
      <c r="C179" s="631"/>
      <c r="D179" s="631"/>
      <c r="E179" s="441"/>
      <c r="F179" s="631"/>
      <c r="G179" s="631"/>
      <c r="H179" s="631"/>
      <c r="I179" s="631"/>
      <c r="J179" s="631"/>
      <c r="K179" s="631"/>
      <c r="L179" s="631"/>
      <c r="M179" s="631"/>
      <c r="N179" s="631"/>
      <c r="O179" s="631"/>
      <c r="P179" s="631"/>
      <c r="Q179" s="631"/>
      <c r="R179" s="631"/>
      <c r="S179" s="631"/>
      <c r="T179" s="631"/>
      <c r="U179" s="631"/>
      <c r="V179" s="631"/>
      <c r="W179" s="631"/>
      <c r="X179" s="631"/>
      <c r="Y179" s="631"/>
    </row>
    <row r="180">
      <c r="A180" s="631"/>
      <c r="B180" s="631"/>
      <c r="C180" s="631"/>
      <c r="D180" s="631"/>
      <c r="E180" s="441"/>
      <c r="F180" s="631"/>
      <c r="G180" s="631"/>
      <c r="H180" s="631"/>
      <c r="I180" s="631"/>
      <c r="J180" s="631"/>
      <c r="K180" s="631"/>
      <c r="L180" s="631"/>
      <c r="M180" s="631"/>
      <c r="N180" s="631"/>
      <c r="O180" s="631"/>
      <c r="P180" s="631"/>
      <c r="Q180" s="631"/>
      <c r="R180" s="631"/>
      <c r="S180" s="631"/>
      <c r="T180" s="631"/>
      <c r="U180" s="631"/>
      <c r="V180" s="631"/>
      <c r="W180" s="631"/>
      <c r="X180" s="631"/>
      <c r="Y180" s="631"/>
    </row>
    <row r="181">
      <c r="A181" s="631"/>
      <c r="B181" s="631"/>
      <c r="C181" s="631"/>
      <c r="D181" s="631"/>
      <c r="E181" s="441"/>
      <c r="F181" s="631"/>
      <c r="G181" s="631"/>
      <c r="H181" s="631"/>
      <c r="I181" s="631"/>
      <c r="J181" s="631"/>
      <c r="K181" s="631"/>
      <c r="L181" s="631"/>
      <c r="M181" s="631"/>
      <c r="N181" s="631"/>
      <c r="O181" s="631"/>
      <c r="P181" s="631"/>
      <c r="Q181" s="631"/>
      <c r="R181" s="631"/>
      <c r="S181" s="631"/>
      <c r="T181" s="631"/>
      <c r="U181" s="631"/>
      <c r="V181" s="631"/>
      <c r="W181" s="631"/>
      <c r="X181" s="631"/>
      <c r="Y181" s="631"/>
    </row>
    <row r="182">
      <c r="A182" s="631"/>
      <c r="B182" s="631"/>
      <c r="C182" s="631"/>
      <c r="D182" s="631"/>
      <c r="E182" s="441"/>
      <c r="F182" s="631"/>
      <c r="G182" s="631"/>
      <c r="H182" s="631"/>
      <c r="I182" s="631"/>
      <c r="J182" s="631"/>
      <c r="K182" s="631"/>
      <c r="L182" s="631"/>
      <c r="M182" s="631"/>
      <c r="N182" s="631"/>
      <c r="O182" s="631"/>
      <c r="P182" s="631"/>
      <c r="Q182" s="631"/>
      <c r="R182" s="631"/>
      <c r="S182" s="631"/>
      <c r="T182" s="631"/>
      <c r="U182" s="631"/>
      <c r="V182" s="631"/>
      <c r="W182" s="631"/>
      <c r="X182" s="631"/>
      <c r="Y182" s="631"/>
    </row>
    <row r="183">
      <c r="A183" s="631"/>
      <c r="B183" s="631"/>
      <c r="C183" s="631"/>
      <c r="D183" s="631"/>
      <c r="E183" s="441"/>
      <c r="F183" s="631"/>
      <c r="G183" s="631"/>
      <c r="H183" s="631"/>
      <c r="I183" s="631"/>
      <c r="J183" s="631"/>
      <c r="K183" s="631"/>
      <c r="L183" s="631"/>
      <c r="M183" s="631"/>
      <c r="N183" s="631"/>
      <c r="O183" s="631"/>
      <c r="P183" s="631"/>
      <c r="Q183" s="631"/>
      <c r="R183" s="631"/>
      <c r="S183" s="631"/>
      <c r="T183" s="631"/>
      <c r="U183" s="631"/>
      <c r="V183" s="631"/>
      <c r="W183" s="631"/>
      <c r="X183" s="631"/>
      <c r="Y183" s="631"/>
    </row>
    <row r="184">
      <c r="A184" s="631"/>
      <c r="B184" s="631"/>
      <c r="C184" s="631"/>
      <c r="D184" s="631"/>
      <c r="E184" s="441"/>
      <c r="F184" s="631"/>
      <c r="G184" s="631"/>
      <c r="H184" s="631"/>
      <c r="I184" s="631"/>
      <c r="J184" s="631"/>
      <c r="K184" s="631"/>
      <c r="L184" s="631"/>
      <c r="M184" s="631"/>
      <c r="N184" s="631"/>
      <c r="O184" s="631"/>
      <c r="P184" s="631"/>
      <c r="Q184" s="631"/>
      <c r="R184" s="631"/>
      <c r="S184" s="631"/>
      <c r="T184" s="631"/>
      <c r="U184" s="631"/>
      <c r="V184" s="631"/>
      <c r="W184" s="631"/>
      <c r="X184" s="631"/>
      <c r="Y184" s="631"/>
    </row>
    <row r="185">
      <c r="A185" s="631"/>
      <c r="B185" s="631"/>
      <c r="C185" s="631"/>
      <c r="D185" s="631"/>
      <c r="E185" s="441"/>
      <c r="F185" s="631"/>
      <c r="G185" s="631"/>
      <c r="H185" s="631"/>
      <c r="I185" s="631"/>
      <c r="J185" s="631"/>
      <c r="K185" s="631"/>
      <c r="L185" s="631"/>
      <c r="M185" s="631"/>
      <c r="N185" s="631"/>
      <c r="O185" s="631"/>
      <c r="P185" s="631"/>
      <c r="Q185" s="631"/>
      <c r="R185" s="631"/>
      <c r="S185" s="631"/>
      <c r="T185" s="631"/>
      <c r="U185" s="631"/>
      <c r="V185" s="631"/>
      <c r="W185" s="631"/>
      <c r="X185" s="631"/>
      <c r="Y185" s="631"/>
    </row>
    <row r="186">
      <c r="A186" s="631"/>
      <c r="B186" s="631"/>
      <c r="C186" s="631"/>
      <c r="D186" s="631"/>
      <c r="E186" s="441"/>
      <c r="F186" s="631"/>
      <c r="G186" s="631"/>
      <c r="H186" s="631"/>
      <c r="I186" s="631"/>
      <c r="J186" s="631"/>
      <c r="K186" s="631"/>
      <c r="L186" s="631"/>
      <c r="M186" s="631"/>
      <c r="N186" s="631"/>
      <c r="O186" s="631"/>
      <c r="P186" s="631"/>
      <c r="Q186" s="631"/>
      <c r="R186" s="631"/>
      <c r="S186" s="631"/>
      <c r="T186" s="631"/>
      <c r="U186" s="631"/>
      <c r="V186" s="631"/>
      <c r="W186" s="631"/>
      <c r="X186" s="631"/>
      <c r="Y186" s="631"/>
    </row>
    <row r="187">
      <c r="A187" s="631"/>
      <c r="B187" s="631"/>
      <c r="C187" s="631"/>
      <c r="D187" s="631"/>
      <c r="E187" s="441"/>
      <c r="F187" s="631"/>
      <c r="G187" s="631"/>
      <c r="H187" s="631"/>
      <c r="I187" s="631"/>
      <c r="J187" s="631"/>
      <c r="K187" s="631"/>
      <c r="L187" s="631"/>
      <c r="M187" s="631"/>
      <c r="N187" s="631"/>
      <c r="O187" s="631"/>
      <c r="P187" s="631"/>
      <c r="Q187" s="631"/>
      <c r="R187" s="631"/>
      <c r="S187" s="631"/>
      <c r="T187" s="631"/>
      <c r="U187" s="631"/>
      <c r="V187" s="631"/>
      <c r="W187" s="631"/>
      <c r="X187" s="631"/>
      <c r="Y187" s="631"/>
    </row>
    <row r="188">
      <c r="A188" s="631"/>
      <c r="B188" s="631"/>
      <c r="C188" s="631"/>
      <c r="D188" s="631"/>
      <c r="E188" s="441"/>
      <c r="F188" s="631"/>
      <c r="G188" s="631"/>
      <c r="H188" s="631"/>
      <c r="I188" s="631"/>
      <c r="J188" s="631"/>
      <c r="K188" s="631"/>
      <c r="L188" s="631"/>
      <c r="M188" s="631"/>
      <c r="N188" s="631"/>
      <c r="O188" s="631"/>
      <c r="P188" s="631"/>
      <c r="Q188" s="631"/>
      <c r="R188" s="631"/>
      <c r="S188" s="631"/>
      <c r="T188" s="631"/>
      <c r="U188" s="631"/>
      <c r="V188" s="631"/>
      <c r="W188" s="631"/>
      <c r="X188" s="631"/>
      <c r="Y188" s="631"/>
    </row>
    <row r="189">
      <c r="A189" s="631"/>
      <c r="B189" s="631"/>
      <c r="C189" s="631"/>
      <c r="D189" s="631"/>
      <c r="E189" s="441"/>
      <c r="F189" s="631"/>
      <c r="G189" s="631"/>
      <c r="H189" s="631"/>
      <c r="I189" s="631"/>
      <c r="J189" s="631"/>
      <c r="K189" s="631"/>
      <c r="L189" s="631"/>
      <c r="M189" s="631"/>
      <c r="N189" s="631"/>
      <c r="O189" s="631"/>
      <c r="P189" s="631"/>
      <c r="Q189" s="631"/>
      <c r="R189" s="631"/>
      <c r="S189" s="631"/>
      <c r="T189" s="631"/>
      <c r="U189" s="631"/>
      <c r="V189" s="631"/>
      <c r="W189" s="631"/>
      <c r="X189" s="631"/>
      <c r="Y189" s="631"/>
    </row>
    <row r="190">
      <c r="A190" s="631"/>
      <c r="B190" s="631"/>
      <c r="C190" s="631"/>
      <c r="D190" s="631"/>
      <c r="E190" s="441"/>
      <c r="F190" s="631"/>
      <c r="G190" s="631"/>
      <c r="H190" s="631"/>
      <c r="I190" s="631"/>
      <c r="J190" s="631"/>
      <c r="K190" s="631"/>
      <c r="L190" s="631"/>
      <c r="M190" s="631"/>
      <c r="N190" s="631"/>
      <c r="O190" s="631"/>
      <c r="P190" s="631"/>
      <c r="Q190" s="631"/>
      <c r="R190" s="631"/>
      <c r="S190" s="631"/>
      <c r="T190" s="631"/>
      <c r="U190" s="631"/>
      <c r="V190" s="631"/>
      <c r="W190" s="631"/>
      <c r="X190" s="631"/>
      <c r="Y190" s="631"/>
    </row>
    <row r="191">
      <c r="A191" s="631"/>
      <c r="B191" s="631"/>
      <c r="C191" s="631"/>
      <c r="D191" s="631"/>
      <c r="E191" s="441"/>
      <c r="F191" s="631"/>
      <c r="G191" s="631"/>
      <c r="H191" s="631"/>
      <c r="I191" s="631"/>
      <c r="J191" s="631"/>
      <c r="K191" s="631"/>
      <c r="L191" s="631"/>
      <c r="M191" s="631"/>
      <c r="N191" s="631"/>
      <c r="O191" s="631"/>
      <c r="P191" s="631"/>
      <c r="Q191" s="631"/>
      <c r="R191" s="631"/>
      <c r="S191" s="631"/>
      <c r="T191" s="631"/>
      <c r="U191" s="631"/>
      <c r="V191" s="631"/>
      <c r="W191" s="631"/>
      <c r="X191" s="631"/>
      <c r="Y191" s="631"/>
    </row>
    <row r="192">
      <c r="A192" s="631"/>
      <c r="B192" s="631"/>
      <c r="C192" s="631"/>
      <c r="D192" s="631"/>
      <c r="E192" s="441"/>
      <c r="F192" s="631"/>
      <c r="G192" s="631"/>
      <c r="H192" s="631"/>
      <c r="I192" s="631"/>
      <c r="J192" s="631"/>
      <c r="K192" s="631"/>
      <c r="L192" s="631"/>
      <c r="M192" s="631"/>
      <c r="N192" s="631"/>
      <c r="O192" s="631"/>
      <c r="P192" s="631"/>
      <c r="Q192" s="631"/>
      <c r="R192" s="631"/>
      <c r="S192" s="631"/>
      <c r="T192" s="631"/>
      <c r="U192" s="631"/>
      <c r="V192" s="631"/>
      <c r="W192" s="631"/>
      <c r="X192" s="631"/>
      <c r="Y192" s="631"/>
    </row>
    <row r="193">
      <c r="A193" s="631"/>
      <c r="B193" s="631"/>
      <c r="C193" s="631"/>
      <c r="D193" s="631"/>
      <c r="E193" s="441"/>
      <c r="F193" s="631"/>
      <c r="G193" s="631"/>
      <c r="H193" s="631"/>
      <c r="I193" s="631"/>
      <c r="J193" s="631"/>
      <c r="K193" s="631"/>
      <c r="L193" s="631"/>
      <c r="M193" s="631"/>
      <c r="N193" s="631"/>
      <c r="O193" s="631"/>
      <c r="P193" s="631"/>
      <c r="Q193" s="631"/>
      <c r="R193" s="631"/>
      <c r="S193" s="631"/>
      <c r="T193" s="631"/>
      <c r="U193" s="631"/>
      <c r="V193" s="631"/>
      <c r="W193" s="631"/>
      <c r="X193" s="631"/>
      <c r="Y193" s="631"/>
    </row>
    <row r="194">
      <c r="A194" s="631"/>
      <c r="B194" s="631"/>
      <c r="C194" s="631"/>
      <c r="D194" s="631"/>
      <c r="E194" s="441"/>
      <c r="F194" s="631"/>
      <c r="G194" s="631"/>
      <c r="H194" s="631"/>
      <c r="I194" s="631"/>
      <c r="J194" s="631"/>
      <c r="K194" s="631"/>
      <c r="L194" s="631"/>
      <c r="M194" s="631"/>
      <c r="N194" s="631"/>
      <c r="O194" s="631"/>
      <c r="P194" s="631"/>
      <c r="Q194" s="631"/>
      <c r="R194" s="631"/>
      <c r="S194" s="631"/>
      <c r="T194" s="631"/>
      <c r="U194" s="631"/>
      <c r="V194" s="631"/>
      <c r="W194" s="631"/>
      <c r="X194" s="631"/>
      <c r="Y194" s="631"/>
    </row>
    <row r="195">
      <c r="A195" s="631"/>
      <c r="B195" s="631"/>
      <c r="C195" s="631"/>
      <c r="D195" s="631"/>
      <c r="E195" s="441"/>
      <c r="F195" s="631"/>
      <c r="G195" s="631"/>
      <c r="H195" s="631"/>
      <c r="I195" s="631"/>
      <c r="J195" s="631"/>
      <c r="K195" s="631"/>
      <c r="L195" s="631"/>
      <c r="M195" s="631"/>
      <c r="N195" s="631"/>
      <c r="O195" s="631"/>
      <c r="P195" s="631"/>
      <c r="Q195" s="631"/>
      <c r="R195" s="631"/>
      <c r="S195" s="631"/>
      <c r="T195" s="631"/>
      <c r="U195" s="631"/>
      <c r="V195" s="631"/>
      <c r="W195" s="631"/>
      <c r="X195" s="631"/>
      <c r="Y195" s="631"/>
    </row>
    <row r="196">
      <c r="A196" s="631"/>
      <c r="B196" s="631"/>
      <c r="C196" s="631"/>
      <c r="D196" s="631"/>
      <c r="E196" s="441"/>
      <c r="F196" s="631"/>
      <c r="G196" s="631"/>
      <c r="H196" s="631"/>
      <c r="I196" s="631"/>
      <c r="J196" s="631"/>
      <c r="K196" s="631"/>
      <c r="L196" s="631"/>
      <c r="M196" s="631"/>
      <c r="N196" s="631"/>
      <c r="O196" s="631"/>
      <c r="P196" s="631"/>
      <c r="Q196" s="631"/>
      <c r="R196" s="631"/>
      <c r="S196" s="631"/>
      <c r="T196" s="631"/>
      <c r="U196" s="631"/>
      <c r="V196" s="631"/>
      <c r="W196" s="631"/>
      <c r="X196" s="631"/>
      <c r="Y196" s="631"/>
    </row>
    <row r="197">
      <c r="A197" s="631"/>
      <c r="B197" s="631"/>
      <c r="C197" s="631"/>
      <c r="D197" s="631"/>
      <c r="E197" s="441"/>
      <c r="F197" s="631"/>
      <c r="G197" s="631"/>
      <c r="H197" s="631"/>
      <c r="I197" s="631"/>
      <c r="J197" s="631"/>
      <c r="K197" s="631"/>
      <c r="L197" s="631"/>
      <c r="M197" s="631"/>
      <c r="N197" s="631"/>
      <c r="O197" s="631"/>
      <c r="P197" s="631"/>
      <c r="Q197" s="631"/>
      <c r="R197" s="631"/>
      <c r="S197" s="631"/>
      <c r="T197" s="631"/>
      <c r="U197" s="631"/>
      <c r="V197" s="631"/>
      <c r="W197" s="631"/>
      <c r="X197" s="631"/>
      <c r="Y197" s="631"/>
    </row>
    <row r="198">
      <c r="A198" s="631"/>
      <c r="B198" s="631"/>
      <c r="C198" s="631"/>
      <c r="D198" s="631"/>
      <c r="E198" s="441"/>
      <c r="F198" s="631"/>
      <c r="G198" s="631"/>
      <c r="H198" s="631"/>
      <c r="I198" s="631"/>
      <c r="J198" s="631"/>
      <c r="K198" s="631"/>
      <c r="L198" s="631"/>
      <c r="M198" s="631"/>
      <c r="N198" s="631"/>
      <c r="O198" s="631"/>
      <c r="P198" s="631"/>
      <c r="Q198" s="631"/>
      <c r="R198" s="631"/>
      <c r="S198" s="631"/>
      <c r="T198" s="631"/>
      <c r="U198" s="631"/>
      <c r="V198" s="631"/>
      <c r="W198" s="631"/>
      <c r="X198" s="631"/>
      <c r="Y198" s="631"/>
    </row>
    <row r="199">
      <c r="A199" s="631"/>
      <c r="B199" s="631"/>
      <c r="C199" s="631"/>
      <c r="D199" s="631"/>
      <c r="E199" s="441"/>
      <c r="F199" s="631"/>
      <c r="G199" s="631"/>
      <c r="H199" s="631"/>
      <c r="I199" s="631"/>
      <c r="J199" s="631"/>
      <c r="K199" s="631"/>
      <c r="L199" s="631"/>
      <c r="M199" s="631"/>
      <c r="N199" s="631"/>
      <c r="O199" s="631"/>
      <c r="P199" s="631"/>
      <c r="Q199" s="631"/>
      <c r="R199" s="631"/>
      <c r="S199" s="631"/>
      <c r="T199" s="631"/>
      <c r="U199" s="631"/>
      <c r="V199" s="631"/>
      <c r="W199" s="631"/>
      <c r="X199" s="631"/>
      <c r="Y199" s="631"/>
    </row>
    <row r="200">
      <c r="A200" s="631"/>
      <c r="B200" s="631"/>
      <c r="C200" s="631"/>
      <c r="D200" s="631"/>
      <c r="E200" s="441"/>
      <c r="F200" s="631"/>
      <c r="G200" s="631"/>
      <c r="H200" s="631"/>
      <c r="I200" s="631"/>
      <c r="J200" s="631"/>
      <c r="K200" s="631"/>
      <c r="L200" s="631"/>
      <c r="M200" s="631"/>
      <c r="N200" s="631"/>
      <c r="O200" s="631"/>
      <c r="P200" s="631"/>
      <c r="Q200" s="631"/>
      <c r="R200" s="631"/>
      <c r="S200" s="631"/>
      <c r="T200" s="631"/>
      <c r="U200" s="631"/>
      <c r="V200" s="631"/>
      <c r="W200" s="631"/>
      <c r="X200" s="631"/>
      <c r="Y200" s="631"/>
    </row>
    <row r="201">
      <c r="A201" s="631"/>
      <c r="B201" s="631"/>
      <c r="C201" s="631"/>
      <c r="D201" s="631"/>
      <c r="E201" s="441"/>
      <c r="F201" s="631"/>
      <c r="G201" s="631"/>
      <c r="H201" s="631"/>
      <c r="I201" s="631"/>
      <c r="J201" s="631"/>
      <c r="K201" s="631"/>
      <c r="L201" s="631"/>
      <c r="M201" s="631"/>
      <c r="N201" s="631"/>
      <c r="O201" s="631"/>
      <c r="P201" s="631"/>
      <c r="Q201" s="631"/>
      <c r="R201" s="631"/>
      <c r="S201" s="631"/>
      <c r="T201" s="631"/>
      <c r="U201" s="631"/>
      <c r="V201" s="631"/>
      <c r="W201" s="631"/>
      <c r="X201" s="631"/>
      <c r="Y201" s="631"/>
    </row>
    <row r="202">
      <c r="A202" s="631"/>
      <c r="B202" s="631"/>
      <c r="C202" s="631"/>
      <c r="D202" s="631"/>
      <c r="E202" s="441"/>
      <c r="F202" s="631"/>
      <c r="G202" s="631"/>
      <c r="H202" s="631"/>
      <c r="I202" s="631"/>
      <c r="J202" s="631"/>
      <c r="K202" s="631"/>
      <c r="L202" s="631"/>
      <c r="M202" s="631"/>
      <c r="N202" s="631"/>
      <c r="O202" s="631"/>
      <c r="P202" s="631"/>
      <c r="Q202" s="631"/>
      <c r="R202" s="631"/>
      <c r="S202" s="631"/>
      <c r="T202" s="631"/>
      <c r="U202" s="631"/>
      <c r="V202" s="631"/>
      <c r="W202" s="631"/>
      <c r="X202" s="631"/>
      <c r="Y202" s="631"/>
    </row>
    <row r="203">
      <c r="A203" s="631"/>
      <c r="B203" s="631"/>
      <c r="C203" s="631"/>
      <c r="D203" s="631"/>
      <c r="E203" s="441"/>
      <c r="F203" s="631"/>
      <c r="G203" s="631"/>
      <c r="H203" s="631"/>
      <c r="I203" s="631"/>
      <c r="J203" s="631"/>
      <c r="K203" s="631"/>
      <c r="L203" s="631"/>
      <c r="M203" s="631"/>
      <c r="N203" s="631"/>
      <c r="O203" s="631"/>
      <c r="P203" s="631"/>
      <c r="Q203" s="631"/>
      <c r="R203" s="631"/>
      <c r="S203" s="631"/>
      <c r="T203" s="631"/>
      <c r="U203" s="631"/>
      <c r="V203" s="631"/>
      <c r="W203" s="631"/>
      <c r="X203" s="631"/>
      <c r="Y203" s="631"/>
    </row>
    <row r="204">
      <c r="A204" s="631"/>
      <c r="B204" s="631"/>
      <c r="C204" s="631"/>
      <c r="D204" s="631"/>
      <c r="E204" s="441"/>
      <c r="F204" s="631"/>
      <c r="G204" s="631"/>
      <c r="H204" s="631"/>
      <c r="I204" s="631"/>
      <c r="J204" s="631"/>
      <c r="K204" s="631"/>
      <c r="L204" s="631"/>
      <c r="M204" s="631"/>
      <c r="N204" s="631"/>
      <c r="O204" s="631"/>
      <c r="P204" s="631"/>
      <c r="Q204" s="631"/>
      <c r="R204" s="631"/>
      <c r="S204" s="631"/>
      <c r="T204" s="631"/>
      <c r="U204" s="631"/>
      <c r="V204" s="631"/>
      <c r="W204" s="631"/>
      <c r="X204" s="631"/>
      <c r="Y204" s="631"/>
    </row>
    <row r="205">
      <c r="A205" s="631"/>
      <c r="B205" s="631"/>
      <c r="C205" s="631"/>
      <c r="D205" s="631"/>
      <c r="E205" s="441"/>
      <c r="F205" s="631"/>
      <c r="G205" s="631"/>
      <c r="H205" s="631"/>
      <c r="I205" s="631"/>
      <c r="J205" s="631"/>
      <c r="K205" s="631"/>
      <c r="L205" s="631"/>
      <c r="M205" s="631"/>
      <c r="N205" s="631"/>
      <c r="O205" s="631"/>
      <c r="P205" s="631"/>
      <c r="Q205" s="631"/>
      <c r="R205" s="631"/>
      <c r="S205" s="631"/>
      <c r="T205" s="631"/>
      <c r="U205" s="631"/>
      <c r="V205" s="631"/>
      <c r="W205" s="631"/>
      <c r="X205" s="631"/>
      <c r="Y205" s="631"/>
    </row>
    <row r="206">
      <c r="A206" s="631"/>
      <c r="B206" s="631"/>
      <c r="C206" s="631"/>
      <c r="D206" s="631"/>
      <c r="E206" s="441"/>
      <c r="F206" s="631"/>
      <c r="G206" s="631"/>
      <c r="H206" s="631"/>
      <c r="I206" s="631"/>
      <c r="J206" s="631"/>
      <c r="K206" s="631"/>
      <c r="L206" s="631"/>
      <c r="M206" s="631"/>
      <c r="N206" s="631"/>
      <c r="O206" s="631"/>
      <c r="P206" s="631"/>
      <c r="Q206" s="631"/>
      <c r="R206" s="631"/>
      <c r="S206" s="631"/>
      <c r="T206" s="631"/>
      <c r="U206" s="631"/>
      <c r="V206" s="631"/>
      <c r="W206" s="631"/>
      <c r="X206" s="631"/>
      <c r="Y206" s="631"/>
    </row>
    <row r="207">
      <c r="A207" s="631"/>
      <c r="B207" s="631"/>
      <c r="C207" s="631"/>
      <c r="D207" s="631"/>
      <c r="E207" s="441"/>
      <c r="F207" s="631"/>
      <c r="G207" s="631"/>
      <c r="H207" s="631"/>
      <c r="I207" s="631"/>
      <c r="J207" s="631"/>
      <c r="K207" s="631"/>
      <c r="L207" s="631"/>
      <c r="M207" s="631"/>
      <c r="N207" s="631"/>
      <c r="O207" s="631"/>
      <c r="P207" s="631"/>
      <c r="Q207" s="631"/>
      <c r="R207" s="631"/>
      <c r="S207" s="631"/>
      <c r="T207" s="631"/>
      <c r="U207" s="631"/>
      <c r="V207" s="631"/>
      <c r="W207" s="631"/>
      <c r="X207" s="631"/>
      <c r="Y207" s="631"/>
    </row>
    <row r="208">
      <c r="A208" s="631"/>
      <c r="B208" s="631"/>
      <c r="C208" s="631"/>
      <c r="D208" s="631"/>
      <c r="E208" s="441"/>
      <c r="F208" s="631"/>
      <c r="G208" s="631"/>
      <c r="H208" s="631"/>
      <c r="I208" s="631"/>
      <c r="J208" s="631"/>
      <c r="K208" s="631"/>
      <c r="L208" s="631"/>
      <c r="M208" s="631"/>
      <c r="N208" s="631"/>
      <c r="O208" s="631"/>
      <c r="P208" s="631"/>
      <c r="Q208" s="631"/>
      <c r="R208" s="631"/>
      <c r="S208" s="631"/>
      <c r="T208" s="631"/>
      <c r="U208" s="631"/>
      <c r="V208" s="631"/>
      <c r="W208" s="631"/>
      <c r="X208" s="631"/>
      <c r="Y208" s="631"/>
    </row>
    <row r="209">
      <c r="A209" s="631"/>
      <c r="B209" s="631"/>
      <c r="C209" s="631"/>
      <c r="D209" s="631"/>
      <c r="E209" s="441"/>
      <c r="F209" s="631"/>
      <c r="G209" s="631"/>
      <c r="H209" s="631"/>
      <c r="I209" s="631"/>
      <c r="J209" s="631"/>
      <c r="K209" s="631"/>
      <c r="L209" s="631"/>
      <c r="M209" s="631"/>
      <c r="N209" s="631"/>
      <c r="O209" s="631"/>
      <c r="P209" s="631"/>
      <c r="Q209" s="631"/>
      <c r="R209" s="631"/>
      <c r="S209" s="631"/>
      <c r="T209" s="631"/>
      <c r="U209" s="631"/>
      <c r="V209" s="631"/>
      <c r="W209" s="631"/>
      <c r="X209" s="631"/>
      <c r="Y209" s="631"/>
    </row>
    <row r="210">
      <c r="A210" s="631"/>
      <c r="B210" s="631"/>
      <c r="C210" s="631"/>
      <c r="D210" s="631"/>
      <c r="E210" s="441"/>
      <c r="F210" s="631"/>
      <c r="G210" s="631"/>
      <c r="H210" s="631"/>
      <c r="I210" s="631"/>
      <c r="J210" s="631"/>
      <c r="K210" s="631"/>
      <c r="L210" s="631"/>
      <c r="M210" s="631"/>
      <c r="N210" s="631"/>
      <c r="O210" s="631"/>
      <c r="P210" s="631"/>
      <c r="Q210" s="631"/>
      <c r="R210" s="631"/>
      <c r="S210" s="631"/>
      <c r="T210" s="631"/>
      <c r="U210" s="631"/>
      <c r="V210" s="631"/>
      <c r="W210" s="631"/>
      <c r="X210" s="631"/>
      <c r="Y210" s="631"/>
    </row>
    <row r="211">
      <c r="A211" s="631"/>
      <c r="B211" s="631"/>
      <c r="C211" s="631"/>
      <c r="D211" s="631"/>
      <c r="E211" s="441"/>
      <c r="F211" s="631"/>
      <c r="G211" s="631"/>
      <c r="H211" s="631"/>
      <c r="I211" s="631"/>
      <c r="J211" s="631"/>
      <c r="K211" s="631"/>
      <c r="L211" s="631"/>
      <c r="M211" s="631"/>
      <c r="N211" s="631"/>
      <c r="O211" s="631"/>
      <c r="P211" s="631"/>
      <c r="Q211" s="631"/>
      <c r="R211" s="631"/>
      <c r="S211" s="631"/>
      <c r="T211" s="631"/>
      <c r="U211" s="631"/>
      <c r="V211" s="631"/>
      <c r="W211" s="631"/>
      <c r="X211" s="631"/>
      <c r="Y211" s="631"/>
    </row>
    <row r="212">
      <c r="A212" s="631"/>
      <c r="B212" s="631"/>
      <c r="C212" s="631"/>
      <c r="D212" s="631"/>
      <c r="E212" s="441"/>
      <c r="F212" s="631"/>
      <c r="G212" s="631"/>
      <c r="H212" s="631"/>
      <c r="I212" s="631"/>
      <c r="J212" s="631"/>
      <c r="K212" s="631"/>
      <c r="L212" s="631"/>
      <c r="M212" s="631"/>
      <c r="N212" s="631"/>
      <c r="O212" s="631"/>
      <c r="P212" s="631"/>
      <c r="Q212" s="631"/>
      <c r="R212" s="631"/>
      <c r="S212" s="631"/>
      <c r="T212" s="631"/>
      <c r="U212" s="631"/>
      <c r="V212" s="631"/>
      <c r="W212" s="631"/>
      <c r="X212" s="631"/>
      <c r="Y212" s="631"/>
    </row>
    <row r="213">
      <c r="A213" s="631"/>
      <c r="B213" s="631"/>
      <c r="C213" s="631"/>
      <c r="D213" s="631"/>
      <c r="E213" s="441"/>
      <c r="F213" s="631"/>
      <c r="G213" s="631"/>
      <c r="H213" s="631"/>
      <c r="I213" s="631"/>
      <c r="J213" s="631"/>
      <c r="K213" s="631"/>
      <c r="L213" s="631"/>
      <c r="M213" s="631"/>
      <c r="N213" s="631"/>
      <c r="O213" s="631"/>
      <c r="P213" s="631"/>
      <c r="Q213" s="631"/>
      <c r="R213" s="631"/>
      <c r="S213" s="631"/>
      <c r="T213" s="631"/>
      <c r="U213" s="631"/>
      <c r="V213" s="631"/>
      <c r="W213" s="631"/>
      <c r="X213" s="631"/>
      <c r="Y213" s="631"/>
    </row>
    <row r="214">
      <c r="A214" s="631"/>
      <c r="B214" s="631"/>
      <c r="C214" s="631"/>
      <c r="D214" s="631"/>
      <c r="E214" s="441"/>
      <c r="F214" s="631"/>
      <c r="G214" s="631"/>
      <c r="H214" s="631"/>
      <c r="I214" s="631"/>
      <c r="J214" s="631"/>
      <c r="K214" s="631"/>
      <c r="L214" s="631"/>
      <c r="M214" s="631"/>
      <c r="N214" s="631"/>
      <c r="O214" s="631"/>
      <c r="P214" s="631"/>
      <c r="Q214" s="631"/>
      <c r="R214" s="631"/>
      <c r="S214" s="631"/>
      <c r="T214" s="631"/>
      <c r="U214" s="631"/>
      <c r="V214" s="631"/>
      <c r="W214" s="631"/>
      <c r="X214" s="631"/>
      <c r="Y214" s="631"/>
    </row>
    <row r="215">
      <c r="A215" s="631"/>
      <c r="B215" s="631"/>
      <c r="C215" s="631"/>
      <c r="D215" s="631"/>
      <c r="E215" s="441"/>
      <c r="F215" s="631"/>
      <c r="G215" s="631"/>
      <c r="H215" s="631"/>
      <c r="I215" s="631"/>
      <c r="J215" s="631"/>
      <c r="K215" s="631"/>
      <c r="L215" s="631"/>
      <c r="M215" s="631"/>
      <c r="N215" s="631"/>
      <c r="O215" s="631"/>
      <c r="P215" s="631"/>
      <c r="Q215" s="631"/>
      <c r="R215" s="631"/>
      <c r="S215" s="631"/>
      <c r="T215" s="631"/>
      <c r="U215" s="631"/>
      <c r="V215" s="631"/>
      <c r="W215" s="631"/>
      <c r="X215" s="631"/>
      <c r="Y215" s="631"/>
    </row>
    <row r="216">
      <c r="A216" s="631"/>
      <c r="B216" s="631"/>
      <c r="C216" s="631"/>
      <c r="D216" s="631"/>
      <c r="E216" s="441"/>
      <c r="F216" s="631"/>
      <c r="G216" s="631"/>
      <c r="H216" s="631"/>
      <c r="I216" s="631"/>
      <c r="J216" s="631"/>
      <c r="K216" s="631"/>
      <c r="L216" s="631"/>
      <c r="M216" s="631"/>
      <c r="N216" s="631"/>
      <c r="O216" s="631"/>
      <c r="P216" s="631"/>
      <c r="Q216" s="631"/>
      <c r="R216" s="631"/>
      <c r="S216" s="631"/>
      <c r="T216" s="631"/>
      <c r="U216" s="631"/>
      <c r="V216" s="631"/>
      <c r="W216" s="631"/>
      <c r="X216" s="631"/>
      <c r="Y216" s="631"/>
    </row>
    <row r="217">
      <c r="A217" s="631"/>
      <c r="B217" s="631"/>
      <c r="C217" s="631"/>
      <c r="D217" s="631"/>
      <c r="E217" s="441"/>
      <c r="F217" s="631"/>
      <c r="G217" s="631"/>
      <c r="H217" s="631"/>
      <c r="I217" s="631"/>
      <c r="J217" s="631"/>
      <c r="K217" s="631"/>
      <c r="L217" s="631"/>
      <c r="M217" s="631"/>
      <c r="N217" s="631"/>
      <c r="O217" s="631"/>
      <c r="P217" s="631"/>
      <c r="Q217" s="631"/>
      <c r="R217" s="631"/>
      <c r="S217" s="631"/>
      <c r="T217" s="631"/>
      <c r="U217" s="631"/>
      <c r="V217" s="631"/>
      <c r="W217" s="631"/>
      <c r="X217" s="631"/>
      <c r="Y217" s="631"/>
    </row>
    <row r="218">
      <c r="A218" s="631"/>
      <c r="B218" s="631"/>
      <c r="C218" s="631"/>
      <c r="D218" s="631"/>
      <c r="E218" s="441"/>
      <c r="F218" s="631"/>
      <c r="G218" s="631"/>
      <c r="H218" s="631"/>
      <c r="I218" s="631"/>
      <c r="J218" s="631"/>
      <c r="K218" s="631"/>
      <c r="L218" s="631"/>
      <c r="M218" s="631"/>
      <c r="N218" s="631"/>
      <c r="O218" s="631"/>
      <c r="P218" s="631"/>
      <c r="Q218" s="631"/>
      <c r="R218" s="631"/>
      <c r="S218" s="631"/>
      <c r="T218" s="631"/>
      <c r="U218" s="631"/>
      <c r="V218" s="631"/>
      <c r="W218" s="631"/>
      <c r="X218" s="631"/>
      <c r="Y218" s="631"/>
    </row>
    <row r="219">
      <c r="A219" s="631"/>
      <c r="B219" s="631"/>
      <c r="C219" s="631"/>
      <c r="D219" s="631"/>
      <c r="E219" s="441"/>
      <c r="F219" s="631"/>
      <c r="G219" s="631"/>
      <c r="H219" s="631"/>
      <c r="I219" s="631"/>
      <c r="J219" s="631"/>
      <c r="K219" s="631"/>
      <c r="L219" s="631"/>
      <c r="M219" s="631"/>
      <c r="N219" s="631"/>
      <c r="O219" s="631"/>
      <c r="P219" s="631"/>
      <c r="Q219" s="631"/>
      <c r="R219" s="631"/>
      <c r="S219" s="631"/>
      <c r="T219" s="631"/>
      <c r="U219" s="631"/>
      <c r="V219" s="631"/>
      <c r="W219" s="631"/>
      <c r="X219" s="631"/>
      <c r="Y219" s="631"/>
    </row>
    <row r="220">
      <c r="A220" s="631"/>
      <c r="B220" s="631"/>
      <c r="C220" s="631"/>
      <c r="D220" s="631"/>
      <c r="E220" s="441"/>
      <c r="F220" s="631"/>
      <c r="G220" s="631"/>
      <c r="H220" s="631"/>
      <c r="I220" s="631"/>
      <c r="J220" s="631"/>
      <c r="K220" s="631"/>
      <c r="L220" s="631"/>
      <c r="M220" s="631"/>
      <c r="N220" s="631"/>
      <c r="O220" s="631"/>
      <c r="P220" s="631"/>
      <c r="Q220" s="631"/>
      <c r="R220" s="631"/>
      <c r="S220" s="631"/>
      <c r="T220" s="631"/>
      <c r="U220" s="631"/>
      <c r="V220" s="631"/>
      <c r="W220" s="631"/>
      <c r="X220" s="631"/>
      <c r="Y220" s="631"/>
    </row>
    <row r="221">
      <c r="A221" s="631"/>
      <c r="B221" s="631"/>
      <c r="C221" s="631"/>
      <c r="D221" s="631"/>
      <c r="E221" s="441"/>
      <c r="F221" s="631"/>
      <c r="G221" s="631"/>
      <c r="H221" s="631"/>
      <c r="I221" s="631"/>
      <c r="J221" s="631"/>
      <c r="K221" s="631"/>
      <c r="L221" s="631"/>
      <c r="M221" s="631"/>
      <c r="N221" s="631"/>
      <c r="O221" s="631"/>
      <c r="P221" s="631"/>
      <c r="Q221" s="631"/>
      <c r="R221" s="631"/>
      <c r="S221" s="631"/>
      <c r="T221" s="631"/>
      <c r="U221" s="631"/>
      <c r="V221" s="631"/>
      <c r="W221" s="631"/>
      <c r="X221" s="631"/>
      <c r="Y221" s="631"/>
    </row>
    <row r="222">
      <c r="A222" s="631"/>
      <c r="B222" s="631"/>
      <c r="C222" s="631"/>
      <c r="D222" s="631"/>
      <c r="E222" s="441"/>
      <c r="F222" s="631"/>
      <c r="G222" s="631"/>
      <c r="H222" s="631"/>
      <c r="I222" s="631"/>
      <c r="J222" s="631"/>
      <c r="K222" s="631"/>
      <c r="L222" s="631"/>
      <c r="M222" s="631"/>
      <c r="N222" s="631"/>
      <c r="O222" s="631"/>
      <c r="P222" s="631"/>
      <c r="Q222" s="631"/>
      <c r="R222" s="631"/>
      <c r="S222" s="631"/>
      <c r="T222" s="631"/>
      <c r="U222" s="631"/>
      <c r="V222" s="631"/>
      <c r="W222" s="631"/>
      <c r="X222" s="631"/>
      <c r="Y222" s="631"/>
    </row>
    <row r="223">
      <c r="A223" s="631"/>
      <c r="B223" s="631"/>
      <c r="C223" s="631"/>
      <c r="D223" s="631"/>
      <c r="E223" s="441"/>
      <c r="F223" s="631"/>
      <c r="G223" s="631"/>
      <c r="H223" s="631"/>
      <c r="I223" s="631"/>
      <c r="J223" s="631"/>
      <c r="K223" s="631"/>
      <c r="L223" s="631"/>
      <c r="M223" s="631"/>
      <c r="N223" s="631"/>
      <c r="O223" s="631"/>
      <c r="P223" s="631"/>
      <c r="Q223" s="631"/>
      <c r="R223" s="631"/>
      <c r="S223" s="631"/>
      <c r="T223" s="631"/>
      <c r="U223" s="631"/>
      <c r="V223" s="631"/>
      <c r="W223" s="631"/>
      <c r="X223" s="631"/>
      <c r="Y223" s="631"/>
    </row>
    <row r="224">
      <c r="A224" s="631"/>
      <c r="B224" s="631"/>
      <c r="C224" s="631"/>
      <c r="D224" s="631"/>
      <c r="E224" s="441"/>
      <c r="F224" s="631"/>
      <c r="G224" s="631"/>
      <c r="H224" s="631"/>
      <c r="I224" s="631"/>
      <c r="J224" s="631"/>
      <c r="K224" s="631"/>
      <c r="L224" s="631"/>
      <c r="M224" s="631"/>
      <c r="N224" s="631"/>
      <c r="O224" s="631"/>
      <c r="P224" s="631"/>
      <c r="Q224" s="631"/>
      <c r="R224" s="631"/>
      <c r="S224" s="631"/>
      <c r="T224" s="631"/>
      <c r="U224" s="631"/>
      <c r="V224" s="631"/>
      <c r="W224" s="631"/>
      <c r="X224" s="631"/>
      <c r="Y224" s="631"/>
    </row>
    <row r="225">
      <c r="A225" s="631"/>
      <c r="B225" s="631"/>
      <c r="C225" s="631"/>
      <c r="D225" s="631"/>
      <c r="E225" s="441"/>
      <c r="F225" s="631"/>
      <c r="G225" s="631"/>
      <c r="H225" s="631"/>
      <c r="I225" s="631"/>
      <c r="J225" s="631"/>
      <c r="K225" s="631"/>
      <c r="L225" s="631"/>
      <c r="M225" s="631"/>
      <c r="N225" s="631"/>
      <c r="O225" s="631"/>
      <c r="P225" s="631"/>
      <c r="Q225" s="631"/>
      <c r="R225" s="631"/>
      <c r="S225" s="631"/>
      <c r="T225" s="631"/>
      <c r="U225" s="631"/>
      <c r="V225" s="631"/>
      <c r="W225" s="631"/>
      <c r="X225" s="631"/>
      <c r="Y225" s="631"/>
    </row>
    <row r="226">
      <c r="A226" s="631"/>
      <c r="B226" s="631"/>
      <c r="C226" s="631"/>
      <c r="D226" s="631"/>
      <c r="E226" s="441"/>
      <c r="F226" s="631"/>
      <c r="G226" s="631"/>
      <c r="H226" s="631"/>
      <c r="I226" s="631"/>
      <c r="J226" s="631"/>
      <c r="K226" s="631"/>
      <c r="L226" s="631"/>
      <c r="M226" s="631"/>
      <c r="N226" s="631"/>
      <c r="O226" s="631"/>
      <c r="P226" s="631"/>
      <c r="Q226" s="631"/>
      <c r="R226" s="631"/>
      <c r="S226" s="631"/>
      <c r="T226" s="631"/>
      <c r="U226" s="631"/>
      <c r="V226" s="631"/>
      <c r="W226" s="631"/>
      <c r="X226" s="631"/>
      <c r="Y226" s="631"/>
    </row>
    <row r="227">
      <c r="A227" s="631"/>
      <c r="B227" s="631"/>
      <c r="C227" s="631"/>
      <c r="D227" s="631"/>
      <c r="E227" s="441"/>
      <c r="F227" s="631"/>
      <c r="G227" s="631"/>
      <c r="H227" s="631"/>
      <c r="I227" s="631"/>
      <c r="J227" s="631"/>
      <c r="K227" s="631"/>
      <c r="L227" s="631"/>
      <c r="M227" s="631"/>
      <c r="N227" s="631"/>
      <c r="O227" s="631"/>
      <c r="P227" s="631"/>
      <c r="Q227" s="631"/>
      <c r="R227" s="631"/>
      <c r="S227" s="631"/>
      <c r="T227" s="631"/>
      <c r="U227" s="631"/>
      <c r="V227" s="631"/>
      <c r="W227" s="631"/>
      <c r="X227" s="631"/>
      <c r="Y227" s="631"/>
    </row>
    <row r="228">
      <c r="A228" s="631"/>
      <c r="B228" s="631"/>
      <c r="C228" s="631"/>
      <c r="D228" s="631"/>
      <c r="E228" s="441"/>
      <c r="F228" s="631"/>
      <c r="G228" s="631"/>
      <c r="H228" s="631"/>
      <c r="I228" s="631"/>
      <c r="J228" s="631"/>
      <c r="K228" s="631"/>
      <c r="L228" s="631"/>
      <c r="M228" s="631"/>
      <c r="N228" s="631"/>
      <c r="O228" s="631"/>
      <c r="P228" s="631"/>
      <c r="Q228" s="631"/>
      <c r="R228" s="631"/>
      <c r="S228" s="631"/>
      <c r="T228" s="631"/>
      <c r="U228" s="631"/>
      <c r="V228" s="631"/>
      <c r="W228" s="631"/>
      <c r="X228" s="631"/>
      <c r="Y228" s="631"/>
    </row>
    <row r="229">
      <c r="A229" s="631"/>
      <c r="B229" s="631"/>
      <c r="C229" s="631"/>
      <c r="D229" s="631"/>
      <c r="E229" s="441"/>
      <c r="F229" s="631"/>
      <c r="G229" s="631"/>
      <c r="H229" s="631"/>
      <c r="I229" s="631"/>
      <c r="J229" s="631"/>
      <c r="K229" s="631"/>
      <c r="L229" s="631"/>
      <c r="M229" s="631"/>
      <c r="N229" s="631"/>
      <c r="O229" s="631"/>
      <c r="P229" s="631"/>
      <c r="Q229" s="631"/>
      <c r="R229" s="631"/>
      <c r="S229" s="631"/>
      <c r="T229" s="631"/>
      <c r="U229" s="631"/>
      <c r="V229" s="631"/>
      <c r="W229" s="631"/>
      <c r="X229" s="631"/>
      <c r="Y229" s="631"/>
    </row>
    <row r="230">
      <c r="A230" s="631"/>
      <c r="B230" s="631"/>
      <c r="C230" s="631"/>
      <c r="D230" s="631"/>
      <c r="E230" s="441"/>
      <c r="F230" s="631"/>
      <c r="G230" s="631"/>
      <c r="H230" s="631"/>
      <c r="I230" s="631"/>
      <c r="J230" s="631"/>
      <c r="K230" s="631"/>
      <c r="L230" s="631"/>
      <c r="M230" s="631"/>
      <c r="N230" s="631"/>
      <c r="O230" s="631"/>
      <c r="P230" s="631"/>
      <c r="Q230" s="631"/>
      <c r="R230" s="631"/>
      <c r="S230" s="631"/>
      <c r="T230" s="631"/>
      <c r="U230" s="631"/>
      <c r="V230" s="631"/>
      <c r="W230" s="631"/>
      <c r="X230" s="631"/>
      <c r="Y230" s="631"/>
    </row>
    <row r="231">
      <c r="A231" s="631"/>
      <c r="B231" s="631"/>
      <c r="C231" s="631"/>
      <c r="D231" s="631"/>
      <c r="E231" s="441"/>
      <c r="F231" s="631"/>
      <c r="G231" s="631"/>
      <c r="H231" s="631"/>
      <c r="I231" s="631"/>
      <c r="J231" s="631"/>
      <c r="K231" s="631"/>
      <c r="L231" s="631"/>
      <c r="M231" s="631"/>
      <c r="N231" s="631"/>
      <c r="O231" s="631"/>
      <c r="P231" s="631"/>
      <c r="Q231" s="631"/>
      <c r="R231" s="631"/>
      <c r="S231" s="631"/>
      <c r="T231" s="631"/>
      <c r="U231" s="631"/>
      <c r="V231" s="631"/>
      <c r="W231" s="631"/>
      <c r="X231" s="631"/>
      <c r="Y231" s="631"/>
    </row>
    <row r="232">
      <c r="A232" s="631"/>
      <c r="B232" s="631"/>
      <c r="C232" s="631"/>
      <c r="D232" s="631"/>
      <c r="E232" s="441"/>
      <c r="F232" s="631"/>
      <c r="G232" s="631"/>
      <c r="H232" s="631"/>
      <c r="I232" s="631"/>
      <c r="J232" s="631"/>
      <c r="K232" s="631"/>
      <c r="L232" s="631"/>
      <c r="M232" s="631"/>
      <c r="N232" s="631"/>
      <c r="O232" s="631"/>
      <c r="P232" s="631"/>
      <c r="Q232" s="631"/>
      <c r="R232" s="631"/>
      <c r="S232" s="631"/>
      <c r="T232" s="631"/>
      <c r="U232" s="631"/>
      <c r="V232" s="631"/>
      <c r="W232" s="631"/>
      <c r="X232" s="631"/>
      <c r="Y232" s="631"/>
    </row>
    <row r="233">
      <c r="A233" s="631"/>
      <c r="B233" s="631"/>
      <c r="C233" s="631"/>
      <c r="D233" s="631"/>
      <c r="E233" s="441"/>
      <c r="F233" s="631"/>
      <c r="G233" s="631"/>
      <c r="H233" s="631"/>
      <c r="I233" s="631"/>
      <c r="J233" s="631"/>
      <c r="K233" s="631"/>
      <c r="L233" s="631"/>
      <c r="M233" s="631"/>
      <c r="N233" s="631"/>
      <c r="O233" s="631"/>
      <c r="P233" s="631"/>
      <c r="Q233" s="631"/>
      <c r="R233" s="631"/>
      <c r="S233" s="631"/>
      <c r="T233" s="631"/>
      <c r="U233" s="631"/>
      <c r="V233" s="631"/>
      <c r="W233" s="631"/>
      <c r="X233" s="631"/>
      <c r="Y233" s="631"/>
    </row>
    <row r="234">
      <c r="A234" s="631"/>
      <c r="B234" s="631"/>
      <c r="C234" s="631"/>
      <c r="D234" s="631"/>
      <c r="E234" s="441"/>
      <c r="F234" s="631"/>
      <c r="G234" s="631"/>
      <c r="H234" s="631"/>
      <c r="I234" s="631"/>
      <c r="J234" s="631"/>
      <c r="K234" s="631"/>
      <c r="L234" s="631"/>
      <c r="M234" s="631"/>
      <c r="N234" s="631"/>
      <c r="O234" s="631"/>
      <c r="P234" s="631"/>
      <c r="Q234" s="631"/>
      <c r="R234" s="631"/>
      <c r="S234" s="631"/>
      <c r="T234" s="631"/>
      <c r="U234" s="631"/>
      <c r="V234" s="631"/>
      <c r="W234" s="631"/>
      <c r="X234" s="631"/>
      <c r="Y234" s="631"/>
    </row>
    <row r="235">
      <c r="A235" s="631"/>
      <c r="B235" s="631"/>
      <c r="C235" s="631"/>
      <c r="D235" s="631"/>
      <c r="E235" s="441"/>
      <c r="F235" s="631"/>
      <c r="G235" s="631"/>
      <c r="H235" s="631"/>
      <c r="I235" s="631"/>
      <c r="J235" s="631"/>
      <c r="K235" s="631"/>
      <c r="L235" s="631"/>
      <c r="M235" s="631"/>
      <c r="N235" s="631"/>
      <c r="O235" s="631"/>
      <c r="P235" s="631"/>
      <c r="Q235" s="631"/>
      <c r="R235" s="631"/>
      <c r="S235" s="631"/>
      <c r="T235" s="631"/>
      <c r="U235" s="631"/>
      <c r="V235" s="631"/>
      <c r="W235" s="631"/>
      <c r="X235" s="631"/>
      <c r="Y235" s="631"/>
    </row>
    <row r="236">
      <c r="A236" s="631"/>
      <c r="B236" s="631"/>
      <c r="C236" s="631"/>
      <c r="D236" s="631"/>
      <c r="E236" s="441"/>
      <c r="F236" s="631"/>
      <c r="G236" s="631"/>
      <c r="H236" s="631"/>
      <c r="I236" s="631"/>
      <c r="J236" s="631"/>
      <c r="K236" s="631"/>
      <c r="L236" s="631"/>
      <c r="M236" s="631"/>
      <c r="N236" s="631"/>
      <c r="O236" s="631"/>
      <c r="P236" s="631"/>
      <c r="Q236" s="631"/>
      <c r="R236" s="631"/>
      <c r="S236" s="631"/>
      <c r="T236" s="631"/>
      <c r="U236" s="631"/>
      <c r="V236" s="631"/>
      <c r="W236" s="631"/>
      <c r="X236" s="631"/>
      <c r="Y236" s="631"/>
    </row>
    <row r="237">
      <c r="A237" s="631"/>
      <c r="B237" s="631"/>
      <c r="C237" s="631"/>
      <c r="D237" s="631"/>
      <c r="E237" s="441"/>
      <c r="F237" s="631"/>
      <c r="G237" s="631"/>
      <c r="H237" s="631"/>
      <c r="I237" s="631"/>
      <c r="J237" s="631"/>
      <c r="K237" s="631"/>
      <c r="L237" s="631"/>
      <c r="M237" s="631"/>
      <c r="N237" s="631"/>
      <c r="O237" s="631"/>
      <c r="P237" s="631"/>
      <c r="Q237" s="631"/>
      <c r="R237" s="631"/>
      <c r="S237" s="631"/>
      <c r="T237" s="631"/>
      <c r="U237" s="631"/>
      <c r="V237" s="631"/>
      <c r="W237" s="631"/>
      <c r="X237" s="631"/>
      <c r="Y237" s="631"/>
    </row>
    <row r="238">
      <c r="A238" s="631"/>
      <c r="B238" s="631"/>
      <c r="C238" s="631"/>
      <c r="D238" s="631"/>
      <c r="E238" s="441"/>
      <c r="F238" s="631"/>
      <c r="G238" s="631"/>
      <c r="H238" s="631"/>
      <c r="I238" s="631"/>
      <c r="J238" s="631"/>
      <c r="K238" s="631"/>
      <c r="L238" s="631"/>
      <c r="M238" s="631"/>
      <c r="N238" s="631"/>
      <c r="O238" s="631"/>
      <c r="P238" s="631"/>
      <c r="Q238" s="631"/>
      <c r="R238" s="631"/>
      <c r="S238" s="631"/>
      <c r="T238" s="631"/>
      <c r="U238" s="631"/>
      <c r="V238" s="631"/>
      <c r="W238" s="631"/>
      <c r="X238" s="631"/>
      <c r="Y238" s="631"/>
    </row>
    <row r="239">
      <c r="A239" s="631"/>
      <c r="B239" s="631"/>
      <c r="C239" s="631"/>
      <c r="D239" s="631"/>
      <c r="E239" s="441"/>
      <c r="F239" s="631"/>
      <c r="G239" s="631"/>
      <c r="H239" s="631"/>
      <c r="I239" s="631"/>
      <c r="J239" s="631"/>
      <c r="K239" s="631"/>
      <c r="L239" s="631"/>
      <c r="M239" s="631"/>
      <c r="N239" s="631"/>
      <c r="O239" s="631"/>
      <c r="P239" s="631"/>
      <c r="Q239" s="631"/>
      <c r="R239" s="631"/>
      <c r="S239" s="631"/>
      <c r="T239" s="631"/>
      <c r="U239" s="631"/>
      <c r="V239" s="631"/>
      <c r="W239" s="631"/>
      <c r="X239" s="631"/>
      <c r="Y239" s="631"/>
    </row>
    <row r="240">
      <c r="A240" s="631"/>
      <c r="B240" s="631"/>
      <c r="C240" s="631"/>
      <c r="D240" s="631"/>
      <c r="E240" s="441"/>
      <c r="F240" s="631"/>
      <c r="G240" s="631"/>
      <c r="H240" s="631"/>
      <c r="I240" s="631"/>
      <c r="J240" s="631"/>
      <c r="K240" s="631"/>
      <c r="L240" s="631"/>
      <c r="M240" s="631"/>
      <c r="N240" s="631"/>
      <c r="O240" s="631"/>
      <c r="P240" s="631"/>
      <c r="Q240" s="631"/>
      <c r="R240" s="631"/>
      <c r="S240" s="631"/>
      <c r="T240" s="631"/>
      <c r="U240" s="631"/>
      <c r="V240" s="631"/>
      <c r="W240" s="631"/>
      <c r="X240" s="631"/>
      <c r="Y240" s="631"/>
    </row>
    <row r="241">
      <c r="A241" s="631"/>
      <c r="B241" s="631"/>
      <c r="C241" s="631"/>
      <c r="D241" s="631"/>
      <c r="E241" s="441"/>
      <c r="F241" s="631"/>
      <c r="G241" s="631"/>
      <c r="H241" s="631"/>
      <c r="I241" s="631"/>
      <c r="J241" s="631"/>
      <c r="K241" s="631"/>
      <c r="L241" s="631"/>
      <c r="M241" s="631"/>
      <c r="N241" s="631"/>
      <c r="O241" s="631"/>
      <c r="P241" s="631"/>
      <c r="Q241" s="631"/>
      <c r="R241" s="631"/>
      <c r="S241" s="631"/>
      <c r="T241" s="631"/>
      <c r="U241" s="631"/>
      <c r="V241" s="631"/>
      <c r="W241" s="631"/>
      <c r="X241" s="631"/>
      <c r="Y241" s="631"/>
    </row>
    <row r="242">
      <c r="A242" s="631"/>
      <c r="B242" s="631"/>
      <c r="C242" s="631"/>
      <c r="D242" s="631"/>
      <c r="E242" s="441"/>
      <c r="F242" s="631"/>
      <c r="G242" s="631"/>
      <c r="H242" s="631"/>
      <c r="I242" s="631"/>
      <c r="J242" s="631"/>
      <c r="K242" s="631"/>
      <c r="L242" s="631"/>
      <c r="M242" s="631"/>
      <c r="N242" s="631"/>
      <c r="O242" s="631"/>
      <c r="P242" s="631"/>
      <c r="Q242" s="631"/>
      <c r="R242" s="631"/>
      <c r="S242" s="631"/>
      <c r="T242" s="631"/>
      <c r="U242" s="631"/>
      <c r="V242" s="631"/>
      <c r="W242" s="631"/>
      <c r="X242" s="631"/>
      <c r="Y242" s="631"/>
    </row>
    <row r="243">
      <c r="A243" s="631"/>
      <c r="B243" s="631"/>
      <c r="C243" s="631"/>
      <c r="D243" s="631"/>
      <c r="E243" s="441"/>
      <c r="F243" s="631"/>
      <c r="G243" s="631"/>
      <c r="H243" s="631"/>
      <c r="I243" s="631"/>
      <c r="J243" s="631"/>
      <c r="K243" s="631"/>
      <c r="L243" s="631"/>
      <c r="M243" s="631"/>
      <c r="N243" s="631"/>
      <c r="O243" s="631"/>
      <c r="P243" s="631"/>
      <c r="Q243" s="631"/>
      <c r="R243" s="631"/>
      <c r="S243" s="631"/>
      <c r="T243" s="631"/>
      <c r="U243" s="631"/>
      <c r="V243" s="631"/>
      <c r="W243" s="631"/>
      <c r="X243" s="631"/>
      <c r="Y243" s="631"/>
    </row>
    <row r="244">
      <c r="A244" s="631"/>
      <c r="B244" s="631"/>
      <c r="C244" s="631"/>
      <c r="D244" s="631"/>
      <c r="E244" s="441"/>
      <c r="F244" s="631"/>
      <c r="G244" s="631"/>
      <c r="H244" s="631"/>
      <c r="I244" s="631"/>
      <c r="J244" s="631"/>
      <c r="K244" s="631"/>
      <c r="L244" s="631"/>
      <c r="M244" s="631"/>
      <c r="N244" s="631"/>
      <c r="O244" s="631"/>
      <c r="P244" s="631"/>
      <c r="Q244" s="631"/>
      <c r="R244" s="631"/>
      <c r="S244" s="631"/>
      <c r="T244" s="631"/>
      <c r="U244" s="631"/>
      <c r="V244" s="631"/>
      <c r="W244" s="631"/>
      <c r="X244" s="631"/>
      <c r="Y244" s="631"/>
    </row>
    <row r="245">
      <c r="A245" s="631"/>
      <c r="B245" s="631"/>
      <c r="C245" s="631"/>
      <c r="D245" s="631"/>
      <c r="E245" s="441"/>
      <c r="F245" s="631"/>
      <c r="G245" s="631"/>
      <c r="H245" s="631"/>
      <c r="I245" s="631"/>
      <c r="J245" s="631"/>
      <c r="K245" s="631"/>
      <c r="L245" s="631"/>
      <c r="M245" s="631"/>
      <c r="N245" s="631"/>
      <c r="O245" s="631"/>
      <c r="P245" s="631"/>
      <c r="Q245" s="631"/>
      <c r="R245" s="631"/>
      <c r="S245" s="631"/>
      <c r="T245" s="631"/>
      <c r="U245" s="631"/>
      <c r="V245" s="631"/>
      <c r="W245" s="631"/>
      <c r="X245" s="631"/>
      <c r="Y245" s="631"/>
    </row>
    <row r="246">
      <c r="A246" s="631"/>
      <c r="B246" s="631"/>
      <c r="C246" s="631"/>
      <c r="D246" s="631"/>
      <c r="E246" s="441"/>
      <c r="F246" s="631"/>
      <c r="G246" s="631"/>
      <c r="H246" s="631"/>
      <c r="I246" s="631"/>
      <c r="J246" s="631"/>
      <c r="K246" s="631"/>
      <c r="L246" s="631"/>
      <c r="M246" s="631"/>
      <c r="N246" s="631"/>
      <c r="O246" s="631"/>
      <c r="P246" s="631"/>
      <c r="Q246" s="631"/>
      <c r="R246" s="631"/>
      <c r="S246" s="631"/>
      <c r="T246" s="631"/>
      <c r="U246" s="631"/>
      <c r="V246" s="631"/>
      <c r="W246" s="631"/>
      <c r="X246" s="631"/>
      <c r="Y246" s="631"/>
    </row>
    <row r="247">
      <c r="A247" s="631"/>
      <c r="B247" s="631"/>
      <c r="C247" s="631"/>
      <c r="D247" s="631"/>
      <c r="E247" s="441"/>
      <c r="F247" s="631"/>
      <c r="G247" s="631"/>
      <c r="H247" s="631"/>
      <c r="I247" s="631"/>
      <c r="J247" s="631"/>
      <c r="K247" s="631"/>
      <c r="L247" s="631"/>
      <c r="M247" s="631"/>
      <c r="N247" s="631"/>
      <c r="O247" s="631"/>
      <c r="P247" s="631"/>
      <c r="Q247" s="631"/>
      <c r="R247" s="631"/>
      <c r="S247" s="631"/>
      <c r="T247" s="631"/>
      <c r="U247" s="631"/>
      <c r="V247" s="631"/>
      <c r="W247" s="631"/>
      <c r="X247" s="631"/>
      <c r="Y247" s="631"/>
    </row>
    <row r="248">
      <c r="A248" s="631"/>
      <c r="B248" s="631"/>
      <c r="C248" s="631"/>
      <c r="D248" s="631"/>
      <c r="E248" s="441"/>
      <c r="F248" s="631"/>
      <c r="G248" s="631"/>
      <c r="H248" s="631"/>
      <c r="I248" s="631"/>
      <c r="J248" s="631"/>
      <c r="K248" s="631"/>
      <c r="L248" s="631"/>
      <c r="M248" s="631"/>
      <c r="N248" s="631"/>
      <c r="O248" s="631"/>
      <c r="P248" s="631"/>
      <c r="Q248" s="631"/>
      <c r="R248" s="631"/>
      <c r="S248" s="631"/>
      <c r="T248" s="631"/>
      <c r="U248" s="631"/>
      <c r="V248" s="631"/>
      <c r="W248" s="631"/>
      <c r="X248" s="631"/>
      <c r="Y248" s="631"/>
    </row>
    <row r="249">
      <c r="A249" s="631"/>
      <c r="B249" s="631"/>
      <c r="C249" s="631"/>
      <c r="D249" s="631"/>
      <c r="E249" s="441"/>
      <c r="F249" s="631"/>
      <c r="G249" s="631"/>
      <c r="H249" s="631"/>
      <c r="I249" s="631"/>
      <c r="J249" s="631"/>
      <c r="K249" s="631"/>
      <c r="L249" s="631"/>
      <c r="M249" s="631"/>
      <c r="N249" s="631"/>
      <c r="O249" s="631"/>
      <c r="P249" s="631"/>
      <c r="Q249" s="631"/>
      <c r="R249" s="631"/>
      <c r="S249" s="631"/>
      <c r="T249" s="631"/>
      <c r="U249" s="631"/>
      <c r="V249" s="631"/>
      <c r="W249" s="631"/>
      <c r="X249" s="631"/>
      <c r="Y249" s="631"/>
    </row>
    <row r="250">
      <c r="A250" s="631"/>
      <c r="B250" s="631"/>
      <c r="C250" s="631"/>
      <c r="D250" s="631"/>
      <c r="E250" s="441"/>
      <c r="F250" s="631"/>
      <c r="G250" s="631"/>
      <c r="H250" s="631"/>
      <c r="I250" s="631"/>
      <c r="J250" s="631"/>
      <c r="K250" s="631"/>
      <c r="L250" s="631"/>
      <c r="M250" s="631"/>
      <c r="N250" s="631"/>
      <c r="O250" s="631"/>
      <c r="P250" s="631"/>
      <c r="Q250" s="631"/>
      <c r="R250" s="631"/>
      <c r="S250" s="631"/>
      <c r="T250" s="631"/>
      <c r="U250" s="631"/>
      <c r="V250" s="631"/>
      <c r="W250" s="631"/>
      <c r="X250" s="631"/>
      <c r="Y250" s="631"/>
    </row>
    <row r="251">
      <c r="A251" s="631"/>
      <c r="B251" s="631"/>
      <c r="C251" s="631"/>
      <c r="D251" s="631"/>
      <c r="E251" s="441"/>
      <c r="F251" s="631"/>
      <c r="G251" s="631"/>
      <c r="H251" s="631"/>
      <c r="I251" s="631"/>
      <c r="J251" s="631"/>
      <c r="K251" s="631"/>
      <c r="L251" s="631"/>
      <c r="M251" s="631"/>
      <c r="N251" s="631"/>
      <c r="O251" s="631"/>
      <c r="P251" s="631"/>
      <c r="Q251" s="631"/>
      <c r="R251" s="631"/>
      <c r="S251" s="631"/>
      <c r="T251" s="631"/>
      <c r="U251" s="631"/>
      <c r="V251" s="631"/>
      <c r="W251" s="631"/>
      <c r="X251" s="631"/>
      <c r="Y251" s="631"/>
    </row>
    <row r="252">
      <c r="A252" s="631"/>
      <c r="B252" s="631"/>
      <c r="C252" s="631"/>
      <c r="D252" s="631"/>
      <c r="E252" s="441"/>
      <c r="F252" s="631"/>
      <c r="G252" s="631"/>
      <c r="H252" s="631"/>
      <c r="I252" s="631"/>
      <c r="J252" s="631"/>
      <c r="K252" s="631"/>
      <c r="L252" s="631"/>
      <c r="M252" s="631"/>
      <c r="N252" s="631"/>
      <c r="O252" s="631"/>
      <c r="P252" s="631"/>
      <c r="Q252" s="631"/>
      <c r="R252" s="631"/>
      <c r="S252" s="631"/>
      <c r="T252" s="631"/>
      <c r="U252" s="631"/>
      <c r="V252" s="631"/>
      <c r="W252" s="631"/>
      <c r="X252" s="631"/>
      <c r="Y252" s="631"/>
    </row>
    <row r="253">
      <c r="A253" s="631"/>
      <c r="B253" s="631"/>
      <c r="C253" s="631"/>
      <c r="D253" s="631"/>
      <c r="E253" s="441"/>
      <c r="F253" s="631"/>
      <c r="G253" s="631"/>
      <c r="H253" s="631"/>
      <c r="I253" s="631"/>
      <c r="J253" s="631"/>
      <c r="K253" s="631"/>
      <c r="L253" s="631"/>
      <c r="M253" s="631"/>
      <c r="N253" s="631"/>
      <c r="O253" s="631"/>
      <c r="P253" s="631"/>
      <c r="Q253" s="631"/>
      <c r="R253" s="631"/>
      <c r="S253" s="631"/>
      <c r="T253" s="631"/>
      <c r="U253" s="631"/>
      <c r="V253" s="631"/>
      <c r="W253" s="631"/>
      <c r="X253" s="631"/>
      <c r="Y253" s="631"/>
    </row>
    <row r="254">
      <c r="A254" s="631"/>
      <c r="B254" s="631"/>
      <c r="C254" s="631"/>
      <c r="D254" s="631"/>
      <c r="E254" s="441"/>
      <c r="F254" s="631"/>
      <c r="G254" s="631"/>
      <c r="H254" s="631"/>
      <c r="I254" s="631"/>
      <c r="J254" s="631"/>
      <c r="K254" s="631"/>
      <c r="L254" s="631"/>
      <c r="M254" s="631"/>
      <c r="N254" s="631"/>
      <c r="O254" s="631"/>
      <c r="P254" s="631"/>
      <c r="Q254" s="631"/>
      <c r="R254" s="631"/>
      <c r="S254" s="631"/>
      <c r="T254" s="631"/>
      <c r="U254" s="631"/>
      <c r="V254" s="631"/>
      <c r="W254" s="631"/>
      <c r="X254" s="631"/>
      <c r="Y254" s="631"/>
    </row>
    <row r="255">
      <c r="A255" s="631"/>
      <c r="B255" s="631"/>
      <c r="C255" s="631"/>
      <c r="D255" s="631"/>
      <c r="E255" s="441"/>
      <c r="F255" s="631"/>
      <c r="G255" s="631"/>
      <c r="H255" s="631"/>
      <c r="I255" s="631"/>
      <c r="J255" s="631"/>
      <c r="K255" s="631"/>
      <c r="L255" s="631"/>
      <c r="M255" s="631"/>
      <c r="N255" s="631"/>
      <c r="O255" s="631"/>
      <c r="P255" s="631"/>
      <c r="Q255" s="631"/>
      <c r="R255" s="631"/>
      <c r="S255" s="631"/>
      <c r="T255" s="631"/>
      <c r="U255" s="631"/>
      <c r="V255" s="631"/>
      <c r="W255" s="631"/>
      <c r="X255" s="631"/>
      <c r="Y255" s="631"/>
    </row>
    <row r="256">
      <c r="A256" s="631"/>
      <c r="B256" s="631"/>
      <c r="C256" s="631"/>
      <c r="D256" s="631"/>
      <c r="E256" s="441"/>
      <c r="F256" s="631"/>
      <c r="G256" s="631"/>
      <c r="H256" s="631"/>
      <c r="I256" s="631"/>
      <c r="J256" s="631"/>
      <c r="K256" s="631"/>
      <c r="L256" s="631"/>
      <c r="M256" s="631"/>
      <c r="N256" s="631"/>
      <c r="O256" s="631"/>
      <c r="P256" s="631"/>
      <c r="Q256" s="631"/>
      <c r="R256" s="631"/>
      <c r="S256" s="631"/>
      <c r="T256" s="631"/>
      <c r="U256" s="631"/>
      <c r="V256" s="631"/>
      <c r="W256" s="631"/>
      <c r="X256" s="631"/>
      <c r="Y256" s="631"/>
    </row>
    <row r="257">
      <c r="A257" s="631"/>
      <c r="B257" s="631"/>
      <c r="C257" s="631"/>
      <c r="D257" s="631"/>
      <c r="E257" s="441"/>
      <c r="F257" s="631"/>
      <c r="G257" s="631"/>
      <c r="H257" s="631"/>
      <c r="I257" s="631"/>
      <c r="J257" s="631"/>
      <c r="K257" s="631"/>
      <c r="L257" s="631"/>
      <c r="M257" s="631"/>
      <c r="N257" s="631"/>
      <c r="O257" s="631"/>
      <c r="P257" s="631"/>
      <c r="Q257" s="631"/>
      <c r="R257" s="631"/>
      <c r="S257" s="631"/>
      <c r="T257" s="631"/>
      <c r="U257" s="631"/>
      <c r="V257" s="631"/>
      <c r="W257" s="631"/>
      <c r="X257" s="631"/>
      <c r="Y257" s="631"/>
    </row>
    <row r="258">
      <c r="A258" s="631"/>
      <c r="B258" s="631"/>
      <c r="C258" s="631"/>
      <c r="D258" s="631"/>
      <c r="E258" s="441"/>
      <c r="F258" s="631"/>
      <c r="G258" s="631"/>
      <c r="H258" s="631"/>
      <c r="I258" s="631"/>
      <c r="J258" s="631"/>
      <c r="K258" s="631"/>
      <c r="L258" s="631"/>
      <c r="M258" s="631"/>
      <c r="N258" s="631"/>
      <c r="O258" s="631"/>
      <c r="P258" s="631"/>
      <c r="Q258" s="631"/>
      <c r="R258" s="631"/>
      <c r="S258" s="631"/>
      <c r="T258" s="631"/>
      <c r="U258" s="631"/>
      <c r="V258" s="631"/>
      <c r="W258" s="631"/>
      <c r="X258" s="631"/>
      <c r="Y258" s="631"/>
    </row>
    <row r="259">
      <c r="A259" s="631"/>
      <c r="B259" s="631"/>
      <c r="C259" s="631"/>
      <c r="D259" s="631"/>
      <c r="E259" s="441"/>
      <c r="F259" s="631"/>
      <c r="G259" s="631"/>
      <c r="H259" s="631"/>
      <c r="I259" s="631"/>
      <c r="J259" s="631"/>
      <c r="K259" s="631"/>
      <c r="L259" s="631"/>
      <c r="M259" s="631"/>
      <c r="N259" s="631"/>
      <c r="O259" s="631"/>
      <c r="P259" s="631"/>
      <c r="Q259" s="631"/>
      <c r="R259" s="631"/>
      <c r="S259" s="631"/>
      <c r="T259" s="631"/>
      <c r="U259" s="631"/>
      <c r="V259" s="631"/>
      <c r="W259" s="631"/>
      <c r="X259" s="631"/>
      <c r="Y259" s="631"/>
    </row>
    <row r="260">
      <c r="A260" s="631"/>
      <c r="B260" s="631"/>
      <c r="C260" s="631"/>
      <c r="D260" s="631"/>
      <c r="E260" s="441"/>
      <c r="F260" s="631"/>
      <c r="G260" s="631"/>
      <c r="H260" s="631"/>
      <c r="I260" s="631"/>
      <c r="J260" s="631"/>
      <c r="K260" s="631"/>
      <c r="L260" s="631"/>
      <c r="M260" s="631"/>
      <c r="N260" s="631"/>
      <c r="O260" s="631"/>
      <c r="P260" s="631"/>
      <c r="Q260" s="631"/>
      <c r="R260" s="631"/>
      <c r="S260" s="631"/>
      <c r="T260" s="631"/>
      <c r="U260" s="631"/>
      <c r="V260" s="631"/>
      <c r="W260" s="631"/>
      <c r="X260" s="631"/>
      <c r="Y260" s="631"/>
    </row>
    <row r="261">
      <c r="A261" s="631"/>
      <c r="B261" s="631"/>
      <c r="C261" s="631"/>
      <c r="D261" s="631"/>
      <c r="E261" s="441"/>
      <c r="F261" s="631"/>
      <c r="G261" s="631"/>
      <c r="H261" s="631"/>
      <c r="I261" s="631"/>
      <c r="J261" s="631"/>
      <c r="K261" s="631"/>
      <c r="L261" s="631"/>
      <c r="M261" s="631"/>
      <c r="N261" s="631"/>
      <c r="O261" s="631"/>
      <c r="P261" s="631"/>
      <c r="Q261" s="631"/>
      <c r="R261" s="631"/>
      <c r="S261" s="631"/>
      <c r="T261" s="631"/>
      <c r="U261" s="631"/>
      <c r="V261" s="631"/>
      <c r="W261" s="631"/>
      <c r="X261" s="631"/>
      <c r="Y261" s="631"/>
    </row>
    <row r="262">
      <c r="A262" s="631"/>
      <c r="B262" s="631"/>
      <c r="C262" s="631"/>
      <c r="D262" s="631"/>
      <c r="E262" s="441"/>
      <c r="F262" s="631"/>
      <c r="G262" s="631"/>
      <c r="H262" s="631"/>
      <c r="I262" s="631"/>
      <c r="J262" s="631"/>
      <c r="K262" s="631"/>
      <c r="L262" s="631"/>
      <c r="M262" s="631"/>
      <c r="N262" s="631"/>
      <c r="O262" s="631"/>
      <c r="P262" s="631"/>
      <c r="Q262" s="631"/>
      <c r="R262" s="631"/>
      <c r="S262" s="631"/>
      <c r="T262" s="631"/>
      <c r="U262" s="631"/>
      <c r="V262" s="631"/>
      <c r="W262" s="631"/>
      <c r="X262" s="631"/>
      <c r="Y262" s="631"/>
    </row>
    <row r="263">
      <c r="A263" s="631"/>
      <c r="B263" s="631"/>
      <c r="C263" s="631"/>
      <c r="D263" s="631"/>
      <c r="E263" s="441"/>
      <c r="F263" s="631"/>
      <c r="G263" s="631"/>
      <c r="H263" s="631"/>
      <c r="I263" s="631"/>
      <c r="J263" s="631"/>
      <c r="K263" s="631"/>
      <c r="L263" s="631"/>
      <c r="M263" s="631"/>
      <c r="N263" s="631"/>
      <c r="O263" s="631"/>
      <c r="P263" s="631"/>
      <c r="Q263" s="631"/>
      <c r="R263" s="631"/>
      <c r="S263" s="631"/>
      <c r="T263" s="631"/>
      <c r="U263" s="631"/>
      <c r="V263" s="631"/>
      <c r="W263" s="631"/>
      <c r="X263" s="631"/>
      <c r="Y263" s="631"/>
    </row>
    <row r="264">
      <c r="A264" s="631"/>
      <c r="B264" s="631"/>
      <c r="C264" s="631"/>
      <c r="D264" s="631"/>
      <c r="E264" s="441"/>
      <c r="F264" s="631"/>
      <c r="G264" s="631"/>
      <c r="H264" s="631"/>
      <c r="I264" s="631"/>
      <c r="J264" s="631"/>
      <c r="K264" s="631"/>
      <c r="L264" s="631"/>
      <c r="M264" s="631"/>
      <c r="N264" s="631"/>
      <c r="O264" s="631"/>
      <c r="P264" s="631"/>
      <c r="Q264" s="631"/>
      <c r="R264" s="631"/>
      <c r="S264" s="631"/>
      <c r="T264" s="631"/>
      <c r="U264" s="631"/>
      <c r="V264" s="631"/>
      <c r="W264" s="631"/>
      <c r="X264" s="631"/>
      <c r="Y264" s="631"/>
    </row>
    <row r="265">
      <c r="A265" s="631"/>
      <c r="B265" s="631"/>
      <c r="C265" s="631"/>
      <c r="D265" s="631"/>
      <c r="E265" s="441"/>
      <c r="F265" s="631"/>
      <c r="G265" s="631"/>
      <c r="H265" s="631"/>
      <c r="I265" s="631"/>
      <c r="J265" s="631"/>
      <c r="K265" s="631"/>
      <c r="L265" s="631"/>
      <c r="M265" s="631"/>
      <c r="N265" s="631"/>
      <c r="O265" s="631"/>
      <c r="P265" s="631"/>
      <c r="Q265" s="631"/>
      <c r="R265" s="631"/>
      <c r="S265" s="631"/>
      <c r="T265" s="631"/>
      <c r="U265" s="631"/>
      <c r="V265" s="631"/>
      <c r="W265" s="631"/>
      <c r="X265" s="631"/>
      <c r="Y265" s="631"/>
    </row>
    <row r="266">
      <c r="A266" s="631"/>
      <c r="B266" s="631"/>
      <c r="C266" s="631"/>
      <c r="D266" s="631"/>
      <c r="E266" s="441"/>
      <c r="F266" s="631"/>
      <c r="G266" s="631"/>
      <c r="H266" s="631"/>
      <c r="I266" s="631"/>
      <c r="J266" s="631"/>
      <c r="K266" s="631"/>
      <c r="L266" s="631"/>
      <c r="M266" s="631"/>
      <c r="N266" s="631"/>
      <c r="O266" s="631"/>
      <c r="P266" s="631"/>
      <c r="Q266" s="631"/>
      <c r="R266" s="631"/>
      <c r="S266" s="631"/>
      <c r="T266" s="631"/>
      <c r="U266" s="631"/>
      <c r="V266" s="631"/>
      <c r="W266" s="631"/>
      <c r="X266" s="631"/>
      <c r="Y266" s="631"/>
    </row>
    <row r="267">
      <c r="A267" s="631"/>
      <c r="B267" s="631"/>
      <c r="C267" s="631"/>
      <c r="D267" s="631"/>
      <c r="E267" s="441"/>
      <c r="F267" s="631"/>
      <c r="G267" s="631"/>
      <c r="H267" s="631"/>
      <c r="I267" s="631"/>
      <c r="J267" s="631"/>
      <c r="K267" s="631"/>
      <c r="L267" s="631"/>
      <c r="M267" s="631"/>
      <c r="N267" s="631"/>
      <c r="O267" s="631"/>
      <c r="P267" s="631"/>
      <c r="Q267" s="631"/>
      <c r="R267" s="631"/>
      <c r="S267" s="631"/>
      <c r="T267" s="631"/>
      <c r="U267" s="631"/>
      <c r="V267" s="631"/>
      <c r="W267" s="631"/>
      <c r="X267" s="631"/>
      <c r="Y267" s="631"/>
    </row>
    <row r="268">
      <c r="A268" s="631"/>
      <c r="B268" s="631"/>
      <c r="C268" s="631"/>
      <c r="D268" s="631"/>
      <c r="E268" s="441"/>
      <c r="F268" s="631"/>
      <c r="G268" s="631"/>
      <c r="H268" s="631"/>
      <c r="I268" s="631"/>
      <c r="J268" s="631"/>
      <c r="K268" s="631"/>
      <c r="L268" s="631"/>
      <c r="M268" s="631"/>
      <c r="N268" s="631"/>
      <c r="O268" s="631"/>
      <c r="P268" s="631"/>
      <c r="Q268" s="631"/>
      <c r="R268" s="631"/>
      <c r="S268" s="631"/>
      <c r="T268" s="631"/>
      <c r="U268" s="631"/>
      <c r="V268" s="631"/>
      <c r="W268" s="631"/>
      <c r="X268" s="631"/>
      <c r="Y268" s="631"/>
    </row>
    <row r="269">
      <c r="A269" s="631"/>
      <c r="B269" s="631"/>
      <c r="C269" s="631"/>
      <c r="D269" s="631"/>
      <c r="E269" s="441"/>
      <c r="F269" s="631"/>
      <c r="G269" s="631"/>
      <c r="H269" s="631"/>
      <c r="I269" s="631"/>
      <c r="J269" s="631"/>
      <c r="K269" s="631"/>
      <c r="L269" s="631"/>
      <c r="M269" s="631"/>
      <c r="N269" s="631"/>
      <c r="O269" s="631"/>
      <c r="P269" s="631"/>
      <c r="Q269" s="631"/>
      <c r="R269" s="631"/>
      <c r="S269" s="631"/>
      <c r="T269" s="631"/>
      <c r="U269" s="631"/>
      <c r="V269" s="631"/>
      <c r="W269" s="631"/>
      <c r="X269" s="631"/>
      <c r="Y269" s="631"/>
    </row>
    <row r="270">
      <c r="A270" s="631"/>
      <c r="B270" s="631"/>
      <c r="C270" s="631"/>
      <c r="D270" s="631"/>
      <c r="E270" s="441"/>
      <c r="F270" s="631"/>
      <c r="G270" s="631"/>
      <c r="H270" s="631"/>
      <c r="I270" s="631"/>
      <c r="J270" s="631"/>
      <c r="K270" s="631"/>
      <c r="L270" s="631"/>
      <c r="M270" s="631"/>
      <c r="N270" s="631"/>
      <c r="O270" s="631"/>
      <c r="P270" s="631"/>
      <c r="Q270" s="631"/>
      <c r="R270" s="631"/>
      <c r="S270" s="631"/>
      <c r="T270" s="631"/>
      <c r="U270" s="631"/>
      <c r="V270" s="631"/>
      <c r="W270" s="631"/>
      <c r="X270" s="631"/>
      <c r="Y270" s="631"/>
    </row>
    <row r="271">
      <c r="A271" s="631"/>
      <c r="B271" s="631"/>
      <c r="C271" s="631"/>
      <c r="D271" s="631"/>
      <c r="E271" s="441"/>
      <c r="F271" s="631"/>
      <c r="G271" s="631"/>
      <c r="H271" s="631"/>
      <c r="I271" s="631"/>
      <c r="J271" s="631"/>
      <c r="K271" s="631"/>
      <c r="L271" s="631"/>
      <c r="M271" s="631"/>
      <c r="N271" s="631"/>
      <c r="O271" s="631"/>
      <c r="P271" s="631"/>
      <c r="Q271" s="631"/>
      <c r="R271" s="631"/>
      <c r="S271" s="631"/>
      <c r="T271" s="631"/>
      <c r="U271" s="631"/>
      <c r="V271" s="631"/>
      <c r="W271" s="631"/>
      <c r="X271" s="631"/>
      <c r="Y271" s="631"/>
    </row>
    <row r="272">
      <c r="A272" s="631"/>
      <c r="B272" s="631"/>
      <c r="C272" s="631"/>
      <c r="D272" s="631"/>
      <c r="E272" s="441"/>
      <c r="F272" s="631"/>
      <c r="G272" s="631"/>
      <c r="H272" s="631"/>
      <c r="I272" s="631"/>
      <c r="J272" s="631"/>
      <c r="K272" s="631"/>
      <c r="L272" s="631"/>
      <c r="M272" s="631"/>
      <c r="N272" s="631"/>
      <c r="O272" s="631"/>
      <c r="P272" s="631"/>
      <c r="Q272" s="631"/>
      <c r="R272" s="631"/>
      <c r="S272" s="631"/>
      <c r="T272" s="631"/>
      <c r="U272" s="631"/>
      <c r="V272" s="631"/>
      <c r="W272" s="631"/>
      <c r="X272" s="631"/>
      <c r="Y272" s="631"/>
    </row>
    <row r="273">
      <c r="A273" s="631"/>
      <c r="B273" s="631"/>
      <c r="C273" s="631"/>
      <c r="D273" s="631"/>
      <c r="E273" s="441"/>
      <c r="F273" s="631"/>
      <c r="G273" s="631"/>
      <c r="H273" s="631"/>
      <c r="I273" s="631"/>
      <c r="J273" s="631"/>
      <c r="K273" s="631"/>
      <c r="L273" s="631"/>
      <c r="M273" s="631"/>
      <c r="N273" s="631"/>
      <c r="O273" s="631"/>
      <c r="P273" s="631"/>
      <c r="Q273" s="631"/>
      <c r="R273" s="631"/>
      <c r="S273" s="631"/>
      <c r="T273" s="631"/>
      <c r="U273" s="631"/>
      <c r="V273" s="631"/>
      <c r="W273" s="631"/>
      <c r="X273" s="631"/>
      <c r="Y273" s="631"/>
    </row>
    <row r="274">
      <c r="A274" s="631"/>
      <c r="B274" s="631"/>
      <c r="C274" s="631"/>
      <c r="D274" s="631"/>
      <c r="E274" s="441"/>
      <c r="F274" s="631"/>
      <c r="G274" s="631"/>
      <c r="H274" s="631"/>
      <c r="I274" s="631"/>
      <c r="J274" s="631"/>
      <c r="K274" s="631"/>
      <c r="L274" s="631"/>
      <c r="M274" s="631"/>
      <c r="N274" s="631"/>
      <c r="O274" s="631"/>
      <c r="P274" s="631"/>
      <c r="Q274" s="631"/>
      <c r="R274" s="631"/>
      <c r="S274" s="631"/>
      <c r="T274" s="631"/>
      <c r="U274" s="631"/>
      <c r="V274" s="631"/>
      <c r="W274" s="631"/>
      <c r="X274" s="631"/>
      <c r="Y274" s="631"/>
    </row>
    <row r="275">
      <c r="A275" s="631"/>
      <c r="B275" s="631"/>
      <c r="C275" s="631"/>
      <c r="D275" s="631"/>
      <c r="E275" s="441"/>
      <c r="F275" s="631"/>
      <c r="G275" s="631"/>
      <c r="H275" s="631"/>
      <c r="I275" s="631"/>
      <c r="J275" s="631"/>
      <c r="K275" s="631"/>
      <c r="L275" s="631"/>
      <c r="M275" s="631"/>
      <c r="N275" s="631"/>
      <c r="O275" s="631"/>
      <c r="P275" s="631"/>
      <c r="Q275" s="631"/>
      <c r="R275" s="631"/>
      <c r="S275" s="631"/>
      <c r="T275" s="631"/>
      <c r="U275" s="631"/>
      <c r="V275" s="631"/>
      <c r="W275" s="631"/>
      <c r="X275" s="631"/>
      <c r="Y275" s="631"/>
    </row>
    <row r="276">
      <c r="A276" s="631"/>
      <c r="B276" s="631"/>
      <c r="C276" s="631"/>
      <c r="D276" s="631"/>
      <c r="E276" s="441"/>
      <c r="F276" s="631"/>
      <c r="G276" s="631"/>
      <c r="H276" s="631"/>
      <c r="I276" s="631"/>
      <c r="J276" s="631"/>
      <c r="K276" s="631"/>
      <c r="L276" s="631"/>
      <c r="M276" s="631"/>
      <c r="N276" s="631"/>
      <c r="O276" s="631"/>
      <c r="P276" s="631"/>
      <c r="Q276" s="631"/>
      <c r="R276" s="631"/>
      <c r="S276" s="631"/>
      <c r="T276" s="631"/>
      <c r="U276" s="631"/>
      <c r="V276" s="631"/>
      <c r="W276" s="631"/>
      <c r="X276" s="631"/>
      <c r="Y276" s="631"/>
    </row>
    <row r="277">
      <c r="A277" s="631"/>
      <c r="B277" s="631"/>
      <c r="C277" s="631"/>
      <c r="D277" s="631"/>
      <c r="E277" s="441"/>
      <c r="F277" s="631"/>
      <c r="G277" s="631"/>
      <c r="H277" s="631"/>
      <c r="I277" s="631"/>
      <c r="J277" s="631"/>
      <c r="K277" s="631"/>
      <c r="L277" s="631"/>
      <c r="M277" s="631"/>
      <c r="N277" s="631"/>
      <c r="O277" s="631"/>
      <c r="P277" s="631"/>
      <c r="Q277" s="631"/>
      <c r="R277" s="631"/>
      <c r="S277" s="631"/>
      <c r="T277" s="631"/>
      <c r="U277" s="631"/>
      <c r="V277" s="631"/>
      <c r="W277" s="631"/>
      <c r="X277" s="631"/>
      <c r="Y277" s="631"/>
    </row>
    <row r="278">
      <c r="A278" s="631"/>
      <c r="B278" s="631"/>
      <c r="C278" s="631"/>
      <c r="D278" s="631"/>
      <c r="E278" s="441"/>
      <c r="F278" s="631"/>
      <c r="G278" s="631"/>
      <c r="H278" s="631"/>
      <c r="I278" s="631"/>
      <c r="J278" s="631"/>
      <c r="K278" s="631"/>
      <c r="L278" s="631"/>
      <c r="M278" s="631"/>
      <c r="N278" s="631"/>
      <c r="O278" s="631"/>
      <c r="P278" s="631"/>
      <c r="Q278" s="631"/>
      <c r="R278" s="631"/>
      <c r="S278" s="631"/>
      <c r="T278" s="631"/>
      <c r="U278" s="631"/>
      <c r="V278" s="631"/>
      <c r="W278" s="631"/>
      <c r="X278" s="631"/>
      <c r="Y278" s="631"/>
    </row>
    <row r="279">
      <c r="A279" s="631"/>
      <c r="B279" s="631"/>
      <c r="C279" s="631"/>
      <c r="D279" s="631"/>
      <c r="E279" s="441"/>
      <c r="F279" s="631"/>
      <c r="G279" s="631"/>
      <c r="H279" s="631"/>
      <c r="I279" s="631"/>
      <c r="J279" s="631"/>
      <c r="K279" s="631"/>
      <c r="L279" s="631"/>
      <c r="M279" s="631"/>
      <c r="N279" s="631"/>
      <c r="O279" s="631"/>
      <c r="P279" s="631"/>
      <c r="Q279" s="631"/>
      <c r="R279" s="631"/>
      <c r="S279" s="631"/>
      <c r="T279" s="631"/>
      <c r="U279" s="631"/>
      <c r="V279" s="631"/>
      <c r="W279" s="631"/>
      <c r="X279" s="631"/>
      <c r="Y279" s="631"/>
    </row>
    <row r="280">
      <c r="A280" s="631"/>
      <c r="B280" s="631"/>
      <c r="C280" s="631"/>
      <c r="D280" s="631"/>
      <c r="E280" s="441"/>
      <c r="F280" s="631"/>
      <c r="G280" s="631"/>
      <c r="H280" s="631"/>
      <c r="I280" s="631"/>
      <c r="J280" s="631"/>
      <c r="K280" s="631"/>
      <c r="L280" s="631"/>
      <c r="M280" s="631"/>
      <c r="N280" s="631"/>
      <c r="O280" s="631"/>
      <c r="P280" s="631"/>
      <c r="Q280" s="631"/>
      <c r="R280" s="631"/>
      <c r="S280" s="631"/>
      <c r="T280" s="631"/>
      <c r="U280" s="631"/>
      <c r="V280" s="631"/>
      <c r="W280" s="631"/>
      <c r="X280" s="631"/>
      <c r="Y280" s="631"/>
    </row>
    <row r="281">
      <c r="A281" s="631"/>
      <c r="B281" s="631"/>
      <c r="C281" s="631"/>
      <c r="D281" s="631"/>
      <c r="E281" s="441"/>
      <c r="F281" s="631"/>
      <c r="G281" s="631"/>
      <c r="H281" s="631"/>
      <c r="I281" s="631"/>
      <c r="J281" s="631"/>
      <c r="K281" s="631"/>
      <c r="L281" s="631"/>
      <c r="M281" s="631"/>
      <c r="N281" s="631"/>
      <c r="O281" s="631"/>
      <c r="P281" s="631"/>
      <c r="Q281" s="631"/>
      <c r="R281" s="631"/>
      <c r="S281" s="631"/>
      <c r="T281" s="631"/>
      <c r="U281" s="631"/>
      <c r="V281" s="631"/>
      <c r="W281" s="631"/>
      <c r="X281" s="631"/>
      <c r="Y281" s="631"/>
    </row>
    <row r="282">
      <c r="A282" s="631"/>
      <c r="B282" s="631"/>
      <c r="C282" s="631"/>
      <c r="D282" s="631"/>
      <c r="E282" s="441"/>
      <c r="F282" s="631"/>
      <c r="G282" s="631"/>
      <c r="H282" s="631"/>
      <c r="I282" s="631"/>
      <c r="J282" s="631"/>
      <c r="K282" s="631"/>
      <c r="L282" s="631"/>
      <c r="M282" s="631"/>
      <c r="N282" s="631"/>
      <c r="O282" s="631"/>
      <c r="P282" s="631"/>
      <c r="Q282" s="631"/>
      <c r="R282" s="631"/>
      <c r="S282" s="631"/>
      <c r="T282" s="631"/>
      <c r="U282" s="631"/>
      <c r="V282" s="631"/>
      <c r="W282" s="631"/>
      <c r="X282" s="631"/>
      <c r="Y282" s="631"/>
    </row>
    <row r="283">
      <c r="A283" s="631"/>
      <c r="B283" s="631"/>
      <c r="C283" s="631"/>
      <c r="D283" s="631"/>
      <c r="E283" s="441"/>
      <c r="F283" s="631"/>
      <c r="G283" s="631"/>
      <c r="H283" s="631"/>
      <c r="I283" s="631"/>
      <c r="J283" s="631"/>
      <c r="K283" s="631"/>
      <c r="L283" s="631"/>
      <c r="M283" s="631"/>
      <c r="N283" s="631"/>
      <c r="O283" s="631"/>
      <c r="P283" s="631"/>
      <c r="Q283" s="631"/>
      <c r="R283" s="631"/>
      <c r="S283" s="631"/>
      <c r="T283" s="631"/>
      <c r="U283" s="631"/>
      <c r="V283" s="631"/>
      <c r="W283" s="631"/>
      <c r="X283" s="631"/>
      <c r="Y283" s="631"/>
    </row>
    <row r="284">
      <c r="A284" s="631"/>
      <c r="B284" s="631"/>
      <c r="C284" s="631"/>
      <c r="D284" s="631"/>
      <c r="E284" s="441"/>
      <c r="F284" s="631"/>
      <c r="G284" s="631"/>
      <c r="H284" s="631"/>
      <c r="I284" s="631"/>
      <c r="J284" s="631"/>
      <c r="K284" s="631"/>
      <c r="L284" s="631"/>
      <c r="M284" s="631"/>
      <c r="N284" s="631"/>
      <c r="O284" s="631"/>
      <c r="P284" s="631"/>
      <c r="Q284" s="631"/>
      <c r="R284" s="631"/>
      <c r="S284" s="631"/>
      <c r="T284" s="631"/>
      <c r="U284" s="631"/>
      <c r="V284" s="631"/>
      <c r="W284" s="631"/>
      <c r="X284" s="631"/>
      <c r="Y284" s="631"/>
    </row>
    <row r="285">
      <c r="A285" s="631"/>
      <c r="B285" s="631"/>
      <c r="C285" s="631"/>
      <c r="D285" s="631"/>
      <c r="E285" s="441"/>
      <c r="F285" s="631"/>
      <c r="G285" s="631"/>
      <c r="H285" s="631"/>
      <c r="I285" s="631"/>
      <c r="J285" s="631"/>
      <c r="K285" s="631"/>
      <c r="L285" s="631"/>
      <c r="M285" s="631"/>
      <c r="N285" s="631"/>
      <c r="O285" s="631"/>
      <c r="P285" s="631"/>
      <c r="Q285" s="631"/>
      <c r="R285" s="631"/>
      <c r="S285" s="631"/>
      <c r="T285" s="631"/>
      <c r="U285" s="631"/>
      <c r="V285" s="631"/>
      <c r="W285" s="631"/>
      <c r="X285" s="631"/>
      <c r="Y285" s="631"/>
    </row>
    <row r="286">
      <c r="A286" s="631"/>
      <c r="B286" s="631"/>
      <c r="C286" s="631"/>
      <c r="D286" s="631"/>
      <c r="E286" s="441"/>
      <c r="F286" s="631"/>
      <c r="G286" s="631"/>
      <c r="H286" s="631"/>
      <c r="I286" s="631"/>
      <c r="J286" s="631"/>
      <c r="K286" s="631"/>
      <c r="L286" s="631"/>
      <c r="M286" s="631"/>
      <c r="N286" s="631"/>
      <c r="O286" s="631"/>
      <c r="P286" s="631"/>
      <c r="Q286" s="631"/>
      <c r="R286" s="631"/>
      <c r="S286" s="631"/>
      <c r="T286" s="631"/>
      <c r="U286" s="631"/>
      <c r="V286" s="631"/>
      <c r="W286" s="631"/>
      <c r="X286" s="631"/>
      <c r="Y286" s="631"/>
    </row>
    <row r="287">
      <c r="A287" s="631"/>
      <c r="B287" s="631"/>
      <c r="C287" s="631"/>
      <c r="D287" s="631"/>
      <c r="E287" s="441"/>
      <c r="F287" s="631"/>
      <c r="G287" s="631"/>
      <c r="H287" s="631"/>
      <c r="I287" s="631"/>
      <c r="J287" s="631"/>
      <c r="K287" s="631"/>
      <c r="L287" s="631"/>
      <c r="M287" s="631"/>
      <c r="N287" s="631"/>
      <c r="O287" s="631"/>
      <c r="P287" s="631"/>
      <c r="Q287" s="631"/>
      <c r="R287" s="631"/>
      <c r="S287" s="631"/>
      <c r="T287" s="631"/>
      <c r="U287" s="631"/>
      <c r="V287" s="631"/>
      <c r="W287" s="631"/>
      <c r="X287" s="631"/>
      <c r="Y287" s="631"/>
    </row>
    <row r="288">
      <c r="A288" s="631"/>
      <c r="B288" s="631"/>
      <c r="C288" s="631"/>
      <c r="D288" s="631"/>
      <c r="E288" s="441"/>
      <c r="F288" s="631"/>
      <c r="G288" s="631"/>
      <c r="H288" s="631"/>
      <c r="I288" s="631"/>
      <c r="J288" s="631"/>
      <c r="K288" s="631"/>
      <c r="L288" s="631"/>
      <c r="M288" s="631"/>
      <c r="N288" s="631"/>
      <c r="O288" s="631"/>
      <c r="P288" s="631"/>
      <c r="Q288" s="631"/>
      <c r="R288" s="631"/>
      <c r="S288" s="631"/>
      <c r="T288" s="631"/>
      <c r="U288" s="631"/>
      <c r="V288" s="631"/>
      <c r="W288" s="631"/>
      <c r="X288" s="631"/>
      <c r="Y288" s="631"/>
    </row>
    <row r="289">
      <c r="A289" s="631"/>
      <c r="B289" s="631"/>
      <c r="C289" s="631"/>
      <c r="D289" s="631"/>
      <c r="E289" s="441"/>
      <c r="F289" s="631"/>
      <c r="G289" s="631"/>
      <c r="H289" s="631"/>
      <c r="I289" s="631"/>
      <c r="J289" s="631"/>
      <c r="K289" s="631"/>
      <c r="L289" s="631"/>
      <c r="M289" s="631"/>
      <c r="N289" s="631"/>
      <c r="O289" s="631"/>
      <c r="P289" s="631"/>
      <c r="Q289" s="631"/>
      <c r="R289" s="631"/>
      <c r="S289" s="631"/>
      <c r="T289" s="631"/>
      <c r="U289" s="631"/>
      <c r="V289" s="631"/>
      <c r="W289" s="631"/>
      <c r="X289" s="631"/>
      <c r="Y289" s="631"/>
    </row>
    <row r="290">
      <c r="A290" s="631"/>
      <c r="B290" s="631"/>
      <c r="C290" s="631"/>
      <c r="D290" s="631"/>
      <c r="E290" s="441"/>
      <c r="F290" s="631"/>
      <c r="G290" s="631"/>
      <c r="H290" s="631"/>
      <c r="I290" s="631"/>
      <c r="J290" s="631"/>
      <c r="K290" s="631"/>
      <c r="L290" s="631"/>
      <c r="M290" s="631"/>
      <c r="N290" s="631"/>
      <c r="O290" s="631"/>
      <c r="P290" s="631"/>
      <c r="Q290" s="631"/>
      <c r="R290" s="631"/>
      <c r="S290" s="631"/>
      <c r="T290" s="631"/>
      <c r="U290" s="631"/>
      <c r="V290" s="631"/>
      <c r="W290" s="631"/>
      <c r="X290" s="631"/>
      <c r="Y290" s="631"/>
    </row>
    <row r="291">
      <c r="A291" s="631"/>
      <c r="B291" s="631"/>
      <c r="C291" s="631"/>
      <c r="D291" s="631"/>
      <c r="E291" s="441"/>
      <c r="F291" s="631"/>
      <c r="G291" s="631"/>
      <c r="H291" s="631"/>
      <c r="I291" s="631"/>
      <c r="J291" s="631"/>
      <c r="K291" s="631"/>
      <c r="L291" s="631"/>
      <c r="M291" s="631"/>
      <c r="N291" s="631"/>
      <c r="O291" s="631"/>
      <c r="P291" s="631"/>
      <c r="Q291" s="631"/>
      <c r="R291" s="631"/>
      <c r="S291" s="631"/>
      <c r="T291" s="631"/>
      <c r="U291" s="631"/>
      <c r="V291" s="631"/>
      <c r="W291" s="631"/>
      <c r="X291" s="631"/>
      <c r="Y291" s="631"/>
    </row>
    <row r="292">
      <c r="A292" s="631"/>
      <c r="B292" s="631"/>
      <c r="C292" s="631"/>
      <c r="D292" s="631"/>
      <c r="E292" s="441"/>
      <c r="F292" s="631"/>
      <c r="G292" s="631"/>
      <c r="H292" s="631"/>
      <c r="I292" s="631"/>
      <c r="J292" s="631"/>
      <c r="K292" s="631"/>
      <c r="L292" s="631"/>
      <c r="M292" s="631"/>
      <c r="N292" s="631"/>
      <c r="O292" s="631"/>
      <c r="P292" s="631"/>
      <c r="Q292" s="631"/>
      <c r="R292" s="631"/>
      <c r="S292" s="631"/>
      <c r="T292" s="631"/>
      <c r="U292" s="631"/>
      <c r="V292" s="631"/>
      <c r="W292" s="631"/>
      <c r="X292" s="631"/>
      <c r="Y292" s="631"/>
    </row>
    <row r="293">
      <c r="A293" s="631"/>
      <c r="B293" s="631"/>
      <c r="C293" s="631"/>
      <c r="D293" s="631"/>
      <c r="E293" s="441"/>
      <c r="F293" s="631"/>
      <c r="G293" s="631"/>
      <c r="H293" s="631"/>
      <c r="I293" s="631"/>
      <c r="J293" s="631"/>
      <c r="K293" s="631"/>
      <c r="L293" s="631"/>
      <c r="M293" s="631"/>
      <c r="N293" s="631"/>
      <c r="O293" s="631"/>
      <c r="P293" s="631"/>
      <c r="Q293" s="631"/>
      <c r="R293" s="631"/>
      <c r="S293" s="631"/>
      <c r="T293" s="631"/>
      <c r="U293" s="631"/>
      <c r="V293" s="631"/>
      <c r="W293" s="631"/>
      <c r="X293" s="631"/>
      <c r="Y293" s="631"/>
    </row>
    <row r="294">
      <c r="A294" s="631"/>
      <c r="B294" s="631"/>
      <c r="C294" s="631"/>
      <c r="D294" s="631"/>
      <c r="E294" s="441"/>
      <c r="F294" s="631"/>
      <c r="G294" s="631"/>
      <c r="H294" s="631"/>
      <c r="I294" s="631"/>
      <c r="J294" s="631"/>
      <c r="K294" s="631"/>
      <c r="L294" s="631"/>
      <c r="M294" s="631"/>
      <c r="N294" s="631"/>
      <c r="O294" s="631"/>
      <c r="P294" s="631"/>
      <c r="Q294" s="631"/>
      <c r="R294" s="631"/>
      <c r="S294" s="631"/>
      <c r="T294" s="631"/>
      <c r="U294" s="631"/>
      <c r="V294" s="631"/>
      <c r="W294" s="631"/>
      <c r="X294" s="631"/>
      <c r="Y294" s="631"/>
    </row>
    <row r="295">
      <c r="A295" s="631"/>
      <c r="B295" s="631"/>
      <c r="C295" s="631"/>
      <c r="D295" s="631"/>
      <c r="E295" s="441"/>
      <c r="F295" s="631"/>
      <c r="G295" s="631"/>
      <c r="H295" s="631"/>
      <c r="I295" s="631"/>
      <c r="J295" s="631"/>
      <c r="K295" s="631"/>
      <c r="L295" s="631"/>
      <c r="M295" s="631"/>
      <c r="N295" s="631"/>
      <c r="O295" s="631"/>
      <c r="P295" s="631"/>
      <c r="Q295" s="631"/>
      <c r="R295" s="631"/>
      <c r="S295" s="631"/>
      <c r="T295" s="631"/>
      <c r="U295" s="631"/>
      <c r="V295" s="631"/>
      <c r="W295" s="631"/>
      <c r="X295" s="631"/>
      <c r="Y295" s="631"/>
    </row>
    <row r="296">
      <c r="A296" s="631"/>
      <c r="B296" s="631"/>
      <c r="C296" s="631"/>
      <c r="D296" s="631"/>
      <c r="E296" s="441"/>
      <c r="F296" s="631"/>
      <c r="G296" s="631"/>
      <c r="H296" s="631"/>
      <c r="I296" s="631"/>
      <c r="J296" s="631"/>
      <c r="K296" s="631"/>
      <c r="L296" s="631"/>
      <c r="M296" s="631"/>
      <c r="N296" s="631"/>
      <c r="O296" s="631"/>
      <c r="P296" s="631"/>
      <c r="Q296" s="631"/>
      <c r="R296" s="631"/>
      <c r="S296" s="631"/>
      <c r="T296" s="631"/>
      <c r="U296" s="631"/>
      <c r="V296" s="631"/>
      <c r="W296" s="631"/>
      <c r="X296" s="631"/>
      <c r="Y296" s="631"/>
    </row>
    <row r="297">
      <c r="A297" s="631"/>
      <c r="B297" s="631"/>
      <c r="C297" s="631"/>
      <c r="D297" s="631"/>
      <c r="E297" s="441"/>
      <c r="F297" s="631"/>
      <c r="G297" s="631"/>
      <c r="H297" s="631"/>
      <c r="I297" s="631"/>
      <c r="J297" s="631"/>
      <c r="K297" s="631"/>
      <c r="L297" s="631"/>
      <c r="M297" s="631"/>
      <c r="N297" s="631"/>
      <c r="O297" s="631"/>
      <c r="P297" s="631"/>
      <c r="Q297" s="631"/>
      <c r="R297" s="631"/>
      <c r="S297" s="631"/>
      <c r="T297" s="631"/>
      <c r="U297" s="631"/>
      <c r="V297" s="631"/>
      <c r="W297" s="631"/>
      <c r="X297" s="631"/>
      <c r="Y297" s="631"/>
    </row>
    <row r="298">
      <c r="A298" s="631"/>
      <c r="B298" s="631"/>
      <c r="C298" s="631"/>
      <c r="D298" s="631"/>
      <c r="E298" s="441"/>
      <c r="F298" s="631"/>
      <c r="G298" s="631"/>
      <c r="H298" s="631"/>
      <c r="I298" s="631"/>
      <c r="J298" s="631"/>
      <c r="K298" s="631"/>
      <c r="L298" s="631"/>
      <c r="M298" s="631"/>
      <c r="N298" s="631"/>
      <c r="O298" s="631"/>
      <c r="P298" s="631"/>
      <c r="Q298" s="631"/>
      <c r="R298" s="631"/>
      <c r="S298" s="631"/>
      <c r="T298" s="631"/>
      <c r="U298" s="631"/>
      <c r="V298" s="631"/>
      <c r="W298" s="631"/>
      <c r="X298" s="631"/>
      <c r="Y298" s="631"/>
    </row>
    <row r="299">
      <c r="A299" s="631"/>
      <c r="B299" s="631"/>
      <c r="C299" s="631"/>
      <c r="D299" s="631"/>
      <c r="E299" s="441"/>
      <c r="F299" s="631"/>
      <c r="G299" s="631"/>
      <c r="H299" s="631"/>
      <c r="I299" s="631"/>
      <c r="J299" s="631"/>
      <c r="K299" s="631"/>
      <c r="L299" s="631"/>
      <c r="M299" s="631"/>
      <c r="N299" s="631"/>
      <c r="O299" s="631"/>
      <c r="P299" s="631"/>
      <c r="Q299" s="631"/>
      <c r="R299" s="631"/>
      <c r="S299" s="631"/>
      <c r="T299" s="631"/>
      <c r="U299" s="631"/>
      <c r="V299" s="631"/>
      <c r="W299" s="631"/>
      <c r="X299" s="631"/>
      <c r="Y299" s="631"/>
    </row>
    <row r="300">
      <c r="A300" s="631"/>
      <c r="B300" s="631"/>
      <c r="C300" s="631"/>
      <c r="D300" s="631"/>
      <c r="E300" s="441"/>
      <c r="F300" s="631"/>
      <c r="G300" s="631"/>
      <c r="H300" s="631"/>
      <c r="I300" s="631"/>
      <c r="J300" s="631"/>
      <c r="K300" s="631"/>
      <c r="L300" s="631"/>
      <c r="M300" s="631"/>
      <c r="N300" s="631"/>
      <c r="O300" s="631"/>
      <c r="P300" s="631"/>
      <c r="Q300" s="631"/>
      <c r="R300" s="631"/>
      <c r="S300" s="631"/>
      <c r="T300" s="631"/>
      <c r="U300" s="631"/>
      <c r="V300" s="631"/>
      <c r="W300" s="631"/>
      <c r="X300" s="631"/>
      <c r="Y300" s="631"/>
    </row>
    <row r="301">
      <c r="A301" s="631"/>
      <c r="B301" s="631"/>
      <c r="C301" s="631"/>
      <c r="D301" s="631"/>
      <c r="E301" s="441"/>
      <c r="F301" s="631"/>
      <c r="G301" s="631"/>
      <c r="H301" s="631"/>
      <c r="I301" s="631"/>
      <c r="J301" s="631"/>
      <c r="K301" s="631"/>
      <c r="L301" s="631"/>
      <c r="M301" s="631"/>
      <c r="N301" s="631"/>
      <c r="O301" s="631"/>
      <c r="P301" s="631"/>
      <c r="Q301" s="631"/>
      <c r="R301" s="631"/>
      <c r="S301" s="631"/>
      <c r="T301" s="631"/>
      <c r="U301" s="631"/>
      <c r="V301" s="631"/>
      <c r="W301" s="631"/>
      <c r="X301" s="631"/>
      <c r="Y301" s="631"/>
    </row>
    <row r="302">
      <c r="A302" s="631"/>
      <c r="B302" s="631"/>
      <c r="C302" s="631"/>
      <c r="D302" s="631"/>
      <c r="E302" s="441"/>
      <c r="F302" s="631"/>
      <c r="G302" s="631"/>
      <c r="H302" s="631"/>
      <c r="I302" s="631"/>
      <c r="J302" s="631"/>
      <c r="K302" s="631"/>
      <c r="L302" s="631"/>
      <c r="M302" s="631"/>
      <c r="N302" s="631"/>
      <c r="O302" s="631"/>
      <c r="P302" s="631"/>
      <c r="Q302" s="631"/>
      <c r="R302" s="631"/>
      <c r="S302" s="631"/>
      <c r="T302" s="631"/>
      <c r="U302" s="631"/>
      <c r="V302" s="631"/>
      <c r="W302" s="631"/>
      <c r="X302" s="631"/>
      <c r="Y302" s="631"/>
    </row>
    <row r="303">
      <c r="A303" s="631"/>
      <c r="B303" s="631"/>
      <c r="C303" s="631"/>
      <c r="D303" s="631"/>
      <c r="E303" s="441"/>
      <c r="F303" s="631"/>
      <c r="G303" s="631"/>
      <c r="H303" s="631"/>
      <c r="I303" s="631"/>
      <c r="J303" s="631"/>
      <c r="K303" s="631"/>
      <c r="L303" s="631"/>
      <c r="M303" s="631"/>
      <c r="N303" s="631"/>
      <c r="O303" s="631"/>
      <c r="P303" s="631"/>
      <c r="Q303" s="631"/>
      <c r="R303" s="631"/>
      <c r="S303" s="631"/>
      <c r="T303" s="631"/>
      <c r="U303" s="631"/>
      <c r="V303" s="631"/>
      <c r="W303" s="631"/>
      <c r="X303" s="631"/>
      <c r="Y303" s="631"/>
    </row>
    <row r="304">
      <c r="A304" s="631"/>
      <c r="B304" s="631"/>
      <c r="C304" s="631"/>
      <c r="D304" s="631"/>
      <c r="E304" s="441"/>
      <c r="F304" s="631"/>
      <c r="G304" s="631"/>
      <c r="H304" s="631"/>
      <c r="I304" s="631"/>
      <c r="J304" s="631"/>
      <c r="K304" s="631"/>
      <c r="L304" s="631"/>
      <c r="M304" s="631"/>
      <c r="N304" s="631"/>
      <c r="O304" s="631"/>
      <c r="P304" s="631"/>
      <c r="Q304" s="631"/>
      <c r="R304" s="631"/>
      <c r="S304" s="631"/>
      <c r="T304" s="631"/>
      <c r="U304" s="631"/>
      <c r="V304" s="631"/>
      <c r="W304" s="631"/>
      <c r="X304" s="631"/>
      <c r="Y304" s="631"/>
    </row>
    <row r="305">
      <c r="A305" s="631"/>
      <c r="B305" s="631"/>
      <c r="C305" s="631"/>
      <c r="D305" s="631"/>
      <c r="E305" s="441"/>
      <c r="F305" s="631"/>
      <c r="G305" s="631"/>
      <c r="H305" s="631"/>
      <c r="I305" s="631"/>
      <c r="J305" s="631"/>
      <c r="K305" s="631"/>
      <c r="L305" s="631"/>
      <c r="M305" s="631"/>
      <c r="N305" s="631"/>
      <c r="O305" s="631"/>
      <c r="P305" s="631"/>
      <c r="Q305" s="631"/>
      <c r="R305" s="631"/>
      <c r="S305" s="631"/>
      <c r="T305" s="631"/>
      <c r="U305" s="631"/>
      <c r="V305" s="631"/>
      <c r="W305" s="631"/>
      <c r="X305" s="631"/>
      <c r="Y305" s="631"/>
    </row>
    <row r="306">
      <c r="A306" s="631"/>
      <c r="B306" s="631"/>
      <c r="C306" s="631"/>
      <c r="D306" s="631"/>
      <c r="E306" s="441"/>
      <c r="F306" s="631"/>
      <c r="G306" s="631"/>
      <c r="H306" s="631"/>
      <c r="I306" s="631"/>
      <c r="J306" s="631"/>
      <c r="K306" s="631"/>
      <c r="L306" s="631"/>
      <c r="M306" s="631"/>
      <c r="N306" s="631"/>
      <c r="O306" s="631"/>
      <c r="P306" s="631"/>
      <c r="Q306" s="631"/>
      <c r="R306" s="631"/>
      <c r="S306" s="631"/>
      <c r="T306" s="631"/>
      <c r="U306" s="631"/>
      <c r="V306" s="631"/>
      <c r="W306" s="631"/>
      <c r="X306" s="631"/>
      <c r="Y306" s="631"/>
    </row>
    <row r="307">
      <c r="A307" s="631"/>
      <c r="B307" s="631"/>
      <c r="C307" s="631"/>
      <c r="D307" s="631"/>
      <c r="E307" s="441"/>
      <c r="F307" s="631"/>
      <c r="G307" s="631"/>
      <c r="H307" s="631"/>
      <c r="I307" s="631"/>
      <c r="J307" s="631"/>
      <c r="K307" s="631"/>
      <c r="L307" s="631"/>
      <c r="M307" s="631"/>
      <c r="N307" s="631"/>
      <c r="O307" s="631"/>
      <c r="P307" s="631"/>
      <c r="Q307" s="631"/>
      <c r="R307" s="631"/>
      <c r="S307" s="631"/>
      <c r="T307" s="631"/>
      <c r="U307" s="631"/>
      <c r="V307" s="631"/>
      <c r="W307" s="631"/>
      <c r="X307" s="631"/>
      <c r="Y307" s="631"/>
    </row>
    <row r="308">
      <c r="A308" s="631"/>
      <c r="B308" s="631"/>
      <c r="C308" s="631"/>
      <c r="D308" s="631"/>
      <c r="E308" s="441"/>
      <c r="F308" s="631"/>
      <c r="G308" s="631"/>
      <c r="H308" s="631"/>
      <c r="I308" s="631"/>
      <c r="J308" s="631"/>
      <c r="K308" s="631"/>
      <c r="L308" s="631"/>
      <c r="M308" s="631"/>
      <c r="N308" s="631"/>
      <c r="O308" s="631"/>
      <c r="P308" s="631"/>
      <c r="Q308" s="631"/>
      <c r="R308" s="631"/>
      <c r="S308" s="631"/>
      <c r="T308" s="631"/>
      <c r="U308" s="631"/>
      <c r="V308" s="631"/>
      <c r="W308" s="631"/>
      <c r="X308" s="631"/>
      <c r="Y308" s="631"/>
    </row>
    <row r="309">
      <c r="A309" s="631"/>
      <c r="B309" s="631"/>
      <c r="C309" s="631"/>
      <c r="D309" s="631"/>
      <c r="E309" s="441"/>
      <c r="F309" s="631"/>
      <c r="G309" s="631"/>
      <c r="H309" s="631"/>
      <c r="I309" s="631"/>
      <c r="J309" s="631"/>
      <c r="K309" s="631"/>
      <c r="L309" s="631"/>
      <c r="M309" s="631"/>
      <c r="N309" s="631"/>
      <c r="O309" s="631"/>
      <c r="P309" s="631"/>
      <c r="Q309" s="631"/>
      <c r="R309" s="631"/>
      <c r="S309" s="631"/>
      <c r="T309" s="631"/>
      <c r="U309" s="631"/>
      <c r="V309" s="631"/>
      <c r="W309" s="631"/>
      <c r="X309" s="631"/>
      <c r="Y309" s="631"/>
    </row>
    <row r="310">
      <c r="A310" s="631"/>
      <c r="B310" s="631"/>
      <c r="C310" s="631"/>
      <c r="D310" s="631"/>
      <c r="E310" s="441"/>
      <c r="F310" s="631"/>
      <c r="G310" s="631"/>
      <c r="H310" s="631"/>
      <c r="I310" s="631"/>
      <c r="J310" s="631"/>
      <c r="K310" s="631"/>
      <c r="L310" s="631"/>
      <c r="M310" s="631"/>
      <c r="N310" s="631"/>
      <c r="O310" s="631"/>
      <c r="P310" s="631"/>
      <c r="Q310" s="631"/>
      <c r="R310" s="631"/>
      <c r="S310" s="631"/>
      <c r="T310" s="631"/>
      <c r="U310" s="631"/>
      <c r="V310" s="631"/>
      <c r="W310" s="631"/>
      <c r="X310" s="631"/>
      <c r="Y310" s="631"/>
    </row>
    <row r="311">
      <c r="A311" s="631"/>
      <c r="B311" s="631"/>
      <c r="C311" s="631"/>
      <c r="D311" s="631"/>
      <c r="E311" s="441"/>
      <c r="F311" s="631"/>
      <c r="G311" s="631"/>
      <c r="H311" s="631"/>
      <c r="I311" s="631"/>
      <c r="J311" s="631"/>
      <c r="K311" s="631"/>
      <c r="L311" s="631"/>
      <c r="M311" s="631"/>
      <c r="N311" s="631"/>
      <c r="O311" s="631"/>
      <c r="P311" s="631"/>
      <c r="Q311" s="631"/>
      <c r="R311" s="631"/>
      <c r="S311" s="631"/>
      <c r="T311" s="631"/>
      <c r="U311" s="631"/>
      <c r="V311" s="631"/>
      <c r="W311" s="631"/>
      <c r="X311" s="631"/>
      <c r="Y311" s="631"/>
    </row>
    <row r="312">
      <c r="A312" s="631"/>
      <c r="B312" s="631"/>
      <c r="C312" s="631"/>
      <c r="D312" s="631"/>
      <c r="E312" s="441"/>
      <c r="F312" s="631"/>
      <c r="G312" s="631"/>
      <c r="H312" s="631"/>
      <c r="I312" s="631"/>
      <c r="J312" s="631"/>
      <c r="K312" s="631"/>
      <c r="L312" s="631"/>
      <c r="M312" s="631"/>
      <c r="N312" s="631"/>
      <c r="O312" s="631"/>
      <c r="P312" s="631"/>
      <c r="Q312" s="631"/>
      <c r="R312" s="631"/>
      <c r="S312" s="631"/>
      <c r="T312" s="631"/>
      <c r="U312" s="631"/>
      <c r="V312" s="631"/>
      <c r="W312" s="631"/>
      <c r="X312" s="631"/>
      <c r="Y312" s="631"/>
    </row>
    <row r="313">
      <c r="A313" s="631"/>
      <c r="B313" s="631"/>
      <c r="C313" s="631"/>
      <c r="D313" s="631"/>
      <c r="E313" s="441"/>
      <c r="F313" s="631"/>
      <c r="G313" s="631"/>
      <c r="H313" s="631"/>
      <c r="I313" s="631"/>
      <c r="J313" s="631"/>
      <c r="K313" s="631"/>
      <c r="L313" s="631"/>
      <c r="M313" s="631"/>
      <c r="N313" s="631"/>
      <c r="O313" s="631"/>
      <c r="P313" s="631"/>
      <c r="Q313" s="631"/>
      <c r="R313" s="631"/>
      <c r="S313" s="631"/>
      <c r="T313" s="631"/>
      <c r="U313" s="631"/>
      <c r="V313" s="631"/>
      <c r="W313" s="631"/>
      <c r="X313" s="631"/>
      <c r="Y313" s="631"/>
    </row>
    <row r="314">
      <c r="A314" s="631"/>
      <c r="B314" s="631"/>
      <c r="C314" s="631"/>
      <c r="D314" s="631"/>
      <c r="E314" s="441"/>
      <c r="F314" s="631"/>
      <c r="G314" s="631"/>
      <c r="H314" s="631"/>
      <c r="I314" s="631"/>
      <c r="J314" s="631"/>
      <c r="K314" s="631"/>
      <c r="L314" s="631"/>
      <c r="M314" s="631"/>
      <c r="N314" s="631"/>
      <c r="O314" s="631"/>
      <c r="P314" s="631"/>
      <c r="Q314" s="631"/>
      <c r="R314" s="631"/>
      <c r="S314" s="631"/>
      <c r="T314" s="631"/>
      <c r="U314" s="631"/>
      <c r="V314" s="631"/>
      <c r="W314" s="631"/>
      <c r="X314" s="631"/>
      <c r="Y314" s="631"/>
    </row>
    <row r="315">
      <c r="A315" s="631"/>
      <c r="B315" s="631"/>
      <c r="C315" s="631"/>
      <c r="D315" s="631"/>
      <c r="E315" s="441"/>
      <c r="F315" s="631"/>
      <c r="G315" s="631"/>
      <c r="H315" s="631"/>
      <c r="I315" s="631"/>
      <c r="J315" s="631"/>
      <c r="K315" s="631"/>
      <c r="L315" s="631"/>
      <c r="M315" s="631"/>
      <c r="N315" s="631"/>
      <c r="O315" s="631"/>
      <c r="P315" s="631"/>
      <c r="Q315" s="631"/>
      <c r="R315" s="631"/>
      <c r="S315" s="631"/>
      <c r="T315" s="631"/>
      <c r="U315" s="631"/>
      <c r="V315" s="631"/>
      <c r="W315" s="631"/>
      <c r="X315" s="631"/>
      <c r="Y315" s="631"/>
    </row>
    <row r="316">
      <c r="A316" s="631"/>
      <c r="B316" s="631"/>
      <c r="C316" s="631"/>
      <c r="D316" s="631"/>
      <c r="E316" s="441"/>
      <c r="F316" s="631"/>
      <c r="G316" s="631"/>
      <c r="H316" s="631"/>
      <c r="I316" s="631"/>
      <c r="J316" s="631"/>
      <c r="K316" s="631"/>
      <c r="L316" s="631"/>
      <c r="M316" s="631"/>
      <c r="N316" s="631"/>
      <c r="O316" s="631"/>
      <c r="P316" s="631"/>
      <c r="Q316" s="631"/>
      <c r="R316" s="631"/>
      <c r="S316" s="631"/>
      <c r="T316" s="631"/>
      <c r="U316" s="631"/>
      <c r="V316" s="631"/>
      <c r="W316" s="631"/>
      <c r="X316" s="631"/>
      <c r="Y316" s="631"/>
    </row>
    <row r="317">
      <c r="A317" s="631"/>
      <c r="B317" s="631"/>
      <c r="C317" s="631"/>
      <c r="D317" s="631"/>
      <c r="E317" s="441"/>
      <c r="F317" s="631"/>
      <c r="G317" s="631"/>
      <c r="H317" s="631"/>
      <c r="I317" s="631"/>
      <c r="J317" s="631"/>
      <c r="K317" s="631"/>
      <c r="L317" s="631"/>
      <c r="M317" s="631"/>
      <c r="N317" s="631"/>
      <c r="O317" s="631"/>
      <c r="P317" s="631"/>
      <c r="Q317" s="631"/>
      <c r="R317" s="631"/>
      <c r="S317" s="631"/>
      <c r="T317" s="631"/>
      <c r="U317" s="631"/>
      <c r="V317" s="631"/>
      <c r="W317" s="631"/>
      <c r="X317" s="631"/>
      <c r="Y317" s="631"/>
    </row>
    <row r="318">
      <c r="A318" s="631"/>
      <c r="B318" s="631"/>
      <c r="C318" s="631"/>
      <c r="D318" s="631"/>
      <c r="E318" s="441"/>
      <c r="F318" s="631"/>
      <c r="G318" s="631"/>
      <c r="H318" s="631"/>
      <c r="I318" s="631"/>
      <c r="J318" s="631"/>
      <c r="K318" s="631"/>
      <c r="L318" s="631"/>
      <c r="M318" s="631"/>
      <c r="N318" s="631"/>
      <c r="O318" s="631"/>
      <c r="P318" s="631"/>
      <c r="Q318" s="631"/>
      <c r="R318" s="631"/>
      <c r="S318" s="631"/>
      <c r="T318" s="631"/>
      <c r="U318" s="631"/>
      <c r="V318" s="631"/>
      <c r="W318" s="631"/>
      <c r="X318" s="631"/>
      <c r="Y318" s="631"/>
    </row>
    <row r="319">
      <c r="A319" s="631"/>
      <c r="B319" s="631"/>
      <c r="C319" s="631"/>
      <c r="D319" s="631"/>
      <c r="E319" s="441"/>
      <c r="F319" s="631"/>
      <c r="G319" s="631"/>
      <c r="H319" s="631"/>
      <c r="I319" s="631"/>
      <c r="J319" s="631"/>
      <c r="K319" s="631"/>
      <c r="L319" s="631"/>
      <c r="M319" s="631"/>
      <c r="N319" s="631"/>
      <c r="O319" s="631"/>
      <c r="P319" s="631"/>
      <c r="Q319" s="631"/>
      <c r="R319" s="631"/>
      <c r="S319" s="631"/>
      <c r="T319" s="631"/>
      <c r="U319" s="631"/>
      <c r="V319" s="631"/>
      <c r="W319" s="631"/>
      <c r="X319" s="631"/>
      <c r="Y319" s="631"/>
    </row>
    <row r="320">
      <c r="A320" s="631"/>
      <c r="B320" s="631"/>
      <c r="C320" s="631"/>
      <c r="D320" s="631"/>
      <c r="E320" s="441"/>
      <c r="F320" s="631"/>
      <c r="G320" s="631"/>
      <c r="H320" s="631"/>
      <c r="I320" s="631"/>
      <c r="J320" s="631"/>
      <c r="K320" s="631"/>
      <c r="L320" s="631"/>
      <c r="M320" s="631"/>
      <c r="N320" s="631"/>
      <c r="O320" s="631"/>
      <c r="P320" s="631"/>
      <c r="Q320" s="631"/>
      <c r="R320" s="631"/>
      <c r="S320" s="631"/>
      <c r="T320" s="631"/>
      <c r="U320" s="631"/>
      <c r="V320" s="631"/>
      <c r="W320" s="631"/>
      <c r="X320" s="631"/>
      <c r="Y320" s="631"/>
    </row>
    <row r="321">
      <c r="A321" s="631"/>
      <c r="B321" s="631"/>
      <c r="C321" s="631"/>
      <c r="D321" s="631"/>
      <c r="E321" s="441"/>
      <c r="F321" s="631"/>
      <c r="G321" s="631"/>
      <c r="H321" s="631"/>
      <c r="I321" s="631"/>
      <c r="J321" s="631"/>
      <c r="K321" s="631"/>
      <c r="L321" s="631"/>
      <c r="M321" s="631"/>
      <c r="N321" s="631"/>
      <c r="O321" s="631"/>
      <c r="P321" s="631"/>
      <c r="Q321" s="631"/>
      <c r="R321" s="631"/>
      <c r="S321" s="631"/>
      <c r="T321" s="631"/>
      <c r="U321" s="631"/>
      <c r="V321" s="631"/>
      <c r="W321" s="631"/>
      <c r="X321" s="631"/>
      <c r="Y321" s="631"/>
    </row>
    <row r="322">
      <c r="A322" s="631"/>
      <c r="B322" s="631"/>
      <c r="C322" s="631"/>
      <c r="D322" s="631"/>
      <c r="E322" s="441"/>
      <c r="F322" s="631"/>
      <c r="G322" s="631"/>
      <c r="H322" s="631"/>
      <c r="I322" s="631"/>
      <c r="J322" s="631"/>
      <c r="K322" s="631"/>
      <c r="L322" s="631"/>
      <c r="M322" s="631"/>
      <c r="N322" s="631"/>
      <c r="O322" s="631"/>
      <c r="P322" s="631"/>
      <c r="Q322" s="631"/>
      <c r="R322" s="631"/>
      <c r="S322" s="631"/>
      <c r="T322" s="631"/>
      <c r="U322" s="631"/>
      <c r="V322" s="631"/>
      <c r="W322" s="631"/>
      <c r="X322" s="631"/>
      <c r="Y322" s="631"/>
    </row>
    <row r="323">
      <c r="A323" s="631"/>
      <c r="B323" s="631"/>
      <c r="C323" s="631"/>
      <c r="D323" s="631"/>
      <c r="E323" s="441"/>
      <c r="F323" s="631"/>
      <c r="G323" s="631"/>
      <c r="H323" s="631"/>
      <c r="I323" s="631"/>
      <c r="J323" s="631"/>
      <c r="K323" s="631"/>
      <c r="L323" s="631"/>
      <c r="M323" s="631"/>
      <c r="N323" s="631"/>
      <c r="O323" s="631"/>
      <c r="P323" s="631"/>
      <c r="Q323" s="631"/>
      <c r="R323" s="631"/>
      <c r="S323" s="631"/>
      <c r="T323" s="631"/>
      <c r="U323" s="631"/>
      <c r="V323" s="631"/>
      <c r="W323" s="631"/>
      <c r="X323" s="631"/>
      <c r="Y323" s="631"/>
    </row>
    <row r="324">
      <c r="A324" s="631"/>
      <c r="B324" s="631"/>
      <c r="C324" s="631"/>
      <c r="D324" s="631"/>
      <c r="E324" s="441"/>
      <c r="F324" s="631"/>
      <c r="G324" s="631"/>
      <c r="H324" s="631"/>
      <c r="I324" s="631"/>
      <c r="J324" s="631"/>
      <c r="K324" s="631"/>
      <c r="L324" s="631"/>
      <c r="M324" s="631"/>
      <c r="N324" s="631"/>
      <c r="O324" s="631"/>
      <c r="P324" s="631"/>
      <c r="Q324" s="631"/>
      <c r="R324" s="631"/>
      <c r="S324" s="631"/>
      <c r="T324" s="631"/>
      <c r="U324" s="631"/>
      <c r="V324" s="631"/>
      <c r="W324" s="631"/>
      <c r="X324" s="631"/>
      <c r="Y324" s="631"/>
    </row>
    <row r="325">
      <c r="A325" s="631"/>
      <c r="B325" s="631"/>
      <c r="C325" s="631"/>
      <c r="D325" s="631"/>
      <c r="E325" s="441"/>
      <c r="F325" s="631"/>
      <c r="G325" s="631"/>
      <c r="H325" s="631"/>
      <c r="I325" s="631"/>
      <c r="J325" s="631"/>
      <c r="K325" s="631"/>
      <c r="L325" s="631"/>
      <c r="M325" s="631"/>
      <c r="N325" s="631"/>
      <c r="O325" s="631"/>
      <c r="P325" s="631"/>
      <c r="Q325" s="631"/>
      <c r="R325" s="631"/>
      <c r="S325" s="631"/>
      <c r="T325" s="631"/>
      <c r="U325" s="631"/>
      <c r="V325" s="631"/>
      <c r="W325" s="631"/>
      <c r="X325" s="631"/>
      <c r="Y325" s="631"/>
    </row>
    <row r="326">
      <c r="A326" s="631"/>
      <c r="B326" s="631"/>
      <c r="C326" s="631"/>
      <c r="D326" s="631"/>
      <c r="E326" s="441"/>
      <c r="F326" s="631"/>
      <c r="G326" s="631"/>
      <c r="H326" s="631"/>
      <c r="I326" s="631"/>
      <c r="J326" s="631"/>
      <c r="K326" s="631"/>
      <c r="L326" s="631"/>
      <c r="M326" s="631"/>
      <c r="N326" s="631"/>
      <c r="O326" s="631"/>
      <c r="P326" s="631"/>
      <c r="Q326" s="631"/>
      <c r="R326" s="631"/>
      <c r="S326" s="631"/>
      <c r="T326" s="631"/>
      <c r="U326" s="631"/>
      <c r="V326" s="631"/>
      <c r="W326" s="631"/>
      <c r="X326" s="631"/>
      <c r="Y326" s="631"/>
    </row>
    <row r="327">
      <c r="A327" s="631"/>
      <c r="B327" s="631"/>
      <c r="C327" s="631"/>
      <c r="D327" s="631"/>
      <c r="E327" s="441"/>
      <c r="F327" s="631"/>
      <c r="G327" s="631"/>
      <c r="H327" s="631"/>
      <c r="I327" s="631"/>
      <c r="J327" s="631"/>
      <c r="K327" s="631"/>
      <c r="L327" s="631"/>
      <c r="M327" s="631"/>
      <c r="N327" s="631"/>
      <c r="O327" s="631"/>
      <c r="P327" s="631"/>
      <c r="Q327" s="631"/>
      <c r="R327" s="631"/>
      <c r="S327" s="631"/>
      <c r="T327" s="631"/>
      <c r="U327" s="631"/>
      <c r="V327" s="631"/>
      <c r="W327" s="631"/>
      <c r="X327" s="631"/>
      <c r="Y327" s="631"/>
    </row>
    <row r="328">
      <c r="A328" s="631"/>
      <c r="B328" s="631"/>
      <c r="C328" s="631"/>
      <c r="D328" s="631"/>
      <c r="E328" s="441"/>
      <c r="F328" s="631"/>
      <c r="G328" s="631"/>
      <c r="H328" s="631"/>
      <c r="I328" s="631"/>
      <c r="J328" s="631"/>
      <c r="K328" s="631"/>
      <c r="L328" s="631"/>
      <c r="M328" s="631"/>
      <c r="N328" s="631"/>
      <c r="O328" s="631"/>
      <c r="P328" s="631"/>
      <c r="Q328" s="631"/>
      <c r="R328" s="631"/>
      <c r="S328" s="631"/>
      <c r="T328" s="631"/>
      <c r="U328" s="631"/>
      <c r="V328" s="631"/>
      <c r="W328" s="631"/>
      <c r="X328" s="631"/>
      <c r="Y328" s="631"/>
    </row>
    <row r="329">
      <c r="A329" s="631"/>
      <c r="B329" s="631"/>
      <c r="C329" s="631"/>
      <c r="D329" s="631"/>
      <c r="E329" s="441"/>
      <c r="F329" s="631"/>
      <c r="G329" s="631"/>
      <c r="H329" s="631"/>
      <c r="I329" s="631"/>
      <c r="J329" s="631"/>
      <c r="K329" s="631"/>
      <c r="L329" s="631"/>
      <c r="M329" s="631"/>
      <c r="N329" s="631"/>
      <c r="O329" s="631"/>
      <c r="P329" s="631"/>
      <c r="Q329" s="631"/>
      <c r="R329" s="631"/>
      <c r="S329" s="631"/>
      <c r="T329" s="631"/>
      <c r="U329" s="631"/>
      <c r="V329" s="631"/>
      <c r="W329" s="631"/>
      <c r="X329" s="631"/>
      <c r="Y329" s="631"/>
    </row>
    <row r="330">
      <c r="A330" s="631"/>
      <c r="B330" s="631"/>
      <c r="C330" s="631"/>
      <c r="D330" s="631"/>
      <c r="E330" s="441"/>
      <c r="F330" s="631"/>
      <c r="G330" s="631"/>
      <c r="H330" s="631"/>
      <c r="I330" s="631"/>
      <c r="J330" s="631"/>
      <c r="K330" s="631"/>
      <c r="L330" s="631"/>
      <c r="M330" s="631"/>
      <c r="N330" s="631"/>
      <c r="O330" s="631"/>
      <c r="P330" s="631"/>
      <c r="Q330" s="631"/>
      <c r="R330" s="631"/>
      <c r="S330" s="631"/>
      <c r="T330" s="631"/>
      <c r="U330" s="631"/>
      <c r="V330" s="631"/>
      <c r="W330" s="631"/>
      <c r="X330" s="631"/>
      <c r="Y330" s="631"/>
    </row>
    <row r="331">
      <c r="A331" s="631"/>
      <c r="B331" s="631"/>
      <c r="C331" s="631"/>
      <c r="D331" s="631"/>
      <c r="E331" s="441"/>
      <c r="F331" s="631"/>
      <c r="G331" s="631"/>
      <c r="H331" s="631"/>
      <c r="I331" s="631"/>
      <c r="J331" s="631"/>
      <c r="K331" s="631"/>
      <c r="L331" s="631"/>
      <c r="M331" s="631"/>
      <c r="N331" s="631"/>
      <c r="O331" s="631"/>
      <c r="P331" s="631"/>
      <c r="Q331" s="631"/>
      <c r="R331" s="631"/>
      <c r="S331" s="631"/>
      <c r="T331" s="631"/>
      <c r="U331" s="631"/>
      <c r="V331" s="631"/>
      <c r="W331" s="631"/>
      <c r="X331" s="631"/>
      <c r="Y331" s="631"/>
    </row>
    <row r="332">
      <c r="A332" s="631"/>
      <c r="B332" s="631"/>
      <c r="C332" s="631"/>
      <c r="D332" s="631"/>
      <c r="E332" s="441"/>
      <c r="F332" s="631"/>
      <c r="G332" s="631"/>
      <c r="H332" s="631"/>
      <c r="I332" s="631"/>
      <c r="J332" s="631"/>
      <c r="K332" s="631"/>
      <c r="L332" s="631"/>
      <c r="M332" s="631"/>
      <c r="N332" s="631"/>
      <c r="O332" s="631"/>
      <c r="P332" s="631"/>
      <c r="Q332" s="631"/>
      <c r="R332" s="631"/>
      <c r="S332" s="631"/>
      <c r="T332" s="631"/>
      <c r="U332" s="631"/>
      <c r="V332" s="631"/>
      <c r="W332" s="631"/>
      <c r="X332" s="631"/>
      <c r="Y332" s="631"/>
    </row>
    <row r="333">
      <c r="A333" s="631"/>
      <c r="B333" s="631"/>
      <c r="C333" s="631"/>
      <c r="D333" s="631"/>
      <c r="E333" s="441"/>
      <c r="F333" s="631"/>
      <c r="G333" s="631"/>
      <c r="H333" s="631"/>
      <c r="I333" s="631"/>
      <c r="J333" s="631"/>
      <c r="K333" s="631"/>
      <c r="L333" s="631"/>
      <c r="M333" s="631"/>
      <c r="N333" s="631"/>
      <c r="O333" s="631"/>
      <c r="P333" s="631"/>
      <c r="Q333" s="631"/>
      <c r="R333" s="631"/>
      <c r="S333" s="631"/>
      <c r="T333" s="631"/>
      <c r="U333" s="631"/>
      <c r="V333" s="631"/>
      <c r="W333" s="631"/>
      <c r="X333" s="631"/>
      <c r="Y333" s="631"/>
    </row>
    <row r="334">
      <c r="A334" s="631"/>
      <c r="B334" s="631"/>
      <c r="C334" s="631"/>
      <c r="D334" s="631"/>
      <c r="E334" s="441"/>
      <c r="F334" s="631"/>
      <c r="G334" s="631"/>
      <c r="H334" s="631"/>
      <c r="I334" s="631"/>
      <c r="J334" s="631"/>
      <c r="K334" s="631"/>
      <c r="L334" s="631"/>
      <c r="M334" s="631"/>
      <c r="N334" s="631"/>
      <c r="O334" s="631"/>
      <c r="P334" s="631"/>
      <c r="Q334" s="631"/>
      <c r="R334" s="631"/>
      <c r="S334" s="631"/>
      <c r="T334" s="631"/>
      <c r="U334" s="631"/>
      <c r="V334" s="631"/>
      <c r="W334" s="631"/>
      <c r="X334" s="631"/>
      <c r="Y334" s="631"/>
    </row>
    <row r="335">
      <c r="A335" s="631"/>
      <c r="B335" s="631"/>
      <c r="C335" s="631"/>
      <c r="D335" s="631"/>
      <c r="E335" s="441"/>
      <c r="F335" s="631"/>
      <c r="G335" s="631"/>
      <c r="H335" s="631"/>
      <c r="I335" s="631"/>
      <c r="J335" s="631"/>
      <c r="K335" s="631"/>
      <c r="L335" s="631"/>
      <c r="M335" s="631"/>
      <c r="N335" s="631"/>
      <c r="O335" s="631"/>
      <c r="P335" s="631"/>
      <c r="Q335" s="631"/>
      <c r="R335" s="631"/>
      <c r="S335" s="631"/>
      <c r="T335" s="631"/>
      <c r="U335" s="631"/>
      <c r="V335" s="631"/>
      <c r="W335" s="631"/>
      <c r="X335" s="631"/>
      <c r="Y335" s="631"/>
    </row>
    <row r="336">
      <c r="A336" s="631"/>
      <c r="B336" s="631"/>
      <c r="C336" s="631"/>
      <c r="D336" s="631"/>
      <c r="E336" s="441"/>
      <c r="F336" s="631"/>
      <c r="G336" s="631"/>
      <c r="H336" s="631"/>
      <c r="I336" s="631"/>
      <c r="J336" s="631"/>
      <c r="K336" s="631"/>
      <c r="L336" s="631"/>
      <c r="M336" s="631"/>
      <c r="N336" s="631"/>
      <c r="O336" s="631"/>
      <c r="P336" s="631"/>
      <c r="Q336" s="631"/>
      <c r="R336" s="631"/>
      <c r="S336" s="631"/>
      <c r="T336" s="631"/>
      <c r="U336" s="631"/>
      <c r="V336" s="631"/>
      <c r="W336" s="631"/>
      <c r="X336" s="631"/>
      <c r="Y336" s="631"/>
    </row>
    <row r="337">
      <c r="A337" s="631"/>
      <c r="B337" s="631"/>
      <c r="C337" s="631"/>
      <c r="D337" s="631"/>
      <c r="E337" s="441"/>
      <c r="F337" s="631"/>
      <c r="G337" s="631"/>
      <c r="H337" s="631"/>
      <c r="I337" s="631"/>
      <c r="J337" s="631"/>
      <c r="K337" s="631"/>
      <c r="L337" s="631"/>
      <c r="M337" s="631"/>
      <c r="N337" s="631"/>
      <c r="O337" s="631"/>
      <c r="P337" s="631"/>
      <c r="Q337" s="631"/>
      <c r="R337" s="631"/>
      <c r="S337" s="631"/>
      <c r="T337" s="631"/>
      <c r="U337" s="631"/>
      <c r="V337" s="631"/>
      <c r="W337" s="631"/>
      <c r="X337" s="631"/>
      <c r="Y337" s="631"/>
    </row>
    <row r="338">
      <c r="A338" s="631"/>
      <c r="B338" s="631"/>
      <c r="C338" s="631"/>
      <c r="D338" s="631"/>
      <c r="E338" s="441"/>
      <c r="F338" s="631"/>
      <c r="G338" s="631"/>
      <c r="H338" s="631"/>
      <c r="I338" s="631"/>
      <c r="J338" s="631"/>
      <c r="K338" s="631"/>
      <c r="L338" s="631"/>
      <c r="M338" s="631"/>
      <c r="N338" s="631"/>
      <c r="O338" s="631"/>
      <c r="P338" s="631"/>
      <c r="Q338" s="631"/>
      <c r="R338" s="631"/>
      <c r="S338" s="631"/>
      <c r="T338" s="631"/>
      <c r="U338" s="631"/>
      <c r="V338" s="631"/>
      <c r="W338" s="631"/>
      <c r="X338" s="631"/>
      <c r="Y338" s="631"/>
    </row>
    <row r="339">
      <c r="A339" s="631"/>
      <c r="B339" s="631"/>
      <c r="C339" s="631"/>
      <c r="D339" s="631"/>
      <c r="E339" s="441"/>
      <c r="F339" s="631"/>
      <c r="G339" s="631"/>
      <c r="H339" s="631"/>
      <c r="I339" s="631"/>
      <c r="J339" s="631"/>
      <c r="K339" s="631"/>
      <c r="L339" s="631"/>
      <c r="M339" s="631"/>
      <c r="N339" s="631"/>
      <c r="O339" s="631"/>
      <c r="P339" s="631"/>
      <c r="Q339" s="631"/>
      <c r="R339" s="631"/>
      <c r="S339" s="631"/>
      <c r="T339" s="631"/>
      <c r="U339" s="631"/>
      <c r="V339" s="631"/>
      <c r="W339" s="631"/>
      <c r="X339" s="631"/>
      <c r="Y339" s="631"/>
    </row>
    <row r="340">
      <c r="A340" s="631"/>
      <c r="B340" s="631"/>
      <c r="C340" s="631"/>
      <c r="D340" s="631"/>
      <c r="E340" s="441"/>
      <c r="F340" s="631"/>
      <c r="G340" s="631"/>
      <c r="H340" s="631"/>
      <c r="I340" s="631"/>
      <c r="J340" s="631"/>
      <c r="K340" s="631"/>
      <c r="L340" s="631"/>
      <c r="M340" s="631"/>
      <c r="N340" s="631"/>
      <c r="O340" s="631"/>
      <c r="P340" s="631"/>
      <c r="Q340" s="631"/>
      <c r="R340" s="631"/>
      <c r="S340" s="631"/>
      <c r="T340" s="631"/>
      <c r="U340" s="631"/>
      <c r="V340" s="631"/>
      <c r="W340" s="631"/>
      <c r="X340" s="631"/>
      <c r="Y340" s="631"/>
    </row>
    <row r="341">
      <c r="A341" s="631"/>
      <c r="B341" s="631"/>
      <c r="C341" s="631"/>
      <c r="D341" s="631"/>
      <c r="E341" s="441"/>
      <c r="F341" s="631"/>
      <c r="G341" s="631"/>
      <c r="H341" s="631"/>
      <c r="I341" s="631"/>
      <c r="J341" s="631"/>
      <c r="K341" s="631"/>
      <c r="L341" s="631"/>
      <c r="M341" s="631"/>
      <c r="N341" s="631"/>
      <c r="O341" s="631"/>
      <c r="P341" s="631"/>
      <c r="Q341" s="631"/>
      <c r="R341" s="631"/>
      <c r="S341" s="631"/>
      <c r="T341" s="631"/>
      <c r="U341" s="631"/>
      <c r="V341" s="631"/>
      <c r="W341" s="631"/>
      <c r="X341" s="631"/>
      <c r="Y341" s="631"/>
    </row>
    <row r="342">
      <c r="A342" s="631"/>
      <c r="B342" s="631"/>
      <c r="C342" s="631"/>
      <c r="D342" s="631"/>
      <c r="E342" s="441"/>
      <c r="F342" s="631"/>
      <c r="G342" s="631"/>
      <c r="H342" s="631"/>
      <c r="I342" s="631"/>
      <c r="J342" s="631"/>
      <c r="K342" s="631"/>
      <c r="L342" s="631"/>
      <c r="M342" s="631"/>
      <c r="N342" s="631"/>
      <c r="O342" s="631"/>
      <c r="P342" s="631"/>
      <c r="Q342" s="631"/>
      <c r="R342" s="631"/>
      <c r="S342" s="631"/>
      <c r="T342" s="631"/>
      <c r="U342" s="631"/>
      <c r="V342" s="631"/>
      <c r="W342" s="631"/>
      <c r="X342" s="631"/>
      <c r="Y342" s="631"/>
    </row>
    <row r="343">
      <c r="A343" s="631"/>
      <c r="B343" s="631"/>
      <c r="C343" s="631"/>
      <c r="D343" s="631"/>
      <c r="E343" s="441"/>
      <c r="F343" s="631"/>
      <c r="G343" s="631"/>
      <c r="H343" s="631"/>
      <c r="I343" s="631"/>
      <c r="J343" s="631"/>
      <c r="K343" s="631"/>
      <c r="L343" s="631"/>
      <c r="M343" s="631"/>
      <c r="N343" s="631"/>
      <c r="O343" s="631"/>
      <c r="P343" s="631"/>
      <c r="Q343" s="631"/>
      <c r="R343" s="631"/>
      <c r="S343" s="631"/>
      <c r="T343" s="631"/>
      <c r="U343" s="631"/>
      <c r="V343" s="631"/>
      <c r="W343" s="631"/>
      <c r="X343" s="631"/>
      <c r="Y343" s="631"/>
    </row>
    <row r="344">
      <c r="A344" s="631"/>
      <c r="B344" s="631"/>
      <c r="C344" s="631"/>
      <c r="D344" s="631"/>
      <c r="E344" s="441"/>
      <c r="F344" s="631"/>
      <c r="G344" s="631"/>
      <c r="H344" s="631"/>
      <c r="I344" s="631"/>
      <c r="J344" s="631"/>
      <c r="K344" s="631"/>
      <c r="L344" s="631"/>
      <c r="M344" s="631"/>
      <c r="N344" s="631"/>
      <c r="O344" s="631"/>
      <c r="P344" s="631"/>
      <c r="Q344" s="631"/>
      <c r="R344" s="631"/>
      <c r="S344" s="631"/>
      <c r="T344" s="631"/>
      <c r="U344" s="631"/>
      <c r="V344" s="631"/>
      <c r="W344" s="631"/>
      <c r="X344" s="631"/>
      <c r="Y344" s="631"/>
    </row>
    <row r="345">
      <c r="A345" s="631"/>
      <c r="B345" s="631"/>
      <c r="C345" s="631"/>
      <c r="D345" s="631"/>
      <c r="E345" s="441"/>
      <c r="F345" s="631"/>
      <c r="G345" s="631"/>
      <c r="H345" s="631"/>
      <c r="I345" s="631"/>
      <c r="J345" s="631"/>
      <c r="K345" s="631"/>
      <c r="L345" s="631"/>
      <c r="M345" s="631"/>
      <c r="N345" s="631"/>
      <c r="O345" s="631"/>
      <c r="P345" s="631"/>
      <c r="Q345" s="631"/>
      <c r="R345" s="631"/>
      <c r="S345" s="631"/>
      <c r="T345" s="631"/>
      <c r="U345" s="631"/>
      <c r="V345" s="631"/>
      <c r="W345" s="631"/>
      <c r="X345" s="631"/>
      <c r="Y345" s="631"/>
    </row>
    <row r="346">
      <c r="A346" s="631"/>
      <c r="B346" s="631"/>
      <c r="C346" s="631"/>
      <c r="D346" s="631"/>
      <c r="E346" s="441"/>
      <c r="F346" s="631"/>
      <c r="G346" s="631"/>
      <c r="H346" s="631"/>
      <c r="I346" s="631"/>
      <c r="J346" s="631"/>
      <c r="K346" s="631"/>
      <c r="L346" s="631"/>
      <c r="M346" s="631"/>
      <c r="N346" s="631"/>
      <c r="O346" s="631"/>
      <c r="P346" s="631"/>
      <c r="Q346" s="631"/>
      <c r="R346" s="631"/>
      <c r="S346" s="631"/>
      <c r="T346" s="631"/>
      <c r="U346" s="631"/>
      <c r="V346" s="631"/>
      <c r="W346" s="631"/>
      <c r="X346" s="631"/>
      <c r="Y346" s="631"/>
    </row>
    <row r="347">
      <c r="A347" s="631"/>
      <c r="B347" s="631"/>
      <c r="C347" s="631"/>
      <c r="D347" s="631"/>
      <c r="E347" s="441"/>
      <c r="F347" s="631"/>
      <c r="G347" s="631"/>
      <c r="H347" s="631"/>
      <c r="I347" s="631"/>
      <c r="J347" s="631"/>
      <c r="K347" s="631"/>
      <c r="L347" s="631"/>
      <c r="M347" s="631"/>
      <c r="N347" s="631"/>
      <c r="O347" s="631"/>
      <c r="P347" s="631"/>
      <c r="Q347" s="631"/>
      <c r="R347" s="631"/>
      <c r="S347" s="631"/>
      <c r="T347" s="631"/>
      <c r="U347" s="631"/>
      <c r="V347" s="631"/>
      <c r="W347" s="631"/>
      <c r="X347" s="631"/>
      <c r="Y347" s="631"/>
    </row>
    <row r="348">
      <c r="A348" s="631"/>
      <c r="B348" s="631"/>
      <c r="C348" s="631"/>
      <c r="D348" s="631"/>
      <c r="E348" s="441"/>
      <c r="F348" s="631"/>
      <c r="G348" s="631"/>
      <c r="H348" s="631"/>
      <c r="I348" s="631"/>
      <c r="J348" s="631"/>
      <c r="K348" s="631"/>
      <c r="L348" s="631"/>
      <c r="M348" s="631"/>
      <c r="N348" s="631"/>
      <c r="O348" s="631"/>
      <c r="P348" s="631"/>
      <c r="Q348" s="631"/>
      <c r="R348" s="631"/>
      <c r="S348" s="631"/>
      <c r="T348" s="631"/>
      <c r="U348" s="631"/>
      <c r="V348" s="631"/>
      <c r="W348" s="631"/>
      <c r="X348" s="631"/>
      <c r="Y348" s="631"/>
    </row>
    <row r="349">
      <c r="A349" s="631"/>
      <c r="B349" s="631"/>
      <c r="C349" s="631"/>
      <c r="D349" s="631"/>
      <c r="E349" s="441"/>
      <c r="F349" s="631"/>
      <c r="G349" s="631"/>
      <c r="H349" s="631"/>
      <c r="I349" s="631"/>
      <c r="J349" s="631"/>
      <c r="K349" s="631"/>
      <c r="L349" s="631"/>
      <c r="M349" s="631"/>
      <c r="N349" s="631"/>
      <c r="O349" s="631"/>
      <c r="P349" s="631"/>
      <c r="Q349" s="631"/>
      <c r="R349" s="631"/>
      <c r="S349" s="631"/>
      <c r="T349" s="631"/>
      <c r="U349" s="631"/>
      <c r="V349" s="631"/>
      <c r="W349" s="631"/>
      <c r="X349" s="631"/>
      <c r="Y349" s="631"/>
    </row>
    <row r="350">
      <c r="A350" s="631"/>
      <c r="B350" s="631"/>
      <c r="C350" s="631"/>
      <c r="D350" s="631"/>
      <c r="E350" s="441"/>
      <c r="F350" s="631"/>
      <c r="G350" s="631"/>
      <c r="H350" s="631"/>
      <c r="I350" s="631"/>
      <c r="J350" s="631"/>
      <c r="K350" s="631"/>
      <c r="L350" s="631"/>
      <c r="M350" s="631"/>
      <c r="N350" s="631"/>
      <c r="O350" s="631"/>
      <c r="P350" s="631"/>
      <c r="Q350" s="631"/>
      <c r="R350" s="631"/>
      <c r="S350" s="631"/>
      <c r="T350" s="631"/>
      <c r="U350" s="631"/>
      <c r="V350" s="631"/>
      <c r="W350" s="631"/>
      <c r="X350" s="631"/>
      <c r="Y350" s="631"/>
    </row>
    <row r="351">
      <c r="A351" s="631"/>
      <c r="B351" s="631"/>
      <c r="C351" s="631"/>
      <c r="D351" s="631"/>
      <c r="E351" s="441"/>
      <c r="F351" s="631"/>
      <c r="G351" s="631"/>
      <c r="H351" s="631"/>
      <c r="I351" s="631"/>
      <c r="J351" s="631"/>
      <c r="K351" s="631"/>
      <c r="L351" s="631"/>
      <c r="M351" s="631"/>
      <c r="N351" s="631"/>
      <c r="O351" s="631"/>
      <c r="P351" s="631"/>
      <c r="Q351" s="631"/>
      <c r="R351" s="631"/>
      <c r="S351" s="631"/>
      <c r="T351" s="631"/>
      <c r="U351" s="631"/>
      <c r="V351" s="631"/>
      <c r="W351" s="631"/>
      <c r="X351" s="631"/>
      <c r="Y351" s="631"/>
    </row>
    <row r="352">
      <c r="A352" s="631"/>
      <c r="B352" s="631"/>
      <c r="C352" s="631"/>
      <c r="D352" s="631"/>
      <c r="E352" s="441"/>
      <c r="F352" s="631"/>
      <c r="G352" s="631"/>
      <c r="H352" s="631"/>
      <c r="I352" s="631"/>
      <c r="J352" s="631"/>
      <c r="K352" s="631"/>
      <c r="L352" s="631"/>
      <c r="M352" s="631"/>
      <c r="N352" s="631"/>
      <c r="O352" s="631"/>
      <c r="P352" s="631"/>
      <c r="Q352" s="631"/>
      <c r="R352" s="631"/>
      <c r="S352" s="631"/>
      <c r="T352" s="631"/>
      <c r="U352" s="631"/>
      <c r="V352" s="631"/>
      <c r="W352" s="631"/>
      <c r="X352" s="631"/>
      <c r="Y352" s="631"/>
    </row>
    <row r="353">
      <c r="A353" s="631"/>
      <c r="B353" s="631"/>
      <c r="C353" s="631"/>
      <c r="D353" s="631"/>
      <c r="E353" s="441"/>
      <c r="F353" s="631"/>
      <c r="G353" s="631"/>
      <c r="H353" s="631"/>
      <c r="I353" s="631"/>
      <c r="J353" s="631"/>
      <c r="K353" s="631"/>
      <c r="L353" s="631"/>
      <c r="M353" s="631"/>
      <c r="N353" s="631"/>
      <c r="O353" s="631"/>
      <c r="P353" s="631"/>
      <c r="Q353" s="631"/>
      <c r="R353" s="631"/>
      <c r="S353" s="631"/>
      <c r="T353" s="631"/>
      <c r="U353" s="631"/>
      <c r="V353" s="631"/>
      <c r="W353" s="631"/>
      <c r="X353" s="631"/>
      <c r="Y353" s="631"/>
    </row>
    <row r="354">
      <c r="A354" s="631"/>
      <c r="B354" s="631"/>
      <c r="C354" s="631"/>
      <c r="D354" s="631"/>
      <c r="E354" s="441"/>
      <c r="F354" s="631"/>
      <c r="G354" s="631"/>
      <c r="H354" s="631"/>
      <c r="I354" s="631"/>
      <c r="J354" s="631"/>
      <c r="K354" s="631"/>
      <c r="L354" s="631"/>
      <c r="M354" s="631"/>
      <c r="N354" s="631"/>
      <c r="O354" s="631"/>
      <c r="P354" s="631"/>
      <c r="Q354" s="631"/>
      <c r="R354" s="631"/>
      <c r="S354" s="631"/>
      <c r="T354" s="631"/>
      <c r="U354" s="631"/>
      <c r="V354" s="631"/>
      <c r="W354" s="631"/>
      <c r="X354" s="631"/>
      <c r="Y354" s="631"/>
    </row>
    <row r="355">
      <c r="A355" s="631"/>
      <c r="B355" s="631"/>
      <c r="C355" s="631"/>
      <c r="D355" s="631"/>
      <c r="E355" s="441"/>
      <c r="F355" s="631"/>
      <c r="G355" s="631"/>
      <c r="H355" s="631"/>
      <c r="I355" s="631"/>
      <c r="J355" s="631"/>
      <c r="K355" s="631"/>
      <c r="L355" s="631"/>
      <c r="M355" s="631"/>
      <c r="N355" s="631"/>
      <c r="O355" s="631"/>
      <c r="P355" s="631"/>
      <c r="Q355" s="631"/>
      <c r="R355" s="631"/>
      <c r="S355" s="631"/>
      <c r="T355" s="631"/>
      <c r="U355" s="631"/>
      <c r="V355" s="631"/>
      <c r="W355" s="631"/>
      <c r="X355" s="631"/>
      <c r="Y355" s="631"/>
    </row>
    <row r="356">
      <c r="A356" s="631"/>
      <c r="B356" s="631"/>
      <c r="C356" s="631"/>
      <c r="D356" s="631"/>
      <c r="E356" s="441"/>
      <c r="F356" s="631"/>
      <c r="G356" s="631"/>
      <c r="H356" s="631"/>
      <c r="I356" s="631"/>
      <c r="J356" s="631"/>
      <c r="K356" s="631"/>
      <c r="L356" s="631"/>
      <c r="M356" s="631"/>
      <c r="N356" s="631"/>
      <c r="O356" s="631"/>
      <c r="P356" s="631"/>
      <c r="Q356" s="631"/>
      <c r="R356" s="631"/>
      <c r="S356" s="631"/>
      <c r="T356" s="631"/>
      <c r="U356" s="631"/>
      <c r="V356" s="631"/>
      <c r="W356" s="631"/>
      <c r="X356" s="631"/>
      <c r="Y356" s="631"/>
    </row>
    <row r="357">
      <c r="A357" s="631"/>
      <c r="B357" s="631"/>
      <c r="C357" s="631"/>
      <c r="D357" s="631"/>
      <c r="E357" s="441"/>
      <c r="F357" s="631"/>
      <c r="G357" s="631"/>
      <c r="H357" s="631"/>
      <c r="I357" s="631"/>
      <c r="J357" s="631"/>
      <c r="K357" s="631"/>
      <c r="L357" s="631"/>
      <c r="M357" s="631"/>
      <c r="N357" s="631"/>
      <c r="O357" s="631"/>
      <c r="P357" s="631"/>
      <c r="Q357" s="631"/>
      <c r="R357" s="631"/>
      <c r="S357" s="631"/>
      <c r="T357" s="631"/>
      <c r="U357" s="631"/>
      <c r="V357" s="631"/>
      <c r="W357" s="631"/>
      <c r="X357" s="631"/>
      <c r="Y357" s="631"/>
    </row>
    <row r="358">
      <c r="A358" s="631"/>
      <c r="B358" s="631"/>
      <c r="C358" s="631"/>
      <c r="D358" s="631"/>
      <c r="E358" s="441"/>
      <c r="F358" s="631"/>
      <c r="G358" s="631"/>
      <c r="H358" s="631"/>
      <c r="I358" s="631"/>
      <c r="J358" s="631"/>
      <c r="K358" s="631"/>
      <c r="L358" s="631"/>
      <c r="M358" s="631"/>
      <c r="N358" s="631"/>
      <c r="O358" s="631"/>
      <c r="P358" s="631"/>
      <c r="Q358" s="631"/>
      <c r="R358" s="631"/>
      <c r="S358" s="631"/>
      <c r="T358" s="631"/>
      <c r="U358" s="631"/>
      <c r="V358" s="631"/>
      <c r="W358" s="631"/>
      <c r="X358" s="631"/>
      <c r="Y358" s="631"/>
    </row>
    <row r="359">
      <c r="A359" s="631"/>
      <c r="B359" s="631"/>
      <c r="C359" s="631"/>
      <c r="D359" s="631"/>
      <c r="E359" s="441"/>
      <c r="F359" s="631"/>
      <c r="G359" s="631"/>
      <c r="H359" s="631"/>
      <c r="I359" s="631"/>
      <c r="J359" s="631"/>
      <c r="K359" s="631"/>
      <c r="L359" s="631"/>
      <c r="M359" s="631"/>
      <c r="N359" s="631"/>
      <c r="O359" s="631"/>
      <c r="P359" s="631"/>
      <c r="Q359" s="631"/>
      <c r="R359" s="631"/>
      <c r="S359" s="631"/>
      <c r="T359" s="631"/>
      <c r="U359" s="631"/>
      <c r="V359" s="631"/>
      <c r="W359" s="631"/>
      <c r="X359" s="631"/>
      <c r="Y359" s="631"/>
    </row>
    <row r="360">
      <c r="A360" s="631"/>
      <c r="B360" s="631"/>
      <c r="C360" s="631"/>
      <c r="D360" s="631"/>
      <c r="E360" s="441"/>
      <c r="F360" s="631"/>
      <c r="G360" s="631"/>
      <c r="H360" s="631"/>
      <c r="I360" s="631"/>
      <c r="J360" s="631"/>
      <c r="K360" s="631"/>
      <c r="L360" s="631"/>
      <c r="M360" s="631"/>
      <c r="N360" s="631"/>
      <c r="O360" s="631"/>
      <c r="P360" s="631"/>
      <c r="Q360" s="631"/>
      <c r="R360" s="631"/>
      <c r="S360" s="631"/>
      <c r="T360" s="631"/>
      <c r="U360" s="631"/>
      <c r="V360" s="631"/>
      <c r="W360" s="631"/>
      <c r="X360" s="631"/>
      <c r="Y360" s="631"/>
    </row>
    <row r="361">
      <c r="A361" s="631"/>
      <c r="B361" s="631"/>
      <c r="C361" s="631"/>
      <c r="D361" s="631"/>
      <c r="E361" s="441"/>
      <c r="F361" s="631"/>
      <c r="G361" s="631"/>
      <c r="H361" s="631"/>
      <c r="I361" s="631"/>
      <c r="J361" s="631"/>
      <c r="K361" s="631"/>
      <c r="L361" s="631"/>
      <c r="M361" s="631"/>
      <c r="N361" s="631"/>
      <c r="O361" s="631"/>
      <c r="P361" s="631"/>
      <c r="Q361" s="631"/>
      <c r="R361" s="631"/>
      <c r="S361" s="631"/>
      <c r="T361" s="631"/>
      <c r="U361" s="631"/>
      <c r="V361" s="631"/>
      <c r="W361" s="631"/>
      <c r="X361" s="631"/>
      <c r="Y361" s="631"/>
    </row>
    <row r="362">
      <c r="A362" s="631"/>
      <c r="B362" s="631"/>
      <c r="C362" s="631"/>
      <c r="D362" s="631"/>
      <c r="E362" s="441"/>
      <c r="F362" s="631"/>
      <c r="G362" s="631"/>
      <c r="H362" s="631"/>
      <c r="I362" s="631"/>
      <c r="J362" s="631"/>
      <c r="K362" s="631"/>
      <c r="L362" s="631"/>
      <c r="M362" s="631"/>
      <c r="N362" s="631"/>
      <c r="O362" s="631"/>
      <c r="P362" s="631"/>
      <c r="Q362" s="631"/>
      <c r="R362" s="631"/>
      <c r="S362" s="631"/>
      <c r="T362" s="631"/>
      <c r="U362" s="631"/>
      <c r="V362" s="631"/>
      <c r="W362" s="631"/>
      <c r="X362" s="631"/>
      <c r="Y362" s="631"/>
    </row>
    <row r="363">
      <c r="A363" s="631"/>
      <c r="B363" s="631"/>
      <c r="C363" s="631"/>
      <c r="D363" s="631"/>
      <c r="E363" s="441"/>
      <c r="F363" s="631"/>
      <c r="G363" s="631"/>
      <c r="H363" s="631"/>
      <c r="I363" s="631"/>
      <c r="J363" s="631"/>
      <c r="K363" s="631"/>
      <c r="L363" s="631"/>
      <c r="M363" s="631"/>
      <c r="N363" s="631"/>
      <c r="O363" s="631"/>
      <c r="P363" s="631"/>
      <c r="Q363" s="631"/>
      <c r="R363" s="631"/>
      <c r="S363" s="631"/>
      <c r="T363" s="631"/>
      <c r="U363" s="631"/>
      <c r="V363" s="631"/>
      <c r="W363" s="631"/>
      <c r="X363" s="631"/>
      <c r="Y363" s="631"/>
    </row>
    <row r="364">
      <c r="A364" s="631"/>
      <c r="B364" s="631"/>
      <c r="C364" s="631"/>
      <c r="D364" s="631"/>
      <c r="E364" s="441"/>
      <c r="F364" s="631"/>
      <c r="G364" s="631"/>
      <c r="H364" s="631"/>
      <c r="I364" s="631"/>
      <c r="J364" s="631"/>
      <c r="K364" s="631"/>
      <c r="L364" s="631"/>
      <c r="M364" s="631"/>
      <c r="N364" s="631"/>
      <c r="O364" s="631"/>
      <c r="P364" s="631"/>
      <c r="Q364" s="631"/>
      <c r="R364" s="631"/>
      <c r="S364" s="631"/>
      <c r="T364" s="631"/>
      <c r="U364" s="631"/>
      <c r="V364" s="631"/>
      <c r="W364" s="631"/>
      <c r="X364" s="631"/>
      <c r="Y364" s="631"/>
    </row>
    <row r="365">
      <c r="A365" s="631"/>
      <c r="B365" s="631"/>
      <c r="C365" s="631"/>
      <c r="D365" s="631"/>
      <c r="E365" s="441"/>
      <c r="F365" s="631"/>
      <c r="G365" s="631"/>
      <c r="H365" s="631"/>
      <c r="I365" s="631"/>
      <c r="J365" s="631"/>
      <c r="K365" s="631"/>
      <c r="L365" s="631"/>
      <c r="M365" s="631"/>
      <c r="N365" s="631"/>
      <c r="O365" s="631"/>
      <c r="P365" s="631"/>
      <c r="Q365" s="631"/>
      <c r="R365" s="631"/>
      <c r="S365" s="631"/>
      <c r="T365" s="631"/>
      <c r="U365" s="631"/>
      <c r="V365" s="631"/>
      <c r="W365" s="631"/>
      <c r="X365" s="631"/>
      <c r="Y365" s="631"/>
    </row>
    <row r="366">
      <c r="A366" s="631"/>
      <c r="B366" s="631"/>
      <c r="C366" s="631"/>
      <c r="D366" s="631"/>
      <c r="E366" s="441"/>
      <c r="F366" s="631"/>
      <c r="G366" s="631"/>
      <c r="H366" s="631"/>
      <c r="I366" s="631"/>
      <c r="J366" s="631"/>
      <c r="K366" s="631"/>
      <c r="L366" s="631"/>
      <c r="M366" s="631"/>
      <c r="N366" s="631"/>
      <c r="O366" s="631"/>
      <c r="P366" s="631"/>
      <c r="Q366" s="631"/>
      <c r="R366" s="631"/>
      <c r="S366" s="631"/>
      <c r="T366" s="631"/>
      <c r="U366" s="631"/>
      <c r="V366" s="631"/>
      <c r="W366" s="631"/>
      <c r="X366" s="631"/>
      <c r="Y366" s="631"/>
    </row>
    <row r="367">
      <c r="A367" s="631"/>
      <c r="B367" s="631"/>
      <c r="C367" s="631"/>
      <c r="D367" s="631"/>
      <c r="E367" s="441"/>
      <c r="F367" s="631"/>
      <c r="G367" s="631"/>
      <c r="H367" s="631"/>
      <c r="I367" s="631"/>
      <c r="J367" s="631"/>
      <c r="K367" s="631"/>
      <c r="L367" s="631"/>
      <c r="M367" s="631"/>
      <c r="N367" s="631"/>
      <c r="O367" s="631"/>
      <c r="P367" s="631"/>
      <c r="Q367" s="631"/>
      <c r="R367" s="631"/>
      <c r="S367" s="631"/>
      <c r="T367" s="631"/>
      <c r="U367" s="631"/>
      <c r="V367" s="631"/>
      <c r="W367" s="631"/>
      <c r="X367" s="631"/>
      <c r="Y367" s="631"/>
    </row>
    <row r="368">
      <c r="A368" s="631"/>
      <c r="B368" s="631"/>
      <c r="C368" s="631"/>
      <c r="D368" s="631"/>
      <c r="E368" s="441"/>
      <c r="F368" s="631"/>
      <c r="G368" s="631"/>
      <c r="H368" s="631"/>
      <c r="I368" s="631"/>
      <c r="J368" s="631"/>
      <c r="K368" s="631"/>
      <c r="L368" s="631"/>
      <c r="M368" s="631"/>
      <c r="N368" s="631"/>
      <c r="O368" s="631"/>
      <c r="P368" s="631"/>
      <c r="Q368" s="631"/>
      <c r="R368" s="631"/>
      <c r="S368" s="631"/>
      <c r="T368" s="631"/>
      <c r="U368" s="631"/>
      <c r="V368" s="631"/>
      <c r="W368" s="631"/>
      <c r="X368" s="631"/>
      <c r="Y368" s="631"/>
    </row>
    <row r="369">
      <c r="A369" s="631"/>
      <c r="B369" s="631"/>
      <c r="C369" s="631"/>
      <c r="D369" s="631"/>
      <c r="E369" s="441"/>
      <c r="F369" s="631"/>
      <c r="G369" s="631"/>
      <c r="H369" s="631"/>
      <c r="I369" s="631"/>
      <c r="J369" s="631"/>
      <c r="K369" s="631"/>
      <c r="L369" s="631"/>
      <c r="M369" s="631"/>
      <c r="N369" s="631"/>
      <c r="O369" s="631"/>
      <c r="P369" s="631"/>
      <c r="Q369" s="631"/>
      <c r="R369" s="631"/>
      <c r="S369" s="631"/>
      <c r="T369" s="631"/>
      <c r="U369" s="631"/>
      <c r="V369" s="631"/>
      <c r="W369" s="631"/>
      <c r="X369" s="631"/>
      <c r="Y369" s="631"/>
    </row>
    <row r="370">
      <c r="A370" s="631"/>
      <c r="B370" s="631"/>
      <c r="C370" s="631"/>
      <c r="D370" s="631"/>
      <c r="E370" s="441"/>
      <c r="F370" s="631"/>
      <c r="G370" s="631"/>
      <c r="H370" s="631"/>
      <c r="I370" s="631"/>
      <c r="J370" s="631"/>
      <c r="K370" s="631"/>
      <c r="L370" s="631"/>
      <c r="M370" s="631"/>
      <c r="N370" s="631"/>
      <c r="O370" s="631"/>
      <c r="P370" s="631"/>
      <c r="Q370" s="631"/>
      <c r="R370" s="631"/>
      <c r="S370" s="631"/>
      <c r="T370" s="631"/>
      <c r="U370" s="631"/>
      <c r="V370" s="631"/>
      <c r="W370" s="631"/>
      <c r="X370" s="631"/>
      <c r="Y370" s="631"/>
    </row>
    <row r="371">
      <c r="A371" s="631"/>
      <c r="B371" s="631"/>
      <c r="C371" s="631"/>
      <c r="D371" s="631"/>
      <c r="E371" s="441"/>
      <c r="F371" s="631"/>
      <c r="G371" s="631"/>
      <c r="H371" s="631"/>
      <c r="I371" s="631"/>
      <c r="J371" s="631"/>
      <c r="K371" s="631"/>
      <c r="L371" s="631"/>
      <c r="M371" s="631"/>
      <c r="N371" s="631"/>
      <c r="O371" s="631"/>
      <c r="P371" s="631"/>
      <c r="Q371" s="631"/>
      <c r="R371" s="631"/>
      <c r="S371" s="631"/>
      <c r="T371" s="631"/>
      <c r="U371" s="631"/>
      <c r="V371" s="631"/>
      <c r="W371" s="631"/>
      <c r="X371" s="631"/>
      <c r="Y371" s="631"/>
    </row>
    <row r="372">
      <c r="A372" s="631"/>
      <c r="B372" s="631"/>
      <c r="C372" s="631"/>
      <c r="D372" s="631"/>
      <c r="E372" s="441"/>
      <c r="F372" s="631"/>
      <c r="G372" s="631"/>
      <c r="H372" s="631"/>
      <c r="I372" s="631"/>
      <c r="J372" s="631"/>
      <c r="K372" s="631"/>
      <c r="L372" s="631"/>
      <c r="M372" s="631"/>
      <c r="N372" s="631"/>
      <c r="O372" s="631"/>
      <c r="P372" s="631"/>
      <c r="Q372" s="631"/>
      <c r="R372" s="631"/>
      <c r="S372" s="631"/>
      <c r="T372" s="631"/>
      <c r="U372" s="631"/>
      <c r="V372" s="631"/>
      <c r="W372" s="631"/>
      <c r="X372" s="631"/>
      <c r="Y372" s="631"/>
    </row>
    <row r="373">
      <c r="A373" s="631"/>
      <c r="B373" s="631"/>
      <c r="C373" s="631"/>
      <c r="D373" s="631"/>
      <c r="E373" s="441"/>
      <c r="F373" s="631"/>
      <c r="G373" s="631"/>
      <c r="H373" s="631"/>
      <c r="I373" s="631"/>
      <c r="J373" s="631"/>
      <c r="K373" s="631"/>
      <c r="L373" s="631"/>
      <c r="M373" s="631"/>
      <c r="N373" s="631"/>
      <c r="O373" s="631"/>
      <c r="P373" s="631"/>
      <c r="Q373" s="631"/>
      <c r="R373" s="631"/>
      <c r="S373" s="631"/>
      <c r="T373" s="631"/>
      <c r="U373" s="631"/>
      <c r="V373" s="631"/>
      <c r="W373" s="631"/>
      <c r="X373" s="631"/>
      <c r="Y373" s="631"/>
    </row>
    <row r="374">
      <c r="A374" s="631"/>
      <c r="B374" s="631"/>
      <c r="C374" s="631"/>
      <c r="D374" s="631"/>
      <c r="E374" s="441"/>
      <c r="F374" s="631"/>
      <c r="G374" s="631"/>
      <c r="H374" s="631"/>
      <c r="I374" s="631"/>
      <c r="J374" s="631"/>
      <c r="K374" s="631"/>
      <c r="L374" s="631"/>
      <c r="M374" s="631"/>
      <c r="N374" s="631"/>
      <c r="O374" s="631"/>
      <c r="P374" s="631"/>
      <c r="Q374" s="631"/>
      <c r="R374" s="631"/>
      <c r="S374" s="631"/>
      <c r="T374" s="631"/>
      <c r="U374" s="631"/>
      <c r="V374" s="631"/>
      <c r="W374" s="631"/>
      <c r="X374" s="631"/>
      <c r="Y374" s="631"/>
    </row>
    <row r="375">
      <c r="A375" s="631"/>
      <c r="B375" s="631"/>
      <c r="C375" s="631"/>
      <c r="D375" s="631"/>
      <c r="E375" s="441"/>
      <c r="F375" s="631"/>
      <c r="G375" s="631"/>
      <c r="H375" s="631"/>
      <c r="I375" s="631"/>
      <c r="J375" s="631"/>
      <c r="K375" s="631"/>
      <c r="L375" s="631"/>
      <c r="M375" s="631"/>
      <c r="N375" s="631"/>
      <c r="O375" s="631"/>
      <c r="P375" s="631"/>
      <c r="Q375" s="631"/>
      <c r="R375" s="631"/>
      <c r="S375" s="631"/>
      <c r="T375" s="631"/>
      <c r="U375" s="631"/>
      <c r="V375" s="631"/>
      <c r="W375" s="631"/>
      <c r="X375" s="631"/>
      <c r="Y375" s="631"/>
    </row>
    <row r="376">
      <c r="A376" s="631"/>
      <c r="B376" s="631"/>
      <c r="C376" s="631"/>
      <c r="D376" s="631"/>
      <c r="E376" s="441"/>
      <c r="F376" s="631"/>
      <c r="G376" s="631"/>
      <c r="H376" s="631"/>
      <c r="I376" s="631"/>
      <c r="J376" s="631"/>
      <c r="K376" s="631"/>
      <c r="L376" s="631"/>
      <c r="M376" s="631"/>
      <c r="N376" s="631"/>
      <c r="O376" s="631"/>
      <c r="P376" s="631"/>
      <c r="Q376" s="631"/>
      <c r="R376" s="631"/>
      <c r="S376" s="631"/>
      <c r="T376" s="631"/>
      <c r="U376" s="631"/>
      <c r="V376" s="631"/>
      <c r="W376" s="631"/>
      <c r="X376" s="631"/>
      <c r="Y376" s="631"/>
    </row>
    <row r="377">
      <c r="A377" s="631"/>
      <c r="B377" s="631"/>
      <c r="C377" s="631"/>
      <c r="D377" s="631"/>
      <c r="E377" s="441"/>
      <c r="F377" s="631"/>
      <c r="G377" s="631"/>
      <c r="H377" s="631"/>
      <c r="I377" s="631"/>
      <c r="J377" s="631"/>
      <c r="K377" s="631"/>
      <c r="L377" s="631"/>
      <c r="M377" s="631"/>
      <c r="N377" s="631"/>
      <c r="O377" s="631"/>
      <c r="P377" s="631"/>
      <c r="Q377" s="631"/>
      <c r="R377" s="631"/>
      <c r="S377" s="631"/>
      <c r="T377" s="631"/>
      <c r="U377" s="631"/>
      <c r="V377" s="631"/>
      <c r="W377" s="631"/>
      <c r="X377" s="631"/>
      <c r="Y377" s="631"/>
    </row>
    <row r="378">
      <c r="A378" s="631"/>
      <c r="B378" s="631"/>
      <c r="C378" s="631"/>
      <c r="D378" s="631"/>
      <c r="E378" s="441"/>
      <c r="F378" s="631"/>
      <c r="G378" s="631"/>
      <c r="H378" s="631"/>
      <c r="I378" s="631"/>
      <c r="J378" s="631"/>
      <c r="K378" s="631"/>
      <c r="L378" s="631"/>
      <c r="M378" s="631"/>
      <c r="N378" s="631"/>
      <c r="O378" s="631"/>
      <c r="P378" s="631"/>
      <c r="Q378" s="631"/>
      <c r="R378" s="631"/>
      <c r="S378" s="631"/>
      <c r="T378" s="631"/>
      <c r="U378" s="631"/>
      <c r="V378" s="631"/>
      <c r="W378" s="631"/>
      <c r="X378" s="631"/>
      <c r="Y378" s="631"/>
    </row>
    <row r="379">
      <c r="A379" s="631"/>
      <c r="B379" s="631"/>
      <c r="C379" s="631"/>
      <c r="D379" s="631"/>
      <c r="E379" s="441"/>
      <c r="F379" s="631"/>
      <c r="G379" s="631"/>
      <c r="H379" s="631"/>
      <c r="I379" s="631"/>
      <c r="J379" s="631"/>
      <c r="K379" s="631"/>
      <c r="L379" s="631"/>
      <c r="M379" s="631"/>
      <c r="N379" s="631"/>
      <c r="O379" s="631"/>
      <c r="P379" s="631"/>
      <c r="Q379" s="631"/>
      <c r="R379" s="631"/>
      <c r="S379" s="631"/>
      <c r="T379" s="631"/>
      <c r="U379" s="631"/>
      <c r="V379" s="631"/>
      <c r="W379" s="631"/>
      <c r="X379" s="631"/>
      <c r="Y379" s="631"/>
    </row>
    <row r="380">
      <c r="A380" s="631"/>
      <c r="B380" s="631"/>
      <c r="C380" s="631"/>
      <c r="D380" s="631"/>
      <c r="E380" s="441"/>
      <c r="F380" s="631"/>
      <c r="G380" s="631"/>
      <c r="H380" s="631"/>
      <c r="I380" s="631"/>
      <c r="J380" s="631"/>
      <c r="K380" s="631"/>
      <c r="L380" s="631"/>
      <c r="M380" s="631"/>
      <c r="N380" s="631"/>
      <c r="O380" s="631"/>
      <c r="P380" s="631"/>
      <c r="Q380" s="631"/>
      <c r="R380" s="631"/>
      <c r="S380" s="631"/>
      <c r="T380" s="631"/>
      <c r="U380" s="631"/>
      <c r="V380" s="631"/>
      <c r="W380" s="631"/>
      <c r="X380" s="631"/>
      <c r="Y380" s="631"/>
    </row>
    <row r="381">
      <c r="A381" s="631"/>
      <c r="B381" s="631"/>
      <c r="C381" s="631"/>
      <c r="D381" s="631"/>
      <c r="E381" s="441"/>
      <c r="F381" s="631"/>
      <c r="G381" s="631"/>
      <c r="H381" s="631"/>
      <c r="I381" s="631"/>
      <c r="J381" s="631"/>
      <c r="K381" s="631"/>
      <c r="L381" s="631"/>
      <c r="M381" s="631"/>
      <c r="N381" s="631"/>
      <c r="O381" s="631"/>
      <c r="P381" s="631"/>
      <c r="Q381" s="631"/>
      <c r="R381" s="631"/>
      <c r="S381" s="631"/>
      <c r="T381" s="631"/>
      <c r="U381" s="631"/>
      <c r="V381" s="631"/>
      <c r="W381" s="631"/>
      <c r="X381" s="631"/>
      <c r="Y381" s="631"/>
    </row>
    <row r="382">
      <c r="A382" s="631"/>
      <c r="B382" s="631"/>
      <c r="C382" s="631"/>
      <c r="D382" s="631"/>
      <c r="E382" s="441"/>
      <c r="F382" s="631"/>
      <c r="G382" s="631"/>
      <c r="H382" s="631"/>
      <c r="I382" s="631"/>
      <c r="J382" s="631"/>
      <c r="K382" s="631"/>
      <c r="L382" s="631"/>
      <c r="M382" s="631"/>
      <c r="N382" s="631"/>
      <c r="O382" s="631"/>
      <c r="P382" s="631"/>
      <c r="Q382" s="631"/>
      <c r="R382" s="631"/>
      <c r="S382" s="631"/>
      <c r="T382" s="631"/>
      <c r="U382" s="631"/>
      <c r="V382" s="631"/>
      <c r="W382" s="631"/>
      <c r="X382" s="631"/>
      <c r="Y382" s="631"/>
    </row>
    <row r="383">
      <c r="A383" s="631"/>
      <c r="B383" s="631"/>
      <c r="C383" s="631"/>
      <c r="D383" s="631"/>
      <c r="E383" s="441"/>
      <c r="F383" s="631"/>
      <c r="G383" s="631"/>
      <c r="H383" s="631"/>
      <c r="I383" s="631"/>
      <c r="J383" s="631"/>
      <c r="K383" s="631"/>
      <c r="L383" s="631"/>
      <c r="M383" s="631"/>
      <c r="N383" s="631"/>
      <c r="O383" s="631"/>
      <c r="P383" s="631"/>
      <c r="Q383" s="631"/>
      <c r="R383" s="631"/>
      <c r="S383" s="631"/>
      <c r="T383" s="631"/>
      <c r="U383" s="631"/>
      <c r="V383" s="631"/>
      <c r="W383" s="631"/>
      <c r="X383" s="631"/>
      <c r="Y383" s="631"/>
    </row>
    <row r="384">
      <c r="A384" s="631"/>
      <c r="B384" s="631"/>
      <c r="C384" s="631"/>
      <c r="D384" s="631"/>
      <c r="E384" s="441"/>
      <c r="F384" s="631"/>
      <c r="G384" s="631"/>
      <c r="H384" s="631"/>
      <c r="I384" s="631"/>
      <c r="J384" s="631"/>
      <c r="K384" s="631"/>
      <c r="L384" s="631"/>
      <c r="M384" s="631"/>
      <c r="N384" s="631"/>
      <c r="O384" s="631"/>
      <c r="P384" s="631"/>
      <c r="Q384" s="631"/>
      <c r="R384" s="631"/>
      <c r="S384" s="631"/>
      <c r="T384" s="631"/>
      <c r="U384" s="631"/>
      <c r="V384" s="631"/>
      <c r="W384" s="631"/>
      <c r="X384" s="631"/>
      <c r="Y384" s="631"/>
    </row>
    <row r="385">
      <c r="A385" s="631"/>
      <c r="B385" s="631"/>
      <c r="C385" s="631"/>
      <c r="D385" s="631"/>
      <c r="E385" s="441"/>
      <c r="F385" s="631"/>
      <c r="G385" s="631"/>
      <c r="H385" s="631"/>
      <c r="I385" s="631"/>
      <c r="J385" s="631"/>
      <c r="K385" s="631"/>
      <c r="L385" s="631"/>
      <c r="M385" s="631"/>
      <c r="N385" s="631"/>
      <c r="O385" s="631"/>
      <c r="P385" s="631"/>
      <c r="Q385" s="631"/>
      <c r="R385" s="631"/>
      <c r="S385" s="631"/>
      <c r="T385" s="631"/>
      <c r="U385" s="631"/>
      <c r="V385" s="631"/>
      <c r="W385" s="631"/>
      <c r="X385" s="631"/>
      <c r="Y385" s="631"/>
    </row>
    <row r="386">
      <c r="A386" s="631"/>
      <c r="B386" s="631"/>
      <c r="C386" s="631"/>
      <c r="D386" s="631"/>
      <c r="E386" s="441"/>
      <c r="F386" s="631"/>
      <c r="G386" s="631"/>
      <c r="H386" s="631"/>
      <c r="I386" s="631"/>
      <c r="J386" s="631"/>
      <c r="K386" s="631"/>
      <c r="L386" s="631"/>
      <c r="M386" s="631"/>
      <c r="N386" s="631"/>
      <c r="O386" s="631"/>
      <c r="P386" s="631"/>
      <c r="Q386" s="631"/>
      <c r="R386" s="631"/>
      <c r="S386" s="631"/>
      <c r="T386" s="631"/>
      <c r="U386" s="631"/>
      <c r="V386" s="631"/>
      <c r="W386" s="631"/>
      <c r="X386" s="631"/>
      <c r="Y386" s="631"/>
    </row>
    <row r="387">
      <c r="A387" s="631"/>
      <c r="B387" s="631"/>
      <c r="C387" s="631"/>
      <c r="D387" s="631"/>
      <c r="E387" s="441"/>
      <c r="F387" s="631"/>
      <c r="G387" s="631"/>
      <c r="H387" s="631"/>
      <c r="I387" s="631"/>
      <c r="J387" s="631"/>
      <c r="K387" s="631"/>
      <c r="L387" s="631"/>
      <c r="M387" s="631"/>
      <c r="N387" s="631"/>
      <c r="O387" s="631"/>
      <c r="P387" s="631"/>
      <c r="Q387" s="631"/>
      <c r="R387" s="631"/>
      <c r="S387" s="631"/>
      <c r="T387" s="631"/>
      <c r="U387" s="631"/>
      <c r="V387" s="631"/>
      <c r="W387" s="631"/>
      <c r="X387" s="631"/>
      <c r="Y387" s="631"/>
    </row>
    <row r="388">
      <c r="A388" s="631"/>
      <c r="B388" s="631"/>
      <c r="C388" s="631"/>
      <c r="D388" s="631"/>
      <c r="E388" s="441"/>
      <c r="F388" s="631"/>
      <c r="G388" s="631"/>
      <c r="H388" s="631"/>
      <c r="I388" s="631"/>
      <c r="J388" s="631"/>
      <c r="K388" s="631"/>
      <c r="L388" s="631"/>
      <c r="M388" s="631"/>
      <c r="N388" s="631"/>
      <c r="O388" s="631"/>
      <c r="P388" s="631"/>
      <c r="Q388" s="631"/>
      <c r="R388" s="631"/>
      <c r="S388" s="631"/>
      <c r="T388" s="631"/>
      <c r="U388" s="631"/>
      <c r="V388" s="631"/>
      <c r="W388" s="631"/>
      <c r="X388" s="631"/>
      <c r="Y388" s="631"/>
    </row>
    <row r="389">
      <c r="A389" s="631"/>
      <c r="B389" s="631"/>
      <c r="C389" s="631"/>
      <c r="D389" s="631"/>
      <c r="E389" s="441"/>
      <c r="F389" s="631"/>
      <c r="G389" s="631"/>
      <c r="H389" s="631"/>
      <c r="I389" s="631"/>
      <c r="J389" s="631"/>
      <c r="K389" s="631"/>
      <c r="L389" s="631"/>
      <c r="M389" s="631"/>
      <c r="N389" s="631"/>
      <c r="O389" s="631"/>
      <c r="P389" s="631"/>
      <c r="Q389" s="631"/>
      <c r="R389" s="631"/>
      <c r="S389" s="631"/>
      <c r="T389" s="631"/>
      <c r="U389" s="631"/>
      <c r="V389" s="631"/>
      <c r="W389" s="631"/>
      <c r="X389" s="631"/>
      <c r="Y389" s="631"/>
    </row>
    <row r="390">
      <c r="A390" s="631"/>
      <c r="B390" s="631"/>
      <c r="C390" s="631"/>
      <c r="D390" s="631"/>
      <c r="E390" s="441"/>
      <c r="F390" s="631"/>
      <c r="G390" s="631"/>
      <c r="H390" s="631"/>
      <c r="I390" s="631"/>
      <c r="J390" s="631"/>
      <c r="K390" s="631"/>
      <c r="L390" s="631"/>
      <c r="M390" s="631"/>
      <c r="N390" s="631"/>
      <c r="O390" s="631"/>
      <c r="P390" s="631"/>
      <c r="Q390" s="631"/>
      <c r="R390" s="631"/>
      <c r="S390" s="631"/>
      <c r="T390" s="631"/>
      <c r="U390" s="631"/>
      <c r="V390" s="631"/>
      <c r="W390" s="631"/>
      <c r="X390" s="631"/>
      <c r="Y390" s="631"/>
    </row>
    <row r="391">
      <c r="A391" s="631"/>
      <c r="B391" s="631"/>
      <c r="C391" s="631"/>
      <c r="D391" s="631"/>
      <c r="E391" s="441"/>
      <c r="F391" s="631"/>
      <c r="G391" s="631"/>
      <c r="H391" s="631"/>
      <c r="I391" s="631"/>
      <c r="J391" s="631"/>
      <c r="K391" s="631"/>
      <c r="L391" s="631"/>
      <c r="M391" s="631"/>
      <c r="N391" s="631"/>
      <c r="O391" s="631"/>
      <c r="P391" s="631"/>
      <c r="Q391" s="631"/>
      <c r="R391" s="631"/>
      <c r="S391" s="631"/>
      <c r="T391" s="631"/>
      <c r="U391" s="631"/>
      <c r="V391" s="631"/>
      <c r="W391" s="631"/>
      <c r="X391" s="631"/>
      <c r="Y391" s="631"/>
    </row>
    <row r="392">
      <c r="A392" s="631"/>
      <c r="B392" s="631"/>
      <c r="C392" s="631"/>
      <c r="D392" s="631"/>
      <c r="E392" s="441"/>
      <c r="F392" s="631"/>
      <c r="G392" s="631"/>
      <c r="H392" s="631"/>
      <c r="I392" s="631"/>
      <c r="J392" s="631"/>
      <c r="K392" s="631"/>
      <c r="L392" s="631"/>
      <c r="M392" s="631"/>
      <c r="N392" s="631"/>
      <c r="O392" s="631"/>
      <c r="P392" s="631"/>
      <c r="Q392" s="631"/>
      <c r="R392" s="631"/>
      <c r="S392" s="631"/>
      <c r="T392" s="631"/>
      <c r="U392" s="631"/>
      <c r="V392" s="631"/>
      <c r="W392" s="631"/>
      <c r="X392" s="631"/>
      <c r="Y392" s="631"/>
    </row>
    <row r="393">
      <c r="A393" s="631"/>
      <c r="B393" s="631"/>
      <c r="C393" s="631"/>
      <c r="D393" s="631"/>
      <c r="E393" s="441"/>
      <c r="F393" s="631"/>
      <c r="G393" s="631"/>
      <c r="H393" s="631"/>
      <c r="I393" s="631"/>
      <c r="J393" s="631"/>
      <c r="K393" s="631"/>
      <c r="L393" s="631"/>
      <c r="M393" s="631"/>
      <c r="N393" s="631"/>
      <c r="O393" s="631"/>
      <c r="P393" s="631"/>
      <c r="Q393" s="631"/>
      <c r="R393" s="631"/>
      <c r="S393" s="631"/>
      <c r="T393" s="631"/>
      <c r="U393" s="631"/>
      <c r="V393" s="631"/>
      <c r="W393" s="631"/>
      <c r="X393" s="631"/>
      <c r="Y393" s="631"/>
    </row>
    <row r="394">
      <c r="A394" s="631"/>
      <c r="B394" s="631"/>
      <c r="C394" s="631"/>
      <c r="D394" s="631"/>
      <c r="E394" s="441"/>
      <c r="F394" s="631"/>
      <c r="G394" s="631"/>
      <c r="H394" s="631"/>
      <c r="I394" s="631"/>
      <c r="J394" s="631"/>
      <c r="K394" s="631"/>
      <c r="L394" s="631"/>
      <c r="M394" s="631"/>
      <c r="N394" s="631"/>
      <c r="O394" s="631"/>
      <c r="P394" s="631"/>
      <c r="Q394" s="631"/>
      <c r="R394" s="631"/>
      <c r="S394" s="631"/>
      <c r="T394" s="631"/>
      <c r="U394" s="631"/>
      <c r="V394" s="631"/>
      <c r="W394" s="631"/>
      <c r="X394" s="631"/>
      <c r="Y394" s="631"/>
    </row>
    <row r="395">
      <c r="A395" s="631"/>
      <c r="B395" s="631"/>
      <c r="C395" s="631"/>
      <c r="D395" s="631"/>
      <c r="E395" s="441"/>
      <c r="F395" s="631"/>
      <c r="G395" s="631"/>
      <c r="H395" s="631"/>
      <c r="I395" s="631"/>
      <c r="J395" s="631"/>
      <c r="K395" s="631"/>
      <c r="L395" s="631"/>
      <c r="M395" s="631"/>
      <c r="N395" s="631"/>
      <c r="O395" s="631"/>
      <c r="P395" s="631"/>
      <c r="Q395" s="631"/>
      <c r="R395" s="631"/>
      <c r="S395" s="631"/>
      <c r="T395" s="631"/>
      <c r="U395" s="631"/>
      <c r="V395" s="631"/>
      <c r="W395" s="631"/>
      <c r="X395" s="631"/>
      <c r="Y395" s="631"/>
    </row>
    <row r="396">
      <c r="A396" s="631"/>
      <c r="B396" s="631"/>
      <c r="C396" s="631"/>
      <c r="D396" s="631"/>
      <c r="E396" s="441"/>
      <c r="F396" s="631"/>
      <c r="G396" s="631"/>
      <c r="H396" s="631"/>
      <c r="I396" s="631"/>
      <c r="J396" s="631"/>
      <c r="K396" s="631"/>
      <c r="L396" s="631"/>
      <c r="M396" s="631"/>
      <c r="N396" s="631"/>
      <c r="O396" s="631"/>
      <c r="P396" s="631"/>
      <c r="Q396" s="631"/>
      <c r="R396" s="631"/>
      <c r="S396" s="631"/>
      <c r="T396" s="631"/>
      <c r="U396" s="631"/>
      <c r="V396" s="631"/>
      <c r="W396" s="631"/>
      <c r="X396" s="631"/>
      <c r="Y396" s="631"/>
    </row>
    <row r="397">
      <c r="A397" s="631"/>
      <c r="B397" s="631"/>
      <c r="C397" s="631"/>
      <c r="D397" s="631"/>
      <c r="E397" s="441"/>
      <c r="F397" s="631"/>
      <c r="G397" s="631"/>
      <c r="H397" s="631"/>
      <c r="I397" s="631"/>
      <c r="J397" s="631"/>
      <c r="K397" s="631"/>
      <c r="L397" s="631"/>
      <c r="M397" s="631"/>
      <c r="N397" s="631"/>
      <c r="O397" s="631"/>
      <c r="P397" s="631"/>
      <c r="Q397" s="631"/>
      <c r="R397" s="631"/>
      <c r="S397" s="631"/>
      <c r="T397" s="631"/>
      <c r="U397" s="631"/>
      <c r="V397" s="631"/>
      <c r="W397" s="631"/>
      <c r="X397" s="631"/>
      <c r="Y397" s="631"/>
    </row>
    <row r="398">
      <c r="A398" s="631"/>
      <c r="B398" s="631"/>
      <c r="C398" s="631"/>
      <c r="D398" s="631"/>
      <c r="E398" s="441"/>
      <c r="F398" s="631"/>
      <c r="G398" s="631"/>
      <c r="H398" s="631"/>
      <c r="I398" s="631"/>
      <c r="J398" s="631"/>
      <c r="K398" s="631"/>
      <c r="L398" s="631"/>
      <c r="M398" s="631"/>
      <c r="N398" s="631"/>
      <c r="O398" s="631"/>
      <c r="P398" s="631"/>
      <c r="Q398" s="631"/>
      <c r="R398" s="631"/>
      <c r="S398" s="631"/>
      <c r="T398" s="631"/>
      <c r="U398" s="631"/>
      <c r="V398" s="631"/>
      <c r="W398" s="631"/>
      <c r="X398" s="631"/>
      <c r="Y398" s="631"/>
    </row>
    <row r="399">
      <c r="A399" s="631"/>
      <c r="B399" s="631"/>
      <c r="C399" s="631"/>
      <c r="D399" s="631"/>
      <c r="E399" s="441"/>
      <c r="F399" s="631"/>
      <c r="G399" s="631"/>
      <c r="H399" s="631"/>
      <c r="I399" s="631"/>
      <c r="J399" s="631"/>
      <c r="K399" s="631"/>
      <c r="L399" s="631"/>
      <c r="M399" s="631"/>
      <c r="N399" s="631"/>
      <c r="O399" s="631"/>
      <c r="P399" s="631"/>
      <c r="Q399" s="631"/>
      <c r="R399" s="631"/>
      <c r="S399" s="631"/>
      <c r="T399" s="631"/>
      <c r="U399" s="631"/>
      <c r="V399" s="631"/>
      <c r="W399" s="631"/>
      <c r="X399" s="631"/>
      <c r="Y399" s="631"/>
    </row>
    <row r="400">
      <c r="A400" s="631"/>
      <c r="B400" s="631"/>
      <c r="C400" s="631"/>
      <c r="D400" s="631"/>
      <c r="E400" s="441"/>
      <c r="F400" s="631"/>
      <c r="G400" s="631"/>
      <c r="H400" s="631"/>
      <c r="I400" s="631"/>
      <c r="J400" s="631"/>
      <c r="K400" s="631"/>
      <c r="L400" s="631"/>
      <c r="M400" s="631"/>
      <c r="N400" s="631"/>
      <c r="O400" s="631"/>
      <c r="P400" s="631"/>
      <c r="Q400" s="631"/>
      <c r="R400" s="631"/>
      <c r="S400" s="631"/>
      <c r="T400" s="631"/>
      <c r="U400" s="631"/>
      <c r="V400" s="631"/>
      <c r="W400" s="631"/>
      <c r="X400" s="631"/>
      <c r="Y400" s="631"/>
    </row>
    <row r="401">
      <c r="A401" s="631"/>
      <c r="B401" s="631"/>
      <c r="C401" s="631"/>
      <c r="D401" s="631"/>
      <c r="E401" s="441"/>
      <c r="F401" s="631"/>
      <c r="G401" s="631"/>
      <c r="H401" s="631"/>
      <c r="I401" s="631"/>
      <c r="J401" s="631"/>
      <c r="K401" s="631"/>
      <c r="L401" s="631"/>
      <c r="M401" s="631"/>
      <c r="N401" s="631"/>
      <c r="O401" s="631"/>
      <c r="P401" s="631"/>
      <c r="Q401" s="631"/>
      <c r="R401" s="631"/>
      <c r="S401" s="631"/>
      <c r="T401" s="631"/>
      <c r="U401" s="631"/>
      <c r="V401" s="631"/>
      <c r="W401" s="631"/>
      <c r="X401" s="631"/>
      <c r="Y401" s="631"/>
    </row>
    <row r="402">
      <c r="A402" s="631"/>
      <c r="B402" s="631"/>
      <c r="C402" s="631"/>
      <c r="D402" s="631"/>
      <c r="E402" s="441"/>
      <c r="F402" s="631"/>
      <c r="G402" s="631"/>
      <c r="H402" s="631"/>
      <c r="I402" s="631"/>
      <c r="J402" s="631"/>
      <c r="K402" s="631"/>
      <c r="L402" s="631"/>
      <c r="M402" s="631"/>
      <c r="N402" s="631"/>
      <c r="O402" s="631"/>
      <c r="P402" s="631"/>
      <c r="Q402" s="631"/>
      <c r="R402" s="631"/>
      <c r="S402" s="631"/>
      <c r="T402" s="631"/>
      <c r="U402" s="631"/>
      <c r="V402" s="631"/>
      <c r="W402" s="631"/>
      <c r="X402" s="631"/>
      <c r="Y402" s="631"/>
    </row>
    <row r="403">
      <c r="A403" s="631"/>
      <c r="B403" s="631"/>
      <c r="C403" s="631"/>
      <c r="D403" s="631"/>
      <c r="E403" s="441"/>
      <c r="F403" s="631"/>
      <c r="G403" s="631"/>
      <c r="H403" s="631"/>
      <c r="I403" s="631"/>
      <c r="J403" s="631"/>
      <c r="K403" s="631"/>
      <c r="L403" s="631"/>
      <c r="M403" s="631"/>
      <c r="N403" s="631"/>
      <c r="O403" s="631"/>
      <c r="P403" s="631"/>
      <c r="Q403" s="631"/>
      <c r="R403" s="631"/>
      <c r="S403" s="631"/>
      <c r="T403" s="631"/>
      <c r="U403" s="631"/>
      <c r="V403" s="631"/>
      <c r="W403" s="631"/>
      <c r="X403" s="631"/>
      <c r="Y403" s="631"/>
    </row>
    <row r="404">
      <c r="A404" s="631"/>
      <c r="B404" s="631"/>
      <c r="C404" s="631"/>
      <c r="D404" s="631"/>
      <c r="E404" s="441"/>
      <c r="F404" s="631"/>
      <c r="G404" s="631"/>
      <c r="H404" s="631"/>
      <c r="I404" s="631"/>
      <c r="J404" s="631"/>
      <c r="K404" s="631"/>
      <c r="L404" s="631"/>
      <c r="M404" s="631"/>
      <c r="N404" s="631"/>
      <c r="O404" s="631"/>
      <c r="P404" s="631"/>
      <c r="Q404" s="631"/>
      <c r="R404" s="631"/>
      <c r="S404" s="631"/>
      <c r="T404" s="631"/>
      <c r="U404" s="631"/>
      <c r="V404" s="631"/>
      <c r="W404" s="631"/>
      <c r="X404" s="631"/>
      <c r="Y404" s="631"/>
    </row>
    <row r="405">
      <c r="A405" s="631"/>
      <c r="B405" s="631"/>
      <c r="C405" s="631"/>
      <c r="D405" s="631"/>
      <c r="E405" s="441"/>
      <c r="F405" s="631"/>
      <c r="G405" s="631"/>
      <c r="H405" s="631"/>
      <c r="I405" s="631"/>
      <c r="J405" s="631"/>
      <c r="K405" s="631"/>
      <c r="L405" s="631"/>
      <c r="M405" s="631"/>
      <c r="N405" s="631"/>
      <c r="O405" s="631"/>
      <c r="P405" s="631"/>
      <c r="Q405" s="631"/>
      <c r="R405" s="631"/>
      <c r="S405" s="631"/>
      <c r="T405" s="631"/>
      <c r="U405" s="631"/>
      <c r="V405" s="631"/>
      <c r="W405" s="631"/>
      <c r="X405" s="631"/>
      <c r="Y405" s="631"/>
    </row>
    <row r="406">
      <c r="A406" s="631"/>
      <c r="B406" s="631"/>
      <c r="C406" s="631"/>
      <c r="D406" s="631"/>
      <c r="E406" s="441"/>
      <c r="F406" s="631"/>
      <c r="G406" s="631"/>
      <c r="H406" s="631"/>
      <c r="I406" s="631"/>
      <c r="J406" s="631"/>
      <c r="K406" s="631"/>
      <c r="L406" s="631"/>
      <c r="M406" s="631"/>
      <c r="N406" s="631"/>
      <c r="O406" s="631"/>
      <c r="P406" s="631"/>
      <c r="Q406" s="631"/>
      <c r="R406" s="631"/>
      <c r="S406" s="631"/>
      <c r="T406" s="631"/>
      <c r="U406" s="631"/>
      <c r="V406" s="631"/>
      <c r="W406" s="631"/>
      <c r="X406" s="631"/>
      <c r="Y406" s="631"/>
    </row>
    <row r="407">
      <c r="A407" s="631"/>
      <c r="B407" s="631"/>
      <c r="C407" s="631"/>
      <c r="D407" s="631"/>
      <c r="E407" s="441"/>
      <c r="F407" s="631"/>
      <c r="G407" s="631"/>
      <c r="H407" s="631"/>
      <c r="I407" s="631"/>
      <c r="J407" s="631"/>
      <c r="K407" s="631"/>
      <c r="L407" s="631"/>
      <c r="M407" s="631"/>
      <c r="N407" s="631"/>
      <c r="O407" s="631"/>
      <c r="P407" s="631"/>
      <c r="Q407" s="631"/>
      <c r="R407" s="631"/>
      <c r="S407" s="631"/>
      <c r="T407" s="631"/>
      <c r="U407" s="631"/>
      <c r="V407" s="631"/>
      <c r="W407" s="631"/>
      <c r="X407" s="631"/>
      <c r="Y407" s="631"/>
    </row>
    <row r="408">
      <c r="A408" s="631"/>
      <c r="B408" s="631"/>
      <c r="C408" s="631"/>
      <c r="D408" s="631"/>
      <c r="E408" s="441"/>
      <c r="F408" s="631"/>
      <c r="G408" s="631"/>
      <c r="H408" s="631"/>
      <c r="I408" s="631"/>
      <c r="J408" s="631"/>
      <c r="K408" s="631"/>
      <c r="L408" s="631"/>
      <c r="M408" s="631"/>
      <c r="N408" s="631"/>
      <c r="O408" s="631"/>
      <c r="P408" s="631"/>
      <c r="Q408" s="631"/>
      <c r="R408" s="631"/>
      <c r="S408" s="631"/>
      <c r="T408" s="631"/>
      <c r="U408" s="631"/>
      <c r="V408" s="631"/>
      <c r="W408" s="631"/>
      <c r="X408" s="631"/>
      <c r="Y408" s="631"/>
    </row>
    <row r="409">
      <c r="A409" s="631"/>
      <c r="B409" s="631"/>
      <c r="C409" s="631"/>
      <c r="D409" s="631"/>
      <c r="E409" s="441"/>
      <c r="F409" s="631"/>
      <c r="G409" s="631"/>
      <c r="H409" s="631"/>
      <c r="I409" s="631"/>
      <c r="J409" s="631"/>
      <c r="K409" s="631"/>
      <c r="L409" s="631"/>
      <c r="M409" s="631"/>
      <c r="N409" s="631"/>
      <c r="O409" s="631"/>
      <c r="P409" s="631"/>
      <c r="Q409" s="631"/>
      <c r="R409" s="631"/>
      <c r="S409" s="631"/>
      <c r="T409" s="631"/>
      <c r="U409" s="631"/>
      <c r="V409" s="631"/>
      <c r="W409" s="631"/>
      <c r="X409" s="631"/>
      <c r="Y409" s="631"/>
    </row>
    <row r="410">
      <c r="A410" s="631"/>
      <c r="B410" s="631"/>
      <c r="C410" s="631"/>
      <c r="D410" s="631"/>
      <c r="E410" s="441"/>
      <c r="F410" s="631"/>
      <c r="G410" s="631"/>
      <c r="H410" s="631"/>
      <c r="I410" s="631"/>
      <c r="J410" s="631"/>
      <c r="K410" s="631"/>
      <c r="L410" s="631"/>
      <c r="M410" s="631"/>
      <c r="N410" s="631"/>
      <c r="O410" s="631"/>
      <c r="P410" s="631"/>
      <c r="Q410" s="631"/>
      <c r="R410" s="631"/>
      <c r="S410" s="631"/>
      <c r="T410" s="631"/>
      <c r="U410" s="631"/>
      <c r="V410" s="631"/>
      <c r="W410" s="631"/>
      <c r="X410" s="631"/>
      <c r="Y410" s="631"/>
    </row>
    <row r="411">
      <c r="A411" s="631"/>
      <c r="B411" s="631"/>
      <c r="C411" s="631"/>
      <c r="D411" s="631"/>
      <c r="E411" s="441"/>
      <c r="F411" s="631"/>
      <c r="G411" s="631"/>
      <c r="H411" s="631"/>
      <c r="I411" s="631"/>
      <c r="J411" s="631"/>
      <c r="K411" s="631"/>
      <c r="L411" s="631"/>
      <c r="M411" s="631"/>
      <c r="N411" s="631"/>
      <c r="O411" s="631"/>
      <c r="P411" s="631"/>
      <c r="Q411" s="631"/>
      <c r="R411" s="631"/>
      <c r="S411" s="631"/>
      <c r="T411" s="631"/>
      <c r="U411" s="631"/>
      <c r="V411" s="631"/>
      <c r="W411" s="631"/>
      <c r="X411" s="631"/>
      <c r="Y411" s="631"/>
    </row>
    <row r="412">
      <c r="A412" s="631"/>
      <c r="B412" s="631"/>
      <c r="C412" s="631"/>
      <c r="D412" s="631"/>
      <c r="E412" s="441"/>
      <c r="F412" s="631"/>
      <c r="G412" s="631"/>
      <c r="H412" s="631"/>
      <c r="I412" s="631"/>
      <c r="J412" s="631"/>
      <c r="K412" s="631"/>
      <c r="L412" s="631"/>
      <c r="M412" s="631"/>
      <c r="N412" s="631"/>
      <c r="O412" s="631"/>
      <c r="P412" s="631"/>
      <c r="Q412" s="631"/>
      <c r="R412" s="631"/>
      <c r="S412" s="631"/>
      <c r="T412" s="631"/>
      <c r="U412" s="631"/>
      <c r="V412" s="631"/>
      <c r="W412" s="631"/>
      <c r="X412" s="631"/>
      <c r="Y412" s="631"/>
    </row>
    <row r="413">
      <c r="A413" s="631"/>
      <c r="B413" s="631"/>
      <c r="C413" s="631"/>
      <c r="D413" s="631"/>
      <c r="E413" s="441"/>
      <c r="F413" s="631"/>
      <c r="G413" s="631"/>
      <c r="H413" s="631"/>
      <c r="I413" s="631"/>
      <c r="J413" s="631"/>
      <c r="K413" s="631"/>
      <c r="L413" s="631"/>
      <c r="M413" s="631"/>
      <c r="N413" s="631"/>
      <c r="O413" s="631"/>
      <c r="P413" s="631"/>
      <c r="Q413" s="631"/>
      <c r="R413" s="631"/>
      <c r="S413" s="631"/>
      <c r="T413" s="631"/>
      <c r="U413" s="631"/>
      <c r="V413" s="631"/>
      <c r="W413" s="631"/>
      <c r="X413" s="631"/>
      <c r="Y413" s="631"/>
    </row>
    <row r="414">
      <c r="A414" s="631"/>
      <c r="B414" s="631"/>
      <c r="C414" s="631"/>
      <c r="D414" s="631"/>
      <c r="E414" s="441"/>
      <c r="F414" s="631"/>
      <c r="G414" s="631"/>
      <c r="H414" s="631"/>
      <c r="I414" s="631"/>
      <c r="J414" s="631"/>
      <c r="K414" s="631"/>
      <c r="L414" s="631"/>
      <c r="M414" s="631"/>
      <c r="N414" s="631"/>
      <c r="O414" s="631"/>
      <c r="P414" s="631"/>
      <c r="Q414" s="631"/>
      <c r="R414" s="631"/>
      <c r="S414" s="631"/>
      <c r="T414" s="631"/>
      <c r="U414" s="631"/>
      <c r="V414" s="631"/>
      <c r="W414" s="631"/>
      <c r="X414" s="631"/>
      <c r="Y414" s="631"/>
    </row>
    <row r="415">
      <c r="A415" s="631"/>
      <c r="B415" s="631"/>
      <c r="C415" s="631"/>
      <c r="D415" s="631"/>
      <c r="E415" s="441"/>
      <c r="F415" s="631"/>
      <c r="G415" s="631"/>
      <c r="H415" s="631"/>
      <c r="I415" s="631"/>
      <c r="J415" s="631"/>
      <c r="K415" s="631"/>
      <c r="L415" s="631"/>
      <c r="M415" s="631"/>
      <c r="N415" s="631"/>
      <c r="O415" s="631"/>
      <c r="P415" s="631"/>
      <c r="Q415" s="631"/>
      <c r="R415" s="631"/>
      <c r="S415" s="631"/>
      <c r="T415" s="631"/>
      <c r="U415" s="631"/>
      <c r="V415" s="631"/>
      <c r="W415" s="631"/>
      <c r="X415" s="631"/>
      <c r="Y415" s="631"/>
    </row>
    <row r="416">
      <c r="A416" s="631"/>
      <c r="B416" s="631"/>
      <c r="C416" s="631"/>
      <c r="D416" s="631"/>
      <c r="E416" s="441"/>
      <c r="F416" s="631"/>
      <c r="G416" s="631"/>
      <c r="H416" s="631"/>
      <c r="I416" s="631"/>
      <c r="J416" s="631"/>
      <c r="K416" s="631"/>
      <c r="L416" s="631"/>
      <c r="M416" s="631"/>
      <c r="N416" s="631"/>
      <c r="O416" s="631"/>
      <c r="P416" s="631"/>
      <c r="Q416" s="631"/>
      <c r="R416" s="631"/>
      <c r="S416" s="631"/>
      <c r="T416" s="631"/>
      <c r="U416" s="631"/>
      <c r="V416" s="631"/>
      <c r="W416" s="631"/>
      <c r="X416" s="631"/>
      <c r="Y416" s="631"/>
    </row>
    <row r="417">
      <c r="A417" s="631"/>
      <c r="B417" s="631"/>
      <c r="C417" s="631"/>
      <c r="D417" s="631"/>
      <c r="E417" s="441"/>
      <c r="F417" s="631"/>
      <c r="G417" s="631"/>
      <c r="H417" s="631"/>
      <c r="I417" s="631"/>
      <c r="J417" s="631"/>
      <c r="K417" s="631"/>
      <c r="L417" s="631"/>
      <c r="M417" s="631"/>
      <c r="N417" s="631"/>
      <c r="O417" s="631"/>
      <c r="P417" s="631"/>
      <c r="Q417" s="631"/>
      <c r="R417" s="631"/>
      <c r="S417" s="631"/>
      <c r="T417" s="631"/>
      <c r="U417" s="631"/>
      <c r="V417" s="631"/>
      <c r="W417" s="631"/>
      <c r="X417" s="631"/>
      <c r="Y417" s="631"/>
    </row>
    <row r="418">
      <c r="A418" s="631"/>
      <c r="B418" s="631"/>
      <c r="C418" s="631"/>
      <c r="D418" s="631"/>
      <c r="E418" s="441"/>
      <c r="F418" s="631"/>
      <c r="G418" s="631"/>
      <c r="H418" s="631"/>
      <c r="I418" s="631"/>
      <c r="J418" s="631"/>
      <c r="K418" s="631"/>
      <c r="L418" s="631"/>
      <c r="M418" s="631"/>
      <c r="N418" s="631"/>
      <c r="O418" s="631"/>
      <c r="P418" s="631"/>
      <c r="Q418" s="631"/>
      <c r="R418" s="631"/>
      <c r="S418" s="631"/>
      <c r="T418" s="631"/>
      <c r="U418" s="631"/>
      <c r="V418" s="631"/>
      <c r="W418" s="631"/>
      <c r="X418" s="631"/>
      <c r="Y418" s="631"/>
    </row>
    <row r="419">
      <c r="A419" s="631"/>
      <c r="B419" s="631"/>
      <c r="C419" s="631"/>
      <c r="D419" s="631"/>
      <c r="E419" s="441"/>
      <c r="F419" s="631"/>
      <c r="G419" s="631"/>
      <c r="H419" s="631"/>
      <c r="I419" s="631"/>
      <c r="J419" s="631"/>
      <c r="K419" s="631"/>
      <c r="L419" s="631"/>
      <c r="M419" s="631"/>
      <c r="N419" s="631"/>
      <c r="O419" s="631"/>
      <c r="P419" s="631"/>
      <c r="Q419" s="631"/>
      <c r="R419" s="631"/>
      <c r="S419" s="631"/>
      <c r="T419" s="631"/>
      <c r="U419" s="631"/>
      <c r="V419" s="631"/>
      <c r="W419" s="631"/>
      <c r="X419" s="631"/>
      <c r="Y419" s="631"/>
    </row>
    <row r="420">
      <c r="A420" s="631"/>
      <c r="B420" s="631"/>
      <c r="C420" s="631"/>
      <c r="D420" s="631"/>
      <c r="E420" s="441"/>
      <c r="F420" s="631"/>
      <c r="G420" s="631"/>
      <c r="H420" s="631"/>
      <c r="I420" s="631"/>
      <c r="J420" s="631"/>
      <c r="K420" s="631"/>
      <c r="L420" s="631"/>
      <c r="M420" s="631"/>
      <c r="N420" s="631"/>
      <c r="O420" s="631"/>
      <c r="P420" s="631"/>
      <c r="Q420" s="631"/>
      <c r="R420" s="631"/>
      <c r="S420" s="631"/>
      <c r="T420" s="631"/>
      <c r="U420" s="631"/>
      <c r="V420" s="631"/>
      <c r="W420" s="631"/>
      <c r="X420" s="631"/>
      <c r="Y420" s="631"/>
    </row>
    <row r="421">
      <c r="A421" s="631"/>
      <c r="B421" s="631"/>
      <c r="C421" s="631"/>
      <c r="D421" s="631"/>
      <c r="E421" s="441"/>
      <c r="F421" s="631"/>
      <c r="G421" s="631"/>
      <c r="H421" s="631"/>
      <c r="I421" s="631"/>
      <c r="J421" s="631"/>
      <c r="K421" s="631"/>
      <c r="L421" s="631"/>
      <c r="M421" s="631"/>
      <c r="N421" s="631"/>
      <c r="O421" s="631"/>
      <c r="P421" s="631"/>
      <c r="Q421" s="631"/>
      <c r="R421" s="631"/>
      <c r="S421" s="631"/>
      <c r="T421" s="631"/>
      <c r="U421" s="631"/>
      <c r="V421" s="631"/>
      <c r="W421" s="631"/>
      <c r="X421" s="631"/>
      <c r="Y421" s="631"/>
    </row>
    <row r="422">
      <c r="A422" s="631"/>
      <c r="B422" s="631"/>
      <c r="C422" s="631"/>
      <c r="D422" s="631"/>
      <c r="E422" s="441"/>
      <c r="F422" s="631"/>
      <c r="G422" s="631"/>
      <c r="H422" s="631"/>
      <c r="I422" s="631"/>
      <c r="J422" s="631"/>
      <c r="K422" s="631"/>
      <c r="L422" s="631"/>
      <c r="M422" s="631"/>
      <c r="N422" s="631"/>
      <c r="O422" s="631"/>
      <c r="P422" s="631"/>
      <c r="Q422" s="631"/>
      <c r="R422" s="631"/>
      <c r="S422" s="631"/>
      <c r="T422" s="631"/>
      <c r="U422" s="631"/>
      <c r="V422" s="631"/>
      <c r="W422" s="631"/>
      <c r="X422" s="631"/>
      <c r="Y422" s="631"/>
    </row>
    <row r="423">
      <c r="A423" s="631"/>
      <c r="B423" s="631"/>
      <c r="C423" s="631"/>
      <c r="D423" s="631"/>
      <c r="E423" s="441"/>
      <c r="F423" s="631"/>
      <c r="G423" s="631"/>
      <c r="H423" s="631"/>
      <c r="I423" s="631"/>
      <c r="J423" s="631"/>
      <c r="K423" s="631"/>
      <c r="L423" s="631"/>
      <c r="M423" s="631"/>
      <c r="N423" s="631"/>
      <c r="O423" s="631"/>
      <c r="P423" s="631"/>
      <c r="Q423" s="631"/>
      <c r="R423" s="631"/>
      <c r="S423" s="631"/>
      <c r="T423" s="631"/>
      <c r="U423" s="631"/>
      <c r="V423" s="631"/>
      <c r="W423" s="631"/>
      <c r="X423" s="631"/>
      <c r="Y423" s="631"/>
    </row>
    <row r="424">
      <c r="A424" s="631"/>
      <c r="B424" s="631"/>
      <c r="C424" s="631"/>
      <c r="D424" s="631"/>
      <c r="E424" s="441"/>
      <c r="F424" s="631"/>
      <c r="G424" s="631"/>
      <c r="H424" s="631"/>
      <c r="I424" s="631"/>
      <c r="J424" s="631"/>
      <c r="K424" s="631"/>
      <c r="L424" s="631"/>
      <c r="M424" s="631"/>
      <c r="N424" s="631"/>
      <c r="O424" s="631"/>
      <c r="P424" s="631"/>
      <c r="Q424" s="631"/>
      <c r="R424" s="631"/>
      <c r="S424" s="631"/>
      <c r="T424" s="631"/>
      <c r="U424" s="631"/>
      <c r="V424" s="631"/>
      <c r="W424" s="631"/>
      <c r="X424" s="631"/>
      <c r="Y424" s="631"/>
    </row>
    <row r="425">
      <c r="A425" s="631"/>
      <c r="B425" s="631"/>
      <c r="C425" s="631"/>
      <c r="D425" s="631"/>
      <c r="E425" s="441"/>
      <c r="F425" s="631"/>
      <c r="G425" s="631"/>
      <c r="H425" s="631"/>
      <c r="I425" s="631"/>
      <c r="J425" s="631"/>
      <c r="K425" s="631"/>
      <c r="L425" s="631"/>
      <c r="M425" s="631"/>
      <c r="N425" s="631"/>
      <c r="O425" s="631"/>
      <c r="P425" s="631"/>
      <c r="Q425" s="631"/>
      <c r="R425" s="631"/>
      <c r="S425" s="631"/>
      <c r="T425" s="631"/>
      <c r="U425" s="631"/>
      <c r="V425" s="631"/>
      <c r="W425" s="631"/>
      <c r="X425" s="631"/>
      <c r="Y425" s="631"/>
    </row>
    <row r="426">
      <c r="A426" s="631"/>
      <c r="B426" s="631"/>
      <c r="C426" s="631"/>
      <c r="D426" s="631"/>
      <c r="E426" s="441"/>
      <c r="F426" s="631"/>
      <c r="G426" s="631"/>
      <c r="H426" s="631"/>
      <c r="I426" s="631"/>
      <c r="J426" s="631"/>
      <c r="K426" s="631"/>
      <c r="L426" s="631"/>
      <c r="M426" s="631"/>
      <c r="N426" s="631"/>
      <c r="O426" s="631"/>
      <c r="P426" s="631"/>
      <c r="Q426" s="631"/>
      <c r="R426" s="631"/>
      <c r="S426" s="631"/>
      <c r="T426" s="631"/>
      <c r="U426" s="631"/>
      <c r="V426" s="631"/>
      <c r="W426" s="631"/>
      <c r="X426" s="631"/>
      <c r="Y426" s="631"/>
    </row>
    <row r="427">
      <c r="A427" s="631"/>
      <c r="B427" s="631"/>
      <c r="C427" s="631"/>
      <c r="D427" s="631"/>
      <c r="E427" s="441"/>
      <c r="F427" s="631"/>
      <c r="G427" s="631"/>
      <c r="H427" s="631"/>
      <c r="I427" s="631"/>
      <c r="J427" s="631"/>
      <c r="K427" s="631"/>
      <c r="L427" s="631"/>
      <c r="M427" s="631"/>
      <c r="N427" s="631"/>
      <c r="O427" s="631"/>
      <c r="P427" s="631"/>
      <c r="Q427" s="631"/>
      <c r="R427" s="631"/>
      <c r="S427" s="631"/>
      <c r="T427" s="631"/>
      <c r="U427" s="631"/>
      <c r="V427" s="631"/>
      <c r="W427" s="631"/>
      <c r="X427" s="631"/>
      <c r="Y427" s="631"/>
    </row>
    <row r="428">
      <c r="A428" s="631"/>
      <c r="B428" s="631"/>
      <c r="C428" s="631"/>
      <c r="D428" s="631"/>
      <c r="E428" s="441"/>
      <c r="F428" s="631"/>
      <c r="G428" s="631"/>
      <c r="H428" s="631"/>
      <c r="I428" s="631"/>
      <c r="J428" s="631"/>
      <c r="K428" s="631"/>
      <c r="L428" s="631"/>
      <c r="M428" s="631"/>
      <c r="N428" s="631"/>
      <c r="O428" s="631"/>
      <c r="P428" s="631"/>
      <c r="Q428" s="631"/>
      <c r="R428" s="631"/>
      <c r="S428" s="631"/>
      <c r="T428" s="631"/>
      <c r="U428" s="631"/>
      <c r="V428" s="631"/>
      <c r="W428" s="631"/>
      <c r="X428" s="631"/>
      <c r="Y428" s="631"/>
    </row>
    <row r="429">
      <c r="A429" s="631"/>
      <c r="B429" s="631"/>
      <c r="C429" s="631"/>
      <c r="D429" s="631"/>
      <c r="E429" s="441"/>
      <c r="F429" s="631"/>
      <c r="G429" s="631"/>
      <c r="H429" s="631"/>
      <c r="I429" s="631"/>
      <c r="J429" s="631"/>
      <c r="K429" s="631"/>
      <c r="L429" s="631"/>
      <c r="M429" s="631"/>
      <c r="N429" s="631"/>
      <c r="O429" s="631"/>
      <c r="P429" s="631"/>
      <c r="Q429" s="631"/>
      <c r="R429" s="631"/>
      <c r="S429" s="631"/>
      <c r="T429" s="631"/>
      <c r="U429" s="631"/>
      <c r="V429" s="631"/>
      <c r="W429" s="631"/>
      <c r="X429" s="631"/>
      <c r="Y429" s="631"/>
    </row>
    <row r="430">
      <c r="A430" s="631"/>
      <c r="B430" s="631"/>
      <c r="C430" s="631"/>
      <c r="D430" s="631"/>
      <c r="E430" s="441"/>
      <c r="F430" s="631"/>
      <c r="G430" s="631"/>
      <c r="H430" s="631"/>
      <c r="I430" s="631"/>
      <c r="J430" s="631"/>
      <c r="K430" s="631"/>
      <c r="L430" s="631"/>
      <c r="M430" s="631"/>
      <c r="N430" s="631"/>
      <c r="O430" s="631"/>
      <c r="P430" s="631"/>
      <c r="Q430" s="631"/>
      <c r="R430" s="631"/>
      <c r="S430" s="631"/>
      <c r="T430" s="631"/>
      <c r="U430" s="631"/>
      <c r="V430" s="631"/>
      <c r="W430" s="631"/>
      <c r="X430" s="631"/>
      <c r="Y430" s="631"/>
    </row>
    <row r="431">
      <c r="A431" s="631"/>
      <c r="B431" s="631"/>
      <c r="C431" s="631"/>
      <c r="D431" s="631"/>
      <c r="E431" s="441"/>
      <c r="F431" s="631"/>
      <c r="G431" s="631"/>
      <c r="H431" s="631"/>
      <c r="I431" s="631"/>
      <c r="J431" s="631"/>
      <c r="K431" s="631"/>
      <c r="L431" s="631"/>
      <c r="M431" s="631"/>
      <c r="N431" s="631"/>
      <c r="O431" s="631"/>
      <c r="P431" s="631"/>
      <c r="Q431" s="631"/>
      <c r="R431" s="631"/>
      <c r="S431" s="631"/>
      <c r="T431" s="631"/>
      <c r="U431" s="631"/>
      <c r="V431" s="631"/>
      <c r="W431" s="631"/>
      <c r="X431" s="631"/>
      <c r="Y431" s="631"/>
    </row>
    <row r="432">
      <c r="A432" s="631"/>
      <c r="B432" s="631"/>
      <c r="C432" s="631"/>
      <c r="D432" s="631"/>
      <c r="E432" s="441"/>
      <c r="F432" s="631"/>
      <c r="G432" s="631"/>
      <c r="H432" s="631"/>
      <c r="I432" s="631"/>
      <c r="J432" s="631"/>
      <c r="K432" s="631"/>
      <c r="L432" s="631"/>
      <c r="M432" s="631"/>
      <c r="N432" s="631"/>
      <c r="O432" s="631"/>
      <c r="P432" s="631"/>
      <c r="Q432" s="631"/>
      <c r="R432" s="631"/>
      <c r="S432" s="631"/>
      <c r="T432" s="631"/>
      <c r="U432" s="631"/>
      <c r="V432" s="631"/>
      <c r="W432" s="631"/>
      <c r="X432" s="631"/>
      <c r="Y432" s="631"/>
    </row>
    <row r="433">
      <c r="A433" s="631"/>
      <c r="B433" s="631"/>
      <c r="C433" s="631"/>
      <c r="D433" s="631"/>
      <c r="E433" s="441"/>
      <c r="F433" s="631"/>
      <c r="G433" s="631"/>
      <c r="H433" s="631"/>
      <c r="I433" s="631"/>
      <c r="J433" s="631"/>
      <c r="K433" s="631"/>
      <c r="L433" s="631"/>
      <c r="M433" s="631"/>
      <c r="N433" s="631"/>
      <c r="O433" s="631"/>
      <c r="P433" s="631"/>
      <c r="Q433" s="631"/>
      <c r="R433" s="631"/>
      <c r="S433" s="631"/>
      <c r="T433" s="631"/>
      <c r="U433" s="631"/>
      <c r="V433" s="631"/>
      <c r="W433" s="631"/>
      <c r="X433" s="631"/>
      <c r="Y433" s="631"/>
    </row>
    <row r="434">
      <c r="A434" s="631"/>
      <c r="B434" s="631"/>
      <c r="C434" s="631"/>
      <c r="D434" s="631"/>
      <c r="E434" s="441"/>
      <c r="F434" s="631"/>
      <c r="G434" s="631"/>
      <c r="H434" s="631"/>
      <c r="I434" s="631"/>
      <c r="J434" s="631"/>
      <c r="K434" s="631"/>
      <c r="L434" s="631"/>
      <c r="M434" s="631"/>
      <c r="N434" s="631"/>
      <c r="O434" s="631"/>
      <c r="P434" s="631"/>
      <c r="Q434" s="631"/>
      <c r="R434" s="631"/>
      <c r="S434" s="631"/>
      <c r="T434" s="631"/>
      <c r="U434" s="631"/>
      <c r="V434" s="631"/>
      <c r="W434" s="631"/>
      <c r="X434" s="631"/>
      <c r="Y434" s="631"/>
    </row>
    <row r="435">
      <c r="A435" s="631"/>
      <c r="B435" s="631"/>
      <c r="C435" s="631"/>
      <c r="D435" s="631"/>
      <c r="E435" s="441"/>
      <c r="F435" s="631"/>
      <c r="G435" s="631"/>
      <c r="H435" s="631"/>
      <c r="I435" s="631"/>
      <c r="J435" s="631"/>
      <c r="K435" s="631"/>
      <c r="L435" s="631"/>
      <c r="M435" s="631"/>
      <c r="N435" s="631"/>
      <c r="O435" s="631"/>
      <c r="P435" s="631"/>
      <c r="Q435" s="631"/>
      <c r="R435" s="631"/>
      <c r="S435" s="631"/>
      <c r="T435" s="631"/>
      <c r="U435" s="631"/>
      <c r="V435" s="631"/>
      <c r="W435" s="631"/>
      <c r="X435" s="631"/>
      <c r="Y435" s="631"/>
    </row>
    <row r="436">
      <c r="A436" s="631"/>
      <c r="B436" s="631"/>
      <c r="C436" s="631"/>
      <c r="D436" s="631"/>
      <c r="E436" s="441"/>
      <c r="F436" s="631"/>
      <c r="G436" s="631"/>
      <c r="H436" s="631"/>
      <c r="I436" s="631"/>
      <c r="J436" s="631"/>
      <c r="K436" s="631"/>
      <c r="L436" s="631"/>
      <c r="M436" s="631"/>
      <c r="N436" s="631"/>
      <c r="O436" s="631"/>
      <c r="P436" s="631"/>
      <c r="Q436" s="631"/>
      <c r="R436" s="631"/>
      <c r="S436" s="631"/>
      <c r="T436" s="631"/>
      <c r="U436" s="631"/>
      <c r="V436" s="631"/>
      <c r="W436" s="631"/>
      <c r="X436" s="631"/>
      <c r="Y436" s="631"/>
    </row>
    <row r="437">
      <c r="A437" s="631"/>
      <c r="B437" s="631"/>
      <c r="C437" s="631"/>
      <c r="D437" s="631"/>
      <c r="E437" s="441"/>
      <c r="F437" s="631"/>
      <c r="G437" s="631"/>
      <c r="H437" s="631"/>
      <c r="I437" s="631"/>
      <c r="J437" s="631"/>
      <c r="K437" s="631"/>
      <c r="L437" s="631"/>
      <c r="M437" s="631"/>
      <c r="N437" s="631"/>
      <c r="O437" s="631"/>
      <c r="P437" s="631"/>
      <c r="Q437" s="631"/>
      <c r="R437" s="631"/>
      <c r="S437" s="631"/>
      <c r="T437" s="631"/>
      <c r="U437" s="631"/>
      <c r="V437" s="631"/>
      <c r="W437" s="631"/>
      <c r="X437" s="631"/>
      <c r="Y437" s="631"/>
    </row>
    <row r="438">
      <c r="A438" s="631"/>
      <c r="B438" s="631"/>
      <c r="C438" s="631"/>
      <c r="D438" s="631"/>
      <c r="E438" s="441"/>
      <c r="F438" s="631"/>
      <c r="G438" s="631"/>
      <c r="H438" s="631"/>
      <c r="I438" s="631"/>
      <c r="J438" s="631"/>
      <c r="K438" s="631"/>
      <c r="L438" s="631"/>
      <c r="M438" s="631"/>
      <c r="N438" s="631"/>
      <c r="O438" s="631"/>
      <c r="P438" s="631"/>
      <c r="Q438" s="631"/>
      <c r="R438" s="631"/>
      <c r="S438" s="631"/>
      <c r="T438" s="631"/>
      <c r="U438" s="631"/>
      <c r="V438" s="631"/>
      <c r="W438" s="631"/>
      <c r="X438" s="631"/>
      <c r="Y438" s="631"/>
    </row>
    <row r="439">
      <c r="A439" s="631"/>
      <c r="B439" s="631"/>
      <c r="C439" s="631"/>
      <c r="D439" s="631"/>
      <c r="E439" s="441"/>
      <c r="F439" s="631"/>
      <c r="G439" s="631"/>
      <c r="H439" s="631"/>
      <c r="I439" s="631"/>
      <c r="J439" s="631"/>
      <c r="K439" s="631"/>
      <c r="L439" s="631"/>
      <c r="M439" s="631"/>
      <c r="N439" s="631"/>
      <c r="O439" s="631"/>
      <c r="P439" s="631"/>
      <c r="Q439" s="631"/>
      <c r="R439" s="631"/>
      <c r="S439" s="631"/>
      <c r="T439" s="631"/>
      <c r="U439" s="631"/>
      <c r="V439" s="631"/>
      <c r="W439" s="631"/>
      <c r="X439" s="631"/>
      <c r="Y439" s="631"/>
    </row>
    <row r="440">
      <c r="A440" s="631"/>
      <c r="B440" s="631"/>
      <c r="C440" s="631"/>
      <c r="D440" s="631"/>
      <c r="E440" s="441"/>
      <c r="F440" s="631"/>
      <c r="G440" s="631"/>
      <c r="H440" s="631"/>
      <c r="I440" s="631"/>
      <c r="J440" s="631"/>
      <c r="K440" s="631"/>
      <c r="L440" s="631"/>
      <c r="M440" s="631"/>
      <c r="N440" s="631"/>
      <c r="O440" s="631"/>
      <c r="P440" s="631"/>
      <c r="Q440" s="631"/>
      <c r="R440" s="631"/>
      <c r="S440" s="631"/>
      <c r="T440" s="631"/>
      <c r="U440" s="631"/>
      <c r="V440" s="631"/>
      <c r="W440" s="631"/>
      <c r="X440" s="631"/>
      <c r="Y440" s="631"/>
    </row>
    <row r="441">
      <c r="A441" s="631"/>
      <c r="B441" s="631"/>
      <c r="C441" s="631"/>
      <c r="D441" s="631"/>
      <c r="E441" s="441"/>
      <c r="F441" s="631"/>
      <c r="G441" s="631"/>
      <c r="H441" s="631"/>
      <c r="I441" s="631"/>
      <c r="J441" s="631"/>
      <c r="K441" s="631"/>
      <c r="L441" s="631"/>
      <c r="M441" s="631"/>
      <c r="N441" s="631"/>
      <c r="O441" s="631"/>
      <c r="P441" s="631"/>
      <c r="Q441" s="631"/>
      <c r="R441" s="631"/>
      <c r="S441" s="631"/>
      <c r="T441" s="631"/>
      <c r="U441" s="631"/>
      <c r="V441" s="631"/>
      <c r="W441" s="631"/>
      <c r="X441" s="631"/>
      <c r="Y441" s="631"/>
    </row>
    <row r="442">
      <c r="A442" s="631"/>
      <c r="B442" s="631"/>
      <c r="C442" s="631"/>
      <c r="D442" s="631"/>
      <c r="E442" s="441"/>
      <c r="F442" s="631"/>
      <c r="G442" s="631"/>
      <c r="H442" s="631"/>
      <c r="I442" s="631"/>
      <c r="J442" s="631"/>
      <c r="K442" s="631"/>
      <c r="L442" s="631"/>
      <c r="M442" s="631"/>
      <c r="N442" s="631"/>
      <c r="O442" s="631"/>
      <c r="P442" s="631"/>
      <c r="Q442" s="631"/>
      <c r="R442" s="631"/>
      <c r="S442" s="631"/>
      <c r="T442" s="631"/>
      <c r="U442" s="631"/>
      <c r="V442" s="631"/>
      <c r="W442" s="631"/>
      <c r="X442" s="631"/>
      <c r="Y442" s="631"/>
    </row>
    <row r="443">
      <c r="A443" s="631"/>
      <c r="B443" s="631"/>
      <c r="C443" s="631"/>
      <c r="D443" s="631"/>
      <c r="E443" s="441"/>
      <c r="F443" s="631"/>
      <c r="G443" s="631"/>
      <c r="H443" s="631"/>
      <c r="I443" s="631"/>
      <c r="J443" s="631"/>
      <c r="K443" s="631"/>
      <c r="L443" s="631"/>
      <c r="M443" s="631"/>
      <c r="N443" s="631"/>
      <c r="O443" s="631"/>
      <c r="P443" s="631"/>
      <c r="Q443" s="631"/>
      <c r="R443" s="631"/>
      <c r="S443" s="631"/>
      <c r="T443" s="631"/>
      <c r="U443" s="631"/>
      <c r="V443" s="631"/>
      <c r="W443" s="631"/>
      <c r="X443" s="631"/>
      <c r="Y443" s="631"/>
    </row>
    <row r="444">
      <c r="A444" s="631"/>
      <c r="B444" s="631"/>
      <c r="C444" s="631"/>
      <c r="D444" s="631"/>
      <c r="E444" s="441"/>
      <c r="F444" s="631"/>
      <c r="G444" s="631"/>
      <c r="H444" s="631"/>
      <c r="I444" s="631"/>
      <c r="J444" s="631"/>
      <c r="K444" s="631"/>
      <c r="L444" s="631"/>
      <c r="M444" s="631"/>
      <c r="N444" s="631"/>
      <c r="O444" s="631"/>
      <c r="P444" s="631"/>
      <c r="Q444" s="631"/>
      <c r="R444" s="631"/>
      <c r="S444" s="631"/>
      <c r="T444" s="631"/>
      <c r="U444" s="631"/>
      <c r="V444" s="631"/>
      <c r="W444" s="631"/>
      <c r="X444" s="631"/>
      <c r="Y444" s="631"/>
    </row>
    <row r="445">
      <c r="A445" s="631"/>
      <c r="B445" s="631"/>
      <c r="C445" s="631"/>
      <c r="D445" s="631"/>
      <c r="E445" s="441"/>
      <c r="F445" s="631"/>
      <c r="G445" s="631"/>
      <c r="H445" s="631"/>
      <c r="I445" s="631"/>
      <c r="J445" s="631"/>
      <c r="K445" s="631"/>
      <c r="L445" s="631"/>
      <c r="M445" s="631"/>
      <c r="N445" s="631"/>
      <c r="O445" s="631"/>
      <c r="P445" s="631"/>
      <c r="Q445" s="631"/>
      <c r="R445" s="631"/>
      <c r="S445" s="631"/>
      <c r="T445" s="631"/>
      <c r="U445" s="631"/>
      <c r="V445" s="631"/>
      <c r="W445" s="631"/>
      <c r="X445" s="631"/>
      <c r="Y445" s="631"/>
    </row>
    <row r="446">
      <c r="A446" s="631"/>
      <c r="B446" s="631"/>
      <c r="C446" s="631"/>
      <c r="D446" s="631"/>
      <c r="E446" s="441"/>
      <c r="F446" s="631"/>
      <c r="G446" s="631"/>
      <c r="H446" s="631"/>
      <c r="I446" s="631"/>
      <c r="J446" s="631"/>
      <c r="K446" s="631"/>
      <c r="L446" s="631"/>
      <c r="M446" s="631"/>
      <c r="N446" s="631"/>
      <c r="O446" s="631"/>
      <c r="P446" s="631"/>
      <c r="Q446" s="631"/>
      <c r="R446" s="631"/>
      <c r="S446" s="631"/>
      <c r="T446" s="631"/>
      <c r="U446" s="631"/>
      <c r="V446" s="631"/>
      <c r="W446" s="631"/>
      <c r="X446" s="631"/>
      <c r="Y446" s="631"/>
    </row>
    <row r="447">
      <c r="A447" s="631"/>
      <c r="B447" s="631"/>
      <c r="C447" s="631"/>
      <c r="D447" s="631"/>
      <c r="E447" s="441"/>
      <c r="F447" s="631"/>
      <c r="G447" s="631"/>
      <c r="H447" s="631"/>
      <c r="I447" s="631"/>
      <c r="J447" s="631"/>
      <c r="K447" s="631"/>
      <c r="L447" s="631"/>
      <c r="M447" s="631"/>
      <c r="N447" s="631"/>
      <c r="O447" s="631"/>
      <c r="P447" s="631"/>
      <c r="Q447" s="631"/>
      <c r="R447" s="631"/>
      <c r="S447" s="631"/>
      <c r="T447" s="631"/>
      <c r="U447" s="631"/>
      <c r="V447" s="631"/>
      <c r="W447" s="631"/>
      <c r="X447" s="631"/>
      <c r="Y447" s="631"/>
    </row>
    <row r="448">
      <c r="A448" s="631"/>
      <c r="B448" s="631"/>
      <c r="C448" s="631"/>
      <c r="D448" s="631"/>
      <c r="E448" s="441"/>
      <c r="F448" s="631"/>
      <c r="G448" s="631"/>
      <c r="H448" s="631"/>
      <c r="I448" s="631"/>
      <c r="J448" s="631"/>
      <c r="K448" s="631"/>
      <c r="L448" s="631"/>
      <c r="M448" s="631"/>
      <c r="N448" s="631"/>
      <c r="O448" s="631"/>
      <c r="P448" s="631"/>
      <c r="Q448" s="631"/>
      <c r="R448" s="631"/>
      <c r="S448" s="631"/>
      <c r="T448" s="631"/>
      <c r="U448" s="631"/>
      <c r="V448" s="631"/>
      <c r="W448" s="631"/>
      <c r="X448" s="631"/>
      <c r="Y448" s="631"/>
    </row>
    <row r="449">
      <c r="A449" s="631"/>
      <c r="B449" s="631"/>
      <c r="C449" s="631"/>
      <c r="D449" s="631"/>
      <c r="E449" s="441"/>
      <c r="F449" s="631"/>
      <c r="G449" s="631"/>
      <c r="H449" s="631"/>
      <c r="I449" s="631"/>
      <c r="J449" s="631"/>
      <c r="K449" s="631"/>
      <c r="L449" s="631"/>
      <c r="M449" s="631"/>
      <c r="N449" s="631"/>
      <c r="O449" s="631"/>
      <c r="P449" s="631"/>
      <c r="Q449" s="631"/>
      <c r="R449" s="631"/>
      <c r="S449" s="631"/>
      <c r="T449" s="631"/>
      <c r="U449" s="631"/>
      <c r="V449" s="631"/>
      <c r="W449" s="631"/>
      <c r="X449" s="631"/>
      <c r="Y449" s="631"/>
    </row>
    <row r="450">
      <c r="A450" s="631"/>
      <c r="B450" s="631"/>
      <c r="C450" s="631"/>
      <c r="D450" s="631"/>
      <c r="E450" s="441"/>
      <c r="F450" s="631"/>
      <c r="G450" s="631"/>
      <c r="H450" s="631"/>
      <c r="I450" s="631"/>
      <c r="J450" s="631"/>
      <c r="K450" s="631"/>
      <c r="L450" s="631"/>
      <c r="M450" s="631"/>
      <c r="N450" s="631"/>
      <c r="O450" s="631"/>
      <c r="P450" s="631"/>
      <c r="Q450" s="631"/>
      <c r="R450" s="631"/>
      <c r="S450" s="631"/>
      <c r="T450" s="631"/>
      <c r="U450" s="631"/>
      <c r="V450" s="631"/>
      <c r="W450" s="631"/>
      <c r="X450" s="631"/>
      <c r="Y450" s="631"/>
    </row>
    <row r="451">
      <c r="A451" s="631"/>
      <c r="B451" s="631"/>
      <c r="C451" s="631"/>
      <c r="D451" s="631"/>
      <c r="E451" s="441"/>
      <c r="F451" s="631"/>
      <c r="G451" s="631"/>
      <c r="H451" s="631"/>
      <c r="I451" s="631"/>
      <c r="J451" s="631"/>
      <c r="K451" s="631"/>
      <c r="L451" s="631"/>
      <c r="M451" s="631"/>
      <c r="N451" s="631"/>
      <c r="O451" s="631"/>
      <c r="P451" s="631"/>
      <c r="Q451" s="631"/>
      <c r="R451" s="631"/>
      <c r="S451" s="631"/>
      <c r="T451" s="631"/>
      <c r="U451" s="631"/>
      <c r="V451" s="631"/>
      <c r="W451" s="631"/>
      <c r="X451" s="631"/>
      <c r="Y451" s="631"/>
    </row>
    <row r="452">
      <c r="A452" s="631"/>
      <c r="B452" s="631"/>
      <c r="C452" s="631"/>
      <c r="D452" s="631"/>
      <c r="E452" s="441"/>
      <c r="F452" s="631"/>
      <c r="G452" s="631"/>
      <c r="H452" s="631"/>
      <c r="I452" s="631"/>
      <c r="J452" s="631"/>
      <c r="K452" s="631"/>
      <c r="L452" s="631"/>
      <c r="M452" s="631"/>
      <c r="N452" s="631"/>
      <c r="O452" s="631"/>
      <c r="P452" s="631"/>
      <c r="Q452" s="631"/>
      <c r="R452" s="631"/>
      <c r="S452" s="631"/>
      <c r="T452" s="631"/>
      <c r="U452" s="631"/>
      <c r="V452" s="631"/>
      <c r="W452" s="631"/>
      <c r="X452" s="631"/>
      <c r="Y452" s="631"/>
    </row>
    <row r="453">
      <c r="A453" s="631"/>
      <c r="B453" s="631"/>
      <c r="C453" s="631"/>
      <c r="D453" s="631"/>
      <c r="E453" s="441"/>
      <c r="F453" s="631"/>
      <c r="G453" s="631"/>
      <c r="H453" s="631"/>
      <c r="I453" s="631"/>
      <c r="J453" s="631"/>
      <c r="K453" s="631"/>
      <c r="L453" s="631"/>
      <c r="M453" s="631"/>
      <c r="N453" s="631"/>
      <c r="O453" s="631"/>
      <c r="P453" s="631"/>
      <c r="Q453" s="631"/>
      <c r="R453" s="631"/>
      <c r="S453" s="631"/>
      <c r="T453" s="631"/>
      <c r="U453" s="631"/>
      <c r="V453" s="631"/>
      <c r="W453" s="631"/>
      <c r="X453" s="631"/>
      <c r="Y453" s="631"/>
    </row>
    <row r="454">
      <c r="A454" s="631"/>
      <c r="B454" s="631"/>
      <c r="C454" s="631"/>
      <c r="D454" s="631"/>
      <c r="E454" s="441"/>
      <c r="F454" s="631"/>
      <c r="G454" s="631"/>
      <c r="H454" s="631"/>
      <c r="I454" s="631"/>
      <c r="J454" s="631"/>
      <c r="K454" s="631"/>
      <c r="L454" s="631"/>
      <c r="M454" s="631"/>
      <c r="N454" s="631"/>
      <c r="O454" s="631"/>
      <c r="P454" s="631"/>
      <c r="Q454" s="631"/>
      <c r="R454" s="631"/>
      <c r="S454" s="631"/>
      <c r="T454" s="631"/>
      <c r="U454" s="631"/>
      <c r="V454" s="631"/>
      <c r="W454" s="631"/>
      <c r="X454" s="631"/>
      <c r="Y454" s="631"/>
    </row>
    <row r="455">
      <c r="A455" s="631"/>
      <c r="B455" s="631"/>
      <c r="C455" s="631"/>
      <c r="D455" s="631"/>
      <c r="E455" s="441"/>
      <c r="F455" s="631"/>
      <c r="G455" s="631"/>
      <c r="H455" s="631"/>
      <c r="I455" s="631"/>
      <c r="J455" s="631"/>
      <c r="K455" s="631"/>
      <c r="L455" s="631"/>
      <c r="M455" s="631"/>
      <c r="N455" s="631"/>
      <c r="O455" s="631"/>
      <c r="P455" s="631"/>
      <c r="Q455" s="631"/>
      <c r="R455" s="631"/>
      <c r="S455" s="631"/>
      <c r="T455" s="631"/>
      <c r="U455" s="631"/>
      <c r="V455" s="631"/>
      <c r="W455" s="631"/>
      <c r="X455" s="631"/>
      <c r="Y455" s="631"/>
    </row>
    <row r="456">
      <c r="A456" s="631"/>
      <c r="B456" s="631"/>
      <c r="C456" s="631"/>
      <c r="D456" s="631"/>
      <c r="E456" s="441"/>
      <c r="F456" s="631"/>
      <c r="G456" s="631"/>
      <c r="H456" s="631"/>
      <c r="I456" s="631"/>
      <c r="J456" s="631"/>
      <c r="K456" s="631"/>
      <c r="L456" s="631"/>
      <c r="M456" s="631"/>
      <c r="N456" s="631"/>
      <c r="O456" s="631"/>
      <c r="P456" s="631"/>
      <c r="Q456" s="631"/>
      <c r="R456" s="631"/>
      <c r="S456" s="631"/>
      <c r="T456" s="631"/>
      <c r="U456" s="631"/>
      <c r="V456" s="631"/>
      <c r="W456" s="631"/>
      <c r="X456" s="631"/>
      <c r="Y456" s="631"/>
    </row>
    <row r="457">
      <c r="A457" s="631"/>
      <c r="B457" s="631"/>
      <c r="C457" s="631"/>
      <c r="D457" s="631"/>
      <c r="E457" s="441"/>
      <c r="F457" s="631"/>
      <c r="G457" s="631"/>
      <c r="H457" s="631"/>
      <c r="I457" s="631"/>
      <c r="J457" s="631"/>
      <c r="K457" s="631"/>
      <c r="L457" s="631"/>
      <c r="M457" s="631"/>
      <c r="N457" s="631"/>
      <c r="O457" s="631"/>
      <c r="P457" s="631"/>
      <c r="Q457" s="631"/>
      <c r="R457" s="631"/>
      <c r="S457" s="631"/>
      <c r="T457" s="631"/>
      <c r="U457" s="631"/>
      <c r="V457" s="631"/>
      <c r="W457" s="631"/>
      <c r="X457" s="631"/>
      <c r="Y457" s="631"/>
    </row>
    <row r="458">
      <c r="A458" s="631"/>
      <c r="B458" s="631"/>
      <c r="C458" s="631"/>
      <c r="D458" s="631"/>
      <c r="E458" s="441"/>
      <c r="F458" s="631"/>
      <c r="G458" s="631"/>
      <c r="H458" s="631"/>
      <c r="I458" s="631"/>
      <c r="J458" s="631"/>
      <c r="K458" s="631"/>
      <c r="L458" s="631"/>
      <c r="M458" s="631"/>
      <c r="N458" s="631"/>
      <c r="O458" s="631"/>
      <c r="P458" s="631"/>
      <c r="Q458" s="631"/>
      <c r="R458" s="631"/>
      <c r="S458" s="631"/>
      <c r="T458" s="631"/>
      <c r="U458" s="631"/>
      <c r="V458" s="631"/>
      <c r="W458" s="631"/>
      <c r="X458" s="631"/>
      <c r="Y458" s="631"/>
    </row>
    <row r="459">
      <c r="A459" s="631"/>
      <c r="B459" s="631"/>
      <c r="C459" s="631"/>
      <c r="D459" s="631"/>
      <c r="E459" s="441"/>
      <c r="F459" s="631"/>
      <c r="G459" s="631"/>
      <c r="H459" s="631"/>
      <c r="I459" s="631"/>
      <c r="J459" s="631"/>
      <c r="K459" s="631"/>
      <c r="L459" s="631"/>
      <c r="M459" s="631"/>
      <c r="N459" s="631"/>
      <c r="O459" s="631"/>
      <c r="P459" s="631"/>
      <c r="Q459" s="631"/>
      <c r="R459" s="631"/>
      <c r="S459" s="631"/>
      <c r="T459" s="631"/>
      <c r="U459" s="631"/>
      <c r="V459" s="631"/>
      <c r="W459" s="631"/>
      <c r="X459" s="631"/>
      <c r="Y459" s="631"/>
    </row>
    <row r="460">
      <c r="A460" s="631"/>
      <c r="B460" s="631"/>
      <c r="C460" s="631"/>
      <c r="D460" s="631"/>
      <c r="E460" s="441"/>
      <c r="F460" s="631"/>
      <c r="G460" s="631"/>
      <c r="H460" s="631"/>
      <c r="I460" s="631"/>
      <c r="J460" s="631"/>
      <c r="K460" s="631"/>
      <c r="L460" s="631"/>
      <c r="M460" s="631"/>
      <c r="N460" s="631"/>
      <c r="O460" s="631"/>
      <c r="P460" s="631"/>
      <c r="Q460" s="631"/>
      <c r="R460" s="631"/>
      <c r="S460" s="631"/>
      <c r="T460" s="631"/>
      <c r="U460" s="631"/>
      <c r="V460" s="631"/>
      <c r="W460" s="631"/>
      <c r="X460" s="631"/>
      <c r="Y460" s="631"/>
    </row>
    <row r="461">
      <c r="A461" s="631"/>
      <c r="B461" s="631"/>
      <c r="C461" s="631"/>
      <c r="D461" s="631"/>
      <c r="E461" s="441"/>
      <c r="F461" s="631"/>
      <c r="G461" s="631"/>
      <c r="H461" s="631"/>
      <c r="I461" s="631"/>
      <c r="J461" s="631"/>
      <c r="K461" s="631"/>
      <c r="L461" s="631"/>
      <c r="M461" s="631"/>
      <c r="N461" s="631"/>
      <c r="O461" s="631"/>
      <c r="P461" s="631"/>
      <c r="Q461" s="631"/>
      <c r="R461" s="631"/>
      <c r="S461" s="631"/>
      <c r="T461" s="631"/>
      <c r="U461" s="631"/>
      <c r="V461" s="631"/>
      <c r="W461" s="631"/>
      <c r="X461" s="631"/>
      <c r="Y461" s="631"/>
    </row>
    <row r="462">
      <c r="A462" s="631"/>
      <c r="B462" s="631"/>
      <c r="C462" s="631"/>
      <c r="D462" s="631"/>
      <c r="E462" s="441"/>
      <c r="F462" s="631"/>
      <c r="G462" s="631"/>
      <c r="H462" s="631"/>
      <c r="I462" s="631"/>
      <c r="J462" s="631"/>
      <c r="K462" s="631"/>
      <c r="L462" s="631"/>
      <c r="M462" s="631"/>
      <c r="N462" s="631"/>
      <c r="O462" s="631"/>
      <c r="P462" s="631"/>
      <c r="Q462" s="631"/>
      <c r="R462" s="631"/>
      <c r="S462" s="631"/>
      <c r="T462" s="631"/>
      <c r="U462" s="631"/>
      <c r="V462" s="631"/>
      <c r="W462" s="631"/>
      <c r="X462" s="631"/>
      <c r="Y462" s="631"/>
    </row>
    <row r="463">
      <c r="A463" s="631"/>
      <c r="B463" s="631"/>
      <c r="C463" s="631"/>
      <c r="D463" s="631"/>
      <c r="E463" s="441"/>
      <c r="F463" s="631"/>
      <c r="G463" s="631"/>
      <c r="H463" s="631"/>
      <c r="I463" s="631"/>
      <c r="J463" s="631"/>
      <c r="K463" s="631"/>
      <c r="L463" s="631"/>
      <c r="M463" s="631"/>
      <c r="N463" s="631"/>
      <c r="O463" s="631"/>
      <c r="P463" s="631"/>
      <c r="Q463" s="631"/>
      <c r="R463" s="631"/>
      <c r="S463" s="631"/>
      <c r="T463" s="631"/>
      <c r="U463" s="631"/>
      <c r="V463" s="631"/>
      <c r="W463" s="631"/>
      <c r="X463" s="631"/>
      <c r="Y463" s="631"/>
    </row>
    <row r="464">
      <c r="A464" s="631"/>
      <c r="B464" s="631"/>
      <c r="C464" s="631"/>
      <c r="D464" s="631"/>
      <c r="E464" s="441"/>
      <c r="F464" s="631"/>
      <c r="G464" s="631"/>
      <c r="H464" s="631"/>
      <c r="I464" s="631"/>
      <c r="J464" s="631"/>
      <c r="K464" s="631"/>
      <c r="L464" s="631"/>
      <c r="M464" s="631"/>
      <c r="N464" s="631"/>
      <c r="O464" s="631"/>
      <c r="P464" s="631"/>
      <c r="Q464" s="631"/>
      <c r="R464" s="631"/>
      <c r="S464" s="631"/>
      <c r="T464" s="631"/>
      <c r="U464" s="631"/>
      <c r="V464" s="631"/>
      <c r="W464" s="631"/>
      <c r="X464" s="631"/>
      <c r="Y464" s="631"/>
    </row>
    <row r="465">
      <c r="A465" s="631"/>
      <c r="B465" s="631"/>
      <c r="C465" s="631"/>
      <c r="D465" s="631"/>
      <c r="E465" s="441"/>
      <c r="F465" s="631"/>
      <c r="G465" s="631"/>
      <c r="H465" s="631"/>
      <c r="I465" s="631"/>
      <c r="J465" s="631"/>
      <c r="K465" s="631"/>
      <c r="L465" s="631"/>
      <c r="M465" s="631"/>
      <c r="N465" s="631"/>
      <c r="O465" s="631"/>
      <c r="P465" s="631"/>
      <c r="Q465" s="631"/>
      <c r="R465" s="631"/>
      <c r="S465" s="631"/>
      <c r="T465" s="631"/>
      <c r="U465" s="631"/>
      <c r="V465" s="631"/>
      <c r="W465" s="631"/>
      <c r="X465" s="631"/>
      <c r="Y465" s="631"/>
    </row>
    <row r="466">
      <c r="A466" s="631"/>
      <c r="B466" s="631"/>
      <c r="C466" s="631"/>
      <c r="D466" s="631"/>
      <c r="E466" s="441"/>
      <c r="F466" s="631"/>
      <c r="G466" s="631"/>
      <c r="H466" s="631"/>
      <c r="I466" s="631"/>
      <c r="J466" s="631"/>
      <c r="K466" s="631"/>
      <c r="L466" s="631"/>
      <c r="M466" s="631"/>
      <c r="N466" s="631"/>
      <c r="O466" s="631"/>
      <c r="P466" s="631"/>
      <c r="Q466" s="631"/>
      <c r="R466" s="631"/>
      <c r="S466" s="631"/>
      <c r="T466" s="631"/>
      <c r="U466" s="631"/>
      <c r="V466" s="631"/>
      <c r="W466" s="631"/>
      <c r="X466" s="631"/>
      <c r="Y466" s="631"/>
    </row>
    <row r="467">
      <c r="A467" s="631"/>
      <c r="B467" s="631"/>
      <c r="C467" s="631"/>
      <c r="D467" s="631"/>
      <c r="E467" s="441"/>
      <c r="F467" s="631"/>
      <c r="G467" s="631"/>
      <c r="H467" s="631"/>
      <c r="I467" s="631"/>
      <c r="J467" s="631"/>
      <c r="K467" s="631"/>
      <c r="L467" s="631"/>
      <c r="M467" s="631"/>
      <c r="N467" s="631"/>
      <c r="O467" s="631"/>
      <c r="P467" s="631"/>
      <c r="Q467" s="631"/>
      <c r="R467" s="631"/>
      <c r="S467" s="631"/>
      <c r="T467" s="631"/>
      <c r="U467" s="631"/>
      <c r="V467" s="631"/>
      <c r="W467" s="631"/>
      <c r="X467" s="631"/>
      <c r="Y467" s="631"/>
    </row>
    <row r="468">
      <c r="A468" s="631"/>
      <c r="B468" s="631"/>
      <c r="C468" s="631"/>
      <c r="D468" s="631"/>
      <c r="E468" s="441"/>
      <c r="F468" s="631"/>
      <c r="G468" s="631"/>
      <c r="H468" s="631"/>
      <c r="I468" s="631"/>
      <c r="J468" s="631"/>
      <c r="K468" s="631"/>
      <c r="L468" s="631"/>
      <c r="M468" s="631"/>
      <c r="N468" s="631"/>
      <c r="O468" s="631"/>
      <c r="P468" s="631"/>
      <c r="Q468" s="631"/>
      <c r="R468" s="631"/>
      <c r="S468" s="631"/>
      <c r="T468" s="631"/>
      <c r="U468" s="631"/>
      <c r="V468" s="631"/>
      <c r="W468" s="631"/>
      <c r="X468" s="631"/>
      <c r="Y468" s="631"/>
    </row>
    <row r="469">
      <c r="A469" s="631"/>
      <c r="B469" s="631"/>
      <c r="C469" s="631"/>
      <c r="D469" s="631"/>
      <c r="E469" s="441"/>
      <c r="F469" s="631"/>
      <c r="G469" s="631"/>
      <c r="H469" s="631"/>
      <c r="I469" s="631"/>
      <c r="J469" s="631"/>
      <c r="K469" s="631"/>
      <c r="L469" s="631"/>
      <c r="M469" s="631"/>
      <c r="N469" s="631"/>
      <c r="O469" s="631"/>
      <c r="P469" s="631"/>
      <c r="Q469" s="631"/>
      <c r="R469" s="631"/>
      <c r="S469" s="631"/>
      <c r="T469" s="631"/>
      <c r="U469" s="631"/>
      <c r="V469" s="631"/>
      <c r="W469" s="631"/>
      <c r="X469" s="631"/>
      <c r="Y469" s="631"/>
    </row>
    <row r="470">
      <c r="A470" s="631"/>
      <c r="B470" s="631"/>
      <c r="C470" s="631"/>
      <c r="D470" s="631"/>
      <c r="E470" s="441"/>
      <c r="F470" s="631"/>
      <c r="G470" s="631"/>
      <c r="H470" s="631"/>
      <c r="I470" s="631"/>
      <c r="J470" s="631"/>
      <c r="K470" s="631"/>
      <c r="L470" s="631"/>
      <c r="M470" s="631"/>
      <c r="N470" s="631"/>
      <c r="O470" s="631"/>
      <c r="P470" s="631"/>
      <c r="Q470" s="631"/>
      <c r="R470" s="631"/>
      <c r="S470" s="631"/>
      <c r="T470" s="631"/>
      <c r="U470" s="631"/>
      <c r="V470" s="631"/>
      <c r="W470" s="631"/>
      <c r="X470" s="631"/>
      <c r="Y470" s="631"/>
    </row>
    <row r="471">
      <c r="A471" s="631"/>
      <c r="B471" s="631"/>
      <c r="C471" s="631"/>
      <c r="D471" s="631"/>
      <c r="E471" s="441"/>
      <c r="F471" s="631"/>
      <c r="G471" s="631"/>
      <c r="H471" s="631"/>
      <c r="I471" s="631"/>
      <c r="J471" s="631"/>
      <c r="K471" s="631"/>
      <c r="L471" s="631"/>
      <c r="M471" s="631"/>
      <c r="N471" s="631"/>
      <c r="O471" s="631"/>
      <c r="P471" s="631"/>
      <c r="Q471" s="631"/>
      <c r="R471" s="631"/>
      <c r="S471" s="631"/>
      <c r="T471" s="631"/>
      <c r="U471" s="631"/>
      <c r="V471" s="631"/>
      <c r="W471" s="631"/>
      <c r="X471" s="631"/>
      <c r="Y471" s="631"/>
    </row>
    <row r="472">
      <c r="A472" s="631"/>
      <c r="B472" s="631"/>
      <c r="C472" s="631"/>
      <c r="D472" s="631"/>
      <c r="E472" s="441"/>
      <c r="F472" s="631"/>
      <c r="G472" s="631"/>
      <c r="H472" s="631"/>
      <c r="I472" s="631"/>
      <c r="J472" s="631"/>
      <c r="K472" s="631"/>
      <c r="L472" s="631"/>
      <c r="M472" s="631"/>
      <c r="N472" s="631"/>
      <c r="O472" s="631"/>
      <c r="P472" s="631"/>
      <c r="Q472" s="631"/>
      <c r="R472" s="631"/>
      <c r="S472" s="631"/>
      <c r="T472" s="631"/>
      <c r="U472" s="631"/>
      <c r="V472" s="631"/>
      <c r="W472" s="631"/>
      <c r="X472" s="631"/>
      <c r="Y472" s="631"/>
    </row>
    <row r="473">
      <c r="A473" s="631"/>
      <c r="B473" s="631"/>
      <c r="C473" s="631"/>
      <c r="D473" s="631"/>
      <c r="E473" s="441"/>
      <c r="F473" s="631"/>
      <c r="G473" s="631"/>
      <c r="H473" s="631"/>
      <c r="I473" s="631"/>
      <c r="J473" s="631"/>
      <c r="K473" s="631"/>
      <c r="L473" s="631"/>
      <c r="M473" s="631"/>
      <c r="N473" s="631"/>
      <c r="O473" s="631"/>
      <c r="P473" s="631"/>
      <c r="Q473" s="631"/>
      <c r="R473" s="631"/>
      <c r="S473" s="631"/>
      <c r="T473" s="631"/>
      <c r="U473" s="631"/>
      <c r="V473" s="631"/>
      <c r="W473" s="631"/>
      <c r="X473" s="631"/>
      <c r="Y473" s="631"/>
    </row>
    <row r="474">
      <c r="A474" s="631"/>
      <c r="B474" s="631"/>
      <c r="C474" s="631"/>
      <c r="D474" s="631"/>
      <c r="E474" s="441"/>
      <c r="F474" s="631"/>
      <c r="G474" s="631"/>
      <c r="H474" s="631"/>
      <c r="I474" s="631"/>
      <c r="J474" s="631"/>
      <c r="K474" s="631"/>
      <c r="L474" s="631"/>
      <c r="M474" s="631"/>
      <c r="N474" s="631"/>
      <c r="O474" s="631"/>
      <c r="P474" s="631"/>
      <c r="Q474" s="631"/>
      <c r="R474" s="631"/>
      <c r="S474" s="631"/>
      <c r="T474" s="631"/>
      <c r="U474" s="631"/>
      <c r="V474" s="631"/>
      <c r="W474" s="631"/>
      <c r="X474" s="631"/>
      <c r="Y474" s="631"/>
    </row>
    <row r="475">
      <c r="A475" s="631"/>
      <c r="B475" s="631"/>
      <c r="C475" s="631"/>
      <c r="D475" s="631"/>
      <c r="E475" s="441"/>
      <c r="F475" s="631"/>
      <c r="G475" s="631"/>
      <c r="H475" s="631"/>
      <c r="I475" s="631"/>
      <c r="J475" s="631"/>
      <c r="K475" s="631"/>
      <c r="L475" s="631"/>
      <c r="M475" s="631"/>
      <c r="N475" s="631"/>
      <c r="O475" s="631"/>
      <c r="P475" s="631"/>
      <c r="Q475" s="631"/>
      <c r="R475" s="631"/>
      <c r="S475" s="631"/>
      <c r="T475" s="631"/>
      <c r="U475" s="631"/>
      <c r="V475" s="631"/>
      <c r="W475" s="631"/>
      <c r="X475" s="631"/>
      <c r="Y475" s="631"/>
    </row>
    <row r="476">
      <c r="A476" s="631"/>
      <c r="B476" s="631"/>
      <c r="C476" s="631"/>
      <c r="D476" s="631"/>
      <c r="E476" s="441"/>
      <c r="F476" s="631"/>
      <c r="G476" s="631"/>
      <c r="H476" s="631"/>
      <c r="I476" s="631"/>
      <c r="J476" s="631"/>
      <c r="K476" s="631"/>
      <c r="L476" s="631"/>
      <c r="M476" s="631"/>
      <c r="N476" s="631"/>
      <c r="O476" s="631"/>
      <c r="P476" s="631"/>
      <c r="Q476" s="631"/>
      <c r="R476" s="631"/>
      <c r="S476" s="631"/>
      <c r="T476" s="631"/>
      <c r="U476" s="631"/>
      <c r="V476" s="631"/>
      <c r="W476" s="631"/>
      <c r="X476" s="631"/>
      <c r="Y476" s="631"/>
    </row>
    <row r="477">
      <c r="A477" s="631"/>
      <c r="B477" s="631"/>
      <c r="C477" s="631"/>
      <c r="D477" s="631"/>
      <c r="E477" s="441"/>
      <c r="F477" s="631"/>
      <c r="G477" s="631"/>
      <c r="H477" s="631"/>
      <c r="I477" s="631"/>
      <c r="J477" s="631"/>
      <c r="K477" s="631"/>
      <c r="L477" s="631"/>
      <c r="M477" s="631"/>
      <c r="N477" s="631"/>
      <c r="O477" s="631"/>
      <c r="P477" s="631"/>
      <c r="Q477" s="631"/>
      <c r="R477" s="631"/>
      <c r="S477" s="631"/>
      <c r="T477" s="631"/>
      <c r="U477" s="631"/>
      <c r="V477" s="631"/>
      <c r="W477" s="631"/>
      <c r="X477" s="631"/>
      <c r="Y477" s="631"/>
    </row>
    <row r="478">
      <c r="A478" s="631"/>
      <c r="B478" s="631"/>
      <c r="C478" s="631"/>
      <c r="D478" s="631"/>
      <c r="E478" s="441"/>
      <c r="F478" s="631"/>
      <c r="G478" s="631"/>
      <c r="H478" s="631"/>
      <c r="I478" s="631"/>
      <c r="J478" s="631"/>
      <c r="K478" s="631"/>
      <c r="L478" s="631"/>
      <c r="M478" s="631"/>
      <c r="N478" s="631"/>
      <c r="O478" s="631"/>
      <c r="P478" s="631"/>
      <c r="Q478" s="631"/>
      <c r="R478" s="631"/>
      <c r="S478" s="631"/>
      <c r="T478" s="631"/>
      <c r="U478" s="631"/>
      <c r="V478" s="631"/>
      <c r="W478" s="631"/>
      <c r="X478" s="631"/>
      <c r="Y478" s="631"/>
    </row>
    <row r="479">
      <c r="A479" s="631"/>
      <c r="B479" s="631"/>
      <c r="C479" s="631"/>
      <c r="D479" s="631"/>
      <c r="E479" s="441"/>
      <c r="F479" s="631"/>
      <c r="G479" s="631"/>
      <c r="H479" s="631"/>
      <c r="I479" s="631"/>
      <c r="J479" s="631"/>
      <c r="K479" s="631"/>
      <c r="L479" s="631"/>
      <c r="M479" s="631"/>
      <c r="N479" s="631"/>
      <c r="O479" s="631"/>
      <c r="P479" s="631"/>
      <c r="Q479" s="631"/>
      <c r="R479" s="631"/>
      <c r="S479" s="631"/>
      <c r="T479" s="631"/>
      <c r="U479" s="631"/>
      <c r="V479" s="631"/>
      <c r="W479" s="631"/>
      <c r="X479" s="631"/>
      <c r="Y479" s="631"/>
    </row>
    <row r="480">
      <c r="A480" s="631"/>
      <c r="B480" s="631"/>
      <c r="C480" s="631"/>
      <c r="D480" s="631"/>
      <c r="E480" s="441"/>
      <c r="F480" s="631"/>
      <c r="G480" s="631"/>
      <c r="H480" s="631"/>
      <c r="I480" s="631"/>
      <c r="J480" s="631"/>
      <c r="K480" s="631"/>
      <c r="L480" s="631"/>
      <c r="M480" s="631"/>
      <c r="N480" s="631"/>
      <c r="O480" s="631"/>
      <c r="P480" s="631"/>
      <c r="Q480" s="631"/>
      <c r="R480" s="631"/>
      <c r="S480" s="631"/>
      <c r="T480" s="631"/>
      <c r="U480" s="631"/>
      <c r="V480" s="631"/>
      <c r="W480" s="631"/>
      <c r="X480" s="631"/>
      <c r="Y480" s="631"/>
    </row>
    <row r="481">
      <c r="A481" s="631"/>
      <c r="B481" s="631"/>
      <c r="C481" s="631"/>
      <c r="D481" s="631"/>
      <c r="E481" s="441"/>
      <c r="F481" s="631"/>
      <c r="G481" s="631"/>
      <c r="H481" s="631"/>
      <c r="I481" s="631"/>
      <c r="J481" s="631"/>
      <c r="K481" s="631"/>
      <c r="L481" s="631"/>
      <c r="M481" s="631"/>
      <c r="N481" s="631"/>
      <c r="O481" s="631"/>
      <c r="P481" s="631"/>
      <c r="Q481" s="631"/>
      <c r="R481" s="631"/>
      <c r="S481" s="631"/>
      <c r="T481" s="631"/>
      <c r="U481" s="631"/>
      <c r="V481" s="631"/>
      <c r="W481" s="631"/>
      <c r="X481" s="631"/>
      <c r="Y481" s="631"/>
    </row>
    <row r="482">
      <c r="A482" s="631"/>
      <c r="B482" s="631"/>
      <c r="C482" s="631"/>
      <c r="D482" s="631"/>
      <c r="E482" s="441"/>
      <c r="F482" s="631"/>
      <c r="G482" s="631"/>
      <c r="H482" s="631"/>
      <c r="I482" s="631"/>
      <c r="J482" s="631"/>
      <c r="K482" s="631"/>
      <c r="L482" s="631"/>
      <c r="M482" s="631"/>
      <c r="N482" s="631"/>
      <c r="O482" s="631"/>
      <c r="P482" s="631"/>
      <c r="Q482" s="631"/>
      <c r="R482" s="631"/>
      <c r="S482" s="631"/>
      <c r="T482" s="631"/>
      <c r="U482" s="631"/>
      <c r="V482" s="631"/>
      <c r="W482" s="631"/>
      <c r="X482" s="631"/>
      <c r="Y482" s="631"/>
    </row>
    <row r="483">
      <c r="A483" s="631"/>
      <c r="B483" s="631"/>
      <c r="C483" s="631"/>
      <c r="D483" s="631"/>
      <c r="E483" s="441"/>
      <c r="F483" s="631"/>
      <c r="G483" s="631"/>
      <c r="H483" s="631"/>
      <c r="I483" s="631"/>
      <c r="J483" s="631"/>
      <c r="K483" s="631"/>
      <c r="L483" s="631"/>
      <c r="M483" s="631"/>
      <c r="N483" s="631"/>
      <c r="O483" s="631"/>
      <c r="P483" s="631"/>
      <c r="Q483" s="631"/>
      <c r="R483" s="631"/>
      <c r="S483" s="631"/>
      <c r="T483" s="631"/>
      <c r="U483" s="631"/>
      <c r="V483" s="631"/>
      <c r="W483" s="631"/>
      <c r="X483" s="631"/>
      <c r="Y483" s="631"/>
    </row>
    <row r="484">
      <c r="A484" s="631"/>
      <c r="B484" s="631"/>
      <c r="C484" s="631"/>
      <c r="D484" s="631"/>
      <c r="E484" s="441"/>
      <c r="F484" s="631"/>
      <c r="G484" s="631"/>
      <c r="H484" s="631"/>
      <c r="I484" s="631"/>
      <c r="J484" s="631"/>
      <c r="K484" s="631"/>
      <c r="L484" s="631"/>
      <c r="M484" s="631"/>
      <c r="N484" s="631"/>
      <c r="O484" s="631"/>
      <c r="P484" s="631"/>
      <c r="Q484" s="631"/>
      <c r="R484" s="631"/>
      <c r="S484" s="631"/>
      <c r="T484" s="631"/>
      <c r="U484" s="631"/>
      <c r="V484" s="631"/>
      <c r="W484" s="631"/>
      <c r="X484" s="631"/>
      <c r="Y484" s="631"/>
    </row>
    <row r="485">
      <c r="A485" s="631"/>
      <c r="B485" s="631"/>
      <c r="C485" s="631"/>
      <c r="D485" s="631"/>
      <c r="E485" s="441"/>
      <c r="F485" s="631"/>
      <c r="G485" s="631"/>
      <c r="H485" s="631"/>
      <c r="I485" s="631"/>
      <c r="J485" s="631"/>
      <c r="K485" s="631"/>
      <c r="L485" s="631"/>
      <c r="M485" s="631"/>
      <c r="N485" s="631"/>
      <c r="O485" s="631"/>
      <c r="P485" s="631"/>
      <c r="Q485" s="631"/>
      <c r="R485" s="631"/>
      <c r="S485" s="631"/>
      <c r="T485" s="631"/>
      <c r="U485" s="631"/>
      <c r="V485" s="631"/>
      <c r="W485" s="631"/>
      <c r="X485" s="631"/>
      <c r="Y485" s="631"/>
    </row>
    <row r="486">
      <c r="A486" s="631"/>
      <c r="B486" s="631"/>
      <c r="C486" s="631"/>
      <c r="D486" s="631"/>
      <c r="E486" s="441"/>
      <c r="F486" s="631"/>
      <c r="G486" s="631"/>
      <c r="H486" s="631"/>
      <c r="I486" s="631"/>
      <c r="J486" s="631"/>
      <c r="K486" s="631"/>
      <c r="L486" s="631"/>
      <c r="M486" s="631"/>
      <c r="N486" s="631"/>
      <c r="O486" s="631"/>
      <c r="P486" s="631"/>
      <c r="Q486" s="631"/>
      <c r="R486" s="631"/>
      <c r="S486" s="631"/>
      <c r="T486" s="631"/>
      <c r="U486" s="631"/>
      <c r="V486" s="631"/>
      <c r="W486" s="631"/>
      <c r="X486" s="631"/>
      <c r="Y486" s="631"/>
    </row>
    <row r="487">
      <c r="A487" s="631"/>
      <c r="B487" s="631"/>
      <c r="C487" s="631"/>
      <c r="D487" s="631"/>
      <c r="E487" s="441"/>
      <c r="F487" s="631"/>
      <c r="G487" s="631"/>
      <c r="H487" s="631"/>
      <c r="I487" s="631"/>
      <c r="J487" s="631"/>
      <c r="K487" s="631"/>
      <c r="L487" s="631"/>
      <c r="M487" s="631"/>
      <c r="N487" s="631"/>
      <c r="O487" s="631"/>
      <c r="P487" s="631"/>
      <c r="Q487" s="631"/>
      <c r="R487" s="631"/>
      <c r="S487" s="631"/>
      <c r="T487" s="631"/>
      <c r="U487" s="631"/>
      <c r="V487" s="631"/>
      <c r="W487" s="631"/>
      <c r="X487" s="631"/>
      <c r="Y487" s="631"/>
    </row>
    <row r="488">
      <c r="A488" s="631"/>
      <c r="B488" s="631"/>
      <c r="C488" s="631"/>
      <c r="D488" s="631"/>
      <c r="E488" s="441"/>
      <c r="F488" s="631"/>
      <c r="G488" s="631"/>
      <c r="H488" s="631"/>
      <c r="I488" s="631"/>
      <c r="J488" s="631"/>
      <c r="K488" s="631"/>
      <c r="L488" s="631"/>
      <c r="M488" s="631"/>
      <c r="N488" s="631"/>
      <c r="O488" s="631"/>
      <c r="P488" s="631"/>
      <c r="Q488" s="631"/>
      <c r="R488" s="631"/>
      <c r="S488" s="631"/>
      <c r="T488" s="631"/>
      <c r="U488" s="631"/>
      <c r="V488" s="631"/>
      <c r="W488" s="631"/>
      <c r="X488" s="631"/>
      <c r="Y488" s="631"/>
    </row>
    <row r="489">
      <c r="A489" s="631"/>
      <c r="B489" s="631"/>
      <c r="C489" s="631"/>
      <c r="D489" s="631"/>
      <c r="E489" s="441"/>
      <c r="F489" s="631"/>
      <c r="G489" s="631"/>
      <c r="H489" s="631"/>
      <c r="I489" s="631"/>
      <c r="J489" s="631"/>
      <c r="K489" s="631"/>
      <c r="L489" s="631"/>
      <c r="M489" s="631"/>
      <c r="N489" s="631"/>
      <c r="O489" s="631"/>
      <c r="P489" s="631"/>
      <c r="Q489" s="631"/>
      <c r="R489" s="631"/>
      <c r="S489" s="631"/>
      <c r="T489" s="631"/>
      <c r="U489" s="631"/>
      <c r="V489" s="631"/>
      <c r="W489" s="631"/>
      <c r="X489" s="631"/>
      <c r="Y489" s="631"/>
    </row>
    <row r="490">
      <c r="A490" s="631"/>
      <c r="B490" s="631"/>
      <c r="C490" s="631"/>
      <c r="D490" s="631"/>
      <c r="E490" s="441"/>
      <c r="F490" s="631"/>
      <c r="G490" s="631"/>
      <c r="H490" s="631"/>
      <c r="I490" s="631"/>
      <c r="J490" s="631"/>
      <c r="K490" s="631"/>
      <c r="L490" s="631"/>
      <c r="M490" s="631"/>
      <c r="N490" s="631"/>
      <c r="O490" s="631"/>
      <c r="P490" s="631"/>
      <c r="Q490" s="631"/>
      <c r="R490" s="631"/>
      <c r="S490" s="631"/>
      <c r="T490" s="631"/>
      <c r="U490" s="631"/>
      <c r="V490" s="631"/>
      <c r="W490" s="631"/>
      <c r="X490" s="631"/>
      <c r="Y490" s="631"/>
    </row>
    <row r="491">
      <c r="A491" s="631"/>
      <c r="B491" s="631"/>
      <c r="C491" s="631"/>
      <c r="D491" s="631"/>
      <c r="E491" s="441"/>
      <c r="F491" s="631"/>
      <c r="G491" s="631"/>
      <c r="H491" s="631"/>
      <c r="I491" s="631"/>
      <c r="J491" s="631"/>
      <c r="K491" s="631"/>
      <c r="L491" s="631"/>
      <c r="M491" s="631"/>
      <c r="N491" s="631"/>
      <c r="O491" s="631"/>
      <c r="P491" s="631"/>
      <c r="Q491" s="631"/>
      <c r="R491" s="631"/>
      <c r="S491" s="631"/>
      <c r="T491" s="631"/>
      <c r="U491" s="631"/>
      <c r="V491" s="631"/>
      <c r="W491" s="631"/>
      <c r="X491" s="631"/>
      <c r="Y491" s="631"/>
    </row>
    <row r="492">
      <c r="A492" s="631"/>
      <c r="B492" s="631"/>
      <c r="C492" s="631"/>
      <c r="D492" s="631"/>
      <c r="E492" s="441"/>
      <c r="F492" s="631"/>
      <c r="G492" s="631"/>
      <c r="H492" s="631"/>
      <c r="I492" s="631"/>
      <c r="J492" s="631"/>
      <c r="K492" s="631"/>
      <c r="L492" s="631"/>
      <c r="M492" s="631"/>
      <c r="N492" s="631"/>
      <c r="O492" s="631"/>
      <c r="P492" s="631"/>
      <c r="Q492" s="631"/>
      <c r="R492" s="631"/>
      <c r="S492" s="631"/>
      <c r="T492" s="631"/>
      <c r="U492" s="631"/>
      <c r="V492" s="631"/>
      <c r="W492" s="631"/>
      <c r="X492" s="631"/>
      <c r="Y492" s="631"/>
    </row>
    <row r="493">
      <c r="A493" s="631"/>
      <c r="B493" s="631"/>
      <c r="C493" s="631"/>
      <c r="D493" s="631"/>
      <c r="E493" s="441"/>
      <c r="F493" s="631"/>
      <c r="G493" s="631"/>
      <c r="H493" s="631"/>
      <c r="I493" s="631"/>
      <c r="J493" s="631"/>
      <c r="K493" s="631"/>
      <c r="L493" s="631"/>
      <c r="M493" s="631"/>
      <c r="N493" s="631"/>
      <c r="O493" s="631"/>
      <c r="P493" s="631"/>
      <c r="Q493" s="631"/>
      <c r="R493" s="631"/>
      <c r="S493" s="631"/>
      <c r="T493" s="631"/>
      <c r="U493" s="631"/>
      <c r="V493" s="631"/>
      <c r="W493" s="631"/>
      <c r="X493" s="631"/>
      <c r="Y493" s="631"/>
    </row>
    <row r="494">
      <c r="A494" s="631"/>
      <c r="B494" s="631"/>
      <c r="C494" s="631"/>
      <c r="D494" s="631"/>
      <c r="E494" s="441"/>
      <c r="F494" s="631"/>
      <c r="G494" s="631"/>
      <c r="H494" s="631"/>
      <c r="I494" s="631"/>
      <c r="J494" s="631"/>
      <c r="K494" s="631"/>
      <c r="L494" s="631"/>
      <c r="M494" s="631"/>
      <c r="N494" s="631"/>
      <c r="O494" s="631"/>
      <c r="P494" s="631"/>
      <c r="Q494" s="631"/>
      <c r="R494" s="631"/>
      <c r="S494" s="631"/>
      <c r="T494" s="631"/>
      <c r="U494" s="631"/>
      <c r="V494" s="631"/>
      <c r="W494" s="631"/>
      <c r="X494" s="631"/>
      <c r="Y494" s="631"/>
    </row>
    <row r="495">
      <c r="A495" s="631"/>
      <c r="B495" s="631"/>
      <c r="C495" s="631"/>
      <c r="D495" s="631"/>
      <c r="E495" s="441"/>
      <c r="F495" s="631"/>
      <c r="G495" s="631"/>
      <c r="H495" s="631"/>
      <c r="I495" s="631"/>
      <c r="J495" s="631"/>
      <c r="K495" s="631"/>
      <c r="L495" s="631"/>
      <c r="M495" s="631"/>
      <c r="N495" s="631"/>
      <c r="O495" s="631"/>
      <c r="P495" s="631"/>
      <c r="Q495" s="631"/>
      <c r="R495" s="631"/>
      <c r="S495" s="631"/>
      <c r="T495" s="631"/>
      <c r="U495" s="631"/>
      <c r="V495" s="631"/>
      <c r="W495" s="631"/>
      <c r="X495" s="631"/>
      <c r="Y495" s="631"/>
    </row>
    <row r="496">
      <c r="A496" s="631"/>
      <c r="B496" s="631"/>
      <c r="C496" s="631"/>
      <c r="D496" s="631"/>
      <c r="E496" s="441"/>
      <c r="F496" s="631"/>
      <c r="G496" s="631"/>
      <c r="H496" s="631"/>
      <c r="I496" s="631"/>
      <c r="J496" s="631"/>
      <c r="K496" s="631"/>
      <c r="L496" s="631"/>
      <c r="M496" s="631"/>
      <c r="N496" s="631"/>
      <c r="O496" s="631"/>
      <c r="P496" s="631"/>
      <c r="Q496" s="631"/>
      <c r="R496" s="631"/>
      <c r="S496" s="631"/>
      <c r="T496" s="631"/>
      <c r="U496" s="631"/>
      <c r="V496" s="631"/>
      <c r="W496" s="631"/>
      <c r="X496" s="631"/>
      <c r="Y496" s="631"/>
    </row>
    <row r="497">
      <c r="A497" s="631"/>
      <c r="B497" s="631"/>
      <c r="C497" s="631"/>
      <c r="D497" s="631"/>
      <c r="E497" s="441"/>
      <c r="F497" s="631"/>
      <c r="G497" s="631"/>
      <c r="H497" s="631"/>
      <c r="I497" s="631"/>
      <c r="J497" s="631"/>
      <c r="K497" s="631"/>
      <c r="L497" s="631"/>
      <c r="M497" s="631"/>
      <c r="N497" s="631"/>
      <c r="O497" s="631"/>
      <c r="P497" s="631"/>
      <c r="Q497" s="631"/>
      <c r="R497" s="631"/>
      <c r="S497" s="631"/>
      <c r="T497" s="631"/>
      <c r="U497" s="631"/>
      <c r="V497" s="631"/>
      <c r="W497" s="631"/>
      <c r="X497" s="631"/>
      <c r="Y497" s="631"/>
    </row>
    <row r="498">
      <c r="A498" s="631"/>
      <c r="B498" s="631"/>
      <c r="C498" s="631"/>
      <c r="D498" s="631"/>
      <c r="E498" s="441"/>
      <c r="F498" s="631"/>
      <c r="G498" s="631"/>
      <c r="H498" s="631"/>
      <c r="I498" s="631"/>
      <c r="J498" s="631"/>
      <c r="K498" s="631"/>
      <c r="L498" s="631"/>
      <c r="M498" s="631"/>
      <c r="N498" s="631"/>
      <c r="O498" s="631"/>
      <c r="P498" s="631"/>
      <c r="Q498" s="631"/>
      <c r="R498" s="631"/>
      <c r="S498" s="631"/>
      <c r="T498" s="631"/>
      <c r="U498" s="631"/>
      <c r="V498" s="631"/>
      <c r="W498" s="631"/>
      <c r="X498" s="631"/>
      <c r="Y498" s="631"/>
    </row>
    <row r="499">
      <c r="A499" s="631"/>
      <c r="B499" s="631"/>
      <c r="C499" s="631"/>
      <c r="D499" s="631"/>
      <c r="E499" s="441"/>
      <c r="F499" s="631"/>
      <c r="G499" s="631"/>
      <c r="H499" s="631"/>
      <c r="I499" s="631"/>
      <c r="J499" s="631"/>
      <c r="K499" s="631"/>
      <c r="L499" s="631"/>
      <c r="M499" s="631"/>
      <c r="N499" s="631"/>
      <c r="O499" s="631"/>
      <c r="P499" s="631"/>
      <c r="Q499" s="631"/>
      <c r="R499" s="631"/>
      <c r="S499" s="631"/>
      <c r="T499" s="631"/>
      <c r="U499" s="631"/>
      <c r="V499" s="631"/>
      <c r="W499" s="631"/>
      <c r="X499" s="631"/>
      <c r="Y499" s="631"/>
    </row>
    <row r="500">
      <c r="A500" s="631"/>
      <c r="B500" s="631"/>
      <c r="C500" s="631"/>
      <c r="D500" s="631"/>
      <c r="E500" s="441"/>
      <c r="F500" s="631"/>
      <c r="G500" s="631"/>
      <c r="H500" s="631"/>
      <c r="I500" s="631"/>
      <c r="J500" s="631"/>
      <c r="K500" s="631"/>
      <c r="L500" s="631"/>
      <c r="M500" s="631"/>
      <c r="N500" s="631"/>
      <c r="O500" s="631"/>
      <c r="P500" s="631"/>
      <c r="Q500" s="631"/>
      <c r="R500" s="631"/>
      <c r="S500" s="631"/>
      <c r="T500" s="631"/>
      <c r="U500" s="631"/>
      <c r="V500" s="631"/>
      <c r="W500" s="631"/>
      <c r="X500" s="631"/>
      <c r="Y500" s="631"/>
    </row>
    <row r="501">
      <c r="A501" s="631"/>
      <c r="B501" s="631"/>
      <c r="C501" s="631"/>
      <c r="D501" s="631"/>
      <c r="E501" s="441"/>
      <c r="F501" s="631"/>
      <c r="G501" s="631"/>
      <c r="H501" s="631"/>
      <c r="I501" s="631"/>
      <c r="J501" s="631"/>
      <c r="K501" s="631"/>
      <c r="L501" s="631"/>
      <c r="M501" s="631"/>
      <c r="N501" s="631"/>
      <c r="O501" s="631"/>
      <c r="P501" s="631"/>
      <c r="Q501" s="631"/>
      <c r="R501" s="631"/>
      <c r="S501" s="631"/>
      <c r="T501" s="631"/>
      <c r="U501" s="631"/>
      <c r="V501" s="631"/>
      <c r="W501" s="631"/>
      <c r="X501" s="631"/>
      <c r="Y501" s="631"/>
    </row>
    <row r="502">
      <c r="A502" s="631"/>
      <c r="B502" s="631"/>
      <c r="C502" s="631"/>
      <c r="D502" s="631"/>
      <c r="E502" s="441"/>
      <c r="F502" s="631"/>
      <c r="G502" s="631"/>
      <c r="H502" s="631"/>
      <c r="I502" s="631"/>
      <c r="J502" s="631"/>
      <c r="K502" s="631"/>
      <c r="L502" s="631"/>
      <c r="M502" s="631"/>
      <c r="N502" s="631"/>
      <c r="O502" s="631"/>
      <c r="P502" s="631"/>
      <c r="Q502" s="631"/>
      <c r="R502" s="631"/>
      <c r="S502" s="631"/>
      <c r="T502" s="631"/>
      <c r="U502" s="631"/>
      <c r="V502" s="631"/>
      <c r="W502" s="631"/>
      <c r="X502" s="631"/>
      <c r="Y502" s="631"/>
    </row>
    <row r="503">
      <c r="A503" s="631"/>
      <c r="B503" s="631"/>
      <c r="C503" s="631"/>
      <c r="D503" s="631"/>
      <c r="E503" s="441"/>
      <c r="F503" s="631"/>
      <c r="G503" s="631"/>
      <c r="H503" s="631"/>
      <c r="I503" s="631"/>
      <c r="J503" s="631"/>
      <c r="K503" s="631"/>
      <c r="L503" s="631"/>
      <c r="M503" s="631"/>
      <c r="N503" s="631"/>
      <c r="O503" s="631"/>
      <c r="P503" s="631"/>
      <c r="Q503" s="631"/>
      <c r="R503" s="631"/>
      <c r="S503" s="631"/>
      <c r="T503" s="631"/>
      <c r="U503" s="631"/>
      <c r="V503" s="631"/>
      <c r="W503" s="631"/>
      <c r="X503" s="631"/>
      <c r="Y503" s="631"/>
    </row>
    <row r="504">
      <c r="A504" s="631"/>
      <c r="B504" s="631"/>
      <c r="C504" s="631"/>
      <c r="D504" s="631"/>
      <c r="E504" s="441"/>
      <c r="F504" s="631"/>
      <c r="G504" s="631"/>
      <c r="H504" s="631"/>
      <c r="I504" s="631"/>
      <c r="J504" s="631"/>
      <c r="K504" s="631"/>
      <c r="L504" s="631"/>
      <c r="M504" s="631"/>
      <c r="N504" s="631"/>
      <c r="O504" s="631"/>
      <c r="P504" s="631"/>
      <c r="Q504" s="631"/>
      <c r="R504" s="631"/>
      <c r="S504" s="631"/>
      <c r="T504" s="631"/>
      <c r="U504" s="631"/>
      <c r="V504" s="631"/>
      <c r="W504" s="631"/>
      <c r="X504" s="631"/>
      <c r="Y504" s="631"/>
    </row>
    <row r="505">
      <c r="A505" s="631"/>
      <c r="B505" s="631"/>
      <c r="C505" s="631"/>
      <c r="D505" s="631"/>
      <c r="E505" s="441"/>
      <c r="F505" s="631"/>
      <c r="G505" s="631"/>
      <c r="H505" s="631"/>
      <c r="I505" s="631"/>
      <c r="J505" s="631"/>
      <c r="K505" s="631"/>
      <c r="L505" s="631"/>
      <c r="M505" s="631"/>
      <c r="N505" s="631"/>
      <c r="O505" s="631"/>
      <c r="P505" s="631"/>
      <c r="Q505" s="631"/>
      <c r="R505" s="631"/>
      <c r="S505" s="631"/>
      <c r="T505" s="631"/>
      <c r="U505" s="631"/>
      <c r="V505" s="631"/>
      <c r="W505" s="631"/>
      <c r="X505" s="631"/>
      <c r="Y505" s="631"/>
    </row>
    <row r="506">
      <c r="A506" s="631"/>
      <c r="B506" s="631"/>
      <c r="C506" s="631"/>
      <c r="D506" s="631"/>
      <c r="E506" s="441"/>
      <c r="F506" s="631"/>
      <c r="G506" s="631"/>
      <c r="H506" s="631"/>
      <c r="I506" s="631"/>
      <c r="J506" s="631"/>
      <c r="K506" s="631"/>
      <c r="L506" s="631"/>
      <c r="M506" s="631"/>
      <c r="N506" s="631"/>
      <c r="O506" s="631"/>
      <c r="P506" s="631"/>
      <c r="Q506" s="631"/>
      <c r="R506" s="631"/>
      <c r="S506" s="631"/>
      <c r="T506" s="631"/>
      <c r="U506" s="631"/>
      <c r="V506" s="631"/>
      <c r="W506" s="631"/>
      <c r="X506" s="631"/>
      <c r="Y506" s="631"/>
    </row>
    <row r="507">
      <c r="A507" s="631"/>
      <c r="B507" s="631"/>
      <c r="C507" s="631"/>
      <c r="D507" s="631"/>
      <c r="E507" s="441"/>
      <c r="F507" s="631"/>
      <c r="G507" s="631"/>
      <c r="H507" s="631"/>
      <c r="I507" s="631"/>
      <c r="J507" s="631"/>
      <c r="K507" s="631"/>
      <c r="L507" s="631"/>
      <c r="M507" s="631"/>
      <c r="N507" s="631"/>
      <c r="O507" s="631"/>
      <c r="P507" s="631"/>
      <c r="Q507" s="631"/>
      <c r="R507" s="631"/>
      <c r="S507" s="631"/>
      <c r="T507" s="631"/>
      <c r="U507" s="631"/>
      <c r="V507" s="631"/>
      <c r="W507" s="631"/>
      <c r="X507" s="631"/>
      <c r="Y507" s="631"/>
    </row>
    <row r="508">
      <c r="A508" s="631"/>
      <c r="B508" s="631"/>
      <c r="C508" s="631"/>
      <c r="D508" s="631"/>
      <c r="E508" s="441"/>
      <c r="F508" s="631"/>
      <c r="G508" s="631"/>
      <c r="H508" s="631"/>
      <c r="I508" s="631"/>
      <c r="J508" s="631"/>
      <c r="K508" s="631"/>
      <c r="L508" s="631"/>
      <c r="M508" s="631"/>
      <c r="N508" s="631"/>
      <c r="O508" s="631"/>
      <c r="P508" s="631"/>
      <c r="Q508" s="631"/>
      <c r="R508" s="631"/>
      <c r="S508" s="631"/>
      <c r="T508" s="631"/>
      <c r="U508" s="631"/>
      <c r="V508" s="631"/>
      <c r="W508" s="631"/>
      <c r="X508" s="631"/>
      <c r="Y508" s="631"/>
    </row>
    <row r="509">
      <c r="A509" s="631"/>
      <c r="B509" s="631"/>
      <c r="C509" s="631"/>
      <c r="D509" s="631"/>
      <c r="E509" s="441"/>
      <c r="F509" s="631"/>
      <c r="G509" s="631"/>
      <c r="H509" s="631"/>
      <c r="I509" s="631"/>
      <c r="J509" s="631"/>
      <c r="K509" s="631"/>
      <c r="L509" s="631"/>
      <c r="M509" s="631"/>
      <c r="N509" s="631"/>
      <c r="O509" s="631"/>
      <c r="P509" s="631"/>
      <c r="Q509" s="631"/>
      <c r="R509" s="631"/>
      <c r="S509" s="631"/>
      <c r="T509" s="631"/>
      <c r="U509" s="631"/>
      <c r="V509" s="631"/>
      <c r="W509" s="631"/>
      <c r="X509" s="631"/>
      <c r="Y509" s="631"/>
    </row>
    <row r="510">
      <c r="A510" s="631"/>
      <c r="B510" s="631"/>
      <c r="C510" s="631"/>
      <c r="D510" s="631"/>
      <c r="E510" s="441"/>
      <c r="F510" s="631"/>
      <c r="G510" s="631"/>
      <c r="H510" s="631"/>
      <c r="I510" s="631"/>
      <c r="J510" s="631"/>
      <c r="K510" s="631"/>
      <c r="L510" s="631"/>
      <c r="M510" s="631"/>
      <c r="N510" s="631"/>
      <c r="O510" s="631"/>
      <c r="P510" s="631"/>
      <c r="Q510" s="631"/>
      <c r="R510" s="631"/>
      <c r="S510" s="631"/>
      <c r="T510" s="631"/>
      <c r="U510" s="631"/>
      <c r="V510" s="631"/>
      <c r="W510" s="631"/>
      <c r="X510" s="631"/>
      <c r="Y510" s="631"/>
    </row>
    <row r="511">
      <c r="A511" s="631"/>
      <c r="B511" s="631"/>
      <c r="C511" s="631"/>
      <c r="D511" s="631"/>
      <c r="E511" s="441"/>
      <c r="F511" s="631"/>
      <c r="G511" s="631"/>
      <c r="H511" s="631"/>
      <c r="I511" s="631"/>
      <c r="J511" s="631"/>
      <c r="K511" s="631"/>
      <c r="L511" s="631"/>
      <c r="M511" s="631"/>
      <c r="N511" s="631"/>
      <c r="O511" s="631"/>
      <c r="P511" s="631"/>
      <c r="Q511" s="631"/>
      <c r="R511" s="631"/>
      <c r="S511" s="631"/>
      <c r="T511" s="631"/>
      <c r="U511" s="631"/>
      <c r="V511" s="631"/>
      <c r="W511" s="631"/>
      <c r="X511" s="631"/>
      <c r="Y511" s="631"/>
    </row>
    <row r="512">
      <c r="A512" s="631"/>
      <c r="B512" s="631"/>
      <c r="C512" s="631"/>
      <c r="D512" s="631"/>
      <c r="E512" s="441"/>
      <c r="F512" s="631"/>
      <c r="G512" s="631"/>
      <c r="H512" s="631"/>
      <c r="I512" s="631"/>
      <c r="J512" s="631"/>
      <c r="K512" s="631"/>
      <c r="L512" s="631"/>
      <c r="M512" s="631"/>
      <c r="N512" s="631"/>
      <c r="O512" s="631"/>
      <c r="P512" s="631"/>
      <c r="Q512" s="631"/>
      <c r="R512" s="631"/>
      <c r="S512" s="631"/>
      <c r="T512" s="631"/>
      <c r="U512" s="631"/>
      <c r="V512" s="631"/>
      <c r="W512" s="631"/>
      <c r="X512" s="631"/>
      <c r="Y512" s="631"/>
    </row>
    <row r="513">
      <c r="A513" s="631"/>
      <c r="B513" s="631"/>
      <c r="C513" s="631"/>
      <c r="D513" s="631"/>
      <c r="E513" s="441"/>
      <c r="F513" s="631"/>
      <c r="G513" s="631"/>
      <c r="H513" s="631"/>
      <c r="I513" s="631"/>
      <c r="J513" s="631"/>
      <c r="K513" s="631"/>
      <c r="L513" s="631"/>
      <c r="M513" s="631"/>
      <c r="N513" s="631"/>
      <c r="O513" s="631"/>
      <c r="P513" s="631"/>
      <c r="Q513" s="631"/>
      <c r="R513" s="631"/>
      <c r="S513" s="631"/>
      <c r="T513" s="631"/>
      <c r="U513" s="631"/>
      <c r="V513" s="631"/>
      <c r="W513" s="631"/>
      <c r="X513" s="631"/>
      <c r="Y513" s="631"/>
    </row>
    <row r="514">
      <c r="A514" s="631"/>
      <c r="B514" s="631"/>
      <c r="C514" s="631"/>
      <c r="D514" s="631"/>
      <c r="E514" s="441"/>
      <c r="F514" s="631"/>
      <c r="G514" s="631"/>
      <c r="H514" s="631"/>
      <c r="I514" s="631"/>
      <c r="J514" s="631"/>
      <c r="K514" s="631"/>
      <c r="L514" s="631"/>
      <c r="M514" s="631"/>
      <c r="N514" s="631"/>
      <c r="O514" s="631"/>
      <c r="P514" s="631"/>
      <c r="Q514" s="631"/>
      <c r="R514" s="631"/>
      <c r="S514" s="631"/>
      <c r="T514" s="631"/>
      <c r="U514" s="631"/>
      <c r="V514" s="631"/>
      <c r="W514" s="631"/>
      <c r="X514" s="631"/>
      <c r="Y514" s="631"/>
    </row>
    <row r="515">
      <c r="A515" s="631"/>
      <c r="B515" s="631"/>
      <c r="C515" s="631"/>
      <c r="D515" s="631"/>
      <c r="E515" s="441"/>
      <c r="F515" s="631"/>
      <c r="G515" s="631"/>
      <c r="H515" s="631"/>
      <c r="I515" s="631"/>
      <c r="J515" s="631"/>
      <c r="K515" s="631"/>
      <c r="L515" s="631"/>
      <c r="M515" s="631"/>
      <c r="N515" s="631"/>
      <c r="O515" s="631"/>
      <c r="P515" s="631"/>
      <c r="Q515" s="631"/>
      <c r="R515" s="631"/>
      <c r="S515" s="631"/>
      <c r="T515" s="631"/>
      <c r="U515" s="631"/>
      <c r="V515" s="631"/>
      <c r="W515" s="631"/>
      <c r="X515" s="631"/>
      <c r="Y515" s="631"/>
    </row>
    <row r="516">
      <c r="A516" s="631"/>
      <c r="B516" s="631"/>
      <c r="C516" s="631"/>
      <c r="D516" s="631"/>
      <c r="E516" s="441"/>
      <c r="F516" s="631"/>
      <c r="G516" s="631"/>
      <c r="H516" s="631"/>
      <c r="I516" s="631"/>
      <c r="J516" s="631"/>
      <c r="K516" s="631"/>
      <c r="L516" s="631"/>
      <c r="M516" s="631"/>
      <c r="N516" s="631"/>
      <c r="O516" s="631"/>
      <c r="P516" s="631"/>
      <c r="Q516" s="631"/>
      <c r="R516" s="631"/>
      <c r="S516" s="631"/>
      <c r="T516" s="631"/>
      <c r="U516" s="631"/>
      <c r="V516" s="631"/>
      <c r="W516" s="631"/>
      <c r="X516" s="631"/>
      <c r="Y516" s="631"/>
    </row>
    <row r="517">
      <c r="A517" s="631"/>
      <c r="B517" s="631"/>
      <c r="C517" s="631"/>
      <c r="D517" s="631"/>
      <c r="E517" s="441"/>
      <c r="F517" s="631"/>
      <c r="G517" s="631"/>
      <c r="H517" s="631"/>
      <c r="I517" s="631"/>
      <c r="J517" s="631"/>
      <c r="K517" s="631"/>
      <c r="L517" s="631"/>
      <c r="M517" s="631"/>
      <c r="N517" s="631"/>
      <c r="O517" s="631"/>
      <c r="P517" s="631"/>
      <c r="Q517" s="631"/>
      <c r="R517" s="631"/>
      <c r="S517" s="631"/>
      <c r="T517" s="631"/>
      <c r="U517" s="631"/>
      <c r="V517" s="631"/>
      <c r="W517" s="631"/>
      <c r="X517" s="631"/>
      <c r="Y517" s="631"/>
    </row>
    <row r="518">
      <c r="A518" s="631"/>
      <c r="B518" s="631"/>
      <c r="C518" s="631"/>
      <c r="D518" s="631"/>
      <c r="E518" s="441"/>
      <c r="F518" s="631"/>
      <c r="G518" s="631"/>
      <c r="H518" s="631"/>
      <c r="I518" s="631"/>
      <c r="J518" s="631"/>
      <c r="K518" s="631"/>
      <c r="L518" s="631"/>
      <c r="M518" s="631"/>
      <c r="N518" s="631"/>
      <c r="O518" s="631"/>
      <c r="P518" s="631"/>
      <c r="Q518" s="631"/>
      <c r="R518" s="631"/>
      <c r="S518" s="631"/>
      <c r="T518" s="631"/>
      <c r="U518" s="631"/>
      <c r="V518" s="631"/>
      <c r="W518" s="631"/>
      <c r="X518" s="631"/>
      <c r="Y518" s="631"/>
    </row>
    <row r="519">
      <c r="A519" s="631"/>
      <c r="B519" s="631"/>
      <c r="C519" s="631"/>
      <c r="D519" s="631"/>
      <c r="E519" s="441"/>
      <c r="F519" s="631"/>
      <c r="G519" s="631"/>
      <c r="H519" s="631"/>
      <c r="I519" s="631"/>
      <c r="J519" s="631"/>
      <c r="K519" s="631"/>
      <c r="L519" s="631"/>
      <c r="M519" s="631"/>
      <c r="N519" s="631"/>
      <c r="O519" s="631"/>
      <c r="P519" s="631"/>
      <c r="Q519" s="631"/>
      <c r="R519" s="631"/>
      <c r="S519" s="631"/>
      <c r="T519" s="631"/>
      <c r="U519" s="631"/>
      <c r="V519" s="631"/>
      <c r="W519" s="631"/>
      <c r="X519" s="631"/>
      <c r="Y519" s="631"/>
    </row>
    <row r="520">
      <c r="A520" s="631"/>
      <c r="B520" s="631"/>
      <c r="C520" s="631"/>
      <c r="D520" s="631"/>
      <c r="E520" s="441"/>
      <c r="F520" s="631"/>
      <c r="G520" s="631"/>
      <c r="H520" s="631"/>
      <c r="I520" s="631"/>
      <c r="J520" s="631"/>
      <c r="K520" s="631"/>
      <c r="L520" s="631"/>
      <c r="M520" s="631"/>
      <c r="N520" s="631"/>
      <c r="O520" s="631"/>
      <c r="P520" s="631"/>
      <c r="Q520" s="631"/>
      <c r="R520" s="631"/>
      <c r="S520" s="631"/>
      <c r="T520" s="631"/>
      <c r="U520" s="631"/>
      <c r="V520" s="631"/>
      <c r="W520" s="631"/>
      <c r="X520" s="631"/>
      <c r="Y520" s="631"/>
    </row>
    <row r="521">
      <c r="A521" s="631"/>
      <c r="B521" s="631"/>
      <c r="C521" s="631"/>
      <c r="D521" s="631"/>
      <c r="E521" s="441"/>
      <c r="F521" s="631"/>
      <c r="G521" s="631"/>
      <c r="H521" s="631"/>
      <c r="I521" s="631"/>
      <c r="J521" s="631"/>
      <c r="K521" s="631"/>
      <c r="L521" s="631"/>
      <c r="M521" s="631"/>
      <c r="N521" s="631"/>
      <c r="O521" s="631"/>
      <c r="P521" s="631"/>
      <c r="Q521" s="631"/>
      <c r="R521" s="631"/>
      <c r="S521" s="631"/>
      <c r="T521" s="631"/>
      <c r="U521" s="631"/>
      <c r="V521" s="631"/>
      <c r="W521" s="631"/>
      <c r="X521" s="631"/>
      <c r="Y521" s="631"/>
    </row>
    <row r="522">
      <c r="A522" s="631"/>
      <c r="B522" s="631"/>
      <c r="C522" s="631"/>
      <c r="D522" s="631"/>
      <c r="E522" s="441"/>
      <c r="F522" s="631"/>
      <c r="G522" s="631"/>
      <c r="H522" s="631"/>
      <c r="I522" s="631"/>
      <c r="J522" s="631"/>
      <c r="K522" s="631"/>
      <c r="L522" s="631"/>
      <c r="M522" s="631"/>
      <c r="N522" s="631"/>
      <c r="O522" s="631"/>
      <c r="P522" s="631"/>
      <c r="Q522" s="631"/>
      <c r="R522" s="631"/>
      <c r="S522" s="631"/>
      <c r="T522" s="631"/>
      <c r="U522" s="631"/>
      <c r="V522" s="631"/>
      <c r="W522" s="631"/>
      <c r="X522" s="631"/>
      <c r="Y522" s="631"/>
    </row>
    <row r="523">
      <c r="A523" s="631"/>
      <c r="B523" s="631"/>
      <c r="C523" s="631"/>
      <c r="D523" s="631"/>
      <c r="E523" s="441"/>
      <c r="F523" s="631"/>
      <c r="G523" s="631"/>
      <c r="H523" s="631"/>
      <c r="I523" s="631"/>
      <c r="J523" s="631"/>
      <c r="K523" s="631"/>
      <c r="L523" s="631"/>
      <c r="M523" s="631"/>
      <c r="N523" s="631"/>
      <c r="O523" s="631"/>
      <c r="P523" s="631"/>
      <c r="Q523" s="631"/>
      <c r="R523" s="631"/>
      <c r="S523" s="631"/>
      <c r="T523" s="631"/>
      <c r="U523" s="631"/>
      <c r="V523" s="631"/>
      <c r="W523" s="631"/>
      <c r="X523" s="631"/>
      <c r="Y523" s="631"/>
    </row>
    <row r="524">
      <c r="A524" s="631"/>
      <c r="B524" s="631"/>
      <c r="C524" s="631"/>
      <c r="D524" s="631"/>
      <c r="E524" s="441"/>
      <c r="F524" s="631"/>
      <c r="G524" s="631"/>
      <c r="H524" s="631"/>
      <c r="I524" s="631"/>
      <c r="J524" s="631"/>
      <c r="K524" s="631"/>
      <c r="L524" s="631"/>
      <c r="M524" s="631"/>
      <c r="N524" s="631"/>
      <c r="O524" s="631"/>
      <c r="P524" s="631"/>
      <c r="Q524" s="631"/>
      <c r="R524" s="631"/>
      <c r="S524" s="631"/>
      <c r="T524" s="631"/>
      <c r="U524" s="631"/>
      <c r="V524" s="631"/>
      <c r="W524" s="631"/>
      <c r="X524" s="631"/>
      <c r="Y524" s="631"/>
    </row>
    <row r="525">
      <c r="A525" s="631"/>
      <c r="B525" s="631"/>
      <c r="C525" s="631"/>
      <c r="D525" s="631"/>
      <c r="E525" s="441"/>
      <c r="F525" s="631"/>
      <c r="G525" s="631"/>
      <c r="H525" s="631"/>
      <c r="I525" s="631"/>
      <c r="J525" s="631"/>
      <c r="K525" s="631"/>
      <c r="L525" s="631"/>
      <c r="M525" s="631"/>
      <c r="N525" s="631"/>
      <c r="O525" s="631"/>
      <c r="P525" s="631"/>
      <c r="Q525" s="631"/>
      <c r="R525" s="631"/>
      <c r="S525" s="631"/>
      <c r="T525" s="631"/>
      <c r="U525" s="631"/>
      <c r="V525" s="631"/>
      <c r="W525" s="631"/>
      <c r="X525" s="631"/>
      <c r="Y525" s="631"/>
    </row>
    <row r="526">
      <c r="A526" s="631"/>
      <c r="B526" s="631"/>
      <c r="C526" s="631"/>
      <c r="D526" s="631"/>
      <c r="E526" s="441"/>
      <c r="F526" s="631"/>
      <c r="G526" s="631"/>
      <c r="H526" s="631"/>
      <c r="I526" s="631"/>
      <c r="J526" s="631"/>
      <c r="K526" s="631"/>
      <c r="L526" s="631"/>
      <c r="M526" s="631"/>
      <c r="N526" s="631"/>
      <c r="O526" s="631"/>
      <c r="P526" s="631"/>
      <c r="Q526" s="631"/>
      <c r="R526" s="631"/>
      <c r="S526" s="631"/>
      <c r="T526" s="631"/>
      <c r="U526" s="631"/>
      <c r="V526" s="631"/>
      <c r="W526" s="631"/>
      <c r="X526" s="631"/>
      <c r="Y526" s="631"/>
    </row>
    <row r="527">
      <c r="A527" s="631"/>
      <c r="B527" s="631"/>
      <c r="C527" s="631"/>
      <c r="D527" s="631"/>
      <c r="E527" s="441"/>
      <c r="F527" s="631"/>
      <c r="G527" s="631"/>
      <c r="H527" s="631"/>
      <c r="I527" s="631"/>
      <c r="J527" s="631"/>
      <c r="K527" s="631"/>
      <c r="L527" s="631"/>
      <c r="M527" s="631"/>
      <c r="N527" s="631"/>
      <c r="O527" s="631"/>
      <c r="P527" s="631"/>
      <c r="Q527" s="631"/>
      <c r="R527" s="631"/>
      <c r="S527" s="631"/>
      <c r="T527" s="631"/>
      <c r="U527" s="631"/>
      <c r="V527" s="631"/>
      <c r="W527" s="631"/>
      <c r="X527" s="631"/>
      <c r="Y527" s="631"/>
    </row>
    <row r="528">
      <c r="A528" s="631"/>
      <c r="B528" s="631"/>
      <c r="C528" s="631"/>
      <c r="D528" s="631"/>
      <c r="E528" s="441"/>
      <c r="F528" s="631"/>
      <c r="G528" s="631"/>
      <c r="H528" s="631"/>
      <c r="I528" s="631"/>
      <c r="J528" s="631"/>
      <c r="K528" s="631"/>
      <c r="L528" s="631"/>
      <c r="M528" s="631"/>
      <c r="N528" s="631"/>
      <c r="O528" s="631"/>
      <c r="P528" s="631"/>
      <c r="Q528" s="631"/>
      <c r="R528" s="631"/>
      <c r="S528" s="631"/>
      <c r="T528" s="631"/>
      <c r="U528" s="631"/>
      <c r="V528" s="631"/>
      <c r="W528" s="631"/>
      <c r="X528" s="631"/>
      <c r="Y528" s="631"/>
    </row>
    <row r="529">
      <c r="A529" s="631"/>
      <c r="B529" s="631"/>
      <c r="C529" s="631"/>
      <c r="D529" s="631"/>
      <c r="E529" s="441"/>
      <c r="F529" s="631"/>
      <c r="G529" s="631"/>
      <c r="H529" s="631"/>
      <c r="I529" s="631"/>
      <c r="J529" s="631"/>
      <c r="K529" s="631"/>
      <c r="L529" s="631"/>
      <c r="M529" s="631"/>
      <c r="N529" s="631"/>
      <c r="O529" s="631"/>
      <c r="P529" s="631"/>
      <c r="Q529" s="631"/>
      <c r="R529" s="631"/>
      <c r="S529" s="631"/>
      <c r="T529" s="631"/>
      <c r="U529" s="631"/>
      <c r="V529" s="631"/>
      <c r="W529" s="631"/>
      <c r="X529" s="631"/>
      <c r="Y529" s="631"/>
    </row>
    <row r="530">
      <c r="A530" s="631"/>
      <c r="B530" s="631"/>
      <c r="C530" s="631"/>
      <c r="D530" s="631"/>
      <c r="E530" s="441"/>
      <c r="F530" s="631"/>
      <c r="G530" s="631"/>
      <c r="H530" s="631"/>
      <c r="I530" s="631"/>
      <c r="J530" s="631"/>
      <c r="K530" s="631"/>
      <c r="L530" s="631"/>
      <c r="M530" s="631"/>
      <c r="N530" s="631"/>
      <c r="O530" s="631"/>
      <c r="P530" s="631"/>
      <c r="Q530" s="631"/>
      <c r="R530" s="631"/>
      <c r="S530" s="631"/>
      <c r="T530" s="631"/>
      <c r="U530" s="631"/>
      <c r="V530" s="631"/>
      <c r="W530" s="631"/>
      <c r="X530" s="631"/>
      <c r="Y530" s="631"/>
    </row>
    <row r="531">
      <c r="A531" s="631"/>
      <c r="B531" s="631"/>
      <c r="C531" s="631"/>
      <c r="D531" s="631"/>
      <c r="E531" s="441"/>
      <c r="F531" s="631"/>
      <c r="G531" s="631"/>
      <c r="H531" s="631"/>
      <c r="I531" s="631"/>
      <c r="J531" s="631"/>
      <c r="K531" s="631"/>
      <c r="L531" s="631"/>
      <c r="M531" s="631"/>
      <c r="N531" s="631"/>
      <c r="O531" s="631"/>
      <c r="P531" s="631"/>
      <c r="Q531" s="631"/>
      <c r="R531" s="631"/>
      <c r="S531" s="631"/>
      <c r="T531" s="631"/>
      <c r="U531" s="631"/>
      <c r="V531" s="631"/>
      <c r="W531" s="631"/>
      <c r="X531" s="631"/>
      <c r="Y531" s="631"/>
    </row>
    <row r="532">
      <c r="A532" s="631"/>
      <c r="B532" s="631"/>
      <c r="C532" s="631"/>
      <c r="D532" s="631"/>
      <c r="E532" s="441"/>
      <c r="F532" s="631"/>
      <c r="G532" s="631"/>
      <c r="H532" s="631"/>
      <c r="I532" s="631"/>
      <c r="J532" s="631"/>
      <c r="K532" s="631"/>
      <c r="L532" s="631"/>
      <c r="M532" s="631"/>
      <c r="N532" s="631"/>
      <c r="O532" s="631"/>
      <c r="P532" s="631"/>
      <c r="Q532" s="631"/>
      <c r="R532" s="631"/>
      <c r="S532" s="631"/>
      <c r="T532" s="631"/>
      <c r="U532" s="631"/>
      <c r="V532" s="631"/>
      <c r="W532" s="631"/>
      <c r="X532" s="631"/>
      <c r="Y532" s="631"/>
    </row>
    <row r="533">
      <c r="A533" s="631"/>
      <c r="B533" s="631"/>
      <c r="C533" s="631"/>
      <c r="D533" s="631"/>
      <c r="E533" s="441"/>
      <c r="F533" s="631"/>
      <c r="G533" s="631"/>
      <c r="H533" s="631"/>
      <c r="I533" s="631"/>
      <c r="J533" s="631"/>
      <c r="K533" s="631"/>
      <c r="L533" s="631"/>
      <c r="M533" s="631"/>
      <c r="N533" s="631"/>
      <c r="O533" s="631"/>
      <c r="P533" s="631"/>
      <c r="Q533" s="631"/>
      <c r="R533" s="631"/>
      <c r="S533" s="631"/>
      <c r="T533" s="631"/>
      <c r="U533" s="631"/>
      <c r="V533" s="631"/>
      <c r="W533" s="631"/>
      <c r="X533" s="631"/>
      <c r="Y533" s="631"/>
    </row>
    <row r="534">
      <c r="A534" s="631"/>
      <c r="B534" s="631"/>
      <c r="C534" s="631"/>
      <c r="D534" s="631"/>
      <c r="E534" s="441"/>
      <c r="F534" s="631"/>
      <c r="G534" s="631"/>
      <c r="H534" s="631"/>
      <c r="I534" s="631"/>
      <c r="J534" s="631"/>
      <c r="K534" s="631"/>
      <c r="L534" s="631"/>
      <c r="M534" s="631"/>
      <c r="N534" s="631"/>
      <c r="O534" s="631"/>
      <c r="P534" s="631"/>
      <c r="Q534" s="631"/>
      <c r="R534" s="631"/>
      <c r="S534" s="631"/>
      <c r="T534" s="631"/>
      <c r="U534" s="631"/>
      <c r="V534" s="631"/>
      <c r="W534" s="631"/>
      <c r="X534" s="631"/>
      <c r="Y534" s="631"/>
    </row>
    <row r="535">
      <c r="A535" s="631"/>
      <c r="B535" s="631"/>
      <c r="C535" s="631"/>
      <c r="D535" s="631"/>
      <c r="E535" s="441"/>
      <c r="F535" s="631"/>
      <c r="G535" s="631"/>
      <c r="H535" s="631"/>
      <c r="I535" s="631"/>
      <c r="J535" s="631"/>
      <c r="K535" s="631"/>
      <c r="L535" s="631"/>
      <c r="M535" s="631"/>
      <c r="N535" s="631"/>
      <c r="O535" s="631"/>
      <c r="P535" s="631"/>
      <c r="Q535" s="631"/>
      <c r="R535" s="631"/>
      <c r="S535" s="631"/>
      <c r="T535" s="631"/>
      <c r="U535" s="631"/>
      <c r="V535" s="631"/>
      <c r="W535" s="631"/>
      <c r="X535" s="631"/>
      <c r="Y535" s="631"/>
    </row>
    <row r="536">
      <c r="A536" s="631"/>
      <c r="B536" s="631"/>
      <c r="C536" s="631"/>
      <c r="D536" s="631"/>
      <c r="E536" s="441"/>
      <c r="F536" s="631"/>
      <c r="G536" s="631"/>
      <c r="H536" s="631"/>
      <c r="I536" s="631"/>
      <c r="J536" s="631"/>
      <c r="K536" s="631"/>
      <c r="L536" s="631"/>
      <c r="M536" s="631"/>
      <c r="N536" s="631"/>
      <c r="O536" s="631"/>
      <c r="P536" s="631"/>
      <c r="Q536" s="631"/>
      <c r="R536" s="631"/>
      <c r="S536" s="631"/>
      <c r="T536" s="631"/>
      <c r="U536" s="631"/>
      <c r="V536" s="631"/>
      <c r="W536" s="631"/>
      <c r="X536" s="631"/>
      <c r="Y536" s="631"/>
    </row>
    <row r="537">
      <c r="A537" s="631"/>
      <c r="B537" s="631"/>
      <c r="C537" s="631"/>
      <c r="D537" s="631"/>
      <c r="E537" s="441"/>
      <c r="F537" s="631"/>
      <c r="G537" s="631"/>
      <c r="H537" s="631"/>
      <c r="I537" s="631"/>
      <c r="J537" s="631"/>
      <c r="K537" s="631"/>
      <c r="L537" s="631"/>
      <c r="M537" s="631"/>
      <c r="N537" s="631"/>
      <c r="O537" s="631"/>
      <c r="P537" s="631"/>
      <c r="Q537" s="631"/>
      <c r="R537" s="631"/>
      <c r="S537" s="631"/>
      <c r="T537" s="631"/>
      <c r="U537" s="631"/>
      <c r="V537" s="631"/>
      <c r="W537" s="631"/>
      <c r="X537" s="631"/>
      <c r="Y537" s="631"/>
    </row>
    <row r="538">
      <c r="A538" s="631"/>
      <c r="B538" s="631"/>
      <c r="C538" s="631"/>
      <c r="D538" s="631"/>
      <c r="E538" s="441"/>
      <c r="F538" s="631"/>
      <c r="G538" s="631"/>
      <c r="H538" s="631"/>
      <c r="I538" s="631"/>
      <c r="J538" s="631"/>
      <c r="K538" s="631"/>
      <c r="L538" s="631"/>
      <c r="M538" s="631"/>
      <c r="N538" s="631"/>
      <c r="O538" s="631"/>
      <c r="P538" s="631"/>
      <c r="Q538" s="631"/>
      <c r="R538" s="631"/>
      <c r="S538" s="631"/>
      <c r="T538" s="631"/>
      <c r="U538" s="631"/>
      <c r="V538" s="631"/>
      <c r="W538" s="631"/>
      <c r="X538" s="631"/>
      <c r="Y538" s="631"/>
    </row>
    <row r="539">
      <c r="A539" s="631"/>
      <c r="B539" s="631"/>
      <c r="C539" s="631"/>
      <c r="D539" s="631"/>
      <c r="E539" s="441"/>
      <c r="F539" s="631"/>
      <c r="G539" s="631"/>
      <c r="H539" s="631"/>
      <c r="I539" s="631"/>
      <c r="J539" s="631"/>
      <c r="K539" s="631"/>
      <c r="L539" s="631"/>
      <c r="M539" s="631"/>
      <c r="N539" s="631"/>
      <c r="O539" s="631"/>
      <c r="P539" s="631"/>
      <c r="Q539" s="631"/>
      <c r="R539" s="631"/>
      <c r="S539" s="631"/>
      <c r="T539" s="631"/>
      <c r="U539" s="631"/>
      <c r="V539" s="631"/>
      <c r="W539" s="631"/>
      <c r="X539" s="631"/>
      <c r="Y539" s="631"/>
    </row>
    <row r="540">
      <c r="A540" s="631"/>
      <c r="B540" s="631"/>
      <c r="C540" s="631"/>
      <c r="D540" s="631"/>
      <c r="E540" s="441"/>
      <c r="F540" s="631"/>
      <c r="G540" s="631"/>
      <c r="H540" s="631"/>
      <c r="I540" s="631"/>
      <c r="J540" s="631"/>
      <c r="K540" s="631"/>
      <c r="L540" s="631"/>
      <c r="M540" s="631"/>
      <c r="N540" s="631"/>
      <c r="O540" s="631"/>
      <c r="P540" s="631"/>
      <c r="Q540" s="631"/>
      <c r="R540" s="631"/>
      <c r="S540" s="631"/>
      <c r="T540" s="631"/>
      <c r="U540" s="631"/>
      <c r="V540" s="631"/>
      <c r="W540" s="631"/>
      <c r="X540" s="631"/>
      <c r="Y540" s="631"/>
    </row>
    <row r="541">
      <c r="A541" s="631"/>
      <c r="B541" s="631"/>
      <c r="C541" s="631"/>
      <c r="D541" s="631"/>
      <c r="E541" s="441"/>
      <c r="F541" s="631"/>
      <c r="G541" s="631"/>
      <c r="H541" s="631"/>
      <c r="I541" s="631"/>
      <c r="J541" s="631"/>
      <c r="K541" s="631"/>
      <c r="L541" s="631"/>
      <c r="M541" s="631"/>
      <c r="N541" s="631"/>
      <c r="O541" s="631"/>
      <c r="P541" s="631"/>
      <c r="Q541" s="631"/>
      <c r="R541" s="631"/>
      <c r="S541" s="631"/>
      <c r="T541" s="631"/>
      <c r="U541" s="631"/>
      <c r="V541" s="631"/>
      <c r="W541" s="631"/>
      <c r="X541" s="631"/>
      <c r="Y541" s="631"/>
    </row>
    <row r="542">
      <c r="A542" s="631"/>
      <c r="B542" s="631"/>
      <c r="C542" s="631"/>
      <c r="D542" s="631"/>
      <c r="E542" s="441"/>
      <c r="F542" s="631"/>
      <c r="G542" s="631"/>
      <c r="H542" s="631"/>
      <c r="I542" s="631"/>
      <c r="J542" s="631"/>
      <c r="K542" s="631"/>
      <c r="L542" s="631"/>
      <c r="M542" s="631"/>
      <c r="N542" s="631"/>
      <c r="O542" s="631"/>
      <c r="P542" s="631"/>
      <c r="Q542" s="631"/>
      <c r="R542" s="631"/>
      <c r="S542" s="631"/>
      <c r="T542" s="631"/>
      <c r="U542" s="631"/>
      <c r="V542" s="631"/>
      <c r="W542" s="631"/>
      <c r="X542" s="631"/>
      <c r="Y542" s="631"/>
    </row>
    <row r="543">
      <c r="A543" s="631"/>
      <c r="B543" s="631"/>
      <c r="C543" s="631"/>
      <c r="D543" s="631"/>
      <c r="E543" s="441"/>
      <c r="F543" s="631"/>
      <c r="G543" s="631"/>
      <c r="H543" s="631"/>
      <c r="I543" s="631"/>
      <c r="J543" s="631"/>
      <c r="K543" s="631"/>
      <c r="L543" s="631"/>
      <c r="M543" s="631"/>
      <c r="N543" s="631"/>
      <c r="O543" s="631"/>
      <c r="P543" s="631"/>
      <c r="Q543" s="631"/>
      <c r="R543" s="631"/>
      <c r="S543" s="631"/>
      <c r="T543" s="631"/>
      <c r="U543" s="631"/>
      <c r="V543" s="631"/>
      <c r="W543" s="631"/>
      <c r="X543" s="631"/>
      <c r="Y543" s="631"/>
    </row>
    <row r="544">
      <c r="A544" s="631"/>
      <c r="B544" s="631"/>
      <c r="C544" s="631"/>
      <c r="D544" s="631"/>
      <c r="E544" s="441"/>
      <c r="F544" s="631"/>
      <c r="G544" s="631"/>
      <c r="H544" s="631"/>
      <c r="I544" s="631"/>
      <c r="J544" s="631"/>
      <c r="K544" s="631"/>
      <c r="L544" s="631"/>
      <c r="M544" s="631"/>
      <c r="N544" s="631"/>
      <c r="O544" s="631"/>
      <c r="P544" s="631"/>
      <c r="Q544" s="631"/>
      <c r="R544" s="631"/>
      <c r="S544" s="631"/>
      <c r="T544" s="631"/>
      <c r="U544" s="631"/>
      <c r="V544" s="631"/>
      <c r="W544" s="631"/>
      <c r="X544" s="631"/>
      <c r="Y544" s="631"/>
    </row>
    <row r="545">
      <c r="A545" s="631"/>
      <c r="B545" s="631"/>
      <c r="C545" s="631"/>
      <c r="D545" s="631"/>
      <c r="E545" s="441"/>
      <c r="F545" s="631"/>
      <c r="G545" s="631"/>
      <c r="H545" s="631"/>
      <c r="I545" s="631"/>
      <c r="J545" s="631"/>
      <c r="K545" s="631"/>
      <c r="L545" s="631"/>
      <c r="M545" s="631"/>
      <c r="N545" s="631"/>
      <c r="O545" s="631"/>
      <c r="P545" s="631"/>
      <c r="Q545" s="631"/>
      <c r="R545" s="631"/>
      <c r="S545" s="631"/>
      <c r="T545" s="631"/>
      <c r="U545" s="631"/>
      <c r="V545" s="631"/>
      <c r="W545" s="631"/>
      <c r="X545" s="631"/>
      <c r="Y545" s="631"/>
    </row>
    <row r="546">
      <c r="A546" s="631"/>
      <c r="B546" s="631"/>
      <c r="C546" s="631"/>
      <c r="D546" s="631"/>
      <c r="E546" s="441"/>
      <c r="F546" s="631"/>
      <c r="G546" s="631"/>
      <c r="H546" s="631"/>
      <c r="I546" s="631"/>
      <c r="J546" s="631"/>
      <c r="K546" s="631"/>
      <c r="L546" s="631"/>
      <c r="M546" s="631"/>
      <c r="N546" s="631"/>
      <c r="O546" s="631"/>
      <c r="P546" s="631"/>
      <c r="Q546" s="631"/>
      <c r="R546" s="631"/>
      <c r="S546" s="631"/>
      <c r="T546" s="631"/>
      <c r="U546" s="631"/>
      <c r="V546" s="631"/>
      <c r="W546" s="631"/>
      <c r="X546" s="631"/>
      <c r="Y546" s="631"/>
    </row>
    <row r="547">
      <c r="A547" s="631"/>
      <c r="B547" s="631"/>
      <c r="C547" s="631"/>
      <c r="D547" s="631"/>
      <c r="E547" s="441"/>
      <c r="F547" s="631"/>
      <c r="G547" s="631"/>
      <c r="H547" s="631"/>
      <c r="I547" s="631"/>
      <c r="J547" s="631"/>
      <c r="K547" s="631"/>
      <c r="L547" s="631"/>
      <c r="M547" s="631"/>
      <c r="N547" s="631"/>
      <c r="O547" s="631"/>
      <c r="P547" s="631"/>
      <c r="Q547" s="631"/>
      <c r="R547" s="631"/>
      <c r="S547" s="631"/>
      <c r="T547" s="631"/>
      <c r="U547" s="631"/>
      <c r="V547" s="631"/>
      <c r="W547" s="631"/>
      <c r="X547" s="631"/>
      <c r="Y547" s="631"/>
    </row>
    <row r="548">
      <c r="A548" s="631"/>
      <c r="B548" s="631"/>
      <c r="C548" s="631"/>
      <c r="D548" s="631"/>
      <c r="E548" s="441"/>
      <c r="F548" s="631"/>
      <c r="G548" s="631"/>
      <c r="H548" s="631"/>
      <c r="I548" s="631"/>
      <c r="J548" s="631"/>
      <c r="K548" s="631"/>
      <c r="L548" s="631"/>
      <c r="M548" s="631"/>
      <c r="N548" s="631"/>
      <c r="O548" s="631"/>
      <c r="P548" s="631"/>
      <c r="Q548" s="631"/>
      <c r="R548" s="631"/>
      <c r="S548" s="631"/>
      <c r="T548" s="631"/>
      <c r="U548" s="631"/>
      <c r="V548" s="631"/>
      <c r="W548" s="631"/>
      <c r="X548" s="631"/>
      <c r="Y548" s="631"/>
    </row>
    <row r="549">
      <c r="A549" s="631"/>
      <c r="B549" s="631"/>
      <c r="C549" s="631"/>
      <c r="D549" s="631"/>
      <c r="E549" s="441"/>
      <c r="F549" s="631"/>
      <c r="G549" s="631"/>
      <c r="H549" s="631"/>
      <c r="I549" s="631"/>
      <c r="J549" s="631"/>
      <c r="K549" s="631"/>
      <c r="L549" s="631"/>
      <c r="M549" s="631"/>
      <c r="N549" s="631"/>
      <c r="O549" s="631"/>
      <c r="P549" s="631"/>
      <c r="Q549" s="631"/>
      <c r="R549" s="631"/>
      <c r="S549" s="631"/>
      <c r="T549" s="631"/>
      <c r="U549" s="631"/>
      <c r="V549" s="631"/>
      <c r="W549" s="631"/>
      <c r="X549" s="631"/>
      <c r="Y549" s="631"/>
    </row>
    <row r="550">
      <c r="A550" s="631"/>
      <c r="B550" s="631"/>
      <c r="C550" s="631"/>
      <c r="D550" s="631"/>
      <c r="E550" s="441"/>
      <c r="F550" s="631"/>
      <c r="G550" s="631"/>
      <c r="H550" s="631"/>
      <c r="I550" s="631"/>
      <c r="J550" s="631"/>
      <c r="K550" s="631"/>
      <c r="L550" s="631"/>
      <c r="M550" s="631"/>
      <c r="N550" s="631"/>
      <c r="O550" s="631"/>
      <c r="P550" s="631"/>
      <c r="Q550" s="631"/>
      <c r="R550" s="631"/>
      <c r="S550" s="631"/>
      <c r="T550" s="631"/>
      <c r="U550" s="631"/>
      <c r="V550" s="631"/>
      <c r="W550" s="631"/>
      <c r="X550" s="631"/>
      <c r="Y550" s="631"/>
    </row>
    <row r="551">
      <c r="A551" s="631"/>
      <c r="B551" s="631"/>
      <c r="C551" s="631"/>
      <c r="D551" s="631"/>
      <c r="E551" s="441"/>
      <c r="F551" s="631"/>
      <c r="G551" s="631"/>
      <c r="H551" s="631"/>
      <c r="I551" s="631"/>
      <c r="J551" s="631"/>
      <c r="K551" s="631"/>
      <c r="L551" s="631"/>
      <c r="M551" s="631"/>
      <c r="N551" s="631"/>
      <c r="O551" s="631"/>
      <c r="P551" s="631"/>
      <c r="Q551" s="631"/>
      <c r="R551" s="631"/>
      <c r="S551" s="631"/>
      <c r="T551" s="631"/>
      <c r="U551" s="631"/>
      <c r="V551" s="631"/>
      <c r="W551" s="631"/>
      <c r="X551" s="631"/>
      <c r="Y551" s="631"/>
    </row>
    <row r="552">
      <c r="A552" s="631"/>
      <c r="B552" s="631"/>
      <c r="C552" s="631"/>
      <c r="D552" s="631"/>
      <c r="E552" s="441"/>
      <c r="F552" s="631"/>
      <c r="G552" s="631"/>
      <c r="H552" s="631"/>
      <c r="I552" s="631"/>
      <c r="J552" s="631"/>
      <c r="K552" s="631"/>
      <c r="L552" s="631"/>
      <c r="M552" s="631"/>
      <c r="N552" s="631"/>
      <c r="O552" s="631"/>
      <c r="P552" s="631"/>
      <c r="Q552" s="631"/>
      <c r="R552" s="631"/>
      <c r="S552" s="631"/>
      <c r="T552" s="631"/>
      <c r="U552" s="631"/>
      <c r="V552" s="631"/>
      <c r="W552" s="631"/>
      <c r="X552" s="631"/>
      <c r="Y552" s="631"/>
    </row>
    <row r="553">
      <c r="A553" s="631"/>
      <c r="B553" s="631"/>
      <c r="C553" s="631"/>
      <c r="D553" s="631"/>
      <c r="E553" s="441"/>
      <c r="F553" s="631"/>
      <c r="G553" s="631"/>
      <c r="H553" s="631"/>
      <c r="I553" s="631"/>
      <c r="J553" s="631"/>
      <c r="K553" s="631"/>
      <c r="L553" s="631"/>
      <c r="M553" s="631"/>
      <c r="N553" s="631"/>
      <c r="O553" s="631"/>
      <c r="P553" s="631"/>
      <c r="Q553" s="631"/>
      <c r="R553" s="631"/>
      <c r="S553" s="631"/>
      <c r="T553" s="631"/>
      <c r="U553" s="631"/>
      <c r="V553" s="631"/>
      <c r="W553" s="631"/>
      <c r="X553" s="631"/>
      <c r="Y553" s="631"/>
    </row>
    <row r="554">
      <c r="A554" s="631"/>
      <c r="B554" s="631"/>
      <c r="C554" s="631"/>
      <c r="D554" s="631"/>
      <c r="E554" s="441"/>
      <c r="F554" s="631"/>
      <c r="G554" s="631"/>
      <c r="H554" s="631"/>
      <c r="I554" s="631"/>
      <c r="J554" s="631"/>
      <c r="K554" s="631"/>
      <c r="L554" s="631"/>
      <c r="M554" s="631"/>
      <c r="N554" s="631"/>
      <c r="O554" s="631"/>
      <c r="P554" s="631"/>
      <c r="Q554" s="631"/>
      <c r="R554" s="631"/>
      <c r="S554" s="631"/>
      <c r="T554" s="631"/>
      <c r="U554" s="631"/>
      <c r="V554" s="631"/>
      <c r="W554" s="631"/>
      <c r="X554" s="631"/>
      <c r="Y554" s="631"/>
    </row>
    <row r="555">
      <c r="A555" s="631"/>
      <c r="B555" s="631"/>
      <c r="C555" s="631"/>
      <c r="D555" s="631"/>
      <c r="E555" s="441"/>
      <c r="F555" s="631"/>
      <c r="G555" s="631"/>
      <c r="H555" s="631"/>
      <c r="I555" s="631"/>
      <c r="J555" s="631"/>
      <c r="K555" s="631"/>
      <c r="L555" s="631"/>
      <c r="M555" s="631"/>
      <c r="N555" s="631"/>
      <c r="O555" s="631"/>
      <c r="P555" s="631"/>
      <c r="Q555" s="631"/>
      <c r="R555" s="631"/>
      <c r="S555" s="631"/>
      <c r="T555" s="631"/>
      <c r="U555" s="631"/>
      <c r="V555" s="631"/>
      <c r="W555" s="631"/>
      <c r="X555" s="631"/>
      <c r="Y555" s="631"/>
    </row>
    <row r="556">
      <c r="A556" s="631"/>
      <c r="B556" s="631"/>
      <c r="C556" s="631"/>
      <c r="D556" s="631"/>
      <c r="E556" s="441"/>
      <c r="F556" s="631"/>
      <c r="G556" s="631"/>
      <c r="H556" s="631"/>
      <c r="I556" s="631"/>
      <c r="J556" s="631"/>
      <c r="K556" s="631"/>
      <c r="L556" s="631"/>
      <c r="M556" s="631"/>
      <c r="N556" s="631"/>
      <c r="O556" s="631"/>
      <c r="P556" s="631"/>
      <c r="Q556" s="631"/>
      <c r="R556" s="631"/>
      <c r="S556" s="631"/>
      <c r="T556" s="631"/>
      <c r="U556" s="631"/>
      <c r="V556" s="631"/>
      <c r="W556" s="631"/>
      <c r="X556" s="631"/>
      <c r="Y556" s="631"/>
    </row>
    <row r="557">
      <c r="A557" s="631"/>
      <c r="B557" s="631"/>
      <c r="C557" s="631"/>
      <c r="D557" s="631"/>
      <c r="E557" s="441"/>
      <c r="F557" s="631"/>
      <c r="G557" s="631"/>
      <c r="H557" s="631"/>
      <c r="I557" s="631"/>
      <c r="J557" s="631"/>
      <c r="K557" s="631"/>
      <c r="L557" s="631"/>
      <c r="M557" s="631"/>
      <c r="N557" s="631"/>
      <c r="O557" s="631"/>
      <c r="P557" s="631"/>
      <c r="Q557" s="631"/>
      <c r="R557" s="631"/>
      <c r="S557" s="631"/>
      <c r="T557" s="631"/>
      <c r="U557" s="631"/>
      <c r="V557" s="631"/>
      <c r="W557" s="631"/>
      <c r="X557" s="631"/>
      <c r="Y557" s="631"/>
    </row>
    <row r="558">
      <c r="A558" s="631"/>
      <c r="B558" s="631"/>
      <c r="C558" s="631"/>
      <c r="D558" s="631"/>
      <c r="E558" s="441"/>
      <c r="F558" s="631"/>
      <c r="G558" s="631"/>
      <c r="H558" s="631"/>
      <c r="I558" s="631"/>
      <c r="J558" s="631"/>
      <c r="K558" s="631"/>
      <c r="L558" s="631"/>
      <c r="M558" s="631"/>
      <c r="N558" s="631"/>
      <c r="O558" s="631"/>
      <c r="P558" s="631"/>
      <c r="Q558" s="631"/>
      <c r="R558" s="631"/>
      <c r="S558" s="631"/>
      <c r="T558" s="631"/>
      <c r="U558" s="631"/>
      <c r="V558" s="631"/>
      <c r="W558" s="631"/>
      <c r="X558" s="631"/>
      <c r="Y558" s="631"/>
    </row>
    <row r="559">
      <c r="A559" s="631"/>
      <c r="B559" s="631"/>
      <c r="C559" s="631"/>
      <c r="D559" s="631"/>
      <c r="E559" s="441"/>
      <c r="F559" s="631"/>
      <c r="G559" s="631"/>
      <c r="H559" s="631"/>
      <c r="I559" s="631"/>
      <c r="J559" s="631"/>
      <c r="K559" s="631"/>
      <c r="L559" s="631"/>
      <c r="M559" s="631"/>
      <c r="N559" s="631"/>
      <c r="O559" s="631"/>
      <c r="P559" s="631"/>
      <c r="Q559" s="631"/>
      <c r="R559" s="631"/>
      <c r="S559" s="631"/>
      <c r="T559" s="631"/>
      <c r="U559" s="631"/>
      <c r="V559" s="631"/>
      <c r="W559" s="631"/>
      <c r="X559" s="631"/>
      <c r="Y559" s="631"/>
    </row>
    <row r="560">
      <c r="A560" s="631"/>
      <c r="B560" s="631"/>
      <c r="C560" s="631"/>
      <c r="D560" s="631"/>
      <c r="E560" s="441"/>
      <c r="F560" s="631"/>
      <c r="G560" s="631"/>
      <c r="H560" s="631"/>
      <c r="I560" s="631"/>
      <c r="J560" s="631"/>
      <c r="K560" s="631"/>
      <c r="L560" s="631"/>
      <c r="M560" s="631"/>
      <c r="N560" s="631"/>
      <c r="O560" s="631"/>
      <c r="P560" s="631"/>
      <c r="Q560" s="631"/>
      <c r="R560" s="631"/>
      <c r="S560" s="631"/>
      <c r="T560" s="631"/>
      <c r="U560" s="631"/>
      <c r="V560" s="631"/>
      <c r="W560" s="631"/>
      <c r="X560" s="631"/>
      <c r="Y560" s="631"/>
    </row>
    <row r="561">
      <c r="A561" s="631"/>
      <c r="B561" s="631"/>
      <c r="C561" s="631"/>
      <c r="D561" s="631"/>
      <c r="E561" s="441"/>
      <c r="F561" s="631"/>
      <c r="G561" s="631"/>
      <c r="H561" s="631"/>
      <c r="I561" s="631"/>
      <c r="J561" s="631"/>
      <c r="K561" s="631"/>
      <c r="L561" s="631"/>
      <c r="M561" s="631"/>
      <c r="N561" s="631"/>
      <c r="O561" s="631"/>
      <c r="P561" s="631"/>
      <c r="Q561" s="631"/>
      <c r="R561" s="631"/>
      <c r="S561" s="631"/>
      <c r="T561" s="631"/>
      <c r="U561" s="631"/>
      <c r="V561" s="631"/>
      <c r="W561" s="631"/>
      <c r="X561" s="631"/>
      <c r="Y561" s="631"/>
    </row>
    <row r="562">
      <c r="A562" s="631"/>
      <c r="B562" s="631"/>
      <c r="C562" s="631"/>
      <c r="D562" s="631"/>
      <c r="E562" s="441"/>
      <c r="F562" s="631"/>
      <c r="G562" s="631"/>
      <c r="H562" s="631"/>
      <c r="I562" s="631"/>
      <c r="J562" s="631"/>
      <c r="K562" s="631"/>
      <c r="L562" s="631"/>
      <c r="M562" s="631"/>
      <c r="N562" s="631"/>
      <c r="O562" s="631"/>
      <c r="P562" s="631"/>
      <c r="Q562" s="631"/>
      <c r="R562" s="631"/>
      <c r="S562" s="631"/>
      <c r="T562" s="631"/>
      <c r="U562" s="631"/>
      <c r="V562" s="631"/>
      <c r="W562" s="631"/>
      <c r="X562" s="631"/>
      <c r="Y562" s="631"/>
    </row>
    <row r="563">
      <c r="A563" s="631"/>
      <c r="B563" s="631"/>
      <c r="C563" s="631"/>
      <c r="D563" s="631"/>
      <c r="E563" s="441"/>
      <c r="F563" s="631"/>
      <c r="G563" s="631"/>
      <c r="H563" s="631"/>
      <c r="I563" s="631"/>
      <c r="J563" s="631"/>
      <c r="K563" s="631"/>
      <c r="L563" s="631"/>
      <c r="M563" s="631"/>
      <c r="N563" s="631"/>
      <c r="O563" s="631"/>
      <c r="P563" s="631"/>
      <c r="Q563" s="631"/>
      <c r="R563" s="631"/>
      <c r="S563" s="631"/>
      <c r="T563" s="631"/>
      <c r="U563" s="631"/>
      <c r="V563" s="631"/>
      <c r="W563" s="631"/>
      <c r="X563" s="631"/>
      <c r="Y563" s="631"/>
    </row>
    <row r="564">
      <c r="A564" s="631"/>
      <c r="B564" s="631"/>
      <c r="C564" s="631"/>
      <c r="D564" s="631"/>
      <c r="E564" s="441"/>
      <c r="F564" s="631"/>
      <c r="G564" s="631"/>
      <c r="H564" s="631"/>
      <c r="I564" s="631"/>
      <c r="J564" s="631"/>
      <c r="K564" s="631"/>
      <c r="L564" s="631"/>
      <c r="M564" s="631"/>
      <c r="N564" s="631"/>
      <c r="O564" s="631"/>
      <c r="P564" s="631"/>
      <c r="Q564" s="631"/>
      <c r="R564" s="631"/>
      <c r="S564" s="631"/>
      <c r="T564" s="631"/>
      <c r="U564" s="631"/>
      <c r="V564" s="631"/>
      <c r="W564" s="631"/>
      <c r="X564" s="631"/>
      <c r="Y564" s="631"/>
    </row>
    <row r="565">
      <c r="A565" s="631"/>
      <c r="B565" s="631"/>
      <c r="C565" s="631"/>
      <c r="D565" s="631"/>
      <c r="E565" s="441"/>
      <c r="F565" s="631"/>
      <c r="G565" s="631"/>
      <c r="H565" s="631"/>
      <c r="I565" s="631"/>
      <c r="J565" s="631"/>
      <c r="K565" s="631"/>
      <c r="L565" s="631"/>
      <c r="M565" s="631"/>
      <c r="N565" s="631"/>
      <c r="O565" s="631"/>
      <c r="P565" s="631"/>
      <c r="Q565" s="631"/>
      <c r="R565" s="631"/>
      <c r="S565" s="631"/>
      <c r="T565" s="631"/>
      <c r="U565" s="631"/>
      <c r="V565" s="631"/>
      <c r="W565" s="631"/>
      <c r="X565" s="631"/>
      <c r="Y565" s="631"/>
    </row>
    <row r="566">
      <c r="A566" s="631"/>
      <c r="B566" s="631"/>
      <c r="C566" s="631"/>
      <c r="D566" s="631"/>
      <c r="E566" s="441"/>
      <c r="F566" s="631"/>
      <c r="G566" s="631"/>
      <c r="H566" s="631"/>
      <c r="I566" s="631"/>
      <c r="J566" s="631"/>
      <c r="K566" s="631"/>
      <c r="L566" s="631"/>
      <c r="M566" s="631"/>
      <c r="N566" s="631"/>
      <c r="O566" s="631"/>
      <c r="P566" s="631"/>
      <c r="Q566" s="631"/>
      <c r="R566" s="631"/>
      <c r="S566" s="631"/>
      <c r="T566" s="631"/>
      <c r="U566" s="631"/>
      <c r="V566" s="631"/>
      <c r="W566" s="631"/>
      <c r="X566" s="631"/>
      <c r="Y566" s="631"/>
    </row>
    <row r="567">
      <c r="A567" s="631"/>
      <c r="B567" s="631"/>
      <c r="C567" s="631"/>
      <c r="D567" s="631"/>
      <c r="E567" s="441"/>
      <c r="F567" s="631"/>
      <c r="G567" s="631"/>
      <c r="H567" s="631"/>
      <c r="I567" s="631"/>
      <c r="J567" s="631"/>
      <c r="K567" s="631"/>
      <c r="L567" s="631"/>
      <c r="M567" s="631"/>
      <c r="N567" s="631"/>
      <c r="O567" s="631"/>
      <c r="P567" s="631"/>
      <c r="Q567" s="631"/>
      <c r="R567" s="631"/>
      <c r="S567" s="631"/>
      <c r="T567" s="631"/>
      <c r="U567" s="631"/>
      <c r="V567" s="631"/>
      <c r="W567" s="631"/>
      <c r="X567" s="631"/>
      <c r="Y567" s="631"/>
    </row>
    <row r="568">
      <c r="A568" s="631"/>
      <c r="B568" s="631"/>
      <c r="C568" s="631"/>
      <c r="D568" s="631"/>
      <c r="E568" s="441"/>
      <c r="F568" s="631"/>
      <c r="G568" s="631"/>
      <c r="H568" s="631"/>
      <c r="I568" s="631"/>
      <c r="J568" s="631"/>
      <c r="K568" s="631"/>
      <c r="L568" s="631"/>
      <c r="M568" s="631"/>
      <c r="N568" s="631"/>
      <c r="O568" s="631"/>
      <c r="P568" s="631"/>
      <c r="Q568" s="631"/>
      <c r="R568" s="631"/>
      <c r="S568" s="631"/>
      <c r="T568" s="631"/>
      <c r="U568" s="631"/>
      <c r="V568" s="631"/>
      <c r="W568" s="631"/>
      <c r="X568" s="631"/>
      <c r="Y568" s="631"/>
    </row>
    <row r="569">
      <c r="A569" s="631"/>
      <c r="B569" s="631"/>
      <c r="C569" s="631"/>
      <c r="D569" s="631"/>
      <c r="E569" s="441"/>
      <c r="F569" s="631"/>
      <c r="G569" s="631"/>
      <c r="H569" s="631"/>
      <c r="I569" s="631"/>
      <c r="J569" s="631"/>
      <c r="K569" s="631"/>
      <c r="L569" s="631"/>
      <c r="M569" s="631"/>
      <c r="N569" s="631"/>
      <c r="O569" s="631"/>
      <c r="P569" s="631"/>
      <c r="Q569" s="631"/>
      <c r="R569" s="631"/>
      <c r="S569" s="631"/>
      <c r="T569" s="631"/>
      <c r="U569" s="631"/>
      <c r="V569" s="631"/>
      <c r="W569" s="631"/>
      <c r="X569" s="631"/>
      <c r="Y569" s="631"/>
    </row>
    <row r="570">
      <c r="A570" s="631"/>
      <c r="B570" s="631"/>
      <c r="C570" s="631"/>
      <c r="D570" s="631"/>
      <c r="E570" s="441"/>
      <c r="F570" s="631"/>
      <c r="G570" s="631"/>
      <c r="H570" s="631"/>
      <c r="I570" s="631"/>
      <c r="J570" s="631"/>
      <c r="K570" s="631"/>
      <c r="L570" s="631"/>
      <c r="M570" s="631"/>
      <c r="N570" s="631"/>
      <c r="O570" s="631"/>
      <c r="P570" s="631"/>
      <c r="Q570" s="631"/>
      <c r="R570" s="631"/>
      <c r="S570" s="631"/>
      <c r="T570" s="631"/>
      <c r="U570" s="631"/>
      <c r="V570" s="631"/>
      <c r="W570" s="631"/>
      <c r="X570" s="631"/>
      <c r="Y570" s="631"/>
    </row>
    <row r="571">
      <c r="A571" s="631"/>
      <c r="B571" s="631"/>
      <c r="C571" s="631"/>
      <c r="D571" s="631"/>
      <c r="E571" s="441"/>
      <c r="F571" s="631"/>
      <c r="G571" s="631"/>
      <c r="H571" s="631"/>
      <c r="I571" s="631"/>
      <c r="J571" s="631"/>
      <c r="K571" s="631"/>
      <c r="L571" s="631"/>
      <c r="M571" s="631"/>
      <c r="N571" s="631"/>
      <c r="O571" s="631"/>
      <c r="P571" s="631"/>
      <c r="Q571" s="631"/>
      <c r="R571" s="631"/>
      <c r="S571" s="631"/>
      <c r="T571" s="631"/>
      <c r="U571" s="631"/>
      <c r="V571" s="631"/>
      <c r="W571" s="631"/>
      <c r="X571" s="631"/>
      <c r="Y571" s="631"/>
    </row>
    <row r="572">
      <c r="A572" s="631"/>
      <c r="B572" s="631"/>
      <c r="C572" s="631"/>
      <c r="D572" s="631"/>
      <c r="E572" s="441"/>
      <c r="F572" s="631"/>
      <c r="G572" s="631"/>
      <c r="H572" s="631"/>
      <c r="I572" s="631"/>
      <c r="J572" s="631"/>
      <c r="K572" s="631"/>
      <c r="L572" s="631"/>
      <c r="M572" s="631"/>
      <c r="N572" s="631"/>
      <c r="O572" s="631"/>
      <c r="P572" s="631"/>
      <c r="Q572" s="631"/>
      <c r="R572" s="631"/>
      <c r="S572" s="631"/>
      <c r="T572" s="631"/>
      <c r="U572" s="631"/>
      <c r="V572" s="631"/>
      <c r="W572" s="631"/>
      <c r="X572" s="631"/>
      <c r="Y572" s="631"/>
    </row>
    <row r="573">
      <c r="A573" s="631"/>
      <c r="B573" s="631"/>
      <c r="C573" s="631"/>
      <c r="D573" s="631"/>
      <c r="E573" s="441"/>
      <c r="F573" s="631"/>
      <c r="G573" s="631"/>
      <c r="H573" s="631"/>
      <c r="I573" s="631"/>
      <c r="J573" s="631"/>
      <c r="K573" s="631"/>
      <c r="L573" s="631"/>
      <c r="M573" s="631"/>
      <c r="N573" s="631"/>
      <c r="O573" s="631"/>
      <c r="P573" s="631"/>
      <c r="Q573" s="631"/>
      <c r="R573" s="631"/>
      <c r="S573" s="631"/>
      <c r="T573" s="631"/>
      <c r="U573" s="631"/>
      <c r="V573" s="631"/>
      <c r="W573" s="631"/>
      <c r="X573" s="631"/>
      <c r="Y573" s="631"/>
    </row>
    <row r="574">
      <c r="A574" s="631"/>
      <c r="B574" s="631"/>
      <c r="C574" s="631"/>
      <c r="D574" s="631"/>
      <c r="E574" s="441"/>
      <c r="F574" s="631"/>
      <c r="G574" s="631"/>
      <c r="H574" s="631"/>
      <c r="I574" s="631"/>
      <c r="J574" s="631"/>
      <c r="K574" s="631"/>
      <c r="L574" s="631"/>
      <c r="M574" s="631"/>
      <c r="N574" s="631"/>
      <c r="O574" s="631"/>
      <c r="P574" s="631"/>
      <c r="Q574" s="631"/>
      <c r="R574" s="631"/>
      <c r="S574" s="631"/>
      <c r="T574" s="631"/>
      <c r="U574" s="631"/>
      <c r="V574" s="631"/>
      <c r="W574" s="631"/>
      <c r="X574" s="631"/>
      <c r="Y574" s="631"/>
    </row>
    <row r="575">
      <c r="A575" s="631"/>
      <c r="B575" s="631"/>
      <c r="C575" s="631"/>
      <c r="D575" s="631"/>
      <c r="E575" s="441"/>
      <c r="F575" s="631"/>
      <c r="G575" s="631"/>
      <c r="H575" s="631"/>
      <c r="I575" s="631"/>
      <c r="J575" s="631"/>
      <c r="K575" s="631"/>
      <c r="L575" s="631"/>
      <c r="M575" s="631"/>
      <c r="N575" s="631"/>
      <c r="O575" s="631"/>
      <c r="P575" s="631"/>
      <c r="Q575" s="631"/>
      <c r="R575" s="631"/>
      <c r="S575" s="631"/>
      <c r="T575" s="631"/>
      <c r="U575" s="631"/>
      <c r="V575" s="631"/>
      <c r="W575" s="631"/>
      <c r="X575" s="631"/>
      <c r="Y575" s="631"/>
    </row>
    <row r="576">
      <c r="A576" s="631"/>
      <c r="B576" s="631"/>
      <c r="C576" s="631"/>
      <c r="D576" s="631"/>
      <c r="E576" s="441"/>
      <c r="F576" s="631"/>
      <c r="G576" s="631"/>
      <c r="H576" s="631"/>
      <c r="I576" s="631"/>
      <c r="J576" s="631"/>
      <c r="K576" s="631"/>
      <c r="L576" s="631"/>
      <c r="M576" s="631"/>
      <c r="N576" s="631"/>
      <c r="O576" s="631"/>
      <c r="P576" s="631"/>
      <c r="Q576" s="631"/>
      <c r="R576" s="631"/>
      <c r="S576" s="631"/>
      <c r="T576" s="631"/>
      <c r="U576" s="631"/>
      <c r="V576" s="631"/>
      <c r="W576" s="631"/>
      <c r="X576" s="631"/>
      <c r="Y576" s="631"/>
    </row>
    <row r="577">
      <c r="A577" s="631"/>
      <c r="B577" s="631"/>
      <c r="C577" s="631"/>
      <c r="D577" s="631"/>
      <c r="E577" s="441"/>
      <c r="F577" s="631"/>
      <c r="G577" s="631"/>
      <c r="H577" s="631"/>
      <c r="I577" s="631"/>
      <c r="J577" s="631"/>
      <c r="K577" s="631"/>
      <c r="L577" s="631"/>
      <c r="M577" s="631"/>
      <c r="N577" s="631"/>
      <c r="O577" s="631"/>
      <c r="P577" s="631"/>
      <c r="Q577" s="631"/>
      <c r="R577" s="631"/>
      <c r="S577" s="631"/>
      <c r="T577" s="631"/>
      <c r="U577" s="631"/>
      <c r="V577" s="631"/>
      <c r="W577" s="631"/>
      <c r="X577" s="631"/>
      <c r="Y577" s="631"/>
    </row>
    <row r="578">
      <c r="A578" s="631"/>
      <c r="B578" s="631"/>
      <c r="C578" s="631"/>
      <c r="D578" s="631"/>
      <c r="E578" s="441"/>
      <c r="F578" s="631"/>
      <c r="G578" s="631"/>
      <c r="H578" s="631"/>
      <c r="I578" s="631"/>
      <c r="J578" s="631"/>
      <c r="K578" s="631"/>
      <c r="L578" s="631"/>
      <c r="M578" s="631"/>
      <c r="N578" s="631"/>
      <c r="O578" s="631"/>
      <c r="P578" s="631"/>
      <c r="Q578" s="631"/>
      <c r="R578" s="631"/>
      <c r="S578" s="631"/>
      <c r="T578" s="631"/>
      <c r="U578" s="631"/>
      <c r="V578" s="631"/>
      <c r="W578" s="631"/>
      <c r="X578" s="631"/>
      <c r="Y578" s="631"/>
    </row>
    <row r="579">
      <c r="A579" s="631"/>
      <c r="B579" s="631"/>
      <c r="C579" s="631"/>
      <c r="D579" s="631"/>
      <c r="E579" s="441"/>
      <c r="F579" s="631"/>
      <c r="G579" s="631"/>
      <c r="H579" s="631"/>
      <c r="I579" s="631"/>
      <c r="J579" s="631"/>
      <c r="K579" s="631"/>
      <c r="L579" s="631"/>
      <c r="M579" s="631"/>
      <c r="N579" s="631"/>
      <c r="O579" s="631"/>
      <c r="P579" s="631"/>
      <c r="Q579" s="631"/>
      <c r="R579" s="631"/>
      <c r="S579" s="631"/>
      <c r="T579" s="631"/>
      <c r="U579" s="631"/>
      <c r="V579" s="631"/>
      <c r="W579" s="631"/>
      <c r="X579" s="631"/>
      <c r="Y579" s="631"/>
    </row>
    <row r="580">
      <c r="A580" s="631"/>
      <c r="B580" s="631"/>
      <c r="C580" s="631"/>
      <c r="D580" s="631"/>
      <c r="E580" s="441"/>
      <c r="F580" s="631"/>
      <c r="G580" s="631"/>
      <c r="H580" s="631"/>
      <c r="I580" s="631"/>
      <c r="J580" s="631"/>
      <c r="K580" s="631"/>
      <c r="L580" s="631"/>
      <c r="M580" s="631"/>
      <c r="N580" s="631"/>
      <c r="O580" s="631"/>
      <c r="P580" s="631"/>
      <c r="Q580" s="631"/>
      <c r="R580" s="631"/>
      <c r="S580" s="631"/>
      <c r="T580" s="631"/>
      <c r="U580" s="631"/>
      <c r="V580" s="631"/>
      <c r="W580" s="631"/>
      <c r="X580" s="631"/>
      <c r="Y580" s="631"/>
    </row>
    <row r="581">
      <c r="A581" s="631"/>
      <c r="B581" s="631"/>
      <c r="C581" s="631"/>
      <c r="D581" s="631"/>
      <c r="E581" s="441"/>
      <c r="F581" s="631"/>
      <c r="G581" s="631"/>
      <c r="H581" s="631"/>
      <c r="I581" s="631"/>
      <c r="J581" s="631"/>
      <c r="K581" s="631"/>
      <c r="L581" s="631"/>
      <c r="M581" s="631"/>
      <c r="N581" s="631"/>
      <c r="O581" s="631"/>
      <c r="P581" s="631"/>
      <c r="Q581" s="631"/>
      <c r="R581" s="631"/>
      <c r="S581" s="631"/>
      <c r="T581" s="631"/>
      <c r="U581" s="631"/>
      <c r="V581" s="631"/>
      <c r="W581" s="631"/>
      <c r="X581" s="631"/>
      <c r="Y581" s="631"/>
    </row>
    <row r="582">
      <c r="A582" s="631"/>
      <c r="B582" s="631"/>
      <c r="C582" s="631"/>
      <c r="D582" s="631"/>
      <c r="E582" s="441"/>
      <c r="F582" s="631"/>
      <c r="G582" s="631"/>
      <c r="H582" s="631"/>
      <c r="I582" s="631"/>
      <c r="J582" s="631"/>
      <c r="K582" s="631"/>
      <c r="L582" s="631"/>
      <c r="M582" s="631"/>
      <c r="N582" s="631"/>
      <c r="O582" s="631"/>
      <c r="P582" s="631"/>
      <c r="Q582" s="631"/>
      <c r="R582" s="631"/>
      <c r="S582" s="631"/>
      <c r="T582" s="631"/>
      <c r="U582" s="631"/>
      <c r="V582" s="631"/>
      <c r="W582" s="631"/>
      <c r="X582" s="631"/>
      <c r="Y582" s="631"/>
    </row>
    <row r="583">
      <c r="A583" s="631"/>
      <c r="B583" s="631"/>
      <c r="C583" s="631"/>
      <c r="D583" s="631"/>
      <c r="E583" s="441"/>
      <c r="F583" s="631"/>
      <c r="G583" s="631"/>
      <c r="H583" s="631"/>
      <c r="I583" s="631"/>
      <c r="J583" s="631"/>
      <c r="K583" s="631"/>
      <c r="L583" s="631"/>
      <c r="M583" s="631"/>
      <c r="N583" s="631"/>
      <c r="O583" s="631"/>
      <c r="P583" s="631"/>
      <c r="Q583" s="631"/>
      <c r="R583" s="631"/>
      <c r="S583" s="631"/>
      <c r="T583" s="631"/>
      <c r="U583" s="631"/>
      <c r="V583" s="631"/>
      <c r="W583" s="631"/>
      <c r="X583" s="631"/>
      <c r="Y583" s="631"/>
    </row>
    <row r="584">
      <c r="A584" s="631"/>
      <c r="B584" s="631"/>
      <c r="C584" s="631"/>
      <c r="D584" s="631"/>
      <c r="E584" s="441"/>
      <c r="F584" s="631"/>
      <c r="G584" s="631"/>
      <c r="H584" s="631"/>
      <c r="I584" s="631"/>
      <c r="J584" s="631"/>
      <c r="K584" s="631"/>
      <c r="L584" s="631"/>
      <c r="M584" s="631"/>
      <c r="N584" s="631"/>
      <c r="O584" s="631"/>
      <c r="P584" s="631"/>
      <c r="Q584" s="631"/>
      <c r="R584" s="631"/>
      <c r="S584" s="631"/>
      <c r="T584" s="631"/>
      <c r="U584" s="631"/>
      <c r="V584" s="631"/>
      <c r="W584" s="631"/>
      <c r="X584" s="631"/>
      <c r="Y584" s="631"/>
    </row>
    <row r="585">
      <c r="A585" s="631"/>
      <c r="B585" s="631"/>
      <c r="C585" s="631"/>
      <c r="D585" s="631"/>
      <c r="E585" s="441"/>
      <c r="F585" s="631"/>
      <c r="G585" s="631"/>
      <c r="H585" s="631"/>
      <c r="I585" s="631"/>
      <c r="J585" s="631"/>
      <c r="K585" s="631"/>
      <c r="L585" s="631"/>
      <c r="M585" s="631"/>
      <c r="N585" s="631"/>
      <c r="O585" s="631"/>
      <c r="P585" s="631"/>
      <c r="Q585" s="631"/>
      <c r="R585" s="631"/>
      <c r="S585" s="631"/>
      <c r="T585" s="631"/>
      <c r="U585" s="631"/>
      <c r="V585" s="631"/>
      <c r="W585" s="631"/>
      <c r="X585" s="631"/>
      <c r="Y585" s="631"/>
    </row>
    <row r="586">
      <c r="A586" s="631"/>
      <c r="B586" s="631"/>
      <c r="C586" s="631"/>
      <c r="D586" s="631"/>
      <c r="E586" s="441"/>
      <c r="F586" s="631"/>
      <c r="G586" s="631"/>
      <c r="H586" s="631"/>
      <c r="I586" s="631"/>
      <c r="J586" s="631"/>
      <c r="K586" s="631"/>
      <c r="L586" s="631"/>
      <c r="M586" s="631"/>
      <c r="N586" s="631"/>
      <c r="O586" s="631"/>
      <c r="P586" s="631"/>
      <c r="Q586" s="631"/>
      <c r="R586" s="631"/>
      <c r="S586" s="631"/>
      <c r="T586" s="631"/>
      <c r="U586" s="631"/>
      <c r="V586" s="631"/>
      <c r="W586" s="631"/>
      <c r="X586" s="631"/>
      <c r="Y586" s="631"/>
    </row>
    <row r="587">
      <c r="A587" s="631"/>
      <c r="B587" s="631"/>
      <c r="C587" s="631"/>
      <c r="D587" s="631"/>
      <c r="E587" s="441"/>
      <c r="F587" s="631"/>
      <c r="G587" s="631"/>
      <c r="H587" s="631"/>
      <c r="I587" s="631"/>
      <c r="J587" s="631"/>
      <c r="K587" s="631"/>
      <c r="L587" s="631"/>
      <c r="M587" s="631"/>
      <c r="N587" s="631"/>
      <c r="O587" s="631"/>
      <c r="P587" s="631"/>
      <c r="Q587" s="631"/>
      <c r="R587" s="631"/>
      <c r="S587" s="631"/>
      <c r="T587" s="631"/>
      <c r="U587" s="631"/>
      <c r="V587" s="631"/>
      <c r="W587" s="631"/>
      <c r="X587" s="631"/>
      <c r="Y587" s="631"/>
    </row>
    <row r="588">
      <c r="A588" s="631"/>
      <c r="B588" s="631"/>
      <c r="C588" s="631"/>
      <c r="D588" s="631"/>
      <c r="E588" s="441"/>
      <c r="F588" s="631"/>
      <c r="G588" s="631"/>
      <c r="H588" s="631"/>
      <c r="I588" s="631"/>
      <c r="J588" s="631"/>
      <c r="K588" s="631"/>
      <c r="L588" s="631"/>
      <c r="M588" s="631"/>
      <c r="N588" s="631"/>
      <c r="O588" s="631"/>
      <c r="P588" s="631"/>
      <c r="Q588" s="631"/>
      <c r="R588" s="631"/>
      <c r="S588" s="631"/>
      <c r="T588" s="631"/>
      <c r="U588" s="631"/>
      <c r="V588" s="631"/>
      <c r="W588" s="631"/>
      <c r="X588" s="631"/>
      <c r="Y588" s="631"/>
    </row>
    <row r="589">
      <c r="A589" s="631"/>
      <c r="B589" s="631"/>
      <c r="C589" s="631"/>
      <c r="D589" s="631"/>
      <c r="E589" s="441"/>
      <c r="F589" s="631"/>
      <c r="G589" s="631"/>
      <c r="H589" s="631"/>
      <c r="I589" s="631"/>
      <c r="J589" s="631"/>
      <c r="K589" s="631"/>
      <c r="L589" s="631"/>
      <c r="M589" s="631"/>
      <c r="N589" s="631"/>
      <c r="O589" s="631"/>
      <c r="P589" s="631"/>
      <c r="Q589" s="631"/>
      <c r="R589" s="631"/>
      <c r="S589" s="631"/>
      <c r="T589" s="631"/>
      <c r="U589" s="631"/>
      <c r="V589" s="631"/>
      <c r="W589" s="631"/>
      <c r="X589" s="631"/>
      <c r="Y589" s="631"/>
    </row>
    <row r="590">
      <c r="A590" s="631"/>
      <c r="B590" s="631"/>
      <c r="C590" s="631"/>
      <c r="D590" s="631"/>
      <c r="E590" s="441"/>
      <c r="F590" s="631"/>
      <c r="G590" s="631"/>
      <c r="H590" s="631"/>
      <c r="I590" s="631"/>
      <c r="J590" s="631"/>
      <c r="K590" s="631"/>
      <c r="L590" s="631"/>
      <c r="M590" s="631"/>
      <c r="N590" s="631"/>
      <c r="O590" s="631"/>
      <c r="P590" s="631"/>
      <c r="Q590" s="631"/>
      <c r="R590" s="631"/>
      <c r="S590" s="631"/>
      <c r="T590" s="631"/>
      <c r="U590" s="631"/>
      <c r="V590" s="631"/>
      <c r="W590" s="631"/>
      <c r="X590" s="631"/>
      <c r="Y590" s="631"/>
    </row>
    <row r="591">
      <c r="A591" s="631"/>
      <c r="B591" s="631"/>
      <c r="C591" s="631"/>
      <c r="D591" s="631"/>
      <c r="E591" s="441"/>
      <c r="F591" s="631"/>
      <c r="G591" s="631"/>
      <c r="H591" s="631"/>
      <c r="I591" s="631"/>
      <c r="J591" s="631"/>
      <c r="K591" s="631"/>
      <c r="L591" s="631"/>
      <c r="M591" s="631"/>
      <c r="N591" s="631"/>
      <c r="O591" s="631"/>
      <c r="P591" s="631"/>
      <c r="Q591" s="631"/>
      <c r="R591" s="631"/>
      <c r="S591" s="631"/>
      <c r="T591" s="631"/>
      <c r="U591" s="631"/>
      <c r="V591" s="631"/>
      <c r="W591" s="631"/>
      <c r="X591" s="631"/>
      <c r="Y591" s="631"/>
    </row>
    <row r="592">
      <c r="A592" s="631"/>
      <c r="B592" s="631"/>
      <c r="C592" s="631"/>
      <c r="D592" s="631"/>
      <c r="E592" s="441"/>
      <c r="F592" s="631"/>
      <c r="G592" s="631"/>
      <c r="H592" s="631"/>
      <c r="I592" s="631"/>
      <c r="J592" s="631"/>
      <c r="K592" s="631"/>
      <c r="L592" s="631"/>
      <c r="M592" s="631"/>
      <c r="N592" s="631"/>
      <c r="O592" s="631"/>
      <c r="P592" s="631"/>
      <c r="Q592" s="631"/>
      <c r="R592" s="631"/>
      <c r="S592" s="631"/>
      <c r="T592" s="631"/>
      <c r="U592" s="631"/>
      <c r="V592" s="631"/>
      <c r="W592" s="631"/>
      <c r="X592" s="631"/>
      <c r="Y592" s="631"/>
    </row>
    <row r="593">
      <c r="A593" s="631"/>
      <c r="B593" s="631"/>
      <c r="C593" s="631"/>
      <c r="D593" s="631"/>
      <c r="E593" s="441"/>
      <c r="F593" s="631"/>
      <c r="G593" s="631"/>
      <c r="H593" s="631"/>
      <c r="I593" s="631"/>
      <c r="J593" s="631"/>
      <c r="K593" s="631"/>
      <c r="L593" s="631"/>
      <c r="M593" s="631"/>
      <c r="N593" s="631"/>
      <c r="O593" s="631"/>
      <c r="P593" s="631"/>
      <c r="Q593" s="631"/>
      <c r="R593" s="631"/>
      <c r="S593" s="631"/>
      <c r="T593" s="631"/>
      <c r="U593" s="631"/>
      <c r="V593" s="631"/>
      <c r="W593" s="631"/>
      <c r="X593" s="631"/>
      <c r="Y593" s="631"/>
    </row>
    <row r="594">
      <c r="A594" s="631"/>
      <c r="B594" s="631"/>
      <c r="C594" s="631"/>
      <c r="D594" s="631"/>
      <c r="E594" s="441"/>
      <c r="F594" s="631"/>
      <c r="G594" s="631"/>
      <c r="H594" s="631"/>
      <c r="I594" s="631"/>
      <c r="J594" s="631"/>
      <c r="K594" s="631"/>
      <c r="L594" s="631"/>
      <c r="M594" s="631"/>
      <c r="N594" s="631"/>
      <c r="O594" s="631"/>
      <c r="P594" s="631"/>
      <c r="Q594" s="631"/>
      <c r="R594" s="631"/>
      <c r="S594" s="631"/>
      <c r="T594" s="631"/>
      <c r="U594" s="631"/>
      <c r="V594" s="631"/>
      <c r="W594" s="631"/>
      <c r="X594" s="631"/>
      <c r="Y594" s="631"/>
    </row>
    <row r="595">
      <c r="A595" s="631"/>
      <c r="B595" s="631"/>
      <c r="C595" s="631"/>
      <c r="D595" s="631"/>
      <c r="E595" s="441"/>
      <c r="F595" s="631"/>
      <c r="G595" s="631"/>
      <c r="H595" s="631"/>
      <c r="I595" s="631"/>
      <c r="J595" s="631"/>
      <c r="K595" s="631"/>
      <c r="L595" s="631"/>
      <c r="M595" s="631"/>
      <c r="N595" s="631"/>
      <c r="O595" s="631"/>
      <c r="P595" s="631"/>
      <c r="Q595" s="631"/>
      <c r="R595" s="631"/>
      <c r="S595" s="631"/>
      <c r="T595" s="631"/>
      <c r="U595" s="631"/>
      <c r="V595" s="631"/>
      <c r="W595" s="631"/>
      <c r="X595" s="631"/>
      <c r="Y595" s="631"/>
    </row>
    <row r="596">
      <c r="A596" s="631"/>
      <c r="B596" s="631"/>
      <c r="C596" s="631"/>
      <c r="D596" s="631"/>
      <c r="E596" s="441"/>
      <c r="F596" s="631"/>
      <c r="G596" s="631"/>
      <c r="H596" s="631"/>
      <c r="I596" s="631"/>
      <c r="J596" s="631"/>
      <c r="K596" s="631"/>
      <c r="L596" s="631"/>
      <c r="M596" s="631"/>
      <c r="N596" s="631"/>
      <c r="O596" s="631"/>
      <c r="P596" s="631"/>
      <c r="Q596" s="631"/>
      <c r="R596" s="631"/>
      <c r="S596" s="631"/>
      <c r="T596" s="631"/>
      <c r="U596" s="631"/>
      <c r="V596" s="631"/>
      <c r="W596" s="631"/>
      <c r="X596" s="631"/>
      <c r="Y596" s="631"/>
    </row>
    <row r="597">
      <c r="A597" s="631"/>
      <c r="B597" s="631"/>
      <c r="C597" s="631"/>
      <c r="D597" s="631"/>
      <c r="E597" s="441"/>
      <c r="F597" s="631"/>
      <c r="G597" s="631"/>
      <c r="H597" s="631"/>
      <c r="I597" s="631"/>
      <c r="J597" s="631"/>
      <c r="K597" s="631"/>
      <c r="L597" s="631"/>
      <c r="M597" s="631"/>
      <c r="N597" s="631"/>
      <c r="O597" s="631"/>
      <c r="P597" s="631"/>
      <c r="Q597" s="631"/>
      <c r="R597" s="631"/>
      <c r="S597" s="631"/>
      <c r="T597" s="631"/>
      <c r="U597" s="631"/>
      <c r="V597" s="631"/>
      <c r="W597" s="631"/>
      <c r="X597" s="631"/>
      <c r="Y597" s="631"/>
    </row>
    <row r="598">
      <c r="A598" s="631"/>
      <c r="B598" s="631"/>
      <c r="C598" s="631"/>
      <c r="D598" s="631"/>
      <c r="E598" s="441"/>
      <c r="F598" s="631"/>
      <c r="G598" s="631"/>
      <c r="H598" s="631"/>
      <c r="I598" s="631"/>
      <c r="J598" s="631"/>
      <c r="K598" s="631"/>
      <c r="L598" s="631"/>
      <c r="M598" s="631"/>
      <c r="N598" s="631"/>
      <c r="O598" s="631"/>
      <c r="P598" s="631"/>
      <c r="Q598" s="631"/>
      <c r="R598" s="631"/>
      <c r="S598" s="631"/>
      <c r="T598" s="631"/>
      <c r="U598" s="631"/>
      <c r="V598" s="631"/>
      <c r="W598" s="631"/>
      <c r="X598" s="631"/>
      <c r="Y598" s="631"/>
    </row>
    <row r="599">
      <c r="A599" s="631"/>
      <c r="B599" s="631"/>
      <c r="C599" s="631"/>
      <c r="D599" s="631"/>
      <c r="E599" s="441"/>
      <c r="F599" s="631"/>
      <c r="G599" s="631"/>
      <c r="H599" s="631"/>
      <c r="I599" s="631"/>
      <c r="J599" s="631"/>
      <c r="K599" s="631"/>
      <c r="L599" s="631"/>
      <c r="M599" s="631"/>
      <c r="N599" s="631"/>
      <c r="O599" s="631"/>
      <c r="P599" s="631"/>
      <c r="Q599" s="631"/>
      <c r="R599" s="631"/>
      <c r="S599" s="631"/>
      <c r="T599" s="631"/>
      <c r="U599" s="631"/>
      <c r="V599" s="631"/>
      <c r="W599" s="631"/>
      <c r="X599" s="631"/>
      <c r="Y599" s="631"/>
    </row>
    <row r="600">
      <c r="A600" s="631"/>
      <c r="B600" s="631"/>
      <c r="C600" s="631"/>
      <c r="D600" s="631"/>
      <c r="E600" s="441"/>
      <c r="F600" s="631"/>
      <c r="G600" s="631"/>
      <c r="H600" s="631"/>
      <c r="I600" s="631"/>
      <c r="J600" s="631"/>
      <c r="K600" s="631"/>
      <c r="L600" s="631"/>
      <c r="M600" s="631"/>
      <c r="N600" s="631"/>
      <c r="O600" s="631"/>
      <c r="P600" s="631"/>
      <c r="Q600" s="631"/>
      <c r="R600" s="631"/>
      <c r="S600" s="631"/>
      <c r="T600" s="631"/>
      <c r="U600" s="631"/>
      <c r="V600" s="631"/>
      <c r="W600" s="631"/>
      <c r="X600" s="631"/>
      <c r="Y600" s="631"/>
    </row>
    <row r="601">
      <c r="A601" s="631"/>
      <c r="B601" s="631"/>
      <c r="C601" s="631"/>
      <c r="D601" s="631"/>
      <c r="E601" s="441"/>
      <c r="F601" s="631"/>
      <c r="G601" s="631"/>
      <c r="H601" s="631"/>
      <c r="I601" s="631"/>
      <c r="J601" s="631"/>
      <c r="K601" s="631"/>
      <c r="L601" s="631"/>
      <c r="M601" s="631"/>
      <c r="N601" s="631"/>
      <c r="O601" s="631"/>
      <c r="P601" s="631"/>
      <c r="Q601" s="631"/>
      <c r="R601" s="631"/>
      <c r="S601" s="631"/>
      <c r="T601" s="631"/>
      <c r="U601" s="631"/>
      <c r="V601" s="631"/>
      <c r="W601" s="631"/>
      <c r="X601" s="631"/>
      <c r="Y601" s="631"/>
    </row>
    <row r="602">
      <c r="A602" s="631"/>
      <c r="B602" s="631"/>
      <c r="C602" s="631"/>
      <c r="D602" s="631"/>
      <c r="E602" s="441"/>
      <c r="F602" s="631"/>
      <c r="G602" s="631"/>
      <c r="H602" s="631"/>
      <c r="I602" s="631"/>
      <c r="J602" s="631"/>
      <c r="K602" s="631"/>
      <c r="L602" s="631"/>
      <c r="M602" s="631"/>
      <c r="N602" s="631"/>
      <c r="O602" s="631"/>
      <c r="P602" s="631"/>
      <c r="Q602" s="631"/>
      <c r="R602" s="631"/>
      <c r="S602" s="631"/>
      <c r="T602" s="631"/>
      <c r="U602" s="631"/>
      <c r="V602" s="631"/>
      <c r="W602" s="631"/>
      <c r="X602" s="631"/>
      <c r="Y602" s="631"/>
    </row>
    <row r="603">
      <c r="A603" s="631"/>
      <c r="B603" s="631"/>
      <c r="C603" s="631"/>
      <c r="D603" s="631"/>
      <c r="E603" s="441"/>
      <c r="F603" s="631"/>
      <c r="G603" s="631"/>
      <c r="H603" s="631"/>
      <c r="I603" s="631"/>
      <c r="J603" s="631"/>
      <c r="K603" s="631"/>
      <c r="L603" s="631"/>
      <c r="M603" s="631"/>
      <c r="N603" s="631"/>
      <c r="O603" s="631"/>
      <c r="P603" s="631"/>
      <c r="Q603" s="631"/>
      <c r="R603" s="631"/>
      <c r="S603" s="631"/>
      <c r="T603" s="631"/>
      <c r="U603" s="631"/>
      <c r="V603" s="631"/>
      <c r="W603" s="631"/>
      <c r="X603" s="631"/>
      <c r="Y603" s="631"/>
    </row>
    <row r="604">
      <c r="A604" s="631"/>
      <c r="B604" s="631"/>
      <c r="C604" s="631"/>
      <c r="D604" s="631"/>
      <c r="E604" s="441"/>
      <c r="F604" s="631"/>
      <c r="G604" s="631"/>
      <c r="H604" s="631"/>
      <c r="I604" s="631"/>
      <c r="J604" s="631"/>
      <c r="K604" s="631"/>
      <c r="L604" s="631"/>
      <c r="M604" s="631"/>
      <c r="N604" s="631"/>
      <c r="O604" s="631"/>
      <c r="P604" s="631"/>
      <c r="Q604" s="631"/>
      <c r="R604" s="631"/>
      <c r="S604" s="631"/>
      <c r="T604" s="631"/>
      <c r="U604" s="631"/>
      <c r="V604" s="631"/>
      <c r="W604" s="631"/>
      <c r="X604" s="631"/>
      <c r="Y604" s="631"/>
    </row>
    <row r="605">
      <c r="A605" s="631"/>
      <c r="B605" s="631"/>
      <c r="C605" s="631"/>
      <c r="D605" s="631"/>
      <c r="E605" s="441"/>
      <c r="F605" s="631"/>
      <c r="G605" s="631"/>
      <c r="H605" s="631"/>
      <c r="I605" s="631"/>
      <c r="J605" s="631"/>
      <c r="K605" s="631"/>
      <c r="L605" s="631"/>
      <c r="M605" s="631"/>
      <c r="N605" s="631"/>
      <c r="O605" s="631"/>
      <c r="P605" s="631"/>
      <c r="Q605" s="631"/>
      <c r="R605" s="631"/>
      <c r="S605" s="631"/>
      <c r="T605" s="631"/>
      <c r="U605" s="631"/>
      <c r="V605" s="631"/>
      <c r="W605" s="631"/>
      <c r="X605" s="631"/>
      <c r="Y605" s="631"/>
    </row>
    <row r="606">
      <c r="A606" s="631"/>
      <c r="B606" s="631"/>
      <c r="C606" s="631"/>
      <c r="D606" s="631"/>
      <c r="E606" s="441"/>
      <c r="F606" s="631"/>
      <c r="G606" s="631"/>
      <c r="H606" s="631"/>
      <c r="I606" s="631"/>
      <c r="J606" s="631"/>
      <c r="K606" s="631"/>
      <c r="L606" s="631"/>
      <c r="M606" s="631"/>
      <c r="N606" s="631"/>
      <c r="O606" s="631"/>
      <c r="P606" s="631"/>
      <c r="Q606" s="631"/>
      <c r="R606" s="631"/>
      <c r="S606" s="631"/>
      <c r="T606" s="631"/>
      <c r="U606" s="631"/>
      <c r="V606" s="631"/>
      <c r="W606" s="631"/>
      <c r="X606" s="631"/>
      <c r="Y606" s="631"/>
    </row>
    <row r="607">
      <c r="A607" s="631"/>
      <c r="B607" s="631"/>
      <c r="C607" s="631"/>
      <c r="D607" s="631"/>
      <c r="E607" s="441"/>
      <c r="F607" s="631"/>
      <c r="G607" s="631"/>
      <c r="H607" s="631"/>
      <c r="I607" s="631"/>
      <c r="J607" s="631"/>
      <c r="K607" s="631"/>
      <c r="L607" s="631"/>
      <c r="M607" s="631"/>
      <c r="N607" s="631"/>
      <c r="O607" s="631"/>
      <c r="P607" s="631"/>
      <c r="Q607" s="631"/>
      <c r="R607" s="631"/>
      <c r="S607" s="631"/>
      <c r="T607" s="631"/>
      <c r="U607" s="631"/>
      <c r="V607" s="631"/>
      <c r="W607" s="631"/>
      <c r="X607" s="631"/>
      <c r="Y607" s="631"/>
    </row>
    <row r="608">
      <c r="A608" s="631"/>
      <c r="B608" s="631"/>
      <c r="C608" s="631"/>
      <c r="D608" s="631"/>
      <c r="E608" s="441"/>
      <c r="F608" s="631"/>
      <c r="G608" s="631"/>
      <c r="H608" s="631"/>
      <c r="I608" s="631"/>
      <c r="J608" s="631"/>
      <c r="K608" s="631"/>
      <c r="L608" s="631"/>
      <c r="M608" s="631"/>
      <c r="N608" s="631"/>
      <c r="O608" s="631"/>
      <c r="P608" s="631"/>
      <c r="Q608" s="631"/>
      <c r="R608" s="631"/>
      <c r="S608" s="631"/>
      <c r="T608" s="631"/>
      <c r="U608" s="631"/>
      <c r="V608" s="631"/>
      <c r="W608" s="631"/>
      <c r="X608" s="631"/>
      <c r="Y608" s="631"/>
    </row>
    <row r="609">
      <c r="A609" s="631"/>
      <c r="B609" s="631"/>
      <c r="C609" s="631"/>
      <c r="D609" s="631"/>
      <c r="E609" s="441"/>
      <c r="F609" s="631"/>
      <c r="G609" s="631"/>
      <c r="H609" s="631"/>
      <c r="I609" s="631"/>
      <c r="J609" s="631"/>
      <c r="K609" s="631"/>
      <c r="L609" s="631"/>
      <c r="M609" s="631"/>
      <c r="N609" s="631"/>
      <c r="O609" s="631"/>
      <c r="P609" s="631"/>
      <c r="Q609" s="631"/>
      <c r="R609" s="631"/>
      <c r="S609" s="631"/>
      <c r="T609" s="631"/>
      <c r="U609" s="631"/>
      <c r="V609" s="631"/>
      <c r="W609" s="631"/>
      <c r="X609" s="631"/>
      <c r="Y609" s="631"/>
    </row>
    <row r="610">
      <c r="A610" s="631"/>
      <c r="B610" s="631"/>
      <c r="C610" s="631"/>
      <c r="D610" s="631"/>
      <c r="E610" s="441"/>
      <c r="F610" s="631"/>
      <c r="G610" s="631"/>
      <c r="H610" s="631"/>
      <c r="I610" s="631"/>
      <c r="J610" s="631"/>
      <c r="K610" s="631"/>
      <c r="L610" s="631"/>
      <c r="M610" s="631"/>
      <c r="N610" s="631"/>
      <c r="O610" s="631"/>
      <c r="P610" s="631"/>
      <c r="Q610" s="631"/>
      <c r="R610" s="631"/>
      <c r="S610" s="631"/>
      <c r="T610" s="631"/>
      <c r="U610" s="631"/>
      <c r="V610" s="631"/>
      <c r="W610" s="631"/>
      <c r="X610" s="631"/>
      <c r="Y610" s="631"/>
    </row>
    <row r="611">
      <c r="A611" s="631"/>
      <c r="B611" s="631"/>
      <c r="C611" s="631"/>
      <c r="D611" s="631"/>
      <c r="E611" s="441"/>
      <c r="F611" s="631"/>
      <c r="G611" s="631"/>
      <c r="H611" s="631"/>
      <c r="I611" s="631"/>
      <c r="J611" s="631"/>
      <c r="K611" s="631"/>
      <c r="L611" s="631"/>
      <c r="M611" s="631"/>
      <c r="N611" s="631"/>
      <c r="O611" s="631"/>
      <c r="P611" s="631"/>
      <c r="Q611" s="631"/>
      <c r="R611" s="631"/>
      <c r="S611" s="631"/>
      <c r="T611" s="631"/>
      <c r="U611" s="631"/>
      <c r="V611" s="631"/>
      <c r="W611" s="631"/>
      <c r="X611" s="631"/>
      <c r="Y611" s="631"/>
    </row>
    <row r="612">
      <c r="A612" s="631"/>
      <c r="B612" s="631"/>
      <c r="C612" s="631"/>
      <c r="D612" s="631"/>
      <c r="E612" s="441"/>
      <c r="F612" s="631"/>
      <c r="G612" s="631"/>
      <c r="H612" s="631"/>
      <c r="I612" s="631"/>
      <c r="J612" s="631"/>
      <c r="K612" s="631"/>
      <c r="L612" s="631"/>
      <c r="M612" s="631"/>
      <c r="N612" s="631"/>
      <c r="O612" s="631"/>
      <c r="P612" s="631"/>
      <c r="Q612" s="631"/>
      <c r="R612" s="631"/>
      <c r="S612" s="631"/>
      <c r="T612" s="631"/>
      <c r="U612" s="631"/>
      <c r="V612" s="631"/>
      <c r="W612" s="631"/>
      <c r="X612" s="631"/>
      <c r="Y612" s="631"/>
    </row>
    <row r="613">
      <c r="A613" s="631"/>
      <c r="B613" s="631"/>
      <c r="C613" s="631"/>
      <c r="D613" s="631"/>
      <c r="E613" s="441"/>
      <c r="F613" s="631"/>
      <c r="G613" s="631"/>
      <c r="H613" s="631"/>
      <c r="I613" s="631"/>
      <c r="J613" s="631"/>
      <c r="K613" s="631"/>
      <c r="L613" s="631"/>
      <c r="M613" s="631"/>
      <c r="N613" s="631"/>
      <c r="O613" s="631"/>
      <c r="P613" s="631"/>
      <c r="Q613" s="631"/>
      <c r="R613" s="631"/>
      <c r="S613" s="631"/>
      <c r="T613" s="631"/>
      <c r="U613" s="631"/>
      <c r="V613" s="631"/>
      <c r="W613" s="631"/>
      <c r="X613" s="631"/>
      <c r="Y613" s="631"/>
    </row>
    <row r="614">
      <c r="A614" s="631"/>
      <c r="B614" s="631"/>
      <c r="C614" s="631"/>
      <c r="D614" s="631"/>
      <c r="E614" s="441"/>
      <c r="F614" s="631"/>
      <c r="G614" s="631"/>
      <c r="H614" s="631"/>
      <c r="I614" s="631"/>
      <c r="J614" s="631"/>
      <c r="K614" s="631"/>
      <c r="L614" s="631"/>
      <c r="M614" s="631"/>
      <c r="N614" s="631"/>
      <c r="O614" s="631"/>
      <c r="P614" s="631"/>
      <c r="Q614" s="631"/>
      <c r="R614" s="631"/>
      <c r="S614" s="631"/>
      <c r="T614" s="631"/>
      <c r="U614" s="631"/>
      <c r="V614" s="631"/>
      <c r="W614" s="631"/>
      <c r="X614" s="631"/>
      <c r="Y614" s="631"/>
    </row>
    <row r="615">
      <c r="A615" s="631"/>
      <c r="B615" s="631"/>
      <c r="C615" s="631"/>
      <c r="D615" s="631"/>
      <c r="E615" s="441"/>
      <c r="F615" s="631"/>
      <c r="G615" s="631"/>
      <c r="H615" s="631"/>
      <c r="I615" s="631"/>
      <c r="J615" s="631"/>
      <c r="K615" s="631"/>
      <c r="L615" s="631"/>
      <c r="M615" s="631"/>
      <c r="N615" s="631"/>
      <c r="O615" s="631"/>
      <c r="P615" s="631"/>
      <c r="Q615" s="631"/>
      <c r="R615" s="631"/>
      <c r="S615" s="631"/>
      <c r="T615" s="631"/>
      <c r="U615" s="631"/>
      <c r="V615" s="631"/>
      <c r="W615" s="631"/>
      <c r="X615" s="631"/>
      <c r="Y615" s="631"/>
    </row>
    <row r="616">
      <c r="A616" s="631"/>
      <c r="B616" s="631"/>
      <c r="C616" s="631"/>
      <c r="D616" s="631"/>
      <c r="E616" s="441"/>
      <c r="F616" s="631"/>
      <c r="G616" s="631"/>
      <c r="H616" s="631"/>
      <c r="I616" s="631"/>
      <c r="J616" s="631"/>
      <c r="K616" s="631"/>
      <c r="L616" s="631"/>
      <c r="M616" s="631"/>
      <c r="N616" s="631"/>
      <c r="O616" s="631"/>
      <c r="P616" s="631"/>
      <c r="Q616" s="631"/>
      <c r="R616" s="631"/>
      <c r="S616" s="631"/>
      <c r="T616" s="631"/>
      <c r="U616" s="631"/>
      <c r="V616" s="631"/>
      <c r="W616" s="631"/>
      <c r="X616" s="631"/>
      <c r="Y616" s="631"/>
    </row>
    <row r="617">
      <c r="A617" s="631"/>
      <c r="B617" s="631"/>
      <c r="C617" s="631"/>
      <c r="D617" s="631"/>
      <c r="E617" s="441"/>
      <c r="F617" s="631"/>
      <c r="G617" s="631"/>
      <c r="H617" s="631"/>
      <c r="I617" s="631"/>
      <c r="J617" s="631"/>
      <c r="K617" s="631"/>
      <c r="L617" s="631"/>
      <c r="M617" s="631"/>
      <c r="N617" s="631"/>
      <c r="O617" s="631"/>
      <c r="P617" s="631"/>
      <c r="Q617" s="631"/>
      <c r="R617" s="631"/>
      <c r="S617" s="631"/>
      <c r="T617" s="631"/>
      <c r="U617" s="631"/>
      <c r="V617" s="631"/>
      <c r="W617" s="631"/>
      <c r="X617" s="631"/>
      <c r="Y617" s="631"/>
    </row>
    <row r="618">
      <c r="A618" s="631"/>
      <c r="B618" s="631"/>
      <c r="C618" s="631"/>
      <c r="D618" s="631"/>
      <c r="E618" s="441"/>
      <c r="F618" s="631"/>
      <c r="G618" s="631"/>
      <c r="H618" s="631"/>
      <c r="I618" s="631"/>
      <c r="J618" s="631"/>
      <c r="K618" s="631"/>
      <c r="L618" s="631"/>
      <c r="M618" s="631"/>
      <c r="N618" s="631"/>
      <c r="O618" s="631"/>
      <c r="P618" s="631"/>
      <c r="Q618" s="631"/>
      <c r="R618" s="631"/>
      <c r="S618" s="631"/>
      <c r="T618" s="631"/>
      <c r="U618" s="631"/>
      <c r="V618" s="631"/>
      <c r="W618" s="631"/>
      <c r="X618" s="631"/>
      <c r="Y618" s="631"/>
    </row>
    <row r="619">
      <c r="A619" s="631"/>
      <c r="B619" s="631"/>
      <c r="C619" s="631"/>
      <c r="D619" s="631"/>
      <c r="E619" s="441"/>
      <c r="F619" s="631"/>
      <c r="G619" s="631"/>
      <c r="H619" s="631"/>
      <c r="I619" s="631"/>
      <c r="J619" s="631"/>
      <c r="K619" s="631"/>
      <c r="L619" s="631"/>
      <c r="M619" s="631"/>
      <c r="N619" s="631"/>
      <c r="O619" s="631"/>
      <c r="P619" s="631"/>
      <c r="Q619" s="631"/>
      <c r="R619" s="631"/>
      <c r="S619" s="631"/>
      <c r="T619" s="631"/>
      <c r="U619" s="631"/>
      <c r="V619" s="631"/>
      <c r="W619" s="631"/>
      <c r="X619" s="631"/>
      <c r="Y619" s="631"/>
    </row>
    <row r="620">
      <c r="A620" s="631"/>
      <c r="B620" s="631"/>
      <c r="C620" s="631"/>
      <c r="D620" s="631"/>
      <c r="E620" s="441"/>
      <c r="F620" s="631"/>
      <c r="G620" s="631"/>
      <c r="H620" s="631"/>
      <c r="I620" s="631"/>
      <c r="J620" s="631"/>
      <c r="K620" s="631"/>
      <c r="L620" s="631"/>
      <c r="M620" s="631"/>
      <c r="N620" s="631"/>
      <c r="O620" s="631"/>
      <c r="P620" s="631"/>
      <c r="Q620" s="631"/>
      <c r="R620" s="631"/>
      <c r="S620" s="631"/>
      <c r="T620" s="631"/>
      <c r="U620" s="631"/>
      <c r="V620" s="631"/>
      <c r="W620" s="631"/>
      <c r="X620" s="631"/>
      <c r="Y620" s="631"/>
    </row>
    <row r="621">
      <c r="A621" s="631"/>
      <c r="B621" s="631"/>
      <c r="C621" s="631"/>
      <c r="D621" s="631"/>
      <c r="E621" s="441"/>
      <c r="F621" s="631"/>
      <c r="G621" s="631"/>
      <c r="H621" s="631"/>
      <c r="I621" s="631"/>
      <c r="J621" s="631"/>
      <c r="K621" s="631"/>
      <c r="L621" s="631"/>
      <c r="M621" s="631"/>
      <c r="N621" s="631"/>
      <c r="O621" s="631"/>
      <c r="P621" s="631"/>
      <c r="Q621" s="631"/>
      <c r="R621" s="631"/>
      <c r="S621" s="631"/>
      <c r="T621" s="631"/>
      <c r="U621" s="631"/>
      <c r="V621" s="631"/>
      <c r="W621" s="631"/>
      <c r="X621" s="631"/>
      <c r="Y621" s="631"/>
    </row>
    <row r="622">
      <c r="A622" s="631"/>
      <c r="B622" s="631"/>
      <c r="C622" s="631"/>
      <c r="D622" s="631"/>
      <c r="E622" s="441"/>
      <c r="F622" s="631"/>
      <c r="G622" s="631"/>
      <c r="H622" s="631"/>
      <c r="I622" s="631"/>
      <c r="J622" s="631"/>
      <c r="K622" s="631"/>
      <c r="L622" s="631"/>
      <c r="M622" s="631"/>
      <c r="N622" s="631"/>
      <c r="O622" s="631"/>
      <c r="P622" s="631"/>
      <c r="Q622" s="631"/>
      <c r="R622" s="631"/>
      <c r="S622" s="631"/>
      <c r="T622" s="631"/>
      <c r="U622" s="631"/>
      <c r="V622" s="631"/>
      <c r="W622" s="631"/>
      <c r="X622" s="631"/>
      <c r="Y622" s="631"/>
    </row>
    <row r="623">
      <c r="A623" s="631"/>
      <c r="B623" s="631"/>
      <c r="C623" s="631"/>
      <c r="D623" s="631"/>
      <c r="E623" s="441"/>
      <c r="F623" s="631"/>
      <c r="G623" s="631"/>
      <c r="H623" s="631"/>
      <c r="I623" s="631"/>
      <c r="J623" s="631"/>
      <c r="K623" s="631"/>
      <c r="L623" s="631"/>
      <c r="M623" s="631"/>
      <c r="N623" s="631"/>
      <c r="O623" s="631"/>
      <c r="P623" s="631"/>
      <c r="Q623" s="631"/>
      <c r="R623" s="631"/>
      <c r="S623" s="631"/>
      <c r="T623" s="631"/>
      <c r="U623" s="631"/>
      <c r="V623" s="631"/>
      <c r="W623" s="631"/>
      <c r="X623" s="631"/>
      <c r="Y623" s="631"/>
    </row>
    <row r="624">
      <c r="A624" s="631"/>
      <c r="B624" s="631"/>
      <c r="C624" s="631"/>
      <c r="D624" s="631"/>
      <c r="E624" s="441"/>
      <c r="F624" s="631"/>
      <c r="G624" s="631"/>
      <c r="H624" s="631"/>
      <c r="I624" s="631"/>
      <c r="J624" s="631"/>
      <c r="K624" s="631"/>
      <c r="L624" s="631"/>
      <c r="M624" s="631"/>
      <c r="N624" s="631"/>
      <c r="O624" s="631"/>
      <c r="P624" s="631"/>
      <c r="Q624" s="631"/>
      <c r="R624" s="631"/>
      <c r="S624" s="631"/>
      <c r="T624" s="631"/>
      <c r="U624" s="631"/>
      <c r="V624" s="631"/>
      <c r="W624" s="631"/>
      <c r="X624" s="631"/>
      <c r="Y624" s="631"/>
    </row>
    <row r="625">
      <c r="A625" s="631"/>
      <c r="B625" s="631"/>
      <c r="C625" s="631"/>
      <c r="D625" s="631"/>
      <c r="E625" s="441"/>
      <c r="F625" s="631"/>
      <c r="G625" s="631"/>
      <c r="H625" s="631"/>
      <c r="I625" s="631"/>
      <c r="J625" s="631"/>
      <c r="K625" s="631"/>
      <c r="L625" s="631"/>
      <c r="M625" s="631"/>
      <c r="N625" s="631"/>
      <c r="O625" s="631"/>
      <c r="P625" s="631"/>
      <c r="Q625" s="631"/>
      <c r="R625" s="631"/>
      <c r="S625" s="631"/>
      <c r="T625" s="631"/>
      <c r="U625" s="631"/>
      <c r="V625" s="631"/>
      <c r="W625" s="631"/>
      <c r="X625" s="631"/>
      <c r="Y625" s="631"/>
    </row>
    <row r="626">
      <c r="A626" s="631"/>
      <c r="B626" s="631"/>
      <c r="C626" s="631"/>
      <c r="D626" s="631"/>
      <c r="E626" s="441"/>
      <c r="F626" s="631"/>
      <c r="G626" s="631"/>
      <c r="H626" s="631"/>
      <c r="I626" s="631"/>
      <c r="J626" s="631"/>
      <c r="K626" s="631"/>
      <c r="L626" s="631"/>
      <c r="M626" s="631"/>
      <c r="N626" s="631"/>
      <c r="O626" s="631"/>
      <c r="P626" s="631"/>
      <c r="Q626" s="631"/>
      <c r="R626" s="631"/>
      <c r="S626" s="631"/>
      <c r="T626" s="631"/>
      <c r="U626" s="631"/>
      <c r="V626" s="631"/>
      <c r="W626" s="631"/>
      <c r="X626" s="631"/>
      <c r="Y626" s="631"/>
    </row>
    <row r="627">
      <c r="A627" s="631"/>
      <c r="B627" s="631"/>
      <c r="C627" s="631"/>
      <c r="D627" s="631"/>
      <c r="E627" s="441"/>
      <c r="F627" s="631"/>
      <c r="G627" s="631"/>
      <c r="H627" s="631"/>
      <c r="I627" s="631"/>
      <c r="J627" s="631"/>
      <c r="K627" s="631"/>
      <c r="L627" s="631"/>
      <c r="M627" s="631"/>
      <c r="N627" s="631"/>
      <c r="O627" s="631"/>
      <c r="P627" s="631"/>
      <c r="Q627" s="631"/>
      <c r="R627" s="631"/>
      <c r="S627" s="631"/>
      <c r="T627" s="631"/>
      <c r="U627" s="631"/>
      <c r="V627" s="631"/>
      <c r="W627" s="631"/>
      <c r="X627" s="631"/>
      <c r="Y627" s="631"/>
    </row>
    <row r="628">
      <c r="A628" s="631"/>
      <c r="B628" s="631"/>
      <c r="C628" s="631"/>
      <c r="D628" s="631"/>
      <c r="E628" s="441"/>
      <c r="F628" s="631"/>
      <c r="G628" s="631"/>
      <c r="H628" s="631"/>
      <c r="I628" s="631"/>
      <c r="J628" s="631"/>
      <c r="K628" s="631"/>
      <c r="L628" s="631"/>
      <c r="M628" s="631"/>
      <c r="N628" s="631"/>
      <c r="O628" s="631"/>
      <c r="P628" s="631"/>
      <c r="Q628" s="631"/>
      <c r="R628" s="631"/>
      <c r="S628" s="631"/>
      <c r="T628" s="631"/>
      <c r="U628" s="631"/>
      <c r="V628" s="631"/>
      <c r="W628" s="631"/>
      <c r="X628" s="631"/>
      <c r="Y628" s="631"/>
    </row>
    <row r="629">
      <c r="A629" s="631"/>
      <c r="B629" s="631"/>
      <c r="C629" s="631"/>
      <c r="D629" s="631"/>
      <c r="E629" s="441"/>
      <c r="F629" s="631"/>
      <c r="G629" s="631"/>
      <c r="H629" s="631"/>
      <c r="I629" s="631"/>
      <c r="J629" s="631"/>
      <c r="K629" s="631"/>
      <c r="L629" s="631"/>
      <c r="M629" s="631"/>
      <c r="N629" s="631"/>
      <c r="O629" s="631"/>
      <c r="P629" s="631"/>
      <c r="Q629" s="631"/>
      <c r="R629" s="631"/>
      <c r="S629" s="631"/>
      <c r="T629" s="631"/>
      <c r="U629" s="631"/>
      <c r="V629" s="631"/>
      <c r="W629" s="631"/>
      <c r="X629" s="631"/>
      <c r="Y629" s="631"/>
    </row>
    <row r="630">
      <c r="A630" s="631"/>
      <c r="B630" s="631"/>
      <c r="C630" s="631"/>
      <c r="D630" s="631"/>
      <c r="E630" s="441"/>
      <c r="F630" s="631"/>
      <c r="G630" s="631"/>
      <c r="H630" s="631"/>
      <c r="I630" s="631"/>
      <c r="J630" s="631"/>
      <c r="K630" s="631"/>
      <c r="L630" s="631"/>
      <c r="M630" s="631"/>
      <c r="N630" s="631"/>
      <c r="O630" s="631"/>
      <c r="P630" s="631"/>
      <c r="Q630" s="631"/>
      <c r="R630" s="631"/>
      <c r="S630" s="631"/>
      <c r="T630" s="631"/>
      <c r="U630" s="631"/>
      <c r="V630" s="631"/>
      <c r="W630" s="631"/>
      <c r="X630" s="631"/>
      <c r="Y630" s="631"/>
    </row>
    <row r="631">
      <c r="A631" s="631"/>
      <c r="B631" s="631"/>
      <c r="C631" s="631"/>
      <c r="D631" s="631"/>
      <c r="E631" s="441"/>
      <c r="F631" s="631"/>
      <c r="G631" s="631"/>
      <c r="H631" s="631"/>
      <c r="I631" s="631"/>
      <c r="J631" s="631"/>
      <c r="K631" s="631"/>
      <c r="L631" s="631"/>
      <c r="M631" s="631"/>
      <c r="N631" s="631"/>
      <c r="O631" s="631"/>
      <c r="P631" s="631"/>
      <c r="Q631" s="631"/>
      <c r="R631" s="631"/>
      <c r="S631" s="631"/>
      <c r="T631" s="631"/>
      <c r="U631" s="631"/>
      <c r="V631" s="631"/>
      <c r="W631" s="631"/>
      <c r="X631" s="631"/>
      <c r="Y631" s="631"/>
    </row>
    <row r="632">
      <c r="A632" s="631"/>
      <c r="B632" s="631"/>
      <c r="C632" s="631"/>
      <c r="D632" s="631"/>
      <c r="E632" s="441"/>
      <c r="F632" s="631"/>
      <c r="G632" s="631"/>
      <c r="H632" s="631"/>
      <c r="I632" s="631"/>
      <c r="J632" s="631"/>
      <c r="K632" s="631"/>
      <c r="L632" s="631"/>
      <c r="M632" s="631"/>
      <c r="N632" s="631"/>
      <c r="O632" s="631"/>
      <c r="P632" s="631"/>
      <c r="Q632" s="631"/>
      <c r="R632" s="631"/>
      <c r="S632" s="631"/>
      <c r="T632" s="631"/>
      <c r="U632" s="631"/>
      <c r="V632" s="631"/>
      <c r="W632" s="631"/>
      <c r="X632" s="631"/>
      <c r="Y632" s="631"/>
    </row>
    <row r="633">
      <c r="A633" s="631"/>
      <c r="B633" s="631"/>
      <c r="C633" s="631"/>
      <c r="D633" s="631"/>
      <c r="E633" s="441"/>
      <c r="F633" s="631"/>
      <c r="G633" s="631"/>
      <c r="H633" s="631"/>
      <c r="I633" s="631"/>
      <c r="J633" s="631"/>
      <c r="K633" s="631"/>
      <c r="L633" s="631"/>
      <c r="M633" s="631"/>
      <c r="N633" s="631"/>
      <c r="O633" s="631"/>
      <c r="P633" s="631"/>
      <c r="Q633" s="631"/>
      <c r="R633" s="631"/>
      <c r="S633" s="631"/>
      <c r="T633" s="631"/>
      <c r="U633" s="631"/>
      <c r="V633" s="631"/>
      <c r="W633" s="631"/>
      <c r="X633" s="631"/>
      <c r="Y633" s="631"/>
    </row>
    <row r="634">
      <c r="A634" s="631"/>
      <c r="B634" s="631"/>
      <c r="C634" s="631"/>
      <c r="D634" s="631"/>
      <c r="E634" s="441"/>
      <c r="F634" s="631"/>
      <c r="G634" s="631"/>
      <c r="H634" s="631"/>
      <c r="I634" s="631"/>
      <c r="J634" s="631"/>
      <c r="K634" s="631"/>
      <c r="L634" s="631"/>
      <c r="M634" s="631"/>
      <c r="N634" s="631"/>
      <c r="O634" s="631"/>
      <c r="P634" s="631"/>
      <c r="Q634" s="631"/>
      <c r="R634" s="631"/>
      <c r="S634" s="631"/>
      <c r="T634" s="631"/>
      <c r="U634" s="631"/>
      <c r="V634" s="631"/>
      <c r="W634" s="631"/>
      <c r="X634" s="631"/>
      <c r="Y634" s="631"/>
    </row>
    <row r="635">
      <c r="A635" s="631"/>
      <c r="B635" s="631"/>
      <c r="C635" s="631"/>
      <c r="D635" s="631"/>
      <c r="E635" s="441"/>
      <c r="F635" s="631"/>
      <c r="G635" s="631"/>
      <c r="H635" s="631"/>
      <c r="I635" s="631"/>
      <c r="J635" s="631"/>
      <c r="K635" s="631"/>
      <c r="L635" s="631"/>
      <c r="M635" s="631"/>
      <c r="N635" s="631"/>
      <c r="O635" s="631"/>
      <c r="P635" s="631"/>
      <c r="Q635" s="631"/>
      <c r="R635" s="631"/>
      <c r="S635" s="631"/>
      <c r="T635" s="631"/>
      <c r="U635" s="631"/>
      <c r="V635" s="631"/>
      <c r="W635" s="631"/>
      <c r="X635" s="631"/>
      <c r="Y635" s="631"/>
    </row>
    <row r="636">
      <c r="A636" s="631"/>
      <c r="B636" s="631"/>
      <c r="C636" s="631"/>
      <c r="D636" s="631"/>
      <c r="E636" s="441"/>
      <c r="F636" s="631"/>
      <c r="G636" s="631"/>
      <c r="H636" s="631"/>
      <c r="I636" s="631"/>
      <c r="J636" s="631"/>
      <c r="K636" s="631"/>
      <c r="L636" s="631"/>
      <c r="M636" s="631"/>
      <c r="N636" s="631"/>
      <c r="O636" s="631"/>
      <c r="P636" s="631"/>
      <c r="Q636" s="631"/>
      <c r="R636" s="631"/>
      <c r="S636" s="631"/>
      <c r="T636" s="631"/>
      <c r="U636" s="631"/>
      <c r="V636" s="631"/>
      <c r="W636" s="631"/>
      <c r="X636" s="631"/>
      <c r="Y636" s="631"/>
    </row>
    <row r="637">
      <c r="A637" s="631"/>
      <c r="B637" s="631"/>
      <c r="C637" s="631"/>
      <c r="D637" s="631"/>
      <c r="E637" s="441"/>
      <c r="F637" s="631"/>
      <c r="G637" s="631"/>
      <c r="H637" s="631"/>
      <c r="I637" s="631"/>
      <c r="J637" s="631"/>
      <c r="K637" s="631"/>
      <c r="L637" s="631"/>
      <c r="M637" s="631"/>
      <c r="N637" s="631"/>
      <c r="O637" s="631"/>
      <c r="P637" s="631"/>
      <c r="Q637" s="631"/>
      <c r="R637" s="631"/>
      <c r="S637" s="631"/>
      <c r="T637" s="631"/>
      <c r="U637" s="631"/>
      <c r="V637" s="631"/>
      <c r="W637" s="631"/>
      <c r="X637" s="631"/>
      <c r="Y637" s="631"/>
    </row>
    <row r="638">
      <c r="A638" s="631"/>
      <c r="B638" s="631"/>
      <c r="C638" s="631"/>
      <c r="D638" s="631"/>
      <c r="E638" s="441"/>
      <c r="F638" s="631"/>
      <c r="G638" s="631"/>
      <c r="H638" s="631"/>
      <c r="I638" s="631"/>
      <c r="J638" s="631"/>
      <c r="K638" s="631"/>
      <c r="L638" s="631"/>
      <c r="M638" s="631"/>
      <c r="N638" s="631"/>
      <c r="O638" s="631"/>
      <c r="P638" s="631"/>
      <c r="Q638" s="631"/>
      <c r="R638" s="631"/>
      <c r="S638" s="631"/>
      <c r="T638" s="631"/>
      <c r="U638" s="631"/>
      <c r="V638" s="631"/>
      <c r="W638" s="631"/>
      <c r="X638" s="631"/>
      <c r="Y638" s="631"/>
    </row>
    <row r="639">
      <c r="A639" s="631"/>
      <c r="B639" s="631"/>
      <c r="C639" s="631"/>
      <c r="D639" s="631"/>
      <c r="E639" s="441"/>
      <c r="F639" s="631"/>
      <c r="G639" s="631"/>
      <c r="H639" s="631"/>
      <c r="I639" s="631"/>
      <c r="J639" s="631"/>
      <c r="K639" s="631"/>
      <c r="L639" s="631"/>
      <c r="M639" s="631"/>
      <c r="N639" s="631"/>
      <c r="O639" s="631"/>
      <c r="P639" s="631"/>
      <c r="Q639" s="631"/>
      <c r="R639" s="631"/>
      <c r="S639" s="631"/>
      <c r="T639" s="631"/>
      <c r="U639" s="631"/>
      <c r="V639" s="631"/>
      <c r="W639" s="631"/>
      <c r="X639" s="631"/>
      <c r="Y639" s="631"/>
    </row>
    <row r="640">
      <c r="A640" s="631"/>
      <c r="B640" s="631"/>
      <c r="C640" s="631"/>
      <c r="D640" s="631"/>
      <c r="E640" s="441"/>
      <c r="F640" s="631"/>
      <c r="G640" s="631"/>
      <c r="H640" s="631"/>
      <c r="I640" s="631"/>
      <c r="J640" s="631"/>
      <c r="K640" s="631"/>
      <c r="L640" s="631"/>
      <c r="M640" s="631"/>
      <c r="N640" s="631"/>
      <c r="O640" s="631"/>
      <c r="P640" s="631"/>
      <c r="Q640" s="631"/>
      <c r="R640" s="631"/>
      <c r="S640" s="631"/>
      <c r="T640" s="631"/>
      <c r="U640" s="631"/>
      <c r="V640" s="631"/>
      <c r="W640" s="631"/>
      <c r="X640" s="631"/>
      <c r="Y640" s="631"/>
    </row>
    <row r="641">
      <c r="A641" s="631"/>
      <c r="B641" s="631"/>
      <c r="C641" s="631"/>
      <c r="D641" s="631"/>
      <c r="E641" s="441"/>
      <c r="F641" s="631"/>
      <c r="G641" s="631"/>
      <c r="H641" s="631"/>
      <c r="I641" s="631"/>
      <c r="J641" s="631"/>
      <c r="K641" s="631"/>
      <c r="L641" s="631"/>
      <c r="M641" s="631"/>
      <c r="N641" s="631"/>
      <c r="O641" s="631"/>
      <c r="P641" s="631"/>
      <c r="Q641" s="631"/>
      <c r="R641" s="631"/>
      <c r="S641" s="631"/>
      <c r="T641" s="631"/>
      <c r="U641" s="631"/>
      <c r="V641" s="631"/>
      <c r="W641" s="631"/>
      <c r="X641" s="631"/>
      <c r="Y641" s="631"/>
    </row>
    <row r="642">
      <c r="A642" s="631"/>
      <c r="B642" s="631"/>
      <c r="C642" s="631"/>
      <c r="D642" s="631"/>
      <c r="E642" s="441"/>
      <c r="F642" s="631"/>
      <c r="G642" s="631"/>
      <c r="H642" s="631"/>
      <c r="I642" s="631"/>
      <c r="J642" s="631"/>
      <c r="K642" s="631"/>
      <c r="L642" s="631"/>
      <c r="M642" s="631"/>
      <c r="N642" s="631"/>
      <c r="O642" s="631"/>
      <c r="P642" s="631"/>
      <c r="Q642" s="631"/>
      <c r="R642" s="631"/>
      <c r="S642" s="631"/>
      <c r="T642" s="631"/>
      <c r="U642" s="631"/>
      <c r="V642" s="631"/>
      <c r="W642" s="631"/>
      <c r="X642" s="631"/>
      <c r="Y642" s="631"/>
    </row>
    <row r="643">
      <c r="A643" s="631"/>
      <c r="B643" s="631"/>
      <c r="C643" s="631"/>
      <c r="D643" s="631"/>
      <c r="E643" s="441"/>
      <c r="F643" s="631"/>
      <c r="G643" s="631"/>
      <c r="H643" s="631"/>
      <c r="I643" s="631"/>
      <c r="J643" s="631"/>
      <c r="K643" s="631"/>
      <c r="L643" s="631"/>
      <c r="M643" s="631"/>
      <c r="N643" s="631"/>
      <c r="O643" s="631"/>
      <c r="P643" s="631"/>
      <c r="Q643" s="631"/>
      <c r="R643" s="631"/>
      <c r="S643" s="631"/>
      <c r="T643" s="631"/>
      <c r="U643" s="631"/>
      <c r="V643" s="631"/>
      <c r="W643" s="631"/>
      <c r="X643" s="631"/>
      <c r="Y643" s="631"/>
    </row>
    <row r="644">
      <c r="A644" s="631"/>
      <c r="B644" s="631"/>
      <c r="C644" s="631"/>
      <c r="D644" s="631"/>
      <c r="E644" s="441"/>
      <c r="F644" s="631"/>
      <c r="G644" s="631"/>
      <c r="H644" s="631"/>
      <c r="I644" s="631"/>
      <c r="J644" s="631"/>
      <c r="K644" s="631"/>
      <c r="L644" s="631"/>
      <c r="M644" s="631"/>
      <c r="N644" s="631"/>
      <c r="O644" s="631"/>
      <c r="P644" s="631"/>
      <c r="Q644" s="631"/>
      <c r="R644" s="631"/>
      <c r="S644" s="631"/>
      <c r="T644" s="631"/>
      <c r="U644" s="631"/>
      <c r="V644" s="631"/>
      <c r="W644" s="631"/>
      <c r="X644" s="631"/>
      <c r="Y644" s="631"/>
    </row>
    <row r="645">
      <c r="A645" s="631"/>
      <c r="B645" s="631"/>
      <c r="C645" s="631"/>
      <c r="D645" s="631"/>
      <c r="E645" s="441"/>
      <c r="F645" s="631"/>
      <c r="G645" s="631"/>
      <c r="H645" s="631"/>
      <c r="I645" s="631"/>
      <c r="J645" s="631"/>
      <c r="K645" s="631"/>
      <c r="L645" s="631"/>
      <c r="M645" s="631"/>
      <c r="N645" s="631"/>
      <c r="O645" s="631"/>
      <c r="P645" s="631"/>
      <c r="Q645" s="631"/>
      <c r="R645" s="631"/>
      <c r="S645" s="631"/>
      <c r="T645" s="631"/>
      <c r="U645" s="631"/>
      <c r="V645" s="631"/>
      <c r="W645" s="631"/>
      <c r="X645" s="631"/>
      <c r="Y645" s="631"/>
    </row>
    <row r="646">
      <c r="A646" s="631"/>
      <c r="B646" s="631"/>
      <c r="C646" s="631"/>
      <c r="D646" s="631"/>
      <c r="E646" s="441"/>
      <c r="F646" s="631"/>
      <c r="G646" s="631"/>
      <c r="H646" s="631"/>
      <c r="I646" s="631"/>
      <c r="J646" s="631"/>
      <c r="K646" s="631"/>
      <c r="L646" s="631"/>
      <c r="M646" s="631"/>
      <c r="N646" s="631"/>
      <c r="O646" s="631"/>
      <c r="P646" s="631"/>
      <c r="Q646" s="631"/>
      <c r="R646" s="631"/>
      <c r="S646" s="631"/>
      <c r="T646" s="631"/>
      <c r="U646" s="631"/>
      <c r="V646" s="631"/>
      <c r="W646" s="631"/>
      <c r="X646" s="631"/>
      <c r="Y646" s="631"/>
    </row>
    <row r="647">
      <c r="A647" s="631"/>
      <c r="B647" s="631"/>
      <c r="C647" s="631"/>
      <c r="D647" s="631"/>
      <c r="E647" s="441"/>
      <c r="F647" s="631"/>
      <c r="G647" s="631"/>
      <c r="H647" s="631"/>
      <c r="I647" s="631"/>
      <c r="J647" s="631"/>
      <c r="K647" s="631"/>
      <c r="L647" s="631"/>
      <c r="M647" s="631"/>
      <c r="N647" s="631"/>
      <c r="O647" s="631"/>
      <c r="P647" s="631"/>
      <c r="Q647" s="631"/>
      <c r="R647" s="631"/>
      <c r="S647" s="631"/>
      <c r="T647" s="631"/>
      <c r="U647" s="631"/>
      <c r="V647" s="631"/>
      <c r="W647" s="631"/>
      <c r="X647" s="631"/>
      <c r="Y647" s="631"/>
    </row>
    <row r="648">
      <c r="A648" s="631"/>
      <c r="B648" s="631"/>
      <c r="C648" s="631"/>
      <c r="D648" s="631"/>
      <c r="E648" s="441"/>
      <c r="F648" s="631"/>
      <c r="G648" s="631"/>
      <c r="H648" s="631"/>
      <c r="I648" s="631"/>
      <c r="J648" s="631"/>
      <c r="K648" s="631"/>
      <c r="L648" s="631"/>
      <c r="M648" s="631"/>
      <c r="N648" s="631"/>
      <c r="O648" s="631"/>
      <c r="P648" s="631"/>
      <c r="Q648" s="631"/>
      <c r="R648" s="631"/>
      <c r="S648" s="631"/>
      <c r="T648" s="631"/>
      <c r="U648" s="631"/>
      <c r="V648" s="631"/>
      <c r="W648" s="631"/>
      <c r="X648" s="631"/>
      <c r="Y648" s="631"/>
    </row>
    <row r="649">
      <c r="A649" s="631"/>
      <c r="B649" s="631"/>
      <c r="C649" s="631"/>
      <c r="D649" s="631"/>
      <c r="E649" s="441"/>
      <c r="F649" s="631"/>
      <c r="G649" s="631"/>
      <c r="H649" s="631"/>
      <c r="I649" s="631"/>
      <c r="J649" s="631"/>
      <c r="K649" s="631"/>
      <c r="L649" s="631"/>
      <c r="M649" s="631"/>
      <c r="N649" s="631"/>
      <c r="O649" s="631"/>
      <c r="P649" s="631"/>
      <c r="Q649" s="631"/>
      <c r="R649" s="631"/>
      <c r="S649" s="631"/>
      <c r="T649" s="631"/>
      <c r="U649" s="631"/>
      <c r="V649" s="631"/>
      <c r="W649" s="631"/>
      <c r="X649" s="631"/>
      <c r="Y649" s="631"/>
    </row>
    <row r="650">
      <c r="A650" s="631"/>
      <c r="B650" s="631"/>
      <c r="C650" s="631"/>
      <c r="D650" s="631"/>
      <c r="E650" s="441"/>
      <c r="F650" s="631"/>
      <c r="G650" s="631"/>
      <c r="H650" s="631"/>
      <c r="I650" s="631"/>
      <c r="J650" s="631"/>
      <c r="K650" s="631"/>
      <c r="L650" s="631"/>
      <c r="M650" s="631"/>
      <c r="N650" s="631"/>
      <c r="O650" s="631"/>
      <c r="P650" s="631"/>
      <c r="Q650" s="631"/>
      <c r="R650" s="631"/>
      <c r="S650" s="631"/>
      <c r="T650" s="631"/>
      <c r="U650" s="631"/>
      <c r="V650" s="631"/>
      <c r="W650" s="631"/>
      <c r="X650" s="631"/>
      <c r="Y650" s="631"/>
    </row>
    <row r="651">
      <c r="A651" s="631"/>
      <c r="B651" s="631"/>
      <c r="C651" s="631"/>
      <c r="D651" s="631"/>
      <c r="E651" s="441"/>
      <c r="F651" s="631"/>
      <c r="G651" s="631"/>
      <c r="H651" s="631"/>
      <c r="I651" s="631"/>
      <c r="J651" s="631"/>
      <c r="K651" s="631"/>
      <c r="L651" s="631"/>
      <c r="M651" s="631"/>
      <c r="N651" s="631"/>
      <c r="O651" s="631"/>
      <c r="P651" s="631"/>
      <c r="Q651" s="631"/>
      <c r="R651" s="631"/>
      <c r="S651" s="631"/>
      <c r="T651" s="631"/>
      <c r="U651" s="631"/>
      <c r="V651" s="631"/>
      <c r="W651" s="631"/>
      <c r="X651" s="631"/>
      <c r="Y651" s="631"/>
    </row>
    <row r="652">
      <c r="A652" s="631"/>
      <c r="B652" s="631"/>
      <c r="C652" s="631"/>
      <c r="D652" s="631"/>
      <c r="E652" s="441"/>
      <c r="F652" s="631"/>
      <c r="G652" s="631"/>
      <c r="H652" s="631"/>
      <c r="I652" s="631"/>
      <c r="J652" s="631"/>
      <c r="K652" s="631"/>
      <c r="L652" s="631"/>
      <c r="M652" s="631"/>
      <c r="N652" s="631"/>
      <c r="O652" s="631"/>
      <c r="P652" s="631"/>
      <c r="Q652" s="631"/>
      <c r="R652" s="631"/>
      <c r="S652" s="631"/>
      <c r="T652" s="631"/>
      <c r="U652" s="631"/>
      <c r="V652" s="631"/>
      <c r="W652" s="631"/>
      <c r="X652" s="631"/>
      <c r="Y652" s="631"/>
    </row>
    <row r="653">
      <c r="A653" s="631"/>
      <c r="B653" s="631"/>
      <c r="C653" s="631"/>
      <c r="D653" s="631"/>
      <c r="E653" s="441"/>
      <c r="F653" s="631"/>
      <c r="G653" s="631"/>
      <c r="H653" s="631"/>
      <c r="I653" s="631"/>
      <c r="J653" s="631"/>
      <c r="K653" s="631"/>
      <c r="L653" s="631"/>
      <c r="M653" s="631"/>
      <c r="N653" s="631"/>
      <c r="O653" s="631"/>
      <c r="P653" s="631"/>
      <c r="Q653" s="631"/>
      <c r="R653" s="631"/>
      <c r="S653" s="631"/>
      <c r="T653" s="631"/>
      <c r="U653" s="631"/>
      <c r="V653" s="631"/>
      <c r="W653" s="631"/>
      <c r="X653" s="631"/>
      <c r="Y653" s="631"/>
    </row>
    <row r="654">
      <c r="A654" s="631"/>
      <c r="B654" s="631"/>
      <c r="C654" s="631"/>
      <c r="D654" s="631"/>
      <c r="E654" s="441"/>
      <c r="F654" s="631"/>
      <c r="G654" s="631"/>
      <c r="H654" s="631"/>
      <c r="I654" s="631"/>
      <c r="J654" s="631"/>
      <c r="K654" s="631"/>
      <c r="L654" s="631"/>
      <c r="M654" s="631"/>
      <c r="N654" s="631"/>
      <c r="O654" s="631"/>
      <c r="P654" s="631"/>
      <c r="Q654" s="631"/>
      <c r="R654" s="631"/>
      <c r="S654" s="631"/>
      <c r="T654" s="631"/>
      <c r="U654" s="631"/>
      <c r="V654" s="631"/>
      <c r="W654" s="631"/>
      <c r="X654" s="631"/>
      <c r="Y654" s="631"/>
    </row>
    <row r="655">
      <c r="A655" s="631"/>
      <c r="B655" s="631"/>
      <c r="C655" s="631"/>
      <c r="D655" s="631"/>
      <c r="E655" s="441"/>
      <c r="F655" s="631"/>
      <c r="G655" s="631"/>
      <c r="H655" s="631"/>
      <c r="I655" s="631"/>
      <c r="J655" s="631"/>
      <c r="K655" s="631"/>
      <c r="L655" s="631"/>
      <c r="M655" s="631"/>
      <c r="N655" s="631"/>
      <c r="O655" s="631"/>
      <c r="P655" s="631"/>
      <c r="Q655" s="631"/>
      <c r="R655" s="631"/>
      <c r="S655" s="631"/>
      <c r="T655" s="631"/>
      <c r="U655" s="631"/>
      <c r="V655" s="631"/>
      <c r="W655" s="631"/>
      <c r="X655" s="631"/>
      <c r="Y655" s="631"/>
    </row>
    <row r="656">
      <c r="A656" s="631"/>
      <c r="B656" s="631"/>
      <c r="C656" s="631"/>
      <c r="D656" s="631"/>
      <c r="E656" s="441"/>
      <c r="F656" s="631"/>
      <c r="G656" s="631"/>
      <c r="H656" s="631"/>
      <c r="I656" s="631"/>
      <c r="J656" s="631"/>
      <c r="K656" s="631"/>
      <c r="L656" s="631"/>
      <c r="M656" s="631"/>
      <c r="N656" s="631"/>
      <c r="O656" s="631"/>
      <c r="P656" s="631"/>
      <c r="Q656" s="631"/>
      <c r="R656" s="631"/>
      <c r="S656" s="631"/>
      <c r="T656" s="631"/>
      <c r="U656" s="631"/>
      <c r="V656" s="631"/>
      <c r="W656" s="631"/>
      <c r="X656" s="631"/>
      <c r="Y656" s="631"/>
    </row>
    <row r="657">
      <c r="A657" s="631"/>
      <c r="B657" s="631"/>
      <c r="C657" s="631"/>
      <c r="D657" s="631"/>
      <c r="E657" s="441"/>
      <c r="F657" s="631"/>
      <c r="G657" s="631"/>
      <c r="H657" s="631"/>
      <c r="I657" s="631"/>
      <c r="J657" s="631"/>
      <c r="K657" s="631"/>
      <c r="L657" s="631"/>
      <c r="M657" s="631"/>
      <c r="N657" s="631"/>
      <c r="O657" s="631"/>
      <c r="P657" s="631"/>
      <c r="Q657" s="631"/>
      <c r="R657" s="631"/>
      <c r="S657" s="631"/>
      <c r="T657" s="631"/>
      <c r="U657" s="631"/>
      <c r="V657" s="631"/>
      <c r="W657" s="631"/>
      <c r="X657" s="631"/>
      <c r="Y657" s="631"/>
    </row>
    <row r="658">
      <c r="A658" s="631"/>
      <c r="B658" s="631"/>
      <c r="C658" s="631"/>
      <c r="D658" s="631"/>
      <c r="E658" s="441"/>
      <c r="F658" s="631"/>
      <c r="G658" s="631"/>
      <c r="H658" s="631"/>
      <c r="I658" s="631"/>
      <c r="J658" s="631"/>
      <c r="K658" s="631"/>
      <c r="L658" s="631"/>
      <c r="M658" s="631"/>
      <c r="N658" s="631"/>
      <c r="O658" s="631"/>
      <c r="P658" s="631"/>
      <c r="Q658" s="631"/>
      <c r="R658" s="631"/>
      <c r="S658" s="631"/>
      <c r="T658" s="631"/>
      <c r="U658" s="631"/>
      <c r="V658" s="631"/>
      <c r="W658" s="631"/>
      <c r="X658" s="631"/>
      <c r="Y658" s="631"/>
    </row>
    <row r="659">
      <c r="A659" s="631"/>
      <c r="B659" s="631"/>
      <c r="C659" s="631"/>
      <c r="D659" s="631"/>
      <c r="E659" s="441"/>
      <c r="F659" s="631"/>
      <c r="G659" s="631"/>
      <c r="H659" s="631"/>
      <c r="I659" s="631"/>
      <c r="J659" s="631"/>
      <c r="K659" s="631"/>
      <c r="L659" s="631"/>
      <c r="M659" s="631"/>
      <c r="N659" s="631"/>
      <c r="O659" s="631"/>
      <c r="P659" s="631"/>
      <c r="Q659" s="631"/>
      <c r="R659" s="631"/>
      <c r="S659" s="631"/>
      <c r="T659" s="631"/>
      <c r="U659" s="631"/>
      <c r="V659" s="631"/>
      <c r="W659" s="631"/>
      <c r="X659" s="631"/>
      <c r="Y659" s="631"/>
    </row>
    <row r="660">
      <c r="A660" s="631"/>
      <c r="B660" s="631"/>
      <c r="C660" s="631"/>
      <c r="D660" s="631"/>
      <c r="E660" s="441"/>
      <c r="F660" s="631"/>
      <c r="G660" s="631"/>
      <c r="H660" s="631"/>
      <c r="I660" s="631"/>
      <c r="J660" s="631"/>
      <c r="K660" s="631"/>
      <c r="L660" s="631"/>
      <c r="M660" s="631"/>
      <c r="N660" s="631"/>
      <c r="O660" s="631"/>
      <c r="P660" s="631"/>
      <c r="Q660" s="631"/>
      <c r="R660" s="631"/>
      <c r="S660" s="631"/>
      <c r="T660" s="631"/>
      <c r="U660" s="631"/>
      <c r="V660" s="631"/>
      <c r="W660" s="631"/>
      <c r="X660" s="631"/>
      <c r="Y660" s="631"/>
    </row>
    <row r="661">
      <c r="A661" s="631"/>
      <c r="B661" s="631"/>
      <c r="C661" s="631"/>
      <c r="D661" s="631"/>
      <c r="E661" s="441"/>
      <c r="F661" s="631"/>
      <c r="G661" s="631"/>
      <c r="H661" s="631"/>
      <c r="I661" s="631"/>
      <c r="J661" s="631"/>
      <c r="K661" s="631"/>
      <c r="L661" s="631"/>
      <c r="M661" s="631"/>
      <c r="N661" s="631"/>
      <c r="O661" s="631"/>
      <c r="P661" s="631"/>
      <c r="Q661" s="631"/>
      <c r="R661" s="631"/>
      <c r="S661" s="631"/>
      <c r="T661" s="631"/>
      <c r="U661" s="631"/>
      <c r="V661" s="631"/>
      <c r="W661" s="631"/>
      <c r="X661" s="631"/>
      <c r="Y661" s="631"/>
    </row>
    <row r="662">
      <c r="A662" s="631"/>
      <c r="B662" s="631"/>
      <c r="C662" s="631"/>
      <c r="D662" s="631"/>
      <c r="E662" s="441"/>
      <c r="F662" s="631"/>
      <c r="G662" s="631"/>
      <c r="H662" s="631"/>
      <c r="I662" s="631"/>
      <c r="J662" s="631"/>
      <c r="K662" s="631"/>
      <c r="L662" s="631"/>
      <c r="M662" s="631"/>
      <c r="N662" s="631"/>
      <c r="O662" s="631"/>
      <c r="P662" s="631"/>
      <c r="Q662" s="631"/>
      <c r="R662" s="631"/>
      <c r="S662" s="631"/>
      <c r="T662" s="631"/>
      <c r="U662" s="631"/>
      <c r="V662" s="631"/>
      <c r="W662" s="631"/>
      <c r="X662" s="631"/>
      <c r="Y662" s="631"/>
    </row>
    <row r="663">
      <c r="A663" s="631"/>
      <c r="B663" s="631"/>
      <c r="C663" s="631"/>
      <c r="D663" s="631"/>
      <c r="E663" s="441"/>
      <c r="F663" s="631"/>
      <c r="G663" s="631"/>
      <c r="H663" s="631"/>
      <c r="I663" s="631"/>
      <c r="J663" s="631"/>
      <c r="K663" s="631"/>
      <c r="L663" s="631"/>
      <c r="M663" s="631"/>
      <c r="N663" s="631"/>
      <c r="O663" s="631"/>
      <c r="P663" s="631"/>
      <c r="Q663" s="631"/>
      <c r="R663" s="631"/>
      <c r="S663" s="631"/>
      <c r="T663" s="631"/>
      <c r="U663" s="631"/>
      <c r="V663" s="631"/>
      <c r="W663" s="631"/>
      <c r="X663" s="631"/>
      <c r="Y663" s="631"/>
    </row>
    <row r="664">
      <c r="A664" s="631"/>
      <c r="B664" s="631"/>
      <c r="C664" s="631"/>
      <c r="D664" s="631"/>
      <c r="E664" s="441"/>
      <c r="F664" s="631"/>
      <c r="G664" s="631"/>
      <c r="H664" s="631"/>
      <c r="I664" s="631"/>
      <c r="J664" s="631"/>
      <c r="K664" s="631"/>
      <c r="L664" s="631"/>
      <c r="M664" s="631"/>
      <c r="N664" s="631"/>
      <c r="O664" s="631"/>
      <c r="P664" s="631"/>
      <c r="Q664" s="631"/>
      <c r="R664" s="631"/>
      <c r="S664" s="631"/>
      <c r="T664" s="631"/>
      <c r="U664" s="631"/>
      <c r="V664" s="631"/>
      <c r="W664" s="631"/>
      <c r="X664" s="631"/>
      <c r="Y664" s="631"/>
    </row>
    <row r="665">
      <c r="A665" s="631"/>
      <c r="B665" s="631"/>
      <c r="C665" s="631"/>
      <c r="D665" s="631"/>
      <c r="E665" s="441"/>
      <c r="F665" s="631"/>
      <c r="G665" s="631"/>
      <c r="H665" s="631"/>
      <c r="I665" s="631"/>
      <c r="J665" s="631"/>
      <c r="K665" s="631"/>
      <c r="L665" s="631"/>
      <c r="M665" s="631"/>
      <c r="N665" s="631"/>
      <c r="O665" s="631"/>
      <c r="P665" s="631"/>
      <c r="Q665" s="631"/>
      <c r="R665" s="631"/>
      <c r="S665" s="631"/>
      <c r="T665" s="631"/>
      <c r="U665" s="631"/>
      <c r="V665" s="631"/>
      <c r="W665" s="631"/>
      <c r="X665" s="631"/>
      <c r="Y665" s="631"/>
    </row>
    <row r="666">
      <c r="A666" s="631"/>
      <c r="B666" s="631"/>
      <c r="C666" s="631"/>
      <c r="D666" s="631"/>
      <c r="E666" s="441"/>
      <c r="F666" s="631"/>
      <c r="G666" s="631"/>
      <c r="H666" s="631"/>
      <c r="I666" s="631"/>
      <c r="J666" s="631"/>
      <c r="K666" s="631"/>
      <c r="L666" s="631"/>
      <c r="M666" s="631"/>
      <c r="N666" s="631"/>
      <c r="O666" s="631"/>
      <c r="P666" s="631"/>
      <c r="Q666" s="631"/>
      <c r="R666" s="631"/>
      <c r="S666" s="631"/>
      <c r="T666" s="631"/>
      <c r="U666" s="631"/>
      <c r="V666" s="631"/>
      <c r="W666" s="631"/>
      <c r="X666" s="631"/>
      <c r="Y666" s="631"/>
    </row>
    <row r="667">
      <c r="A667" s="631"/>
      <c r="B667" s="631"/>
      <c r="C667" s="631"/>
      <c r="D667" s="631"/>
      <c r="E667" s="441"/>
      <c r="F667" s="631"/>
      <c r="G667" s="631"/>
      <c r="H667" s="631"/>
      <c r="I667" s="631"/>
      <c r="J667" s="631"/>
      <c r="K667" s="631"/>
      <c r="L667" s="631"/>
      <c r="M667" s="631"/>
      <c r="N667" s="631"/>
      <c r="O667" s="631"/>
      <c r="P667" s="631"/>
      <c r="Q667" s="631"/>
      <c r="R667" s="631"/>
      <c r="S667" s="631"/>
      <c r="T667" s="631"/>
      <c r="U667" s="631"/>
      <c r="V667" s="631"/>
      <c r="W667" s="631"/>
      <c r="X667" s="631"/>
      <c r="Y667" s="631"/>
    </row>
    <row r="668">
      <c r="A668" s="631"/>
      <c r="B668" s="631"/>
      <c r="C668" s="631"/>
      <c r="D668" s="631"/>
      <c r="E668" s="441"/>
      <c r="F668" s="631"/>
      <c r="G668" s="631"/>
      <c r="H668" s="631"/>
      <c r="I668" s="631"/>
      <c r="J668" s="631"/>
      <c r="K668" s="631"/>
      <c r="L668" s="631"/>
      <c r="M668" s="631"/>
      <c r="N668" s="631"/>
      <c r="O668" s="631"/>
      <c r="P668" s="631"/>
      <c r="Q668" s="631"/>
      <c r="R668" s="631"/>
      <c r="S668" s="631"/>
      <c r="T668" s="631"/>
      <c r="U668" s="631"/>
      <c r="V668" s="631"/>
      <c r="W668" s="631"/>
      <c r="X668" s="631"/>
      <c r="Y668" s="631"/>
    </row>
    <row r="669">
      <c r="A669" s="631"/>
      <c r="B669" s="631"/>
      <c r="C669" s="631"/>
      <c r="D669" s="631"/>
      <c r="E669" s="441"/>
      <c r="F669" s="631"/>
      <c r="G669" s="631"/>
      <c r="H669" s="631"/>
      <c r="I669" s="631"/>
      <c r="J669" s="631"/>
      <c r="K669" s="631"/>
      <c r="L669" s="631"/>
      <c r="M669" s="631"/>
      <c r="N669" s="631"/>
      <c r="O669" s="631"/>
      <c r="P669" s="631"/>
      <c r="Q669" s="631"/>
      <c r="R669" s="631"/>
      <c r="S669" s="631"/>
      <c r="T669" s="631"/>
      <c r="U669" s="631"/>
      <c r="V669" s="631"/>
      <c r="W669" s="631"/>
      <c r="X669" s="631"/>
      <c r="Y669" s="631"/>
    </row>
    <row r="670">
      <c r="A670" s="631"/>
      <c r="B670" s="631"/>
      <c r="C670" s="631"/>
      <c r="D670" s="631"/>
      <c r="E670" s="441"/>
      <c r="F670" s="631"/>
      <c r="G670" s="631"/>
      <c r="H670" s="631"/>
      <c r="I670" s="631"/>
      <c r="J670" s="631"/>
      <c r="K670" s="631"/>
      <c r="L670" s="631"/>
      <c r="M670" s="631"/>
      <c r="N670" s="631"/>
      <c r="O670" s="631"/>
      <c r="P670" s="631"/>
      <c r="Q670" s="631"/>
      <c r="R670" s="631"/>
      <c r="S670" s="631"/>
      <c r="T670" s="631"/>
      <c r="U670" s="631"/>
      <c r="V670" s="631"/>
      <c r="W670" s="631"/>
      <c r="X670" s="631"/>
      <c r="Y670" s="631"/>
    </row>
    <row r="671">
      <c r="A671" s="631"/>
      <c r="B671" s="631"/>
      <c r="C671" s="631"/>
      <c r="D671" s="631"/>
      <c r="E671" s="441"/>
      <c r="F671" s="631"/>
      <c r="G671" s="631"/>
      <c r="H671" s="631"/>
      <c r="I671" s="631"/>
      <c r="J671" s="631"/>
      <c r="K671" s="631"/>
      <c r="L671" s="631"/>
      <c r="M671" s="631"/>
      <c r="N671" s="631"/>
      <c r="O671" s="631"/>
      <c r="P671" s="631"/>
      <c r="Q671" s="631"/>
      <c r="R671" s="631"/>
      <c r="S671" s="631"/>
      <c r="T671" s="631"/>
      <c r="U671" s="631"/>
      <c r="V671" s="631"/>
      <c r="W671" s="631"/>
      <c r="X671" s="631"/>
      <c r="Y671" s="631"/>
    </row>
    <row r="672">
      <c r="A672" s="631"/>
      <c r="B672" s="631"/>
      <c r="C672" s="631"/>
      <c r="D672" s="631"/>
      <c r="E672" s="441"/>
      <c r="F672" s="631"/>
      <c r="G672" s="631"/>
      <c r="H672" s="631"/>
      <c r="I672" s="631"/>
      <c r="J672" s="631"/>
      <c r="K672" s="631"/>
      <c r="L672" s="631"/>
      <c r="M672" s="631"/>
      <c r="N672" s="631"/>
      <c r="O672" s="631"/>
      <c r="P672" s="631"/>
      <c r="Q672" s="631"/>
      <c r="R672" s="631"/>
      <c r="S672" s="631"/>
      <c r="T672" s="631"/>
      <c r="U672" s="631"/>
      <c r="V672" s="631"/>
      <c r="W672" s="631"/>
      <c r="X672" s="631"/>
      <c r="Y672" s="631"/>
    </row>
    <row r="673">
      <c r="A673" s="631"/>
      <c r="B673" s="631"/>
      <c r="C673" s="631"/>
      <c r="D673" s="631"/>
      <c r="E673" s="441"/>
      <c r="F673" s="631"/>
      <c r="G673" s="631"/>
      <c r="H673" s="631"/>
      <c r="I673" s="631"/>
      <c r="J673" s="631"/>
      <c r="K673" s="631"/>
      <c r="L673" s="631"/>
      <c r="M673" s="631"/>
      <c r="N673" s="631"/>
      <c r="O673" s="631"/>
      <c r="P673" s="631"/>
      <c r="Q673" s="631"/>
      <c r="R673" s="631"/>
      <c r="S673" s="631"/>
      <c r="T673" s="631"/>
      <c r="U673" s="631"/>
      <c r="V673" s="631"/>
      <c r="W673" s="631"/>
      <c r="X673" s="631"/>
      <c r="Y673" s="631"/>
    </row>
    <row r="674">
      <c r="A674" s="631"/>
      <c r="B674" s="631"/>
      <c r="C674" s="631"/>
      <c r="D674" s="631"/>
      <c r="E674" s="441"/>
      <c r="F674" s="631"/>
      <c r="G674" s="631"/>
      <c r="H674" s="631"/>
      <c r="I674" s="631"/>
      <c r="J674" s="631"/>
      <c r="K674" s="631"/>
      <c r="L674" s="631"/>
      <c r="M674" s="631"/>
      <c r="N674" s="631"/>
      <c r="O674" s="631"/>
      <c r="P674" s="631"/>
      <c r="Q674" s="631"/>
      <c r="R674" s="631"/>
      <c r="S674" s="631"/>
      <c r="T674" s="631"/>
      <c r="U674" s="631"/>
      <c r="V674" s="631"/>
      <c r="W674" s="631"/>
      <c r="X674" s="631"/>
      <c r="Y674" s="631"/>
    </row>
    <row r="675">
      <c r="A675" s="631"/>
      <c r="B675" s="631"/>
      <c r="C675" s="631"/>
      <c r="D675" s="631"/>
      <c r="E675" s="441"/>
      <c r="F675" s="631"/>
      <c r="G675" s="631"/>
      <c r="H675" s="631"/>
      <c r="I675" s="631"/>
      <c r="J675" s="631"/>
      <c r="K675" s="631"/>
      <c r="L675" s="631"/>
      <c r="M675" s="631"/>
      <c r="N675" s="631"/>
      <c r="O675" s="631"/>
      <c r="P675" s="631"/>
      <c r="Q675" s="631"/>
      <c r="R675" s="631"/>
      <c r="S675" s="631"/>
      <c r="T675" s="631"/>
      <c r="U675" s="631"/>
      <c r="V675" s="631"/>
      <c r="W675" s="631"/>
      <c r="X675" s="631"/>
      <c r="Y675" s="631"/>
    </row>
    <row r="676">
      <c r="A676" s="631"/>
      <c r="B676" s="631"/>
      <c r="C676" s="631"/>
      <c r="D676" s="631"/>
      <c r="E676" s="441"/>
      <c r="F676" s="631"/>
      <c r="G676" s="631"/>
      <c r="H676" s="631"/>
      <c r="I676" s="631"/>
      <c r="J676" s="631"/>
      <c r="K676" s="631"/>
      <c r="L676" s="631"/>
      <c r="M676" s="631"/>
      <c r="N676" s="631"/>
      <c r="O676" s="631"/>
      <c r="P676" s="631"/>
      <c r="Q676" s="631"/>
      <c r="R676" s="631"/>
      <c r="S676" s="631"/>
      <c r="T676" s="631"/>
      <c r="U676" s="631"/>
      <c r="V676" s="631"/>
      <c r="W676" s="631"/>
      <c r="X676" s="631"/>
      <c r="Y676" s="631"/>
    </row>
    <row r="677">
      <c r="A677" s="631"/>
      <c r="B677" s="631"/>
      <c r="C677" s="631"/>
      <c r="D677" s="631"/>
      <c r="E677" s="441"/>
      <c r="F677" s="631"/>
      <c r="G677" s="631"/>
      <c r="H677" s="631"/>
      <c r="I677" s="631"/>
      <c r="J677" s="631"/>
      <c r="K677" s="631"/>
      <c r="L677" s="631"/>
      <c r="M677" s="631"/>
      <c r="N677" s="631"/>
      <c r="O677" s="631"/>
      <c r="P677" s="631"/>
      <c r="Q677" s="631"/>
      <c r="R677" s="631"/>
      <c r="S677" s="631"/>
      <c r="T677" s="631"/>
      <c r="U677" s="631"/>
      <c r="V677" s="631"/>
      <c r="W677" s="631"/>
      <c r="X677" s="631"/>
      <c r="Y677" s="631"/>
    </row>
    <row r="678">
      <c r="A678" s="631"/>
      <c r="B678" s="631"/>
      <c r="C678" s="631"/>
      <c r="D678" s="631"/>
      <c r="E678" s="441"/>
      <c r="F678" s="631"/>
      <c r="G678" s="631"/>
      <c r="H678" s="631"/>
      <c r="I678" s="631"/>
      <c r="J678" s="631"/>
      <c r="K678" s="631"/>
      <c r="L678" s="631"/>
      <c r="M678" s="631"/>
      <c r="N678" s="631"/>
      <c r="O678" s="631"/>
      <c r="P678" s="631"/>
      <c r="Q678" s="631"/>
      <c r="R678" s="631"/>
      <c r="S678" s="631"/>
      <c r="T678" s="631"/>
      <c r="U678" s="631"/>
      <c r="V678" s="631"/>
      <c r="W678" s="631"/>
      <c r="X678" s="631"/>
      <c r="Y678" s="631"/>
    </row>
    <row r="679">
      <c r="A679" s="631"/>
      <c r="B679" s="631"/>
      <c r="C679" s="631"/>
      <c r="D679" s="631"/>
      <c r="E679" s="441"/>
      <c r="F679" s="631"/>
      <c r="G679" s="631"/>
      <c r="H679" s="631"/>
      <c r="I679" s="631"/>
      <c r="J679" s="631"/>
      <c r="K679" s="631"/>
      <c r="L679" s="631"/>
      <c r="M679" s="631"/>
      <c r="N679" s="631"/>
      <c r="O679" s="631"/>
      <c r="P679" s="631"/>
      <c r="Q679" s="631"/>
      <c r="R679" s="631"/>
      <c r="S679" s="631"/>
      <c r="T679" s="631"/>
      <c r="U679" s="631"/>
      <c r="V679" s="631"/>
      <c r="W679" s="631"/>
      <c r="X679" s="631"/>
      <c r="Y679" s="631"/>
    </row>
    <row r="680">
      <c r="A680" s="631"/>
      <c r="B680" s="631"/>
      <c r="C680" s="631"/>
      <c r="D680" s="631"/>
      <c r="E680" s="441"/>
      <c r="F680" s="631"/>
      <c r="G680" s="631"/>
      <c r="H680" s="631"/>
      <c r="I680" s="631"/>
      <c r="J680" s="631"/>
      <c r="K680" s="631"/>
      <c r="L680" s="631"/>
      <c r="M680" s="631"/>
      <c r="N680" s="631"/>
      <c r="O680" s="631"/>
      <c r="P680" s="631"/>
      <c r="Q680" s="631"/>
      <c r="R680" s="631"/>
      <c r="S680" s="631"/>
      <c r="T680" s="631"/>
      <c r="U680" s="631"/>
      <c r="V680" s="631"/>
      <c r="W680" s="631"/>
      <c r="X680" s="631"/>
      <c r="Y680" s="631"/>
    </row>
    <row r="681">
      <c r="A681" s="631"/>
      <c r="B681" s="631"/>
      <c r="C681" s="631"/>
      <c r="D681" s="631"/>
      <c r="E681" s="441"/>
      <c r="F681" s="631"/>
      <c r="G681" s="631"/>
      <c r="H681" s="631"/>
      <c r="I681" s="631"/>
      <c r="J681" s="631"/>
      <c r="K681" s="631"/>
      <c r="L681" s="631"/>
      <c r="M681" s="631"/>
      <c r="N681" s="631"/>
      <c r="O681" s="631"/>
      <c r="P681" s="631"/>
      <c r="Q681" s="631"/>
      <c r="R681" s="631"/>
      <c r="S681" s="631"/>
      <c r="T681" s="631"/>
      <c r="U681" s="631"/>
      <c r="V681" s="631"/>
      <c r="W681" s="631"/>
      <c r="X681" s="631"/>
      <c r="Y681" s="631"/>
    </row>
    <row r="682">
      <c r="A682" s="631"/>
      <c r="B682" s="631"/>
      <c r="C682" s="631"/>
      <c r="D682" s="631"/>
      <c r="E682" s="441"/>
      <c r="F682" s="631"/>
      <c r="G682" s="631"/>
      <c r="H682" s="631"/>
      <c r="I682" s="631"/>
      <c r="J682" s="631"/>
      <c r="K682" s="631"/>
      <c r="L682" s="631"/>
      <c r="M682" s="631"/>
      <c r="N682" s="631"/>
      <c r="O682" s="631"/>
      <c r="P682" s="631"/>
      <c r="Q682" s="631"/>
      <c r="R682" s="631"/>
      <c r="S682" s="631"/>
      <c r="T682" s="631"/>
      <c r="U682" s="631"/>
      <c r="V682" s="631"/>
      <c r="W682" s="631"/>
      <c r="X682" s="631"/>
      <c r="Y682" s="631"/>
    </row>
    <row r="683">
      <c r="A683" s="631"/>
      <c r="B683" s="631"/>
      <c r="C683" s="631"/>
      <c r="D683" s="631"/>
      <c r="E683" s="441"/>
      <c r="F683" s="631"/>
      <c r="G683" s="631"/>
      <c r="H683" s="631"/>
      <c r="I683" s="631"/>
      <c r="J683" s="631"/>
      <c r="K683" s="631"/>
      <c r="L683" s="631"/>
      <c r="M683" s="631"/>
      <c r="N683" s="631"/>
      <c r="O683" s="631"/>
      <c r="P683" s="631"/>
      <c r="Q683" s="631"/>
      <c r="R683" s="631"/>
      <c r="S683" s="631"/>
      <c r="T683" s="631"/>
      <c r="U683" s="631"/>
      <c r="V683" s="631"/>
      <c r="W683" s="631"/>
      <c r="X683" s="631"/>
      <c r="Y683" s="631"/>
    </row>
    <row r="684">
      <c r="A684" s="631"/>
      <c r="B684" s="631"/>
      <c r="C684" s="631"/>
      <c r="D684" s="631"/>
      <c r="E684" s="441"/>
      <c r="F684" s="631"/>
      <c r="G684" s="631"/>
      <c r="H684" s="631"/>
      <c r="I684" s="631"/>
      <c r="J684" s="631"/>
      <c r="K684" s="631"/>
      <c r="L684" s="631"/>
      <c r="M684" s="631"/>
      <c r="N684" s="631"/>
      <c r="O684" s="631"/>
      <c r="P684" s="631"/>
      <c r="Q684" s="631"/>
      <c r="R684" s="631"/>
      <c r="S684" s="631"/>
      <c r="T684" s="631"/>
      <c r="U684" s="631"/>
      <c r="V684" s="631"/>
      <c r="W684" s="631"/>
      <c r="X684" s="631"/>
      <c r="Y684" s="631"/>
    </row>
    <row r="685">
      <c r="A685" s="631"/>
      <c r="B685" s="631"/>
      <c r="C685" s="631"/>
      <c r="D685" s="631"/>
      <c r="E685" s="441"/>
      <c r="F685" s="631"/>
      <c r="G685" s="631"/>
      <c r="H685" s="631"/>
      <c r="I685" s="631"/>
      <c r="J685" s="631"/>
      <c r="K685" s="631"/>
      <c r="L685" s="631"/>
      <c r="M685" s="631"/>
      <c r="N685" s="631"/>
      <c r="O685" s="631"/>
      <c r="P685" s="631"/>
      <c r="Q685" s="631"/>
      <c r="R685" s="631"/>
      <c r="S685" s="631"/>
      <c r="T685" s="631"/>
      <c r="U685" s="631"/>
      <c r="V685" s="631"/>
      <c r="W685" s="631"/>
      <c r="X685" s="631"/>
      <c r="Y685" s="631"/>
    </row>
    <row r="686">
      <c r="A686" s="631"/>
      <c r="B686" s="631"/>
      <c r="C686" s="631"/>
      <c r="D686" s="631"/>
      <c r="E686" s="441"/>
      <c r="F686" s="631"/>
      <c r="G686" s="631"/>
      <c r="H686" s="631"/>
      <c r="I686" s="631"/>
      <c r="J686" s="631"/>
      <c r="K686" s="631"/>
      <c r="L686" s="631"/>
      <c r="M686" s="631"/>
      <c r="N686" s="631"/>
      <c r="O686" s="631"/>
      <c r="P686" s="631"/>
      <c r="Q686" s="631"/>
      <c r="R686" s="631"/>
      <c r="S686" s="631"/>
      <c r="T686" s="631"/>
      <c r="U686" s="631"/>
      <c r="V686" s="631"/>
      <c r="W686" s="631"/>
      <c r="X686" s="631"/>
      <c r="Y686" s="631"/>
    </row>
    <row r="687">
      <c r="A687" s="631"/>
      <c r="B687" s="631"/>
      <c r="C687" s="631"/>
      <c r="D687" s="631"/>
      <c r="E687" s="441"/>
      <c r="F687" s="631"/>
      <c r="G687" s="631"/>
      <c r="H687" s="631"/>
      <c r="I687" s="631"/>
      <c r="J687" s="631"/>
      <c r="K687" s="631"/>
      <c r="L687" s="631"/>
      <c r="M687" s="631"/>
      <c r="N687" s="631"/>
      <c r="O687" s="631"/>
      <c r="P687" s="631"/>
      <c r="Q687" s="631"/>
      <c r="R687" s="631"/>
      <c r="S687" s="631"/>
      <c r="T687" s="631"/>
      <c r="U687" s="631"/>
      <c r="V687" s="631"/>
      <c r="W687" s="631"/>
      <c r="X687" s="631"/>
      <c r="Y687" s="631"/>
    </row>
    <row r="688">
      <c r="A688" s="631"/>
      <c r="B688" s="631"/>
      <c r="C688" s="631"/>
      <c r="D688" s="631"/>
      <c r="E688" s="441"/>
      <c r="F688" s="631"/>
      <c r="G688" s="631"/>
      <c r="H688" s="631"/>
      <c r="I688" s="631"/>
      <c r="J688" s="631"/>
      <c r="K688" s="631"/>
      <c r="L688" s="631"/>
      <c r="M688" s="631"/>
      <c r="N688" s="631"/>
      <c r="O688" s="631"/>
      <c r="P688" s="631"/>
      <c r="Q688" s="631"/>
      <c r="R688" s="631"/>
      <c r="S688" s="631"/>
      <c r="T688" s="631"/>
      <c r="U688" s="631"/>
      <c r="V688" s="631"/>
      <c r="W688" s="631"/>
      <c r="X688" s="631"/>
      <c r="Y688" s="631"/>
    </row>
    <row r="689">
      <c r="A689" s="631"/>
      <c r="B689" s="631"/>
      <c r="C689" s="631"/>
      <c r="D689" s="631"/>
      <c r="E689" s="441"/>
      <c r="F689" s="631"/>
      <c r="G689" s="631"/>
      <c r="H689" s="631"/>
      <c r="I689" s="631"/>
      <c r="J689" s="631"/>
      <c r="K689" s="631"/>
      <c r="L689" s="631"/>
      <c r="M689" s="631"/>
      <c r="N689" s="631"/>
      <c r="O689" s="631"/>
      <c r="P689" s="631"/>
      <c r="Q689" s="631"/>
      <c r="R689" s="631"/>
      <c r="S689" s="631"/>
      <c r="T689" s="631"/>
      <c r="U689" s="631"/>
      <c r="V689" s="631"/>
      <c r="W689" s="631"/>
      <c r="X689" s="631"/>
      <c r="Y689" s="631"/>
    </row>
    <row r="690">
      <c r="A690" s="631"/>
      <c r="B690" s="631"/>
      <c r="C690" s="631"/>
      <c r="D690" s="631"/>
      <c r="E690" s="441"/>
      <c r="F690" s="631"/>
      <c r="G690" s="631"/>
      <c r="H690" s="631"/>
      <c r="I690" s="631"/>
      <c r="J690" s="631"/>
      <c r="K690" s="631"/>
      <c r="L690" s="631"/>
      <c r="M690" s="631"/>
      <c r="N690" s="631"/>
      <c r="O690" s="631"/>
      <c r="P690" s="631"/>
      <c r="Q690" s="631"/>
      <c r="R690" s="631"/>
      <c r="S690" s="631"/>
      <c r="T690" s="631"/>
      <c r="U690" s="631"/>
      <c r="V690" s="631"/>
      <c r="W690" s="631"/>
      <c r="X690" s="631"/>
      <c r="Y690" s="631"/>
    </row>
    <row r="691">
      <c r="A691" s="631"/>
      <c r="B691" s="631"/>
      <c r="C691" s="631"/>
      <c r="D691" s="631"/>
      <c r="E691" s="441"/>
      <c r="F691" s="631"/>
      <c r="G691" s="631"/>
      <c r="H691" s="631"/>
      <c r="I691" s="631"/>
      <c r="J691" s="631"/>
      <c r="K691" s="631"/>
      <c r="L691" s="631"/>
      <c r="M691" s="631"/>
      <c r="N691" s="631"/>
      <c r="O691" s="631"/>
      <c r="P691" s="631"/>
      <c r="Q691" s="631"/>
      <c r="R691" s="631"/>
      <c r="S691" s="631"/>
      <c r="T691" s="631"/>
      <c r="U691" s="631"/>
      <c r="V691" s="631"/>
      <c r="W691" s="631"/>
      <c r="X691" s="631"/>
      <c r="Y691" s="631"/>
    </row>
    <row r="692">
      <c r="A692" s="631"/>
      <c r="B692" s="631"/>
      <c r="C692" s="631"/>
      <c r="D692" s="631"/>
      <c r="E692" s="441"/>
      <c r="F692" s="631"/>
      <c r="G692" s="631"/>
      <c r="H692" s="631"/>
      <c r="I692" s="631"/>
      <c r="J692" s="631"/>
      <c r="K692" s="631"/>
      <c r="L692" s="631"/>
      <c r="M692" s="631"/>
      <c r="N692" s="631"/>
      <c r="O692" s="631"/>
      <c r="P692" s="631"/>
      <c r="Q692" s="631"/>
      <c r="R692" s="631"/>
      <c r="S692" s="631"/>
      <c r="T692" s="631"/>
      <c r="U692" s="631"/>
      <c r="V692" s="631"/>
      <c r="W692" s="631"/>
      <c r="X692" s="631"/>
      <c r="Y692" s="631"/>
    </row>
    <row r="693">
      <c r="A693" s="631"/>
      <c r="B693" s="631"/>
      <c r="C693" s="631"/>
      <c r="D693" s="631"/>
      <c r="E693" s="441"/>
      <c r="F693" s="631"/>
      <c r="G693" s="631"/>
      <c r="H693" s="631"/>
      <c r="I693" s="631"/>
      <c r="J693" s="631"/>
      <c r="K693" s="631"/>
      <c r="L693" s="631"/>
      <c r="M693" s="631"/>
      <c r="N693" s="631"/>
      <c r="O693" s="631"/>
      <c r="P693" s="631"/>
      <c r="Q693" s="631"/>
      <c r="R693" s="631"/>
      <c r="S693" s="631"/>
      <c r="T693" s="631"/>
      <c r="U693" s="631"/>
      <c r="V693" s="631"/>
      <c r="W693" s="631"/>
      <c r="X693" s="631"/>
      <c r="Y693" s="631"/>
    </row>
    <row r="694">
      <c r="A694" s="631"/>
      <c r="B694" s="631"/>
      <c r="C694" s="631"/>
      <c r="D694" s="631"/>
      <c r="E694" s="441"/>
      <c r="F694" s="631"/>
      <c r="G694" s="631"/>
      <c r="H694" s="631"/>
      <c r="I694" s="631"/>
      <c r="J694" s="631"/>
      <c r="K694" s="631"/>
      <c r="L694" s="631"/>
      <c r="M694" s="631"/>
      <c r="N694" s="631"/>
      <c r="O694" s="631"/>
      <c r="P694" s="631"/>
      <c r="Q694" s="631"/>
      <c r="R694" s="631"/>
      <c r="S694" s="631"/>
      <c r="T694" s="631"/>
      <c r="U694" s="631"/>
      <c r="V694" s="631"/>
      <c r="W694" s="631"/>
      <c r="X694" s="631"/>
      <c r="Y694" s="631"/>
    </row>
    <row r="695">
      <c r="A695" s="631"/>
      <c r="B695" s="631"/>
      <c r="C695" s="631"/>
      <c r="D695" s="631"/>
      <c r="E695" s="441"/>
      <c r="F695" s="631"/>
      <c r="G695" s="631"/>
      <c r="H695" s="631"/>
      <c r="I695" s="631"/>
      <c r="J695" s="631"/>
      <c r="K695" s="631"/>
      <c r="L695" s="631"/>
      <c r="M695" s="631"/>
      <c r="N695" s="631"/>
      <c r="O695" s="631"/>
      <c r="P695" s="631"/>
      <c r="Q695" s="631"/>
      <c r="R695" s="631"/>
      <c r="S695" s="631"/>
      <c r="T695" s="631"/>
      <c r="U695" s="631"/>
      <c r="V695" s="631"/>
      <c r="W695" s="631"/>
      <c r="X695" s="631"/>
      <c r="Y695" s="631"/>
    </row>
    <row r="696">
      <c r="A696" s="631"/>
      <c r="B696" s="631"/>
      <c r="C696" s="631"/>
      <c r="D696" s="631"/>
      <c r="E696" s="441"/>
      <c r="F696" s="631"/>
      <c r="G696" s="631"/>
      <c r="H696" s="631"/>
      <c r="I696" s="631"/>
      <c r="J696" s="631"/>
      <c r="K696" s="631"/>
      <c r="L696" s="631"/>
      <c r="M696" s="631"/>
      <c r="N696" s="631"/>
      <c r="O696" s="631"/>
      <c r="P696" s="631"/>
      <c r="Q696" s="631"/>
      <c r="R696" s="631"/>
      <c r="S696" s="631"/>
      <c r="T696" s="631"/>
      <c r="U696" s="631"/>
      <c r="V696" s="631"/>
      <c r="W696" s="631"/>
      <c r="X696" s="631"/>
      <c r="Y696" s="631"/>
    </row>
    <row r="697">
      <c r="A697" s="631"/>
      <c r="B697" s="631"/>
      <c r="C697" s="631"/>
      <c r="D697" s="631"/>
      <c r="E697" s="441"/>
      <c r="F697" s="631"/>
      <c r="G697" s="631"/>
      <c r="H697" s="631"/>
      <c r="I697" s="631"/>
      <c r="J697" s="631"/>
      <c r="K697" s="631"/>
      <c r="L697" s="631"/>
      <c r="M697" s="631"/>
      <c r="N697" s="631"/>
      <c r="O697" s="631"/>
      <c r="P697" s="631"/>
      <c r="Q697" s="631"/>
      <c r="R697" s="631"/>
      <c r="S697" s="631"/>
      <c r="T697" s="631"/>
      <c r="U697" s="631"/>
      <c r="V697" s="631"/>
      <c r="W697" s="631"/>
      <c r="X697" s="631"/>
      <c r="Y697" s="631"/>
    </row>
    <row r="698">
      <c r="A698" s="631"/>
      <c r="B698" s="631"/>
      <c r="C698" s="631"/>
      <c r="D698" s="631"/>
      <c r="E698" s="441"/>
      <c r="F698" s="631"/>
      <c r="G698" s="631"/>
      <c r="H698" s="631"/>
      <c r="I698" s="631"/>
      <c r="J698" s="631"/>
      <c r="K698" s="631"/>
      <c r="L698" s="631"/>
      <c r="M698" s="631"/>
      <c r="N698" s="631"/>
      <c r="O698" s="631"/>
      <c r="P698" s="631"/>
      <c r="Q698" s="631"/>
      <c r="R698" s="631"/>
      <c r="S698" s="631"/>
      <c r="T698" s="631"/>
      <c r="U698" s="631"/>
      <c r="V698" s="631"/>
      <c r="W698" s="631"/>
      <c r="X698" s="631"/>
      <c r="Y698" s="631"/>
    </row>
    <row r="699">
      <c r="A699" s="631"/>
      <c r="B699" s="631"/>
      <c r="C699" s="631"/>
      <c r="D699" s="631"/>
      <c r="E699" s="441"/>
      <c r="F699" s="631"/>
      <c r="G699" s="631"/>
      <c r="H699" s="631"/>
      <c r="I699" s="631"/>
      <c r="J699" s="631"/>
      <c r="K699" s="631"/>
      <c r="L699" s="631"/>
      <c r="M699" s="631"/>
      <c r="N699" s="631"/>
      <c r="O699" s="631"/>
      <c r="P699" s="631"/>
      <c r="Q699" s="631"/>
      <c r="R699" s="631"/>
      <c r="S699" s="631"/>
      <c r="T699" s="631"/>
      <c r="U699" s="631"/>
      <c r="V699" s="631"/>
      <c r="W699" s="631"/>
      <c r="X699" s="631"/>
      <c r="Y699" s="631"/>
    </row>
    <row r="700">
      <c r="A700" s="631"/>
      <c r="B700" s="631"/>
      <c r="C700" s="631"/>
      <c r="D700" s="631"/>
      <c r="E700" s="441"/>
      <c r="F700" s="631"/>
      <c r="G700" s="631"/>
      <c r="H700" s="631"/>
      <c r="I700" s="631"/>
      <c r="J700" s="631"/>
      <c r="K700" s="631"/>
      <c r="L700" s="631"/>
      <c r="M700" s="631"/>
      <c r="N700" s="631"/>
      <c r="O700" s="631"/>
      <c r="P700" s="631"/>
      <c r="Q700" s="631"/>
      <c r="R700" s="631"/>
      <c r="S700" s="631"/>
      <c r="T700" s="631"/>
      <c r="U700" s="631"/>
      <c r="V700" s="631"/>
      <c r="W700" s="631"/>
      <c r="X700" s="631"/>
      <c r="Y700" s="631"/>
    </row>
    <row r="701">
      <c r="A701" s="631"/>
      <c r="B701" s="631"/>
      <c r="C701" s="631"/>
      <c r="D701" s="631"/>
      <c r="E701" s="441"/>
      <c r="F701" s="631"/>
      <c r="G701" s="631"/>
      <c r="H701" s="631"/>
      <c r="I701" s="631"/>
      <c r="J701" s="631"/>
      <c r="K701" s="631"/>
      <c r="L701" s="631"/>
      <c r="M701" s="631"/>
      <c r="N701" s="631"/>
      <c r="O701" s="631"/>
      <c r="P701" s="631"/>
      <c r="Q701" s="631"/>
      <c r="R701" s="631"/>
      <c r="S701" s="631"/>
      <c r="T701" s="631"/>
      <c r="U701" s="631"/>
      <c r="V701" s="631"/>
      <c r="W701" s="631"/>
      <c r="X701" s="631"/>
      <c r="Y701" s="631"/>
    </row>
    <row r="702">
      <c r="A702" s="631"/>
      <c r="B702" s="631"/>
      <c r="C702" s="631"/>
      <c r="D702" s="631"/>
      <c r="E702" s="441"/>
      <c r="F702" s="631"/>
      <c r="G702" s="631"/>
      <c r="H702" s="631"/>
      <c r="I702" s="631"/>
      <c r="J702" s="631"/>
      <c r="K702" s="631"/>
      <c r="L702" s="631"/>
      <c r="M702" s="631"/>
      <c r="N702" s="631"/>
      <c r="O702" s="631"/>
      <c r="P702" s="631"/>
      <c r="Q702" s="631"/>
      <c r="R702" s="631"/>
      <c r="S702" s="631"/>
      <c r="T702" s="631"/>
      <c r="U702" s="631"/>
      <c r="V702" s="631"/>
      <c r="W702" s="631"/>
      <c r="X702" s="631"/>
      <c r="Y702" s="631"/>
    </row>
    <row r="703">
      <c r="A703" s="631"/>
      <c r="B703" s="631"/>
      <c r="C703" s="631"/>
      <c r="D703" s="631"/>
      <c r="E703" s="441"/>
      <c r="F703" s="631"/>
      <c r="G703" s="631"/>
      <c r="H703" s="631"/>
      <c r="I703" s="631"/>
      <c r="J703" s="631"/>
      <c r="K703" s="631"/>
      <c r="L703" s="631"/>
      <c r="M703" s="631"/>
      <c r="N703" s="631"/>
      <c r="O703" s="631"/>
      <c r="P703" s="631"/>
      <c r="Q703" s="631"/>
      <c r="R703" s="631"/>
      <c r="S703" s="631"/>
      <c r="T703" s="631"/>
      <c r="U703" s="631"/>
      <c r="V703" s="631"/>
      <c r="W703" s="631"/>
      <c r="X703" s="631"/>
      <c r="Y703" s="631"/>
    </row>
    <row r="704">
      <c r="A704" s="631"/>
      <c r="B704" s="631"/>
      <c r="C704" s="631"/>
      <c r="D704" s="631"/>
      <c r="E704" s="441"/>
      <c r="F704" s="631"/>
      <c r="G704" s="631"/>
      <c r="H704" s="631"/>
      <c r="I704" s="631"/>
      <c r="J704" s="631"/>
      <c r="K704" s="631"/>
      <c r="L704" s="631"/>
      <c r="M704" s="631"/>
      <c r="N704" s="631"/>
      <c r="O704" s="631"/>
      <c r="P704" s="631"/>
      <c r="Q704" s="631"/>
      <c r="R704" s="631"/>
      <c r="S704" s="631"/>
      <c r="T704" s="631"/>
      <c r="U704" s="631"/>
      <c r="V704" s="631"/>
      <c r="W704" s="631"/>
      <c r="X704" s="631"/>
      <c r="Y704" s="631"/>
    </row>
    <row r="705">
      <c r="A705" s="631"/>
      <c r="B705" s="631"/>
      <c r="C705" s="631"/>
      <c r="D705" s="631"/>
      <c r="E705" s="441"/>
      <c r="F705" s="631"/>
      <c r="G705" s="631"/>
      <c r="H705" s="631"/>
      <c r="I705" s="631"/>
      <c r="J705" s="631"/>
      <c r="K705" s="631"/>
      <c r="L705" s="631"/>
      <c r="M705" s="631"/>
      <c r="N705" s="631"/>
      <c r="O705" s="631"/>
      <c r="P705" s="631"/>
      <c r="Q705" s="631"/>
      <c r="R705" s="631"/>
      <c r="S705" s="631"/>
      <c r="T705" s="631"/>
      <c r="U705" s="631"/>
      <c r="V705" s="631"/>
      <c r="W705" s="631"/>
      <c r="X705" s="631"/>
      <c r="Y705" s="631"/>
    </row>
    <row r="706">
      <c r="A706" s="631"/>
      <c r="B706" s="631"/>
      <c r="C706" s="631"/>
      <c r="D706" s="631"/>
      <c r="E706" s="441"/>
      <c r="F706" s="631"/>
      <c r="G706" s="631"/>
      <c r="H706" s="631"/>
      <c r="I706" s="631"/>
      <c r="J706" s="631"/>
      <c r="K706" s="631"/>
      <c r="L706" s="631"/>
      <c r="M706" s="631"/>
      <c r="N706" s="631"/>
      <c r="O706" s="631"/>
      <c r="P706" s="631"/>
      <c r="Q706" s="631"/>
      <c r="R706" s="631"/>
      <c r="S706" s="631"/>
      <c r="T706" s="631"/>
      <c r="U706" s="631"/>
      <c r="V706" s="631"/>
      <c r="W706" s="631"/>
      <c r="X706" s="631"/>
      <c r="Y706" s="631"/>
    </row>
    <row r="707">
      <c r="A707" s="631"/>
      <c r="B707" s="631"/>
      <c r="C707" s="631"/>
      <c r="D707" s="631"/>
      <c r="E707" s="441"/>
      <c r="F707" s="631"/>
      <c r="G707" s="631"/>
      <c r="H707" s="631"/>
      <c r="I707" s="631"/>
      <c r="J707" s="631"/>
      <c r="K707" s="631"/>
      <c r="L707" s="631"/>
      <c r="M707" s="631"/>
      <c r="N707" s="631"/>
      <c r="O707" s="631"/>
      <c r="P707" s="631"/>
      <c r="Q707" s="631"/>
      <c r="R707" s="631"/>
      <c r="S707" s="631"/>
      <c r="T707" s="631"/>
      <c r="U707" s="631"/>
      <c r="V707" s="631"/>
      <c r="W707" s="631"/>
      <c r="X707" s="631"/>
      <c r="Y707" s="631"/>
    </row>
    <row r="708">
      <c r="A708" s="631"/>
      <c r="B708" s="631"/>
      <c r="C708" s="631"/>
      <c r="D708" s="631"/>
      <c r="E708" s="441"/>
      <c r="F708" s="631"/>
      <c r="G708" s="631"/>
      <c r="H708" s="631"/>
      <c r="I708" s="631"/>
      <c r="J708" s="631"/>
      <c r="K708" s="631"/>
      <c r="L708" s="631"/>
      <c r="M708" s="631"/>
      <c r="N708" s="631"/>
      <c r="O708" s="631"/>
      <c r="P708" s="631"/>
      <c r="Q708" s="631"/>
      <c r="R708" s="631"/>
      <c r="S708" s="631"/>
      <c r="T708" s="631"/>
      <c r="U708" s="631"/>
      <c r="V708" s="631"/>
      <c r="W708" s="631"/>
      <c r="X708" s="631"/>
      <c r="Y708" s="631"/>
    </row>
    <row r="709">
      <c r="A709" s="631"/>
      <c r="B709" s="631"/>
      <c r="C709" s="631"/>
      <c r="D709" s="631"/>
      <c r="E709" s="441"/>
      <c r="F709" s="631"/>
      <c r="G709" s="631"/>
      <c r="H709" s="631"/>
      <c r="I709" s="631"/>
      <c r="J709" s="631"/>
      <c r="K709" s="631"/>
      <c r="L709" s="631"/>
      <c r="M709" s="631"/>
      <c r="N709" s="631"/>
      <c r="O709" s="631"/>
      <c r="P709" s="631"/>
      <c r="Q709" s="631"/>
      <c r="R709" s="631"/>
      <c r="S709" s="631"/>
      <c r="T709" s="631"/>
      <c r="U709" s="631"/>
      <c r="V709" s="631"/>
      <c r="W709" s="631"/>
      <c r="X709" s="631"/>
      <c r="Y709" s="631"/>
    </row>
    <row r="710">
      <c r="A710" s="631"/>
      <c r="B710" s="631"/>
      <c r="C710" s="631"/>
      <c r="D710" s="631"/>
      <c r="E710" s="441"/>
      <c r="F710" s="631"/>
      <c r="G710" s="631"/>
      <c r="H710" s="631"/>
      <c r="I710" s="631"/>
      <c r="J710" s="631"/>
      <c r="K710" s="631"/>
      <c r="L710" s="631"/>
      <c r="M710" s="631"/>
      <c r="N710" s="631"/>
      <c r="O710" s="631"/>
      <c r="P710" s="631"/>
      <c r="Q710" s="631"/>
      <c r="R710" s="631"/>
      <c r="S710" s="631"/>
      <c r="T710" s="631"/>
      <c r="U710" s="631"/>
      <c r="V710" s="631"/>
      <c r="W710" s="631"/>
      <c r="X710" s="631"/>
      <c r="Y710" s="631"/>
    </row>
    <row r="711">
      <c r="A711" s="631"/>
      <c r="B711" s="631"/>
      <c r="C711" s="631"/>
      <c r="D711" s="631"/>
      <c r="E711" s="441"/>
      <c r="F711" s="631"/>
      <c r="G711" s="631"/>
      <c r="H711" s="631"/>
      <c r="I711" s="631"/>
      <c r="J711" s="631"/>
      <c r="K711" s="631"/>
      <c r="L711" s="631"/>
      <c r="M711" s="631"/>
      <c r="N711" s="631"/>
      <c r="O711" s="631"/>
      <c r="P711" s="631"/>
      <c r="Q711" s="631"/>
      <c r="R711" s="631"/>
      <c r="S711" s="631"/>
      <c r="T711" s="631"/>
      <c r="U711" s="631"/>
      <c r="V711" s="631"/>
      <c r="W711" s="631"/>
      <c r="X711" s="631"/>
      <c r="Y711" s="631"/>
    </row>
    <row r="712">
      <c r="A712" s="631"/>
      <c r="B712" s="631"/>
      <c r="C712" s="631"/>
      <c r="D712" s="631"/>
      <c r="E712" s="441"/>
      <c r="F712" s="631"/>
      <c r="G712" s="631"/>
      <c r="H712" s="631"/>
      <c r="I712" s="631"/>
      <c r="J712" s="631"/>
      <c r="K712" s="631"/>
      <c r="L712" s="631"/>
      <c r="M712" s="631"/>
      <c r="N712" s="631"/>
      <c r="O712" s="631"/>
      <c r="P712" s="631"/>
      <c r="Q712" s="631"/>
      <c r="R712" s="631"/>
      <c r="S712" s="631"/>
      <c r="T712" s="631"/>
      <c r="U712" s="631"/>
      <c r="V712" s="631"/>
      <c r="W712" s="631"/>
      <c r="X712" s="631"/>
      <c r="Y712" s="631"/>
    </row>
    <row r="713">
      <c r="A713" s="631"/>
      <c r="B713" s="631"/>
      <c r="C713" s="631"/>
      <c r="D713" s="631"/>
      <c r="E713" s="441"/>
      <c r="F713" s="631"/>
      <c r="G713" s="631"/>
      <c r="H713" s="631"/>
      <c r="I713" s="631"/>
      <c r="J713" s="631"/>
      <c r="K713" s="631"/>
      <c r="L713" s="631"/>
      <c r="M713" s="631"/>
      <c r="N713" s="631"/>
      <c r="O713" s="631"/>
      <c r="P713" s="631"/>
      <c r="Q713" s="631"/>
      <c r="R713" s="631"/>
      <c r="S713" s="631"/>
      <c r="T713" s="631"/>
      <c r="U713" s="631"/>
      <c r="V713" s="631"/>
      <c r="W713" s="631"/>
      <c r="X713" s="631"/>
      <c r="Y713" s="631"/>
    </row>
    <row r="714">
      <c r="A714" s="631"/>
      <c r="B714" s="631"/>
      <c r="C714" s="631"/>
      <c r="D714" s="631"/>
      <c r="E714" s="441"/>
      <c r="F714" s="631"/>
      <c r="G714" s="631"/>
      <c r="H714" s="631"/>
      <c r="I714" s="631"/>
      <c r="J714" s="631"/>
      <c r="K714" s="631"/>
      <c r="L714" s="631"/>
      <c r="M714" s="631"/>
      <c r="N714" s="631"/>
      <c r="O714" s="631"/>
      <c r="P714" s="631"/>
      <c r="Q714" s="631"/>
      <c r="R714" s="631"/>
      <c r="S714" s="631"/>
      <c r="T714" s="631"/>
      <c r="U714" s="631"/>
      <c r="V714" s="631"/>
      <c r="W714" s="631"/>
      <c r="X714" s="631"/>
      <c r="Y714" s="631"/>
    </row>
    <row r="715">
      <c r="A715" s="631"/>
      <c r="B715" s="631"/>
      <c r="C715" s="631"/>
      <c r="D715" s="631"/>
      <c r="E715" s="441"/>
      <c r="F715" s="631"/>
      <c r="G715" s="631"/>
      <c r="H715" s="631"/>
      <c r="I715" s="631"/>
      <c r="J715" s="631"/>
      <c r="K715" s="631"/>
      <c r="L715" s="631"/>
      <c r="M715" s="631"/>
      <c r="N715" s="631"/>
      <c r="O715" s="631"/>
      <c r="P715" s="631"/>
      <c r="Q715" s="631"/>
      <c r="R715" s="631"/>
      <c r="S715" s="631"/>
      <c r="T715" s="631"/>
      <c r="U715" s="631"/>
      <c r="V715" s="631"/>
      <c r="W715" s="631"/>
      <c r="X715" s="631"/>
      <c r="Y715" s="631"/>
    </row>
    <row r="716">
      <c r="A716" s="631"/>
      <c r="B716" s="631"/>
      <c r="C716" s="631"/>
      <c r="D716" s="631"/>
      <c r="E716" s="441"/>
      <c r="F716" s="631"/>
      <c r="G716" s="631"/>
      <c r="H716" s="631"/>
      <c r="I716" s="631"/>
      <c r="J716" s="631"/>
      <c r="K716" s="631"/>
      <c r="L716" s="631"/>
      <c r="M716" s="631"/>
      <c r="N716" s="631"/>
      <c r="O716" s="631"/>
      <c r="P716" s="631"/>
      <c r="Q716" s="631"/>
      <c r="R716" s="631"/>
      <c r="S716" s="631"/>
      <c r="T716" s="631"/>
      <c r="U716" s="631"/>
      <c r="V716" s="631"/>
      <c r="W716" s="631"/>
      <c r="X716" s="631"/>
      <c r="Y716" s="631"/>
    </row>
    <row r="717">
      <c r="A717" s="631"/>
      <c r="B717" s="631"/>
      <c r="C717" s="631"/>
      <c r="D717" s="631"/>
      <c r="E717" s="441"/>
      <c r="F717" s="631"/>
      <c r="G717" s="631"/>
      <c r="H717" s="631"/>
      <c r="I717" s="631"/>
      <c r="J717" s="631"/>
      <c r="K717" s="631"/>
      <c r="L717" s="631"/>
      <c r="M717" s="631"/>
      <c r="N717" s="631"/>
      <c r="O717" s="631"/>
      <c r="P717" s="631"/>
      <c r="Q717" s="631"/>
      <c r="R717" s="631"/>
      <c r="S717" s="631"/>
      <c r="T717" s="631"/>
      <c r="U717" s="631"/>
      <c r="V717" s="631"/>
      <c r="W717" s="631"/>
      <c r="X717" s="631"/>
      <c r="Y717" s="631"/>
    </row>
    <row r="718">
      <c r="A718" s="631"/>
      <c r="B718" s="631"/>
      <c r="C718" s="631"/>
      <c r="D718" s="631"/>
      <c r="E718" s="441"/>
      <c r="F718" s="631"/>
      <c r="G718" s="631"/>
      <c r="H718" s="631"/>
      <c r="I718" s="631"/>
      <c r="J718" s="631"/>
      <c r="K718" s="631"/>
      <c r="L718" s="631"/>
      <c r="M718" s="631"/>
      <c r="N718" s="631"/>
      <c r="O718" s="631"/>
      <c r="P718" s="631"/>
      <c r="Q718" s="631"/>
      <c r="R718" s="631"/>
      <c r="S718" s="631"/>
      <c r="T718" s="631"/>
      <c r="U718" s="631"/>
      <c r="V718" s="631"/>
      <c r="W718" s="631"/>
      <c r="X718" s="631"/>
      <c r="Y718" s="631"/>
    </row>
    <row r="719">
      <c r="A719" s="631"/>
      <c r="B719" s="631"/>
      <c r="C719" s="631"/>
      <c r="D719" s="631"/>
      <c r="E719" s="441"/>
      <c r="F719" s="631"/>
      <c r="G719" s="631"/>
      <c r="H719" s="631"/>
      <c r="I719" s="631"/>
      <c r="J719" s="631"/>
      <c r="K719" s="631"/>
      <c r="L719" s="631"/>
      <c r="M719" s="631"/>
      <c r="N719" s="631"/>
      <c r="O719" s="631"/>
      <c r="P719" s="631"/>
      <c r="Q719" s="631"/>
      <c r="R719" s="631"/>
      <c r="S719" s="631"/>
      <c r="T719" s="631"/>
      <c r="U719" s="631"/>
      <c r="V719" s="631"/>
      <c r="W719" s="631"/>
      <c r="X719" s="631"/>
      <c r="Y719" s="631"/>
    </row>
    <row r="720">
      <c r="A720" s="631"/>
      <c r="B720" s="631"/>
      <c r="C720" s="631"/>
      <c r="D720" s="631"/>
      <c r="E720" s="441"/>
      <c r="F720" s="631"/>
      <c r="G720" s="631"/>
      <c r="H720" s="631"/>
      <c r="I720" s="631"/>
      <c r="J720" s="631"/>
      <c r="K720" s="631"/>
      <c r="L720" s="631"/>
      <c r="M720" s="631"/>
      <c r="N720" s="631"/>
      <c r="O720" s="631"/>
      <c r="P720" s="631"/>
      <c r="Q720" s="631"/>
      <c r="R720" s="631"/>
      <c r="S720" s="631"/>
      <c r="T720" s="631"/>
      <c r="U720" s="631"/>
      <c r="V720" s="631"/>
      <c r="W720" s="631"/>
      <c r="X720" s="631"/>
      <c r="Y720" s="631"/>
    </row>
    <row r="721">
      <c r="A721" s="631"/>
      <c r="B721" s="631"/>
      <c r="C721" s="631"/>
      <c r="D721" s="631"/>
      <c r="E721" s="441"/>
      <c r="F721" s="631"/>
      <c r="G721" s="631"/>
      <c r="H721" s="631"/>
      <c r="I721" s="631"/>
      <c r="J721" s="631"/>
      <c r="K721" s="631"/>
      <c r="L721" s="631"/>
      <c r="M721" s="631"/>
      <c r="N721" s="631"/>
      <c r="O721" s="631"/>
      <c r="P721" s="631"/>
      <c r="Q721" s="631"/>
      <c r="R721" s="631"/>
      <c r="S721" s="631"/>
      <c r="T721" s="631"/>
      <c r="U721" s="631"/>
      <c r="V721" s="631"/>
      <c r="W721" s="631"/>
      <c r="X721" s="631"/>
      <c r="Y721" s="631"/>
    </row>
    <row r="722">
      <c r="A722" s="631"/>
      <c r="B722" s="631"/>
      <c r="C722" s="631"/>
      <c r="D722" s="631"/>
      <c r="E722" s="441"/>
      <c r="F722" s="631"/>
      <c r="G722" s="631"/>
      <c r="H722" s="631"/>
      <c r="I722" s="631"/>
      <c r="J722" s="631"/>
      <c r="K722" s="631"/>
      <c r="L722" s="631"/>
      <c r="M722" s="631"/>
      <c r="N722" s="631"/>
      <c r="O722" s="631"/>
      <c r="P722" s="631"/>
      <c r="Q722" s="631"/>
      <c r="R722" s="631"/>
      <c r="S722" s="631"/>
      <c r="T722" s="631"/>
      <c r="U722" s="631"/>
      <c r="V722" s="631"/>
      <c r="W722" s="631"/>
      <c r="X722" s="631"/>
      <c r="Y722" s="631"/>
    </row>
    <row r="723">
      <c r="A723" s="631"/>
      <c r="B723" s="631"/>
      <c r="C723" s="631"/>
      <c r="D723" s="631"/>
      <c r="E723" s="441"/>
      <c r="F723" s="631"/>
      <c r="G723" s="631"/>
      <c r="H723" s="631"/>
      <c r="I723" s="631"/>
      <c r="J723" s="631"/>
      <c r="K723" s="631"/>
      <c r="L723" s="631"/>
      <c r="M723" s="631"/>
      <c r="N723" s="631"/>
      <c r="O723" s="631"/>
      <c r="P723" s="631"/>
      <c r="Q723" s="631"/>
      <c r="R723" s="631"/>
      <c r="S723" s="631"/>
      <c r="T723" s="631"/>
      <c r="U723" s="631"/>
      <c r="V723" s="631"/>
      <c r="W723" s="631"/>
      <c r="X723" s="631"/>
      <c r="Y723" s="631"/>
    </row>
    <row r="724">
      <c r="A724" s="631"/>
      <c r="B724" s="631"/>
      <c r="C724" s="631"/>
      <c r="D724" s="631"/>
      <c r="E724" s="441"/>
      <c r="F724" s="631"/>
      <c r="G724" s="631"/>
      <c r="H724" s="631"/>
      <c r="I724" s="631"/>
      <c r="J724" s="631"/>
      <c r="K724" s="631"/>
      <c r="L724" s="631"/>
      <c r="M724" s="631"/>
      <c r="N724" s="631"/>
      <c r="O724" s="631"/>
      <c r="P724" s="631"/>
      <c r="Q724" s="631"/>
      <c r="R724" s="631"/>
      <c r="S724" s="631"/>
      <c r="T724" s="631"/>
      <c r="U724" s="631"/>
      <c r="V724" s="631"/>
      <c r="W724" s="631"/>
      <c r="X724" s="631"/>
      <c r="Y724" s="631"/>
    </row>
    <row r="725">
      <c r="A725" s="631"/>
      <c r="B725" s="631"/>
      <c r="C725" s="631"/>
      <c r="D725" s="631"/>
      <c r="E725" s="441"/>
      <c r="F725" s="631"/>
      <c r="G725" s="631"/>
      <c r="H725" s="631"/>
      <c r="I725" s="631"/>
      <c r="J725" s="631"/>
      <c r="K725" s="631"/>
      <c r="L725" s="631"/>
      <c r="M725" s="631"/>
      <c r="N725" s="631"/>
      <c r="O725" s="631"/>
      <c r="P725" s="631"/>
      <c r="Q725" s="631"/>
      <c r="R725" s="631"/>
      <c r="S725" s="631"/>
      <c r="T725" s="631"/>
      <c r="U725" s="631"/>
      <c r="V725" s="631"/>
      <c r="W725" s="631"/>
      <c r="X725" s="631"/>
      <c r="Y725" s="631"/>
    </row>
    <row r="726">
      <c r="A726" s="631"/>
      <c r="B726" s="631"/>
      <c r="C726" s="631"/>
      <c r="D726" s="631"/>
      <c r="E726" s="441"/>
      <c r="F726" s="631"/>
      <c r="G726" s="631"/>
      <c r="H726" s="631"/>
      <c r="I726" s="631"/>
      <c r="J726" s="631"/>
      <c r="K726" s="631"/>
      <c r="L726" s="631"/>
      <c r="M726" s="631"/>
      <c r="N726" s="631"/>
      <c r="O726" s="631"/>
      <c r="P726" s="631"/>
      <c r="Q726" s="631"/>
      <c r="R726" s="631"/>
      <c r="S726" s="631"/>
      <c r="T726" s="631"/>
      <c r="U726" s="631"/>
      <c r="V726" s="631"/>
      <c r="W726" s="631"/>
      <c r="X726" s="631"/>
      <c r="Y726" s="631"/>
    </row>
    <row r="727">
      <c r="A727" s="631"/>
      <c r="B727" s="631"/>
      <c r="C727" s="631"/>
      <c r="D727" s="631"/>
      <c r="E727" s="441"/>
      <c r="F727" s="631"/>
      <c r="G727" s="631"/>
      <c r="H727" s="631"/>
      <c r="I727" s="631"/>
      <c r="J727" s="631"/>
      <c r="K727" s="631"/>
      <c r="L727" s="631"/>
      <c r="M727" s="631"/>
      <c r="N727" s="631"/>
      <c r="O727" s="631"/>
      <c r="P727" s="631"/>
      <c r="Q727" s="631"/>
      <c r="R727" s="631"/>
      <c r="S727" s="631"/>
      <c r="T727" s="631"/>
      <c r="U727" s="631"/>
      <c r="V727" s="631"/>
      <c r="W727" s="631"/>
      <c r="X727" s="631"/>
      <c r="Y727" s="631"/>
    </row>
    <row r="728">
      <c r="A728" s="631"/>
      <c r="B728" s="631"/>
      <c r="C728" s="631"/>
      <c r="D728" s="631"/>
      <c r="E728" s="441"/>
      <c r="F728" s="631"/>
      <c r="G728" s="631"/>
      <c r="H728" s="631"/>
      <c r="I728" s="631"/>
      <c r="J728" s="631"/>
      <c r="K728" s="631"/>
      <c r="L728" s="631"/>
      <c r="M728" s="631"/>
      <c r="N728" s="631"/>
      <c r="O728" s="631"/>
      <c r="P728" s="631"/>
      <c r="Q728" s="631"/>
      <c r="R728" s="631"/>
      <c r="S728" s="631"/>
      <c r="T728" s="631"/>
      <c r="U728" s="631"/>
      <c r="V728" s="631"/>
      <c r="W728" s="631"/>
      <c r="X728" s="631"/>
      <c r="Y728" s="631"/>
    </row>
    <row r="729">
      <c r="A729" s="631"/>
      <c r="B729" s="631"/>
      <c r="C729" s="631"/>
      <c r="D729" s="631"/>
      <c r="E729" s="441"/>
      <c r="F729" s="631"/>
      <c r="G729" s="631"/>
      <c r="H729" s="631"/>
      <c r="I729" s="631"/>
      <c r="J729" s="631"/>
      <c r="K729" s="631"/>
      <c r="L729" s="631"/>
      <c r="M729" s="631"/>
      <c r="N729" s="631"/>
      <c r="O729" s="631"/>
      <c r="P729" s="631"/>
      <c r="Q729" s="631"/>
      <c r="R729" s="631"/>
      <c r="S729" s="631"/>
      <c r="T729" s="631"/>
      <c r="U729" s="631"/>
      <c r="V729" s="631"/>
      <c r="W729" s="631"/>
      <c r="X729" s="631"/>
      <c r="Y729" s="631"/>
    </row>
    <row r="730">
      <c r="A730" s="631"/>
      <c r="B730" s="631"/>
      <c r="C730" s="631"/>
      <c r="D730" s="631"/>
      <c r="E730" s="441"/>
      <c r="F730" s="631"/>
      <c r="G730" s="631"/>
      <c r="H730" s="631"/>
      <c r="I730" s="631"/>
      <c r="J730" s="631"/>
      <c r="K730" s="631"/>
      <c r="L730" s="631"/>
      <c r="M730" s="631"/>
      <c r="N730" s="631"/>
      <c r="O730" s="631"/>
      <c r="P730" s="631"/>
      <c r="Q730" s="631"/>
      <c r="R730" s="631"/>
      <c r="S730" s="631"/>
      <c r="T730" s="631"/>
      <c r="U730" s="631"/>
      <c r="V730" s="631"/>
      <c r="W730" s="631"/>
      <c r="X730" s="631"/>
      <c r="Y730" s="631"/>
    </row>
    <row r="731">
      <c r="A731" s="631"/>
      <c r="B731" s="631"/>
      <c r="C731" s="631"/>
      <c r="D731" s="631"/>
      <c r="E731" s="441"/>
      <c r="F731" s="631"/>
      <c r="G731" s="631"/>
      <c r="H731" s="631"/>
      <c r="I731" s="631"/>
      <c r="J731" s="631"/>
      <c r="K731" s="631"/>
      <c r="L731" s="631"/>
      <c r="M731" s="631"/>
      <c r="N731" s="631"/>
      <c r="O731" s="631"/>
      <c r="P731" s="631"/>
      <c r="Q731" s="631"/>
      <c r="R731" s="631"/>
      <c r="S731" s="631"/>
      <c r="T731" s="631"/>
      <c r="U731" s="631"/>
      <c r="V731" s="631"/>
      <c r="W731" s="631"/>
      <c r="X731" s="631"/>
      <c r="Y731" s="631"/>
    </row>
    <row r="732">
      <c r="A732" s="631"/>
      <c r="B732" s="631"/>
      <c r="C732" s="631"/>
      <c r="D732" s="631"/>
      <c r="E732" s="441"/>
      <c r="F732" s="631"/>
      <c r="G732" s="631"/>
      <c r="H732" s="631"/>
      <c r="I732" s="631"/>
      <c r="J732" s="631"/>
      <c r="K732" s="631"/>
      <c r="L732" s="631"/>
      <c r="M732" s="631"/>
      <c r="N732" s="631"/>
      <c r="O732" s="631"/>
      <c r="P732" s="631"/>
      <c r="Q732" s="631"/>
      <c r="R732" s="631"/>
      <c r="S732" s="631"/>
      <c r="T732" s="631"/>
      <c r="U732" s="631"/>
      <c r="V732" s="631"/>
      <c r="W732" s="631"/>
      <c r="X732" s="631"/>
      <c r="Y732" s="631"/>
    </row>
    <row r="733">
      <c r="A733" s="631"/>
      <c r="B733" s="631"/>
      <c r="C733" s="631"/>
      <c r="D733" s="631"/>
      <c r="E733" s="441"/>
      <c r="F733" s="631"/>
      <c r="G733" s="631"/>
      <c r="H733" s="631"/>
      <c r="I733" s="631"/>
      <c r="J733" s="631"/>
      <c r="K733" s="631"/>
      <c r="L733" s="631"/>
      <c r="M733" s="631"/>
      <c r="N733" s="631"/>
      <c r="O733" s="631"/>
      <c r="P733" s="631"/>
      <c r="Q733" s="631"/>
      <c r="R733" s="631"/>
      <c r="S733" s="631"/>
      <c r="T733" s="631"/>
      <c r="U733" s="631"/>
      <c r="V733" s="631"/>
      <c r="W733" s="631"/>
      <c r="X733" s="631"/>
      <c r="Y733" s="631"/>
    </row>
    <row r="734">
      <c r="A734" s="631"/>
      <c r="B734" s="631"/>
      <c r="C734" s="631"/>
      <c r="D734" s="631"/>
      <c r="E734" s="441"/>
      <c r="F734" s="631"/>
      <c r="G734" s="631"/>
      <c r="H734" s="631"/>
      <c r="I734" s="631"/>
      <c r="J734" s="631"/>
      <c r="K734" s="631"/>
      <c r="L734" s="631"/>
      <c r="M734" s="631"/>
      <c r="N734" s="631"/>
      <c r="O734" s="631"/>
      <c r="P734" s="631"/>
      <c r="Q734" s="631"/>
      <c r="R734" s="631"/>
      <c r="S734" s="631"/>
      <c r="T734" s="631"/>
      <c r="U734" s="631"/>
      <c r="V734" s="631"/>
      <c r="W734" s="631"/>
      <c r="X734" s="631"/>
      <c r="Y734" s="631"/>
    </row>
    <row r="735">
      <c r="A735" s="631"/>
      <c r="B735" s="631"/>
      <c r="C735" s="631"/>
      <c r="D735" s="631"/>
      <c r="E735" s="441"/>
      <c r="F735" s="631"/>
      <c r="G735" s="631"/>
      <c r="H735" s="631"/>
      <c r="I735" s="631"/>
      <c r="J735" s="631"/>
      <c r="K735" s="631"/>
      <c r="L735" s="631"/>
      <c r="M735" s="631"/>
      <c r="N735" s="631"/>
      <c r="O735" s="631"/>
      <c r="P735" s="631"/>
      <c r="Q735" s="631"/>
      <c r="R735" s="631"/>
      <c r="S735" s="631"/>
      <c r="T735" s="631"/>
      <c r="U735" s="631"/>
      <c r="V735" s="631"/>
      <c r="W735" s="631"/>
      <c r="X735" s="631"/>
      <c r="Y735" s="631"/>
    </row>
    <row r="736">
      <c r="A736" s="631"/>
      <c r="B736" s="631"/>
      <c r="C736" s="631"/>
      <c r="D736" s="631"/>
      <c r="E736" s="441"/>
      <c r="F736" s="631"/>
      <c r="G736" s="631"/>
      <c r="H736" s="631"/>
      <c r="I736" s="631"/>
      <c r="J736" s="631"/>
      <c r="K736" s="631"/>
      <c r="L736" s="631"/>
      <c r="M736" s="631"/>
      <c r="N736" s="631"/>
      <c r="O736" s="631"/>
      <c r="P736" s="631"/>
      <c r="Q736" s="631"/>
      <c r="R736" s="631"/>
      <c r="S736" s="631"/>
      <c r="T736" s="631"/>
      <c r="U736" s="631"/>
      <c r="V736" s="631"/>
      <c r="W736" s="631"/>
      <c r="X736" s="631"/>
      <c r="Y736" s="631"/>
    </row>
    <row r="737">
      <c r="A737" s="631"/>
      <c r="B737" s="631"/>
      <c r="C737" s="631"/>
      <c r="D737" s="631"/>
      <c r="E737" s="441"/>
      <c r="F737" s="631"/>
      <c r="G737" s="631"/>
      <c r="H737" s="631"/>
      <c r="I737" s="631"/>
      <c r="J737" s="631"/>
      <c r="K737" s="631"/>
      <c r="L737" s="631"/>
      <c r="M737" s="631"/>
      <c r="N737" s="631"/>
      <c r="O737" s="631"/>
      <c r="P737" s="631"/>
      <c r="Q737" s="631"/>
      <c r="R737" s="631"/>
      <c r="S737" s="631"/>
      <c r="T737" s="631"/>
      <c r="U737" s="631"/>
      <c r="V737" s="631"/>
      <c r="W737" s="631"/>
      <c r="X737" s="631"/>
      <c r="Y737" s="631"/>
    </row>
    <row r="738">
      <c r="A738" s="631"/>
      <c r="B738" s="631"/>
      <c r="C738" s="631"/>
      <c r="D738" s="631"/>
      <c r="E738" s="441"/>
      <c r="F738" s="631"/>
      <c r="G738" s="631"/>
      <c r="H738" s="631"/>
      <c r="I738" s="631"/>
      <c r="J738" s="631"/>
      <c r="K738" s="631"/>
      <c r="L738" s="631"/>
      <c r="M738" s="631"/>
      <c r="N738" s="631"/>
      <c r="O738" s="631"/>
      <c r="P738" s="631"/>
      <c r="Q738" s="631"/>
      <c r="R738" s="631"/>
      <c r="S738" s="631"/>
      <c r="T738" s="631"/>
      <c r="U738" s="631"/>
      <c r="V738" s="631"/>
      <c r="W738" s="631"/>
      <c r="X738" s="631"/>
      <c r="Y738" s="631"/>
    </row>
    <row r="739">
      <c r="A739" s="631"/>
      <c r="B739" s="631"/>
      <c r="C739" s="631"/>
      <c r="D739" s="631"/>
      <c r="E739" s="441"/>
      <c r="F739" s="631"/>
      <c r="G739" s="631"/>
      <c r="H739" s="631"/>
      <c r="I739" s="631"/>
      <c r="J739" s="631"/>
      <c r="K739" s="631"/>
      <c r="L739" s="631"/>
      <c r="M739" s="631"/>
      <c r="N739" s="631"/>
      <c r="O739" s="631"/>
      <c r="P739" s="631"/>
      <c r="Q739" s="631"/>
      <c r="R739" s="631"/>
      <c r="S739" s="631"/>
      <c r="T739" s="631"/>
      <c r="U739" s="631"/>
      <c r="V739" s="631"/>
      <c r="W739" s="631"/>
      <c r="X739" s="631"/>
      <c r="Y739" s="631"/>
    </row>
    <row r="740">
      <c r="A740" s="631"/>
      <c r="B740" s="631"/>
      <c r="C740" s="631"/>
      <c r="D740" s="631"/>
      <c r="E740" s="441"/>
      <c r="F740" s="631"/>
      <c r="G740" s="631"/>
      <c r="H740" s="631"/>
      <c r="I740" s="631"/>
      <c r="J740" s="631"/>
      <c r="K740" s="631"/>
      <c r="L740" s="631"/>
      <c r="M740" s="631"/>
      <c r="N740" s="631"/>
      <c r="O740" s="631"/>
      <c r="P740" s="631"/>
      <c r="Q740" s="631"/>
      <c r="R740" s="631"/>
      <c r="S740" s="631"/>
      <c r="T740" s="631"/>
      <c r="U740" s="631"/>
      <c r="V740" s="631"/>
      <c r="W740" s="631"/>
      <c r="X740" s="631"/>
      <c r="Y740" s="631"/>
    </row>
    <row r="741">
      <c r="A741" s="631"/>
      <c r="B741" s="631"/>
      <c r="C741" s="631"/>
      <c r="D741" s="631"/>
      <c r="E741" s="441"/>
      <c r="F741" s="631"/>
      <c r="G741" s="631"/>
      <c r="H741" s="631"/>
      <c r="I741" s="631"/>
      <c r="J741" s="631"/>
      <c r="K741" s="631"/>
      <c r="L741" s="631"/>
      <c r="M741" s="631"/>
      <c r="N741" s="631"/>
      <c r="O741" s="631"/>
      <c r="P741" s="631"/>
      <c r="Q741" s="631"/>
      <c r="R741" s="631"/>
      <c r="S741" s="631"/>
      <c r="T741" s="631"/>
      <c r="U741" s="631"/>
      <c r="V741" s="631"/>
      <c r="W741" s="631"/>
      <c r="X741" s="631"/>
      <c r="Y741" s="631"/>
    </row>
    <row r="742">
      <c r="A742" s="631"/>
      <c r="B742" s="631"/>
      <c r="C742" s="631"/>
      <c r="D742" s="631"/>
      <c r="E742" s="441"/>
      <c r="F742" s="631"/>
      <c r="G742" s="631"/>
      <c r="H742" s="631"/>
      <c r="I742" s="631"/>
      <c r="J742" s="631"/>
      <c r="K742" s="631"/>
      <c r="L742" s="631"/>
      <c r="M742" s="631"/>
      <c r="N742" s="631"/>
      <c r="O742" s="631"/>
      <c r="P742" s="631"/>
      <c r="Q742" s="631"/>
      <c r="R742" s="631"/>
      <c r="S742" s="631"/>
      <c r="T742" s="631"/>
      <c r="U742" s="631"/>
      <c r="V742" s="631"/>
      <c r="W742" s="631"/>
      <c r="X742" s="631"/>
      <c r="Y742" s="631"/>
    </row>
    <row r="743">
      <c r="A743" s="631"/>
      <c r="B743" s="631"/>
      <c r="C743" s="631"/>
      <c r="D743" s="631"/>
      <c r="E743" s="441"/>
      <c r="F743" s="631"/>
      <c r="G743" s="631"/>
      <c r="H743" s="631"/>
      <c r="I743" s="631"/>
      <c r="J743" s="631"/>
      <c r="K743" s="631"/>
      <c r="L743" s="631"/>
      <c r="M743" s="631"/>
      <c r="N743" s="631"/>
      <c r="O743" s="631"/>
      <c r="P743" s="631"/>
      <c r="Q743" s="631"/>
      <c r="R743" s="631"/>
      <c r="S743" s="631"/>
      <c r="T743" s="631"/>
      <c r="U743" s="631"/>
      <c r="V743" s="631"/>
      <c r="W743" s="631"/>
      <c r="X743" s="631"/>
      <c r="Y743" s="631"/>
    </row>
    <row r="744">
      <c r="A744" s="631"/>
      <c r="B744" s="631"/>
      <c r="C744" s="631"/>
      <c r="D744" s="631"/>
      <c r="E744" s="441"/>
      <c r="F744" s="631"/>
      <c r="G744" s="631"/>
      <c r="H744" s="631"/>
      <c r="I744" s="631"/>
      <c r="J744" s="631"/>
      <c r="K744" s="631"/>
      <c r="L744" s="631"/>
      <c r="M744" s="631"/>
      <c r="N744" s="631"/>
      <c r="O744" s="631"/>
      <c r="P744" s="631"/>
      <c r="Q744" s="631"/>
      <c r="R744" s="631"/>
      <c r="S744" s="631"/>
      <c r="T744" s="631"/>
      <c r="U744" s="631"/>
      <c r="V744" s="631"/>
      <c r="W744" s="631"/>
      <c r="X744" s="631"/>
      <c r="Y744" s="631"/>
    </row>
    <row r="745">
      <c r="A745" s="631"/>
      <c r="B745" s="631"/>
      <c r="C745" s="631"/>
      <c r="D745" s="631"/>
      <c r="E745" s="441"/>
      <c r="F745" s="631"/>
      <c r="G745" s="631"/>
      <c r="H745" s="631"/>
      <c r="I745" s="631"/>
      <c r="J745" s="631"/>
      <c r="K745" s="631"/>
      <c r="L745" s="631"/>
      <c r="M745" s="631"/>
      <c r="N745" s="631"/>
      <c r="O745" s="631"/>
      <c r="P745" s="631"/>
      <c r="Q745" s="631"/>
      <c r="R745" s="631"/>
      <c r="S745" s="631"/>
      <c r="T745" s="631"/>
      <c r="U745" s="631"/>
      <c r="V745" s="631"/>
      <c r="W745" s="631"/>
      <c r="X745" s="631"/>
      <c r="Y745" s="631"/>
    </row>
    <row r="746">
      <c r="A746" s="631"/>
      <c r="B746" s="631"/>
      <c r="C746" s="631"/>
      <c r="D746" s="631"/>
      <c r="E746" s="441"/>
      <c r="F746" s="631"/>
      <c r="G746" s="631"/>
      <c r="H746" s="631"/>
      <c r="I746" s="631"/>
      <c r="J746" s="631"/>
      <c r="K746" s="631"/>
      <c r="L746" s="631"/>
      <c r="M746" s="631"/>
      <c r="N746" s="631"/>
      <c r="O746" s="631"/>
      <c r="P746" s="631"/>
      <c r="Q746" s="631"/>
      <c r="R746" s="631"/>
      <c r="S746" s="631"/>
      <c r="T746" s="631"/>
      <c r="U746" s="631"/>
      <c r="V746" s="631"/>
      <c r="W746" s="631"/>
      <c r="X746" s="631"/>
      <c r="Y746" s="631"/>
    </row>
    <row r="747">
      <c r="A747" s="631"/>
      <c r="B747" s="631"/>
      <c r="C747" s="631"/>
      <c r="D747" s="631"/>
      <c r="E747" s="441"/>
      <c r="F747" s="631"/>
      <c r="G747" s="631"/>
      <c r="H747" s="631"/>
      <c r="I747" s="631"/>
      <c r="J747" s="631"/>
      <c r="K747" s="631"/>
      <c r="L747" s="631"/>
      <c r="M747" s="631"/>
      <c r="N747" s="631"/>
      <c r="O747" s="631"/>
      <c r="P747" s="631"/>
      <c r="Q747" s="631"/>
      <c r="R747" s="631"/>
      <c r="S747" s="631"/>
      <c r="T747" s="631"/>
      <c r="U747" s="631"/>
      <c r="V747" s="631"/>
      <c r="W747" s="631"/>
      <c r="X747" s="631"/>
      <c r="Y747" s="631"/>
    </row>
    <row r="748">
      <c r="A748" s="631"/>
      <c r="B748" s="631"/>
      <c r="C748" s="631"/>
      <c r="D748" s="631"/>
      <c r="E748" s="441"/>
      <c r="F748" s="631"/>
      <c r="G748" s="631"/>
      <c r="H748" s="631"/>
      <c r="I748" s="631"/>
      <c r="J748" s="631"/>
      <c r="K748" s="631"/>
      <c r="L748" s="631"/>
      <c r="M748" s="631"/>
      <c r="N748" s="631"/>
      <c r="O748" s="631"/>
      <c r="P748" s="631"/>
      <c r="Q748" s="631"/>
      <c r="R748" s="631"/>
      <c r="S748" s="631"/>
      <c r="T748" s="631"/>
      <c r="U748" s="631"/>
      <c r="V748" s="631"/>
      <c r="W748" s="631"/>
      <c r="X748" s="631"/>
      <c r="Y748" s="631"/>
    </row>
    <row r="749">
      <c r="A749" s="631"/>
      <c r="B749" s="631"/>
      <c r="C749" s="631"/>
      <c r="D749" s="631"/>
      <c r="E749" s="441"/>
      <c r="F749" s="631"/>
      <c r="G749" s="631"/>
      <c r="H749" s="631"/>
      <c r="I749" s="631"/>
      <c r="J749" s="631"/>
      <c r="K749" s="631"/>
      <c r="L749" s="631"/>
      <c r="M749" s="631"/>
      <c r="N749" s="631"/>
      <c r="O749" s="631"/>
      <c r="P749" s="631"/>
      <c r="Q749" s="631"/>
      <c r="R749" s="631"/>
      <c r="S749" s="631"/>
      <c r="T749" s="631"/>
      <c r="U749" s="631"/>
      <c r="V749" s="631"/>
      <c r="W749" s="631"/>
      <c r="X749" s="631"/>
      <c r="Y749" s="631"/>
    </row>
    <row r="750">
      <c r="A750" s="631"/>
      <c r="B750" s="631"/>
      <c r="C750" s="631"/>
      <c r="D750" s="631"/>
      <c r="E750" s="441"/>
      <c r="F750" s="631"/>
      <c r="G750" s="631"/>
      <c r="H750" s="631"/>
      <c r="I750" s="631"/>
      <c r="J750" s="631"/>
      <c r="K750" s="631"/>
      <c r="L750" s="631"/>
      <c r="M750" s="631"/>
      <c r="N750" s="631"/>
      <c r="O750" s="631"/>
      <c r="P750" s="631"/>
      <c r="Q750" s="631"/>
      <c r="R750" s="631"/>
      <c r="S750" s="631"/>
      <c r="T750" s="631"/>
      <c r="U750" s="631"/>
      <c r="V750" s="631"/>
      <c r="W750" s="631"/>
      <c r="X750" s="631"/>
      <c r="Y750" s="631"/>
    </row>
    <row r="751">
      <c r="A751" s="631"/>
      <c r="B751" s="631"/>
      <c r="C751" s="631"/>
      <c r="D751" s="631"/>
      <c r="E751" s="441"/>
      <c r="F751" s="631"/>
      <c r="G751" s="631"/>
      <c r="H751" s="631"/>
      <c r="I751" s="631"/>
      <c r="J751" s="631"/>
      <c r="K751" s="631"/>
      <c r="L751" s="631"/>
      <c r="M751" s="631"/>
      <c r="N751" s="631"/>
      <c r="O751" s="631"/>
      <c r="P751" s="631"/>
      <c r="Q751" s="631"/>
      <c r="R751" s="631"/>
      <c r="S751" s="631"/>
      <c r="T751" s="631"/>
      <c r="U751" s="631"/>
      <c r="V751" s="631"/>
      <c r="W751" s="631"/>
      <c r="X751" s="631"/>
      <c r="Y751" s="631"/>
    </row>
    <row r="752">
      <c r="A752" s="631"/>
      <c r="B752" s="631"/>
      <c r="C752" s="631"/>
      <c r="D752" s="631"/>
      <c r="E752" s="441"/>
      <c r="F752" s="631"/>
      <c r="G752" s="631"/>
      <c r="H752" s="631"/>
      <c r="I752" s="631"/>
      <c r="J752" s="631"/>
      <c r="K752" s="631"/>
      <c r="L752" s="631"/>
      <c r="M752" s="631"/>
      <c r="N752" s="631"/>
      <c r="O752" s="631"/>
      <c r="P752" s="631"/>
      <c r="Q752" s="631"/>
      <c r="R752" s="631"/>
      <c r="S752" s="631"/>
      <c r="T752" s="631"/>
      <c r="U752" s="631"/>
      <c r="V752" s="631"/>
      <c r="W752" s="631"/>
      <c r="X752" s="631"/>
      <c r="Y752" s="631"/>
    </row>
    <row r="753">
      <c r="A753" s="631"/>
      <c r="B753" s="631"/>
      <c r="C753" s="631"/>
      <c r="D753" s="631"/>
      <c r="E753" s="441"/>
      <c r="F753" s="631"/>
      <c r="G753" s="631"/>
      <c r="H753" s="631"/>
      <c r="I753" s="631"/>
      <c r="J753" s="631"/>
      <c r="K753" s="631"/>
      <c r="L753" s="631"/>
      <c r="M753" s="631"/>
      <c r="N753" s="631"/>
      <c r="O753" s="631"/>
      <c r="P753" s="631"/>
      <c r="Q753" s="631"/>
      <c r="R753" s="631"/>
      <c r="S753" s="631"/>
      <c r="T753" s="631"/>
      <c r="U753" s="631"/>
      <c r="V753" s="631"/>
      <c r="W753" s="631"/>
      <c r="X753" s="631"/>
      <c r="Y753" s="631"/>
    </row>
    <row r="754">
      <c r="A754" s="631"/>
      <c r="B754" s="631"/>
      <c r="C754" s="631"/>
      <c r="D754" s="631"/>
      <c r="E754" s="441"/>
      <c r="F754" s="631"/>
      <c r="G754" s="631"/>
      <c r="H754" s="631"/>
      <c r="I754" s="631"/>
      <c r="J754" s="631"/>
      <c r="K754" s="631"/>
      <c r="L754" s="631"/>
      <c r="M754" s="631"/>
      <c r="N754" s="631"/>
      <c r="O754" s="631"/>
      <c r="P754" s="631"/>
      <c r="Q754" s="631"/>
      <c r="R754" s="631"/>
      <c r="S754" s="631"/>
      <c r="T754" s="631"/>
      <c r="U754" s="631"/>
      <c r="V754" s="631"/>
      <c r="W754" s="631"/>
      <c r="X754" s="631"/>
      <c r="Y754" s="631"/>
    </row>
    <row r="755">
      <c r="A755" s="631"/>
      <c r="B755" s="631"/>
      <c r="C755" s="631"/>
      <c r="D755" s="631"/>
      <c r="E755" s="441"/>
      <c r="F755" s="631"/>
      <c r="G755" s="631"/>
      <c r="H755" s="631"/>
      <c r="I755" s="631"/>
      <c r="J755" s="631"/>
      <c r="K755" s="631"/>
      <c r="L755" s="631"/>
      <c r="M755" s="631"/>
      <c r="N755" s="631"/>
      <c r="O755" s="631"/>
      <c r="P755" s="631"/>
      <c r="Q755" s="631"/>
      <c r="R755" s="631"/>
      <c r="S755" s="631"/>
      <c r="T755" s="631"/>
      <c r="U755" s="631"/>
      <c r="V755" s="631"/>
      <c r="W755" s="631"/>
      <c r="X755" s="631"/>
      <c r="Y755" s="631"/>
    </row>
    <row r="756">
      <c r="A756" s="631"/>
      <c r="B756" s="631"/>
      <c r="C756" s="631"/>
      <c r="D756" s="631"/>
      <c r="E756" s="441"/>
      <c r="F756" s="631"/>
      <c r="G756" s="631"/>
      <c r="H756" s="631"/>
      <c r="I756" s="631"/>
      <c r="J756" s="631"/>
      <c r="K756" s="631"/>
      <c r="L756" s="631"/>
      <c r="M756" s="631"/>
      <c r="N756" s="631"/>
      <c r="O756" s="631"/>
      <c r="P756" s="631"/>
      <c r="Q756" s="631"/>
      <c r="R756" s="631"/>
      <c r="S756" s="631"/>
      <c r="T756" s="631"/>
      <c r="U756" s="631"/>
      <c r="V756" s="631"/>
      <c r="W756" s="631"/>
      <c r="X756" s="631"/>
      <c r="Y756" s="631"/>
    </row>
    <row r="757">
      <c r="A757" s="631"/>
      <c r="B757" s="631"/>
      <c r="C757" s="631"/>
      <c r="D757" s="631"/>
      <c r="E757" s="441"/>
      <c r="F757" s="631"/>
      <c r="G757" s="631"/>
      <c r="H757" s="631"/>
      <c r="I757" s="631"/>
      <c r="J757" s="631"/>
      <c r="K757" s="631"/>
      <c r="L757" s="631"/>
      <c r="M757" s="631"/>
      <c r="N757" s="631"/>
      <c r="O757" s="631"/>
      <c r="P757" s="631"/>
      <c r="Q757" s="631"/>
      <c r="R757" s="631"/>
      <c r="S757" s="631"/>
      <c r="T757" s="631"/>
      <c r="U757" s="631"/>
      <c r="V757" s="631"/>
      <c r="W757" s="631"/>
      <c r="X757" s="631"/>
      <c r="Y757" s="631"/>
    </row>
    <row r="758">
      <c r="A758" s="631"/>
      <c r="B758" s="631"/>
      <c r="C758" s="631"/>
      <c r="D758" s="631"/>
      <c r="E758" s="441"/>
      <c r="F758" s="631"/>
      <c r="G758" s="631"/>
      <c r="H758" s="631"/>
      <c r="I758" s="631"/>
      <c r="J758" s="631"/>
      <c r="K758" s="631"/>
      <c r="L758" s="631"/>
      <c r="M758" s="631"/>
      <c r="N758" s="631"/>
      <c r="O758" s="631"/>
      <c r="P758" s="631"/>
      <c r="Q758" s="631"/>
      <c r="R758" s="631"/>
      <c r="S758" s="631"/>
      <c r="T758" s="631"/>
      <c r="U758" s="631"/>
      <c r="V758" s="631"/>
      <c r="W758" s="631"/>
      <c r="X758" s="631"/>
      <c r="Y758" s="631"/>
    </row>
    <row r="759">
      <c r="A759" s="631"/>
      <c r="B759" s="631"/>
      <c r="C759" s="631"/>
      <c r="D759" s="631"/>
      <c r="E759" s="441"/>
      <c r="F759" s="631"/>
      <c r="G759" s="631"/>
      <c r="H759" s="631"/>
      <c r="I759" s="631"/>
      <c r="J759" s="631"/>
      <c r="K759" s="631"/>
      <c r="L759" s="631"/>
      <c r="M759" s="631"/>
      <c r="N759" s="631"/>
      <c r="O759" s="631"/>
      <c r="P759" s="631"/>
      <c r="Q759" s="631"/>
      <c r="R759" s="631"/>
      <c r="S759" s="631"/>
      <c r="T759" s="631"/>
      <c r="U759" s="631"/>
      <c r="V759" s="631"/>
      <c r="W759" s="631"/>
      <c r="X759" s="631"/>
      <c r="Y759" s="631"/>
    </row>
    <row r="760">
      <c r="A760" s="631"/>
      <c r="B760" s="631"/>
      <c r="C760" s="631"/>
      <c r="D760" s="631"/>
      <c r="E760" s="441"/>
      <c r="F760" s="631"/>
      <c r="G760" s="631"/>
      <c r="H760" s="631"/>
      <c r="I760" s="631"/>
      <c r="J760" s="631"/>
      <c r="K760" s="631"/>
      <c r="L760" s="631"/>
      <c r="M760" s="631"/>
      <c r="N760" s="631"/>
      <c r="O760" s="631"/>
      <c r="P760" s="631"/>
      <c r="Q760" s="631"/>
      <c r="R760" s="631"/>
      <c r="S760" s="631"/>
      <c r="T760" s="631"/>
      <c r="U760" s="631"/>
      <c r="V760" s="631"/>
      <c r="W760" s="631"/>
      <c r="X760" s="631"/>
      <c r="Y760" s="631"/>
    </row>
    <row r="761">
      <c r="A761" s="631"/>
      <c r="B761" s="631"/>
      <c r="C761" s="631"/>
      <c r="D761" s="631"/>
      <c r="E761" s="441"/>
      <c r="F761" s="631"/>
      <c r="G761" s="631"/>
      <c r="H761" s="631"/>
      <c r="I761" s="631"/>
      <c r="J761" s="631"/>
      <c r="K761" s="631"/>
      <c r="L761" s="631"/>
      <c r="M761" s="631"/>
      <c r="N761" s="631"/>
      <c r="O761" s="631"/>
      <c r="P761" s="631"/>
      <c r="Q761" s="631"/>
      <c r="R761" s="631"/>
      <c r="S761" s="631"/>
      <c r="T761" s="631"/>
      <c r="U761" s="631"/>
      <c r="V761" s="631"/>
      <c r="W761" s="631"/>
      <c r="X761" s="631"/>
      <c r="Y761" s="631"/>
    </row>
    <row r="762">
      <c r="A762" s="631"/>
      <c r="B762" s="631"/>
      <c r="C762" s="631"/>
      <c r="D762" s="631"/>
      <c r="E762" s="441"/>
      <c r="F762" s="631"/>
      <c r="G762" s="631"/>
      <c r="H762" s="631"/>
      <c r="I762" s="631"/>
      <c r="J762" s="631"/>
      <c r="K762" s="631"/>
      <c r="L762" s="631"/>
      <c r="M762" s="631"/>
      <c r="N762" s="631"/>
      <c r="O762" s="631"/>
      <c r="P762" s="631"/>
      <c r="Q762" s="631"/>
      <c r="R762" s="631"/>
      <c r="S762" s="631"/>
      <c r="T762" s="631"/>
      <c r="U762" s="631"/>
      <c r="V762" s="631"/>
      <c r="W762" s="631"/>
      <c r="X762" s="631"/>
      <c r="Y762" s="631"/>
    </row>
    <row r="763">
      <c r="A763" s="631"/>
      <c r="B763" s="631"/>
      <c r="C763" s="631"/>
      <c r="D763" s="631"/>
      <c r="E763" s="441"/>
      <c r="F763" s="631"/>
      <c r="G763" s="631"/>
      <c r="H763" s="631"/>
      <c r="I763" s="631"/>
      <c r="J763" s="631"/>
      <c r="K763" s="631"/>
      <c r="L763" s="631"/>
      <c r="M763" s="631"/>
      <c r="N763" s="631"/>
      <c r="O763" s="631"/>
      <c r="P763" s="631"/>
      <c r="Q763" s="631"/>
      <c r="R763" s="631"/>
      <c r="S763" s="631"/>
      <c r="T763" s="631"/>
      <c r="U763" s="631"/>
      <c r="V763" s="631"/>
      <c r="W763" s="631"/>
      <c r="X763" s="631"/>
      <c r="Y763" s="631"/>
    </row>
    <row r="764">
      <c r="A764" s="631"/>
      <c r="B764" s="631"/>
      <c r="C764" s="631"/>
      <c r="D764" s="631"/>
      <c r="E764" s="441"/>
      <c r="F764" s="631"/>
      <c r="G764" s="631"/>
      <c r="H764" s="631"/>
      <c r="I764" s="631"/>
      <c r="J764" s="631"/>
      <c r="K764" s="631"/>
      <c r="L764" s="631"/>
      <c r="M764" s="631"/>
      <c r="N764" s="631"/>
      <c r="O764" s="631"/>
      <c r="P764" s="631"/>
      <c r="Q764" s="631"/>
      <c r="R764" s="631"/>
      <c r="S764" s="631"/>
      <c r="T764" s="631"/>
      <c r="U764" s="631"/>
      <c r="V764" s="631"/>
      <c r="W764" s="631"/>
      <c r="X764" s="631"/>
      <c r="Y764" s="631"/>
    </row>
    <row r="765">
      <c r="A765" s="631"/>
      <c r="B765" s="631"/>
      <c r="C765" s="631"/>
      <c r="D765" s="631"/>
      <c r="E765" s="441"/>
      <c r="F765" s="631"/>
      <c r="G765" s="631"/>
      <c r="H765" s="631"/>
      <c r="I765" s="631"/>
      <c r="J765" s="631"/>
      <c r="K765" s="631"/>
      <c r="L765" s="631"/>
      <c r="M765" s="631"/>
      <c r="N765" s="631"/>
      <c r="O765" s="631"/>
      <c r="P765" s="631"/>
      <c r="Q765" s="631"/>
      <c r="R765" s="631"/>
      <c r="S765" s="631"/>
      <c r="T765" s="631"/>
      <c r="U765" s="631"/>
      <c r="V765" s="631"/>
      <c r="W765" s="631"/>
      <c r="X765" s="631"/>
      <c r="Y765" s="631"/>
    </row>
    <row r="766">
      <c r="A766" s="631"/>
      <c r="B766" s="631"/>
      <c r="C766" s="631"/>
      <c r="D766" s="631"/>
      <c r="E766" s="441"/>
      <c r="F766" s="631"/>
      <c r="G766" s="631"/>
      <c r="H766" s="631"/>
      <c r="I766" s="631"/>
      <c r="J766" s="631"/>
      <c r="K766" s="631"/>
      <c r="L766" s="631"/>
      <c r="M766" s="631"/>
      <c r="N766" s="631"/>
      <c r="O766" s="631"/>
      <c r="P766" s="631"/>
      <c r="Q766" s="631"/>
      <c r="R766" s="631"/>
      <c r="S766" s="631"/>
      <c r="T766" s="631"/>
      <c r="U766" s="631"/>
      <c r="V766" s="631"/>
      <c r="W766" s="631"/>
      <c r="X766" s="631"/>
      <c r="Y766" s="631"/>
    </row>
    <row r="767">
      <c r="A767" s="631"/>
      <c r="B767" s="631"/>
      <c r="C767" s="631"/>
      <c r="D767" s="631"/>
      <c r="E767" s="441"/>
      <c r="F767" s="631"/>
      <c r="G767" s="631"/>
      <c r="H767" s="631"/>
      <c r="I767" s="631"/>
      <c r="J767" s="631"/>
      <c r="K767" s="631"/>
      <c r="L767" s="631"/>
      <c r="M767" s="631"/>
      <c r="N767" s="631"/>
      <c r="O767" s="631"/>
      <c r="P767" s="631"/>
      <c r="Q767" s="631"/>
      <c r="R767" s="631"/>
      <c r="S767" s="631"/>
      <c r="T767" s="631"/>
      <c r="U767" s="631"/>
      <c r="V767" s="631"/>
      <c r="W767" s="631"/>
      <c r="X767" s="631"/>
      <c r="Y767" s="631"/>
    </row>
    <row r="768">
      <c r="A768" s="631"/>
      <c r="B768" s="631"/>
      <c r="C768" s="631"/>
      <c r="D768" s="631"/>
      <c r="E768" s="441"/>
      <c r="F768" s="631"/>
      <c r="G768" s="631"/>
      <c r="H768" s="631"/>
      <c r="I768" s="631"/>
      <c r="J768" s="631"/>
      <c r="K768" s="631"/>
      <c r="L768" s="631"/>
      <c r="M768" s="631"/>
      <c r="N768" s="631"/>
      <c r="O768" s="631"/>
      <c r="P768" s="631"/>
      <c r="Q768" s="631"/>
      <c r="R768" s="631"/>
      <c r="S768" s="631"/>
      <c r="T768" s="631"/>
      <c r="U768" s="631"/>
      <c r="V768" s="631"/>
      <c r="W768" s="631"/>
      <c r="X768" s="631"/>
      <c r="Y768" s="631"/>
    </row>
    <row r="769">
      <c r="A769" s="631"/>
      <c r="B769" s="631"/>
      <c r="C769" s="631"/>
      <c r="D769" s="631"/>
      <c r="E769" s="441"/>
      <c r="F769" s="631"/>
      <c r="G769" s="631"/>
      <c r="H769" s="631"/>
      <c r="I769" s="631"/>
      <c r="J769" s="631"/>
      <c r="K769" s="631"/>
      <c r="L769" s="631"/>
      <c r="M769" s="631"/>
      <c r="N769" s="631"/>
      <c r="O769" s="631"/>
      <c r="P769" s="631"/>
      <c r="Q769" s="631"/>
      <c r="R769" s="631"/>
      <c r="S769" s="631"/>
      <c r="T769" s="631"/>
      <c r="U769" s="631"/>
      <c r="V769" s="631"/>
      <c r="W769" s="631"/>
      <c r="X769" s="631"/>
      <c r="Y769" s="631"/>
    </row>
    <row r="770">
      <c r="A770" s="631"/>
      <c r="B770" s="631"/>
      <c r="C770" s="631"/>
      <c r="D770" s="631"/>
      <c r="E770" s="441"/>
      <c r="F770" s="631"/>
      <c r="G770" s="631"/>
      <c r="H770" s="631"/>
      <c r="I770" s="631"/>
      <c r="J770" s="631"/>
      <c r="K770" s="631"/>
      <c r="L770" s="631"/>
      <c r="M770" s="631"/>
      <c r="N770" s="631"/>
      <c r="O770" s="631"/>
      <c r="P770" s="631"/>
      <c r="Q770" s="631"/>
      <c r="R770" s="631"/>
      <c r="S770" s="631"/>
      <c r="T770" s="631"/>
      <c r="U770" s="631"/>
      <c r="V770" s="631"/>
      <c r="W770" s="631"/>
      <c r="X770" s="631"/>
      <c r="Y770" s="631"/>
    </row>
    <row r="771">
      <c r="A771" s="631"/>
      <c r="B771" s="631"/>
      <c r="C771" s="631"/>
      <c r="D771" s="631"/>
      <c r="E771" s="441"/>
      <c r="F771" s="631"/>
      <c r="G771" s="631"/>
      <c r="H771" s="631"/>
      <c r="I771" s="631"/>
      <c r="J771" s="631"/>
      <c r="K771" s="631"/>
      <c r="L771" s="631"/>
      <c r="M771" s="631"/>
      <c r="N771" s="631"/>
      <c r="O771" s="631"/>
      <c r="P771" s="631"/>
      <c r="Q771" s="631"/>
      <c r="R771" s="631"/>
      <c r="S771" s="631"/>
      <c r="T771" s="631"/>
      <c r="U771" s="631"/>
      <c r="V771" s="631"/>
      <c r="W771" s="631"/>
      <c r="X771" s="631"/>
      <c r="Y771" s="631"/>
    </row>
    <row r="772">
      <c r="A772" s="631"/>
      <c r="B772" s="631"/>
      <c r="C772" s="631"/>
      <c r="D772" s="631"/>
      <c r="E772" s="441"/>
      <c r="F772" s="631"/>
      <c r="G772" s="631"/>
      <c r="H772" s="631"/>
      <c r="I772" s="631"/>
      <c r="J772" s="631"/>
      <c r="K772" s="631"/>
      <c r="L772" s="631"/>
      <c r="M772" s="631"/>
      <c r="N772" s="631"/>
      <c r="O772" s="631"/>
      <c r="P772" s="631"/>
      <c r="Q772" s="631"/>
      <c r="R772" s="631"/>
      <c r="S772" s="631"/>
      <c r="T772" s="631"/>
      <c r="U772" s="631"/>
      <c r="V772" s="631"/>
      <c r="W772" s="631"/>
      <c r="X772" s="631"/>
      <c r="Y772" s="631"/>
    </row>
    <row r="773">
      <c r="A773" s="631"/>
      <c r="B773" s="631"/>
      <c r="C773" s="631"/>
      <c r="D773" s="631"/>
      <c r="E773" s="441"/>
      <c r="F773" s="631"/>
      <c r="G773" s="631"/>
      <c r="H773" s="631"/>
      <c r="I773" s="631"/>
      <c r="J773" s="631"/>
      <c r="K773" s="631"/>
      <c r="L773" s="631"/>
      <c r="M773" s="631"/>
      <c r="N773" s="631"/>
      <c r="O773" s="631"/>
      <c r="P773" s="631"/>
      <c r="Q773" s="631"/>
      <c r="R773" s="631"/>
      <c r="S773" s="631"/>
      <c r="T773" s="631"/>
      <c r="U773" s="631"/>
      <c r="V773" s="631"/>
      <c r="W773" s="631"/>
      <c r="X773" s="631"/>
      <c r="Y773" s="631"/>
    </row>
    <row r="774">
      <c r="A774" s="631"/>
      <c r="B774" s="631"/>
      <c r="C774" s="631"/>
      <c r="D774" s="631"/>
      <c r="E774" s="441"/>
      <c r="F774" s="631"/>
      <c r="G774" s="631"/>
      <c r="H774" s="631"/>
      <c r="I774" s="631"/>
      <c r="J774" s="631"/>
      <c r="K774" s="631"/>
      <c r="L774" s="631"/>
      <c r="M774" s="631"/>
      <c r="N774" s="631"/>
      <c r="O774" s="631"/>
      <c r="P774" s="631"/>
      <c r="Q774" s="631"/>
      <c r="R774" s="631"/>
      <c r="S774" s="631"/>
      <c r="T774" s="631"/>
      <c r="U774" s="631"/>
      <c r="V774" s="631"/>
      <c r="W774" s="631"/>
      <c r="X774" s="631"/>
      <c r="Y774" s="631"/>
    </row>
    <row r="775">
      <c r="A775" s="631"/>
      <c r="B775" s="631"/>
      <c r="C775" s="631"/>
      <c r="D775" s="631"/>
      <c r="E775" s="441"/>
      <c r="F775" s="631"/>
      <c r="G775" s="631"/>
      <c r="H775" s="631"/>
      <c r="I775" s="631"/>
      <c r="J775" s="631"/>
      <c r="K775" s="631"/>
      <c r="L775" s="631"/>
      <c r="M775" s="631"/>
      <c r="N775" s="631"/>
      <c r="O775" s="631"/>
      <c r="P775" s="631"/>
      <c r="Q775" s="631"/>
      <c r="R775" s="631"/>
      <c r="S775" s="631"/>
      <c r="T775" s="631"/>
      <c r="U775" s="631"/>
      <c r="V775" s="631"/>
      <c r="W775" s="631"/>
      <c r="X775" s="631"/>
      <c r="Y775" s="631"/>
    </row>
    <row r="776">
      <c r="A776" s="631"/>
      <c r="B776" s="631"/>
      <c r="C776" s="631"/>
      <c r="D776" s="631"/>
      <c r="E776" s="441"/>
      <c r="F776" s="631"/>
      <c r="G776" s="631"/>
      <c r="H776" s="631"/>
      <c r="I776" s="631"/>
      <c r="J776" s="631"/>
      <c r="K776" s="631"/>
      <c r="L776" s="631"/>
      <c r="M776" s="631"/>
      <c r="N776" s="631"/>
      <c r="O776" s="631"/>
      <c r="P776" s="631"/>
      <c r="Q776" s="631"/>
      <c r="R776" s="631"/>
      <c r="S776" s="631"/>
      <c r="T776" s="631"/>
      <c r="U776" s="631"/>
      <c r="V776" s="631"/>
      <c r="W776" s="631"/>
      <c r="X776" s="631"/>
      <c r="Y776" s="631"/>
    </row>
    <row r="777">
      <c r="A777" s="631"/>
      <c r="B777" s="631"/>
      <c r="C777" s="631"/>
      <c r="D777" s="631"/>
      <c r="E777" s="441"/>
      <c r="F777" s="631"/>
      <c r="G777" s="631"/>
      <c r="H777" s="631"/>
      <c r="I777" s="631"/>
      <c r="J777" s="631"/>
      <c r="K777" s="631"/>
      <c r="L777" s="631"/>
      <c r="M777" s="631"/>
      <c r="N777" s="631"/>
      <c r="O777" s="631"/>
      <c r="P777" s="631"/>
      <c r="Q777" s="631"/>
      <c r="R777" s="631"/>
      <c r="S777" s="631"/>
      <c r="T777" s="631"/>
      <c r="U777" s="631"/>
      <c r="V777" s="631"/>
      <c r="W777" s="631"/>
      <c r="X777" s="631"/>
      <c r="Y777" s="631"/>
    </row>
    <row r="778">
      <c r="A778" s="631"/>
      <c r="B778" s="631"/>
      <c r="C778" s="631"/>
      <c r="D778" s="631"/>
      <c r="E778" s="441"/>
      <c r="F778" s="631"/>
      <c r="G778" s="631"/>
      <c r="H778" s="631"/>
      <c r="I778" s="631"/>
      <c r="J778" s="631"/>
      <c r="K778" s="631"/>
      <c r="L778" s="631"/>
      <c r="M778" s="631"/>
      <c r="N778" s="631"/>
      <c r="O778" s="631"/>
      <c r="P778" s="631"/>
      <c r="Q778" s="631"/>
      <c r="R778" s="631"/>
      <c r="S778" s="631"/>
      <c r="T778" s="631"/>
      <c r="U778" s="631"/>
      <c r="V778" s="631"/>
      <c r="W778" s="631"/>
      <c r="X778" s="631"/>
      <c r="Y778" s="631"/>
    </row>
    <row r="779">
      <c r="A779" s="631"/>
      <c r="B779" s="631"/>
      <c r="C779" s="631"/>
      <c r="D779" s="631"/>
      <c r="E779" s="441"/>
      <c r="F779" s="631"/>
      <c r="G779" s="631"/>
      <c r="H779" s="631"/>
      <c r="I779" s="631"/>
      <c r="J779" s="631"/>
      <c r="K779" s="631"/>
      <c r="L779" s="631"/>
      <c r="M779" s="631"/>
      <c r="N779" s="631"/>
      <c r="O779" s="631"/>
      <c r="P779" s="631"/>
      <c r="Q779" s="631"/>
      <c r="R779" s="631"/>
      <c r="S779" s="631"/>
      <c r="T779" s="631"/>
      <c r="U779" s="631"/>
      <c r="V779" s="631"/>
      <c r="W779" s="631"/>
      <c r="X779" s="631"/>
      <c r="Y779" s="631"/>
    </row>
    <row r="780">
      <c r="A780" s="631"/>
      <c r="B780" s="631"/>
      <c r="C780" s="631"/>
      <c r="D780" s="631"/>
      <c r="E780" s="441"/>
      <c r="F780" s="631"/>
      <c r="G780" s="631"/>
      <c r="H780" s="631"/>
      <c r="I780" s="631"/>
      <c r="J780" s="631"/>
      <c r="K780" s="631"/>
      <c r="L780" s="631"/>
      <c r="M780" s="631"/>
      <c r="N780" s="631"/>
      <c r="O780" s="631"/>
      <c r="P780" s="631"/>
      <c r="Q780" s="631"/>
      <c r="R780" s="631"/>
      <c r="S780" s="631"/>
      <c r="T780" s="631"/>
      <c r="U780" s="631"/>
      <c r="V780" s="631"/>
      <c r="W780" s="631"/>
      <c r="X780" s="631"/>
      <c r="Y780" s="631"/>
    </row>
    <row r="781">
      <c r="A781" s="631"/>
      <c r="B781" s="631"/>
      <c r="C781" s="631"/>
      <c r="D781" s="631"/>
      <c r="E781" s="441"/>
      <c r="F781" s="631"/>
      <c r="G781" s="631"/>
      <c r="H781" s="631"/>
      <c r="I781" s="631"/>
      <c r="J781" s="631"/>
      <c r="K781" s="631"/>
      <c r="L781" s="631"/>
      <c r="M781" s="631"/>
      <c r="N781" s="631"/>
      <c r="O781" s="631"/>
      <c r="P781" s="631"/>
      <c r="Q781" s="631"/>
      <c r="R781" s="631"/>
      <c r="S781" s="631"/>
      <c r="T781" s="631"/>
      <c r="U781" s="631"/>
      <c r="V781" s="631"/>
      <c r="W781" s="631"/>
      <c r="X781" s="631"/>
      <c r="Y781" s="631"/>
    </row>
    <row r="782">
      <c r="A782" s="631"/>
      <c r="B782" s="631"/>
      <c r="C782" s="631"/>
      <c r="D782" s="631"/>
      <c r="E782" s="441"/>
      <c r="F782" s="631"/>
      <c r="G782" s="631"/>
      <c r="H782" s="631"/>
      <c r="I782" s="631"/>
      <c r="J782" s="631"/>
      <c r="K782" s="631"/>
      <c r="L782" s="631"/>
      <c r="M782" s="631"/>
      <c r="N782" s="631"/>
      <c r="O782" s="631"/>
      <c r="P782" s="631"/>
      <c r="Q782" s="631"/>
      <c r="R782" s="631"/>
      <c r="S782" s="631"/>
      <c r="T782" s="631"/>
      <c r="U782" s="631"/>
      <c r="V782" s="631"/>
      <c r="W782" s="631"/>
      <c r="X782" s="631"/>
      <c r="Y782" s="631"/>
    </row>
    <row r="783">
      <c r="A783" s="631"/>
      <c r="B783" s="631"/>
      <c r="C783" s="631"/>
      <c r="D783" s="631"/>
      <c r="E783" s="441"/>
      <c r="F783" s="631"/>
      <c r="G783" s="631"/>
      <c r="H783" s="631"/>
      <c r="I783" s="631"/>
      <c r="J783" s="631"/>
      <c r="K783" s="631"/>
      <c r="L783" s="631"/>
      <c r="M783" s="631"/>
      <c r="N783" s="631"/>
      <c r="O783" s="631"/>
      <c r="P783" s="631"/>
      <c r="Q783" s="631"/>
      <c r="R783" s="631"/>
      <c r="S783" s="631"/>
      <c r="T783" s="631"/>
      <c r="U783" s="631"/>
      <c r="V783" s="631"/>
      <c r="W783" s="631"/>
      <c r="X783" s="631"/>
      <c r="Y783" s="631"/>
    </row>
    <row r="784">
      <c r="A784" s="631"/>
      <c r="B784" s="631"/>
      <c r="C784" s="631"/>
      <c r="D784" s="631"/>
      <c r="E784" s="441"/>
      <c r="F784" s="631"/>
      <c r="G784" s="631"/>
      <c r="H784" s="631"/>
      <c r="I784" s="631"/>
      <c r="J784" s="631"/>
      <c r="K784" s="631"/>
      <c r="L784" s="631"/>
      <c r="M784" s="631"/>
      <c r="N784" s="631"/>
      <c r="O784" s="631"/>
      <c r="P784" s="631"/>
      <c r="Q784" s="631"/>
      <c r="R784" s="631"/>
      <c r="S784" s="631"/>
      <c r="T784" s="631"/>
      <c r="U784" s="631"/>
      <c r="V784" s="631"/>
      <c r="W784" s="631"/>
      <c r="X784" s="631"/>
      <c r="Y784" s="631"/>
    </row>
    <row r="785">
      <c r="A785" s="631"/>
      <c r="B785" s="631"/>
      <c r="C785" s="631"/>
      <c r="D785" s="631"/>
      <c r="E785" s="441"/>
      <c r="F785" s="631"/>
      <c r="G785" s="631"/>
      <c r="H785" s="631"/>
      <c r="I785" s="631"/>
      <c r="J785" s="631"/>
      <c r="K785" s="631"/>
      <c r="L785" s="631"/>
      <c r="M785" s="631"/>
      <c r="N785" s="631"/>
      <c r="O785" s="631"/>
      <c r="P785" s="631"/>
      <c r="Q785" s="631"/>
      <c r="R785" s="631"/>
      <c r="S785" s="631"/>
      <c r="T785" s="631"/>
      <c r="U785" s="631"/>
      <c r="V785" s="631"/>
      <c r="W785" s="631"/>
      <c r="X785" s="631"/>
      <c r="Y785" s="631"/>
    </row>
    <row r="786">
      <c r="A786" s="631"/>
      <c r="B786" s="631"/>
      <c r="C786" s="631"/>
      <c r="D786" s="631"/>
      <c r="E786" s="441"/>
      <c r="F786" s="631"/>
      <c r="G786" s="631"/>
      <c r="H786" s="631"/>
      <c r="I786" s="631"/>
      <c r="J786" s="631"/>
      <c r="K786" s="631"/>
      <c r="L786" s="631"/>
      <c r="M786" s="631"/>
      <c r="N786" s="631"/>
      <c r="O786" s="631"/>
      <c r="P786" s="631"/>
      <c r="Q786" s="631"/>
      <c r="R786" s="631"/>
      <c r="S786" s="631"/>
      <c r="T786" s="631"/>
      <c r="U786" s="631"/>
      <c r="V786" s="631"/>
      <c r="W786" s="631"/>
      <c r="X786" s="631"/>
      <c r="Y786" s="631"/>
    </row>
    <row r="787">
      <c r="A787" s="631"/>
      <c r="B787" s="631"/>
      <c r="C787" s="631"/>
      <c r="D787" s="631"/>
      <c r="E787" s="441"/>
      <c r="F787" s="631"/>
      <c r="G787" s="631"/>
      <c r="H787" s="631"/>
      <c r="I787" s="631"/>
      <c r="J787" s="631"/>
      <c r="K787" s="631"/>
      <c r="L787" s="631"/>
      <c r="M787" s="631"/>
      <c r="N787" s="631"/>
      <c r="O787" s="631"/>
      <c r="P787" s="631"/>
      <c r="Q787" s="631"/>
      <c r="R787" s="631"/>
      <c r="S787" s="631"/>
      <c r="T787" s="631"/>
      <c r="U787" s="631"/>
      <c r="V787" s="631"/>
      <c r="W787" s="631"/>
      <c r="X787" s="631"/>
      <c r="Y787" s="631"/>
    </row>
    <row r="788">
      <c r="A788" s="631"/>
      <c r="B788" s="631"/>
      <c r="C788" s="631"/>
      <c r="D788" s="631"/>
      <c r="E788" s="441"/>
      <c r="F788" s="631"/>
      <c r="G788" s="631"/>
      <c r="H788" s="631"/>
      <c r="I788" s="631"/>
      <c r="J788" s="631"/>
      <c r="K788" s="631"/>
      <c r="L788" s="631"/>
      <c r="M788" s="631"/>
      <c r="N788" s="631"/>
      <c r="O788" s="631"/>
      <c r="P788" s="631"/>
      <c r="Q788" s="631"/>
      <c r="R788" s="631"/>
      <c r="S788" s="631"/>
      <c r="T788" s="631"/>
      <c r="U788" s="631"/>
      <c r="V788" s="631"/>
      <c r="W788" s="631"/>
      <c r="X788" s="631"/>
      <c r="Y788" s="631"/>
    </row>
    <row r="789">
      <c r="A789" s="631"/>
      <c r="B789" s="631"/>
      <c r="C789" s="631"/>
      <c r="D789" s="631"/>
      <c r="E789" s="441"/>
      <c r="F789" s="631"/>
      <c r="G789" s="631"/>
      <c r="H789" s="631"/>
      <c r="I789" s="631"/>
      <c r="J789" s="631"/>
      <c r="K789" s="631"/>
      <c r="L789" s="631"/>
      <c r="M789" s="631"/>
      <c r="N789" s="631"/>
      <c r="O789" s="631"/>
      <c r="P789" s="631"/>
      <c r="Q789" s="631"/>
      <c r="R789" s="631"/>
      <c r="S789" s="631"/>
      <c r="T789" s="631"/>
      <c r="U789" s="631"/>
      <c r="V789" s="631"/>
      <c r="W789" s="631"/>
      <c r="X789" s="631"/>
      <c r="Y789" s="631"/>
    </row>
    <row r="790">
      <c r="A790" s="631"/>
      <c r="B790" s="631"/>
      <c r="C790" s="631"/>
      <c r="D790" s="631"/>
      <c r="E790" s="441"/>
      <c r="F790" s="631"/>
      <c r="G790" s="631"/>
      <c r="H790" s="631"/>
      <c r="I790" s="631"/>
      <c r="J790" s="631"/>
      <c r="K790" s="631"/>
      <c r="L790" s="631"/>
      <c r="M790" s="631"/>
      <c r="N790" s="631"/>
      <c r="O790" s="631"/>
      <c r="P790" s="631"/>
      <c r="Q790" s="631"/>
      <c r="R790" s="631"/>
      <c r="S790" s="631"/>
      <c r="T790" s="631"/>
      <c r="U790" s="631"/>
      <c r="V790" s="631"/>
      <c r="W790" s="631"/>
      <c r="X790" s="631"/>
      <c r="Y790" s="631"/>
    </row>
    <row r="791">
      <c r="A791" s="631"/>
      <c r="B791" s="631"/>
      <c r="C791" s="631"/>
      <c r="D791" s="631"/>
      <c r="E791" s="441"/>
      <c r="F791" s="631"/>
      <c r="G791" s="631"/>
      <c r="H791" s="631"/>
      <c r="I791" s="631"/>
      <c r="J791" s="631"/>
      <c r="K791" s="631"/>
      <c r="L791" s="631"/>
      <c r="M791" s="631"/>
      <c r="N791" s="631"/>
      <c r="O791" s="631"/>
      <c r="P791" s="631"/>
      <c r="Q791" s="631"/>
      <c r="R791" s="631"/>
      <c r="S791" s="631"/>
      <c r="T791" s="631"/>
      <c r="U791" s="631"/>
      <c r="V791" s="631"/>
      <c r="W791" s="631"/>
      <c r="X791" s="631"/>
      <c r="Y791" s="631"/>
    </row>
    <row r="792">
      <c r="A792" s="631"/>
      <c r="B792" s="631"/>
      <c r="C792" s="631"/>
      <c r="D792" s="631"/>
      <c r="E792" s="441"/>
      <c r="F792" s="631"/>
      <c r="G792" s="631"/>
      <c r="H792" s="631"/>
      <c r="I792" s="631"/>
      <c r="J792" s="631"/>
      <c r="K792" s="631"/>
      <c r="L792" s="631"/>
      <c r="M792" s="631"/>
      <c r="N792" s="631"/>
      <c r="O792" s="631"/>
      <c r="P792" s="631"/>
      <c r="Q792" s="631"/>
      <c r="R792" s="631"/>
      <c r="S792" s="631"/>
      <c r="T792" s="631"/>
      <c r="U792" s="631"/>
      <c r="V792" s="631"/>
      <c r="W792" s="631"/>
      <c r="X792" s="631"/>
      <c r="Y792" s="631"/>
    </row>
    <row r="793">
      <c r="A793" s="631"/>
      <c r="B793" s="631"/>
      <c r="C793" s="631"/>
      <c r="D793" s="631"/>
      <c r="E793" s="441"/>
      <c r="F793" s="631"/>
      <c r="G793" s="631"/>
      <c r="H793" s="631"/>
      <c r="I793" s="631"/>
      <c r="J793" s="631"/>
      <c r="K793" s="631"/>
      <c r="L793" s="631"/>
      <c r="M793" s="631"/>
      <c r="N793" s="631"/>
      <c r="O793" s="631"/>
      <c r="P793" s="631"/>
      <c r="Q793" s="631"/>
      <c r="R793" s="631"/>
      <c r="S793" s="631"/>
      <c r="T793" s="631"/>
      <c r="U793" s="631"/>
      <c r="V793" s="631"/>
      <c r="W793" s="631"/>
      <c r="X793" s="631"/>
      <c r="Y793" s="631"/>
    </row>
    <row r="794">
      <c r="A794" s="631"/>
      <c r="B794" s="631"/>
      <c r="C794" s="631"/>
      <c r="D794" s="631"/>
      <c r="E794" s="441"/>
      <c r="F794" s="631"/>
      <c r="G794" s="631"/>
      <c r="H794" s="631"/>
      <c r="I794" s="631"/>
      <c r="J794" s="631"/>
      <c r="K794" s="631"/>
      <c r="L794" s="631"/>
      <c r="M794" s="631"/>
      <c r="N794" s="631"/>
      <c r="O794" s="631"/>
      <c r="P794" s="631"/>
      <c r="Q794" s="631"/>
      <c r="R794" s="631"/>
      <c r="S794" s="631"/>
      <c r="T794" s="631"/>
      <c r="U794" s="631"/>
      <c r="V794" s="631"/>
      <c r="W794" s="631"/>
      <c r="X794" s="631"/>
      <c r="Y794" s="631"/>
    </row>
    <row r="795">
      <c r="A795" s="631"/>
      <c r="B795" s="631"/>
      <c r="C795" s="631"/>
      <c r="D795" s="631"/>
      <c r="E795" s="441"/>
      <c r="F795" s="631"/>
      <c r="G795" s="631"/>
      <c r="H795" s="631"/>
      <c r="I795" s="631"/>
      <c r="J795" s="631"/>
      <c r="K795" s="631"/>
      <c r="L795" s="631"/>
      <c r="M795" s="631"/>
      <c r="N795" s="631"/>
      <c r="O795" s="631"/>
      <c r="P795" s="631"/>
      <c r="Q795" s="631"/>
      <c r="R795" s="631"/>
      <c r="S795" s="631"/>
      <c r="T795" s="631"/>
      <c r="U795" s="631"/>
      <c r="V795" s="631"/>
      <c r="W795" s="631"/>
      <c r="X795" s="631"/>
      <c r="Y795" s="631"/>
    </row>
    <row r="796">
      <c r="A796" s="631"/>
      <c r="B796" s="631"/>
      <c r="C796" s="631"/>
      <c r="D796" s="631"/>
      <c r="E796" s="441"/>
      <c r="F796" s="631"/>
      <c r="G796" s="631"/>
      <c r="H796" s="631"/>
      <c r="I796" s="631"/>
      <c r="J796" s="631"/>
      <c r="K796" s="631"/>
      <c r="L796" s="631"/>
      <c r="M796" s="631"/>
      <c r="N796" s="631"/>
      <c r="O796" s="631"/>
      <c r="P796" s="631"/>
      <c r="Q796" s="631"/>
      <c r="R796" s="631"/>
      <c r="S796" s="631"/>
      <c r="T796" s="631"/>
      <c r="U796" s="631"/>
      <c r="V796" s="631"/>
      <c r="W796" s="631"/>
      <c r="X796" s="631"/>
      <c r="Y796" s="631"/>
    </row>
    <row r="797">
      <c r="A797" s="631"/>
      <c r="B797" s="631"/>
      <c r="C797" s="631"/>
      <c r="D797" s="631"/>
      <c r="E797" s="441"/>
      <c r="F797" s="631"/>
      <c r="G797" s="631"/>
      <c r="H797" s="631"/>
      <c r="I797" s="631"/>
      <c r="J797" s="631"/>
      <c r="K797" s="631"/>
      <c r="L797" s="631"/>
      <c r="M797" s="631"/>
      <c r="N797" s="631"/>
      <c r="O797" s="631"/>
      <c r="P797" s="631"/>
      <c r="Q797" s="631"/>
      <c r="R797" s="631"/>
      <c r="S797" s="631"/>
      <c r="T797" s="631"/>
      <c r="U797" s="631"/>
      <c r="V797" s="631"/>
      <c r="W797" s="631"/>
      <c r="X797" s="631"/>
      <c r="Y797" s="631"/>
    </row>
    <row r="798">
      <c r="A798" s="631"/>
      <c r="B798" s="631"/>
      <c r="C798" s="631"/>
      <c r="D798" s="631"/>
      <c r="E798" s="441"/>
      <c r="F798" s="631"/>
      <c r="G798" s="631"/>
      <c r="H798" s="631"/>
      <c r="I798" s="631"/>
      <c r="J798" s="631"/>
      <c r="K798" s="631"/>
      <c r="L798" s="631"/>
      <c r="M798" s="631"/>
      <c r="N798" s="631"/>
      <c r="O798" s="631"/>
      <c r="P798" s="631"/>
      <c r="Q798" s="631"/>
      <c r="R798" s="631"/>
      <c r="S798" s="631"/>
      <c r="T798" s="631"/>
      <c r="U798" s="631"/>
      <c r="V798" s="631"/>
      <c r="W798" s="631"/>
      <c r="X798" s="631"/>
      <c r="Y798" s="631"/>
    </row>
    <row r="799">
      <c r="A799" s="631"/>
      <c r="B799" s="631"/>
      <c r="C799" s="631"/>
      <c r="D799" s="631"/>
      <c r="E799" s="441"/>
      <c r="F799" s="631"/>
      <c r="G799" s="631"/>
      <c r="H799" s="631"/>
      <c r="I799" s="631"/>
      <c r="J799" s="631"/>
      <c r="K799" s="631"/>
      <c r="L799" s="631"/>
      <c r="M799" s="631"/>
      <c r="N799" s="631"/>
      <c r="O799" s="631"/>
      <c r="P799" s="631"/>
      <c r="Q799" s="631"/>
      <c r="R799" s="631"/>
      <c r="S799" s="631"/>
      <c r="T799" s="631"/>
      <c r="U799" s="631"/>
      <c r="V799" s="631"/>
      <c r="W799" s="631"/>
      <c r="X799" s="631"/>
      <c r="Y799" s="631"/>
    </row>
    <row r="800">
      <c r="A800" s="631"/>
      <c r="B800" s="631"/>
      <c r="C800" s="631"/>
      <c r="D800" s="631"/>
      <c r="E800" s="441"/>
      <c r="F800" s="631"/>
      <c r="G800" s="631"/>
      <c r="H800" s="631"/>
      <c r="I800" s="631"/>
      <c r="J800" s="631"/>
      <c r="K800" s="631"/>
      <c r="L800" s="631"/>
      <c r="M800" s="631"/>
      <c r="N800" s="631"/>
      <c r="O800" s="631"/>
      <c r="P800" s="631"/>
      <c r="Q800" s="631"/>
      <c r="R800" s="631"/>
      <c r="S800" s="631"/>
      <c r="T800" s="631"/>
      <c r="U800" s="631"/>
      <c r="V800" s="631"/>
      <c r="W800" s="631"/>
      <c r="X800" s="631"/>
      <c r="Y800" s="631"/>
    </row>
    <row r="801">
      <c r="A801" s="631"/>
      <c r="B801" s="631"/>
      <c r="C801" s="631"/>
      <c r="D801" s="631"/>
      <c r="E801" s="441"/>
      <c r="F801" s="631"/>
      <c r="G801" s="631"/>
      <c r="H801" s="631"/>
      <c r="I801" s="631"/>
      <c r="J801" s="631"/>
      <c r="K801" s="631"/>
      <c r="L801" s="631"/>
      <c r="M801" s="631"/>
      <c r="N801" s="631"/>
      <c r="O801" s="631"/>
      <c r="P801" s="631"/>
      <c r="Q801" s="631"/>
      <c r="R801" s="631"/>
      <c r="S801" s="631"/>
      <c r="T801" s="631"/>
      <c r="U801" s="631"/>
      <c r="V801" s="631"/>
      <c r="W801" s="631"/>
      <c r="X801" s="631"/>
      <c r="Y801" s="631"/>
    </row>
    <row r="802">
      <c r="A802" s="631"/>
      <c r="B802" s="631"/>
      <c r="C802" s="631"/>
      <c r="D802" s="631"/>
      <c r="E802" s="441"/>
      <c r="F802" s="631"/>
      <c r="G802" s="631"/>
      <c r="H802" s="631"/>
      <c r="I802" s="631"/>
      <c r="J802" s="631"/>
      <c r="K802" s="631"/>
      <c r="L802" s="631"/>
      <c r="M802" s="631"/>
      <c r="N802" s="631"/>
      <c r="O802" s="631"/>
      <c r="P802" s="631"/>
      <c r="Q802" s="631"/>
      <c r="R802" s="631"/>
      <c r="S802" s="631"/>
      <c r="T802" s="631"/>
      <c r="U802" s="631"/>
      <c r="V802" s="631"/>
      <c r="W802" s="631"/>
      <c r="X802" s="631"/>
      <c r="Y802" s="631"/>
    </row>
    <row r="803">
      <c r="A803" s="631"/>
      <c r="B803" s="631"/>
      <c r="C803" s="631"/>
      <c r="D803" s="631"/>
      <c r="E803" s="441"/>
      <c r="F803" s="631"/>
      <c r="G803" s="631"/>
      <c r="H803" s="631"/>
      <c r="I803" s="631"/>
      <c r="J803" s="631"/>
      <c r="K803" s="631"/>
      <c r="L803" s="631"/>
      <c r="M803" s="631"/>
      <c r="N803" s="631"/>
      <c r="O803" s="631"/>
      <c r="P803" s="631"/>
      <c r="Q803" s="631"/>
      <c r="R803" s="631"/>
      <c r="S803" s="631"/>
      <c r="T803" s="631"/>
      <c r="U803" s="631"/>
      <c r="V803" s="631"/>
      <c r="W803" s="631"/>
      <c r="X803" s="631"/>
      <c r="Y803" s="631"/>
    </row>
    <row r="804">
      <c r="A804" s="631"/>
      <c r="B804" s="631"/>
      <c r="C804" s="631"/>
      <c r="D804" s="631"/>
      <c r="E804" s="441"/>
      <c r="F804" s="631"/>
      <c r="G804" s="631"/>
      <c r="H804" s="631"/>
      <c r="I804" s="631"/>
      <c r="J804" s="631"/>
      <c r="K804" s="631"/>
      <c r="L804" s="631"/>
      <c r="M804" s="631"/>
      <c r="N804" s="631"/>
      <c r="O804" s="631"/>
      <c r="P804" s="631"/>
      <c r="Q804" s="631"/>
      <c r="R804" s="631"/>
      <c r="S804" s="631"/>
      <c r="T804" s="631"/>
      <c r="U804" s="631"/>
      <c r="V804" s="631"/>
      <c r="W804" s="631"/>
      <c r="X804" s="631"/>
      <c r="Y804" s="631"/>
    </row>
    <row r="805">
      <c r="A805" s="631"/>
      <c r="B805" s="631"/>
      <c r="C805" s="631"/>
      <c r="D805" s="631"/>
      <c r="E805" s="441"/>
      <c r="F805" s="631"/>
      <c r="G805" s="631"/>
      <c r="H805" s="631"/>
      <c r="I805" s="631"/>
      <c r="J805" s="631"/>
      <c r="K805" s="631"/>
      <c r="L805" s="631"/>
      <c r="M805" s="631"/>
      <c r="N805" s="631"/>
      <c r="O805" s="631"/>
      <c r="P805" s="631"/>
      <c r="Q805" s="631"/>
      <c r="R805" s="631"/>
      <c r="S805" s="631"/>
      <c r="T805" s="631"/>
      <c r="U805" s="631"/>
      <c r="V805" s="631"/>
      <c r="W805" s="631"/>
      <c r="X805" s="631"/>
      <c r="Y805" s="631"/>
    </row>
    <row r="806">
      <c r="A806" s="631"/>
      <c r="B806" s="631"/>
      <c r="C806" s="631"/>
      <c r="D806" s="631"/>
      <c r="E806" s="441"/>
      <c r="F806" s="631"/>
      <c r="G806" s="631"/>
      <c r="H806" s="631"/>
      <c r="I806" s="631"/>
      <c r="J806" s="631"/>
      <c r="K806" s="631"/>
      <c r="L806" s="631"/>
      <c r="M806" s="631"/>
      <c r="N806" s="631"/>
      <c r="O806" s="631"/>
      <c r="P806" s="631"/>
      <c r="Q806" s="631"/>
      <c r="R806" s="631"/>
      <c r="S806" s="631"/>
      <c r="T806" s="631"/>
      <c r="U806" s="631"/>
      <c r="V806" s="631"/>
      <c r="W806" s="631"/>
      <c r="X806" s="631"/>
      <c r="Y806" s="631"/>
    </row>
    <row r="807">
      <c r="A807" s="631"/>
      <c r="B807" s="631"/>
      <c r="C807" s="631"/>
      <c r="D807" s="631"/>
      <c r="E807" s="441"/>
      <c r="F807" s="631"/>
      <c r="G807" s="631"/>
      <c r="H807" s="631"/>
      <c r="I807" s="631"/>
      <c r="J807" s="631"/>
      <c r="K807" s="631"/>
      <c r="L807" s="631"/>
      <c r="M807" s="631"/>
      <c r="N807" s="631"/>
      <c r="O807" s="631"/>
      <c r="P807" s="631"/>
      <c r="Q807" s="631"/>
      <c r="R807" s="631"/>
      <c r="S807" s="631"/>
      <c r="T807" s="631"/>
      <c r="U807" s="631"/>
      <c r="V807" s="631"/>
      <c r="W807" s="631"/>
      <c r="X807" s="631"/>
      <c r="Y807" s="631"/>
    </row>
    <row r="808">
      <c r="A808" s="631"/>
      <c r="B808" s="631"/>
      <c r="C808" s="631"/>
      <c r="D808" s="631"/>
      <c r="E808" s="441"/>
      <c r="F808" s="631"/>
      <c r="G808" s="631"/>
      <c r="H808" s="631"/>
      <c r="I808" s="631"/>
      <c r="J808" s="631"/>
      <c r="K808" s="631"/>
      <c r="L808" s="631"/>
      <c r="M808" s="631"/>
      <c r="N808" s="631"/>
      <c r="O808" s="631"/>
      <c r="P808" s="631"/>
      <c r="Q808" s="631"/>
      <c r="R808" s="631"/>
      <c r="S808" s="631"/>
      <c r="T808" s="631"/>
      <c r="U808" s="631"/>
      <c r="V808" s="631"/>
      <c r="W808" s="631"/>
      <c r="X808" s="631"/>
      <c r="Y808" s="631"/>
    </row>
    <row r="809">
      <c r="A809" s="631"/>
      <c r="B809" s="631"/>
      <c r="C809" s="631"/>
      <c r="D809" s="631"/>
      <c r="E809" s="441"/>
      <c r="F809" s="631"/>
      <c r="G809" s="631"/>
      <c r="H809" s="631"/>
      <c r="I809" s="631"/>
      <c r="J809" s="631"/>
      <c r="K809" s="631"/>
      <c r="L809" s="631"/>
      <c r="M809" s="631"/>
      <c r="N809" s="631"/>
      <c r="O809" s="631"/>
      <c r="P809" s="631"/>
      <c r="Q809" s="631"/>
      <c r="R809" s="631"/>
      <c r="S809" s="631"/>
      <c r="T809" s="631"/>
      <c r="U809" s="631"/>
      <c r="V809" s="631"/>
      <c r="W809" s="631"/>
      <c r="X809" s="631"/>
      <c r="Y809" s="631"/>
    </row>
    <row r="810">
      <c r="A810" s="631"/>
      <c r="B810" s="631"/>
      <c r="C810" s="631"/>
      <c r="D810" s="631"/>
      <c r="E810" s="441"/>
      <c r="F810" s="631"/>
      <c r="G810" s="631"/>
      <c r="H810" s="631"/>
      <c r="I810" s="631"/>
      <c r="J810" s="631"/>
      <c r="K810" s="631"/>
      <c r="L810" s="631"/>
      <c r="M810" s="631"/>
      <c r="N810" s="631"/>
      <c r="O810" s="631"/>
      <c r="P810" s="631"/>
      <c r="Q810" s="631"/>
      <c r="R810" s="631"/>
      <c r="S810" s="631"/>
      <c r="T810" s="631"/>
      <c r="U810" s="631"/>
      <c r="V810" s="631"/>
      <c r="W810" s="631"/>
      <c r="X810" s="631"/>
      <c r="Y810" s="631"/>
    </row>
    <row r="811">
      <c r="A811" s="631"/>
      <c r="B811" s="631"/>
      <c r="C811" s="631"/>
      <c r="D811" s="631"/>
      <c r="E811" s="441"/>
      <c r="F811" s="631"/>
      <c r="G811" s="631"/>
      <c r="H811" s="631"/>
      <c r="I811" s="631"/>
      <c r="J811" s="631"/>
      <c r="K811" s="631"/>
      <c r="L811" s="631"/>
      <c r="M811" s="631"/>
      <c r="N811" s="631"/>
      <c r="O811" s="631"/>
      <c r="P811" s="631"/>
      <c r="Q811" s="631"/>
      <c r="R811" s="631"/>
      <c r="S811" s="631"/>
      <c r="T811" s="631"/>
      <c r="U811" s="631"/>
      <c r="V811" s="631"/>
      <c r="W811" s="631"/>
      <c r="X811" s="631"/>
      <c r="Y811" s="631"/>
    </row>
    <row r="812">
      <c r="A812" s="631"/>
      <c r="B812" s="631"/>
      <c r="C812" s="631"/>
      <c r="D812" s="631"/>
      <c r="E812" s="441"/>
      <c r="F812" s="631"/>
      <c r="G812" s="631"/>
      <c r="H812" s="631"/>
      <c r="I812" s="631"/>
      <c r="J812" s="631"/>
      <c r="K812" s="631"/>
      <c r="L812" s="631"/>
      <c r="M812" s="631"/>
      <c r="N812" s="631"/>
      <c r="O812" s="631"/>
      <c r="P812" s="631"/>
      <c r="Q812" s="631"/>
      <c r="R812" s="631"/>
      <c r="S812" s="631"/>
      <c r="T812" s="631"/>
      <c r="U812" s="631"/>
      <c r="V812" s="631"/>
      <c r="W812" s="631"/>
      <c r="X812" s="631"/>
      <c r="Y812" s="631"/>
    </row>
    <row r="813">
      <c r="A813" s="631"/>
      <c r="B813" s="631"/>
      <c r="C813" s="631"/>
      <c r="D813" s="631"/>
      <c r="E813" s="441"/>
      <c r="F813" s="631"/>
      <c r="G813" s="631"/>
      <c r="H813" s="631"/>
      <c r="I813" s="631"/>
      <c r="J813" s="631"/>
      <c r="K813" s="631"/>
      <c r="L813" s="631"/>
      <c r="M813" s="631"/>
      <c r="N813" s="631"/>
      <c r="O813" s="631"/>
      <c r="P813" s="631"/>
      <c r="Q813" s="631"/>
      <c r="R813" s="631"/>
      <c r="S813" s="631"/>
      <c r="T813" s="631"/>
      <c r="U813" s="631"/>
      <c r="V813" s="631"/>
      <c r="W813" s="631"/>
      <c r="X813" s="631"/>
      <c r="Y813" s="631"/>
    </row>
    <row r="814">
      <c r="A814" s="631"/>
      <c r="B814" s="631"/>
      <c r="C814" s="631"/>
      <c r="D814" s="631"/>
      <c r="E814" s="441"/>
      <c r="F814" s="631"/>
      <c r="G814" s="631"/>
      <c r="H814" s="631"/>
      <c r="I814" s="631"/>
      <c r="J814" s="631"/>
      <c r="K814" s="631"/>
      <c r="L814" s="631"/>
      <c r="M814" s="631"/>
      <c r="N814" s="631"/>
      <c r="O814" s="631"/>
      <c r="P814" s="631"/>
      <c r="Q814" s="631"/>
      <c r="R814" s="631"/>
      <c r="S814" s="631"/>
      <c r="T814" s="631"/>
      <c r="U814" s="631"/>
      <c r="V814" s="631"/>
      <c r="W814" s="631"/>
      <c r="X814" s="631"/>
      <c r="Y814" s="631"/>
    </row>
    <row r="815">
      <c r="A815" s="631"/>
      <c r="B815" s="631"/>
      <c r="C815" s="631"/>
      <c r="D815" s="631"/>
      <c r="E815" s="441"/>
      <c r="F815" s="631"/>
      <c r="G815" s="631"/>
      <c r="H815" s="631"/>
      <c r="I815" s="631"/>
      <c r="J815" s="631"/>
      <c r="K815" s="631"/>
      <c r="L815" s="631"/>
      <c r="M815" s="631"/>
      <c r="N815" s="631"/>
      <c r="O815" s="631"/>
      <c r="P815" s="631"/>
      <c r="Q815" s="631"/>
      <c r="R815" s="631"/>
      <c r="S815" s="631"/>
      <c r="T815" s="631"/>
      <c r="U815" s="631"/>
      <c r="V815" s="631"/>
      <c r="W815" s="631"/>
      <c r="X815" s="631"/>
      <c r="Y815" s="631"/>
    </row>
    <row r="816">
      <c r="A816" s="631"/>
      <c r="B816" s="631"/>
      <c r="C816" s="631"/>
      <c r="D816" s="631"/>
      <c r="E816" s="441"/>
      <c r="F816" s="631"/>
      <c r="G816" s="631"/>
      <c r="H816" s="631"/>
      <c r="I816" s="631"/>
      <c r="J816" s="631"/>
      <c r="K816" s="631"/>
      <c r="L816" s="631"/>
      <c r="M816" s="631"/>
      <c r="N816" s="631"/>
      <c r="O816" s="631"/>
      <c r="P816" s="631"/>
      <c r="Q816" s="631"/>
      <c r="R816" s="631"/>
      <c r="S816" s="631"/>
      <c r="T816" s="631"/>
      <c r="U816" s="631"/>
      <c r="V816" s="631"/>
      <c r="W816" s="631"/>
      <c r="X816" s="631"/>
      <c r="Y816" s="631"/>
    </row>
    <row r="817">
      <c r="A817" s="631"/>
      <c r="B817" s="631"/>
      <c r="C817" s="631"/>
      <c r="D817" s="631"/>
      <c r="E817" s="441"/>
      <c r="F817" s="631"/>
      <c r="G817" s="631"/>
      <c r="H817" s="631"/>
      <c r="I817" s="631"/>
      <c r="J817" s="631"/>
      <c r="K817" s="631"/>
      <c r="L817" s="631"/>
      <c r="M817" s="631"/>
      <c r="N817" s="631"/>
      <c r="O817" s="631"/>
      <c r="P817" s="631"/>
      <c r="Q817" s="631"/>
      <c r="R817" s="631"/>
      <c r="S817" s="631"/>
      <c r="T817" s="631"/>
      <c r="U817" s="631"/>
      <c r="V817" s="631"/>
      <c r="W817" s="631"/>
      <c r="X817" s="631"/>
      <c r="Y817" s="631"/>
    </row>
    <row r="818">
      <c r="A818" s="631"/>
      <c r="B818" s="631"/>
      <c r="C818" s="631"/>
      <c r="D818" s="631"/>
      <c r="E818" s="441"/>
      <c r="F818" s="631"/>
      <c r="G818" s="631"/>
      <c r="H818" s="631"/>
      <c r="I818" s="631"/>
      <c r="J818" s="631"/>
      <c r="K818" s="631"/>
      <c r="L818" s="631"/>
      <c r="M818" s="631"/>
      <c r="N818" s="631"/>
      <c r="O818" s="631"/>
      <c r="P818" s="631"/>
      <c r="Q818" s="631"/>
      <c r="R818" s="631"/>
      <c r="S818" s="631"/>
      <c r="T818" s="631"/>
      <c r="U818" s="631"/>
      <c r="V818" s="631"/>
      <c r="W818" s="631"/>
      <c r="X818" s="631"/>
      <c r="Y818" s="631"/>
    </row>
    <row r="819">
      <c r="A819" s="631"/>
      <c r="B819" s="631"/>
      <c r="C819" s="631"/>
      <c r="D819" s="631"/>
      <c r="E819" s="441"/>
      <c r="F819" s="631"/>
      <c r="G819" s="631"/>
      <c r="H819" s="631"/>
      <c r="I819" s="631"/>
      <c r="J819" s="631"/>
      <c r="K819" s="631"/>
      <c r="L819" s="631"/>
      <c r="M819" s="631"/>
      <c r="N819" s="631"/>
      <c r="O819" s="631"/>
      <c r="P819" s="631"/>
      <c r="Q819" s="631"/>
      <c r="R819" s="631"/>
      <c r="S819" s="631"/>
      <c r="T819" s="631"/>
      <c r="U819" s="631"/>
      <c r="V819" s="631"/>
      <c r="W819" s="631"/>
      <c r="X819" s="631"/>
      <c r="Y819" s="631"/>
    </row>
    <row r="820">
      <c r="A820" s="631"/>
      <c r="B820" s="631"/>
      <c r="C820" s="631"/>
      <c r="D820" s="631"/>
      <c r="E820" s="441"/>
      <c r="F820" s="631"/>
      <c r="G820" s="631"/>
      <c r="H820" s="631"/>
      <c r="I820" s="631"/>
      <c r="J820" s="631"/>
      <c r="K820" s="631"/>
      <c r="L820" s="631"/>
      <c r="M820" s="631"/>
      <c r="N820" s="631"/>
      <c r="O820" s="631"/>
      <c r="P820" s="631"/>
      <c r="Q820" s="631"/>
      <c r="R820" s="631"/>
      <c r="S820" s="631"/>
      <c r="T820" s="631"/>
      <c r="U820" s="631"/>
      <c r="V820" s="631"/>
      <c r="W820" s="631"/>
      <c r="X820" s="631"/>
      <c r="Y820" s="631"/>
    </row>
    <row r="821">
      <c r="A821" s="631"/>
      <c r="B821" s="631"/>
      <c r="C821" s="631"/>
      <c r="D821" s="631"/>
      <c r="E821" s="441"/>
      <c r="F821" s="631"/>
      <c r="G821" s="631"/>
      <c r="H821" s="631"/>
      <c r="I821" s="631"/>
      <c r="J821" s="631"/>
      <c r="K821" s="631"/>
      <c r="L821" s="631"/>
      <c r="M821" s="631"/>
      <c r="N821" s="631"/>
      <c r="O821" s="631"/>
      <c r="P821" s="631"/>
      <c r="Q821" s="631"/>
      <c r="R821" s="631"/>
      <c r="S821" s="631"/>
      <c r="T821" s="631"/>
      <c r="U821" s="631"/>
      <c r="V821" s="631"/>
      <c r="W821" s="631"/>
      <c r="X821" s="631"/>
      <c r="Y821" s="631"/>
    </row>
    <row r="822">
      <c r="A822" s="631"/>
      <c r="B822" s="631"/>
      <c r="C822" s="631"/>
      <c r="D822" s="631"/>
      <c r="E822" s="441"/>
      <c r="F822" s="631"/>
      <c r="G822" s="631"/>
      <c r="H822" s="631"/>
      <c r="I822" s="631"/>
      <c r="J822" s="631"/>
      <c r="K822" s="631"/>
      <c r="L822" s="631"/>
      <c r="M822" s="631"/>
      <c r="N822" s="631"/>
      <c r="O822" s="631"/>
      <c r="P822" s="631"/>
      <c r="Q822" s="631"/>
      <c r="R822" s="631"/>
      <c r="S822" s="631"/>
      <c r="T822" s="631"/>
      <c r="U822" s="631"/>
      <c r="V822" s="631"/>
      <c r="W822" s="631"/>
      <c r="X822" s="631"/>
      <c r="Y822" s="631"/>
    </row>
    <row r="823">
      <c r="A823" s="631"/>
      <c r="B823" s="631"/>
      <c r="C823" s="631"/>
      <c r="D823" s="631"/>
      <c r="E823" s="441"/>
      <c r="F823" s="631"/>
      <c r="G823" s="631"/>
      <c r="H823" s="631"/>
      <c r="I823" s="631"/>
      <c r="J823" s="631"/>
      <c r="K823" s="631"/>
      <c r="L823" s="631"/>
      <c r="M823" s="631"/>
      <c r="N823" s="631"/>
      <c r="O823" s="631"/>
      <c r="P823" s="631"/>
      <c r="Q823" s="631"/>
      <c r="R823" s="631"/>
      <c r="S823" s="631"/>
      <c r="T823" s="631"/>
      <c r="U823" s="631"/>
      <c r="V823" s="631"/>
      <c r="W823" s="631"/>
      <c r="X823" s="631"/>
      <c r="Y823" s="631"/>
    </row>
    <row r="824">
      <c r="A824" s="631"/>
      <c r="B824" s="631"/>
      <c r="C824" s="631"/>
      <c r="D824" s="631"/>
      <c r="E824" s="441"/>
      <c r="F824" s="631"/>
      <c r="G824" s="631"/>
      <c r="H824" s="631"/>
      <c r="I824" s="631"/>
      <c r="J824" s="631"/>
      <c r="K824" s="631"/>
      <c r="L824" s="631"/>
      <c r="M824" s="631"/>
      <c r="N824" s="631"/>
      <c r="O824" s="631"/>
      <c r="P824" s="631"/>
      <c r="Q824" s="631"/>
      <c r="R824" s="631"/>
      <c r="S824" s="631"/>
      <c r="T824" s="631"/>
      <c r="U824" s="631"/>
      <c r="V824" s="631"/>
      <c r="W824" s="631"/>
      <c r="X824" s="631"/>
      <c r="Y824" s="631"/>
    </row>
    <row r="825">
      <c r="A825" s="631"/>
      <c r="B825" s="631"/>
      <c r="C825" s="631"/>
      <c r="D825" s="631"/>
      <c r="E825" s="441"/>
      <c r="F825" s="631"/>
      <c r="G825" s="631"/>
      <c r="H825" s="631"/>
      <c r="I825" s="631"/>
      <c r="J825" s="631"/>
      <c r="K825" s="631"/>
      <c r="L825" s="631"/>
      <c r="M825" s="631"/>
      <c r="N825" s="631"/>
      <c r="O825" s="631"/>
      <c r="P825" s="631"/>
      <c r="Q825" s="631"/>
      <c r="R825" s="631"/>
      <c r="S825" s="631"/>
      <c r="T825" s="631"/>
      <c r="U825" s="631"/>
      <c r="V825" s="631"/>
      <c r="W825" s="631"/>
      <c r="X825" s="631"/>
      <c r="Y825" s="631"/>
    </row>
    <row r="826">
      <c r="A826" s="631"/>
      <c r="B826" s="631"/>
      <c r="C826" s="631"/>
      <c r="D826" s="631"/>
      <c r="E826" s="441"/>
      <c r="F826" s="631"/>
      <c r="G826" s="631"/>
      <c r="H826" s="631"/>
      <c r="I826" s="631"/>
      <c r="J826" s="631"/>
      <c r="K826" s="631"/>
      <c r="L826" s="631"/>
      <c r="M826" s="631"/>
      <c r="N826" s="631"/>
      <c r="O826" s="631"/>
      <c r="P826" s="631"/>
      <c r="Q826" s="631"/>
      <c r="R826" s="631"/>
      <c r="S826" s="631"/>
      <c r="T826" s="631"/>
      <c r="U826" s="631"/>
      <c r="V826" s="631"/>
      <c r="W826" s="631"/>
      <c r="X826" s="631"/>
      <c r="Y826" s="631"/>
    </row>
    <row r="827">
      <c r="A827" s="631"/>
      <c r="B827" s="631"/>
      <c r="C827" s="631"/>
      <c r="D827" s="631"/>
      <c r="E827" s="441"/>
      <c r="F827" s="631"/>
      <c r="G827" s="631"/>
      <c r="H827" s="631"/>
      <c r="I827" s="631"/>
      <c r="J827" s="631"/>
      <c r="K827" s="631"/>
      <c r="L827" s="631"/>
      <c r="M827" s="631"/>
      <c r="N827" s="631"/>
      <c r="O827" s="631"/>
      <c r="P827" s="631"/>
      <c r="Q827" s="631"/>
      <c r="R827" s="631"/>
      <c r="S827" s="631"/>
      <c r="T827" s="631"/>
      <c r="U827" s="631"/>
      <c r="V827" s="631"/>
      <c r="W827" s="631"/>
      <c r="X827" s="631"/>
      <c r="Y827" s="631"/>
    </row>
    <row r="828">
      <c r="A828" s="631"/>
      <c r="B828" s="631"/>
      <c r="C828" s="631"/>
      <c r="D828" s="631"/>
      <c r="E828" s="441"/>
      <c r="F828" s="631"/>
      <c r="G828" s="631"/>
      <c r="H828" s="631"/>
      <c r="I828" s="631"/>
      <c r="J828" s="631"/>
      <c r="K828" s="631"/>
      <c r="L828" s="631"/>
      <c r="M828" s="631"/>
      <c r="N828" s="631"/>
      <c r="O828" s="631"/>
      <c r="P828" s="631"/>
      <c r="Q828" s="631"/>
      <c r="R828" s="631"/>
      <c r="S828" s="631"/>
      <c r="T828" s="631"/>
      <c r="U828" s="631"/>
      <c r="V828" s="631"/>
      <c r="W828" s="631"/>
      <c r="X828" s="631"/>
      <c r="Y828" s="631"/>
    </row>
    <row r="829">
      <c r="A829" s="631"/>
      <c r="B829" s="631"/>
      <c r="C829" s="631"/>
      <c r="D829" s="631"/>
      <c r="E829" s="441"/>
      <c r="F829" s="631"/>
      <c r="G829" s="631"/>
      <c r="H829" s="631"/>
      <c r="I829" s="631"/>
      <c r="J829" s="631"/>
      <c r="K829" s="631"/>
      <c r="L829" s="631"/>
      <c r="M829" s="631"/>
      <c r="N829" s="631"/>
      <c r="O829" s="631"/>
      <c r="P829" s="631"/>
      <c r="Q829" s="631"/>
      <c r="R829" s="631"/>
      <c r="S829" s="631"/>
      <c r="T829" s="631"/>
      <c r="U829" s="631"/>
      <c r="V829" s="631"/>
      <c r="W829" s="631"/>
      <c r="X829" s="631"/>
      <c r="Y829" s="631"/>
    </row>
    <row r="830">
      <c r="A830" s="631"/>
      <c r="B830" s="631"/>
      <c r="C830" s="631"/>
      <c r="D830" s="631"/>
      <c r="E830" s="441"/>
      <c r="F830" s="631"/>
      <c r="G830" s="631"/>
      <c r="H830" s="631"/>
      <c r="I830" s="631"/>
      <c r="J830" s="631"/>
      <c r="K830" s="631"/>
      <c r="L830" s="631"/>
      <c r="M830" s="631"/>
      <c r="N830" s="631"/>
      <c r="O830" s="631"/>
      <c r="P830" s="631"/>
      <c r="Q830" s="631"/>
      <c r="R830" s="631"/>
      <c r="S830" s="631"/>
      <c r="T830" s="631"/>
      <c r="U830" s="631"/>
      <c r="V830" s="631"/>
      <c r="W830" s="631"/>
      <c r="X830" s="631"/>
      <c r="Y830" s="631"/>
    </row>
    <row r="831">
      <c r="A831" s="631"/>
      <c r="B831" s="631"/>
      <c r="C831" s="631"/>
      <c r="D831" s="631"/>
      <c r="E831" s="441"/>
      <c r="F831" s="631"/>
      <c r="G831" s="631"/>
      <c r="H831" s="631"/>
      <c r="I831" s="631"/>
      <c r="J831" s="631"/>
      <c r="K831" s="631"/>
      <c r="L831" s="631"/>
      <c r="M831" s="631"/>
      <c r="N831" s="631"/>
      <c r="O831" s="631"/>
      <c r="P831" s="631"/>
      <c r="Q831" s="631"/>
      <c r="R831" s="631"/>
      <c r="S831" s="631"/>
      <c r="T831" s="631"/>
      <c r="U831" s="631"/>
      <c r="V831" s="631"/>
      <c r="W831" s="631"/>
      <c r="X831" s="631"/>
      <c r="Y831" s="631"/>
    </row>
    <row r="832">
      <c r="A832" s="631"/>
      <c r="B832" s="631"/>
      <c r="C832" s="631"/>
      <c r="D832" s="631"/>
      <c r="E832" s="441"/>
      <c r="F832" s="631"/>
      <c r="G832" s="631"/>
      <c r="H832" s="631"/>
      <c r="I832" s="631"/>
      <c r="J832" s="631"/>
      <c r="K832" s="631"/>
      <c r="L832" s="631"/>
      <c r="M832" s="631"/>
      <c r="N832" s="631"/>
      <c r="O832" s="631"/>
      <c r="P832" s="631"/>
      <c r="Q832" s="631"/>
      <c r="R832" s="631"/>
      <c r="S832" s="631"/>
      <c r="T832" s="631"/>
      <c r="U832" s="631"/>
      <c r="V832" s="631"/>
      <c r="W832" s="631"/>
      <c r="X832" s="631"/>
      <c r="Y832" s="631"/>
    </row>
    <row r="833">
      <c r="A833" s="631"/>
      <c r="B833" s="631"/>
      <c r="C833" s="631"/>
      <c r="D833" s="631"/>
      <c r="E833" s="441"/>
      <c r="F833" s="631"/>
      <c r="G833" s="631"/>
      <c r="H833" s="631"/>
      <c r="I833" s="631"/>
      <c r="J833" s="631"/>
      <c r="K833" s="631"/>
      <c r="L833" s="631"/>
      <c r="M833" s="631"/>
      <c r="N833" s="631"/>
      <c r="O833" s="631"/>
      <c r="P833" s="631"/>
      <c r="Q833" s="631"/>
      <c r="R833" s="631"/>
      <c r="S833" s="631"/>
      <c r="T833" s="631"/>
      <c r="U833" s="631"/>
      <c r="V833" s="631"/>
      <c r="W833" s="631"/>
      <c r="X833" s="631"/>
      <c r="Y833" s="631"/>
    </row>
    <row r="834">
      <c r="A834" s="631"/>
      <c r="B834" s="631"/>
      <c r="C834" s="631"/>
      <c r="D834" s="631"/>
      <c r="E834" s="441"/>
      <c r="F834" s="631"/>
      <c r="G834" s="631"/>
      <c r="H834" s="631"/>
      <c r="I834" s="631"/>
      <c r="J834" s="631"/>
      <c r="K834" s="631"/>
      <c r="L834" s="631"/>
      <c r="M834" s="631"/>
      <c r="N834" s="631"/>
      <c r="O834" s="631"/>
      <c r="P834" s="631"/>
      <c r="Q834" s="631"/>
      <c r="R834" s="631"/>
      <c r="S834" s="631"/>
      <c r="T834" s="631"/>
      <c r="U834" s="631"/>
      <c r="V834" s="631"/>
      <c r="W834" s="631"/>
      <c r="X834" s="631"/>
      <c r="Y834" s="631"/>
    </row>
    <row r="835">
      <c r="A835" s="631"/>
      <c r="B835" s="631"/>
      <c r="C835" s="631"/>
      <c r="D835" s="631"/>
      <c r="E835" s="441"/>
      <c r="F835" s="631"/>
      <c r="G835" s="631"/>
      <c r="H835" s="631"/>
      <c r="I835" s="631"/>
      <c r="J835" s="631"/>
      <c r="K835" s="631"/>
      <c r="L835" s="631"/>
      <c r="M835" s="631"/>
      <c r="N835" s="631"/>
      <c r="O835" s="631"/>
      <c r="P835" s="631"/>
      <c r="Q835" s="631"/>
      <c r="R835" s="631"/>
      <c r="S835" s="631"/>
      <c r="T835" s="631"/>
      <c r="U835" s="631"/>
      <c r="V835" s="631"/>
      <c r="W835" s="631"/>
      <c r="X835" s="631"/>
      <c r="Y835" s="631"/>
    </row>
    <row r="836">
      <c r="A836" s="631"/>
      <c r="B836" s="631"/>
      <c r="C836" s="631"/>
      <c r="D836" s="631"/>
      <c r="E836" s="441"/>
      <c r="F836" s="631"/>
      <c r="G836" s="631"/>
      <c r="H836" s="631"/>
      <c r="I836" s="631"/>
      <c r="J836" s="631"/>
      <c r="K836" s="631"/>
      <c r="L836" s="631"/>
      <c r="M836" s="631"/>
      <c r="N836" s="631"/>
      <c r="O836" s="631"/>
      <c r="P836" s="631"/>
      <c r="Q836" s="631"/>
      <c r="R836" s="631"/>
      <c r="S836" s="631"/>
      <c r="T836" s="631"/>
      <c r="U836" s="631"/>
      <c r="V836" s="631"/>
      <c r="W836" s="631"/>
      <c r="X836" s="631"/>
      <c r="Y836" s="631"/>
    </row>
    <row r="837">
      <c r="A837" s="631"/>
      <c r="B837" s="631"/>
      <c r="C837" s="631"/>
      <c r="D837" s="631"/>
      <c r="E837" s="441"/>
      <c r="F837" s="631"/>
      <c r="G837" s="631"/>
      <c r="H837" s="631"/>
      <c r="I837" s="631"/>
      <c r="J837" s="631"/>
      <c r="K837" s="631"/>
      <c r="L837" s="631"/>
      <c r="M837" s="631"/>
      <c r="N837" s="631"/>
      <c r="O837" s="631"/>
      <c r="P837" s="631"/>
      <c r="Q837" s="631"/>
      <c r="R837" s="631"/>
      <c r="S837" s="631"/>
      <c r="T837" s="631"/>
      <c r="U837" s="631"/>
      <c r="V837" s="631"/>
      <c r="W837" s="631"/>
      <c r="X837" s="631"/>
      <c r="Y837" s="631"/>
    </row>
    <row r="838">
      <c r="A838" s="631"/>
      <c r="B838" s="631"/>
      <c r="C838" s="631"/>
      <c r="D838" s="631"/>
      <c r="E838" s="441"/>
      <c r="F838" s="631"/>
      <c r="G838" s="631"/>
      <c r="H838" s="631"/>
      <c r="I838" s="631"/>
      <c r="J838" s="631"/>
      <c r="K838" s="631"/>
      <c r="L838" s="631"/>
      <c r="M838" s="631"/>
      <c r="N838" s="631"/>
      <c r="O838" s="631"/>
      <c r="P838" s="631"/>
      <c r="Q838" s="631"/>
      <c r="R838" s="631"/>
      <c r="S838" s="631"/>
      <c r="T838" s="631"/>
      <c r="U838" s="631"/>
      <c r="V838" s="631"/>
      <c r="W838" s="631"/>
      <c r="X838" s="631"/>
      <c r="Y838" s="631"/>
    </row>
    <row r="839">
      <c r="A839" s="631"/>
      <c r="B839" s="631"/>
      <c r="C839" s="631"/>
      <c r="D839" s="631"/>
      <c r="E839" s="441"/>
      <c r="F839" s="631"/>
      <c r="G839" s="631"/>
      <c r="H839" s="631"/>
      <c r="I839" s="631"/>
      <c r="J839" s="631"/>
      <c r="K839" s="631"/>
      <c r="L839" s="631"/>
      <c r="M839" s="631"/>
      <c r="N839" s="631"/>
      <c r="O839" s="631"/>
      <c r="P839" s="631"/>
      <c r="Q839" s="631"/>
      <c r="R839" s="631"/>
      <c r="S839" s="631"/>
      <c r="T839" s="631"/>
      <c r="U839" s="631"/>
      <c r="V839" s="631"/>
      <c r="W839" s="631"/>
      <c r="X839" s="631"/>
      <c r="Y839" s="631"/>
    </row>
    <row r="840">
      <c r="A840" s="631"/>
      <c r="B840" s="631"/>
      <c r="C840" s="631"/>
      <c r="D840" s="631"/>
      <c r="E840" s="441"/>
      <c r="F840" s="631"/>
      <c r="G840" s="631"/>
      <c r="H840" s="631"/>
      <c r="I840" s="631"/>
      <c r="J840" s="631"/>
      <c r="K840" s="631"/>
      <c r="L840" s="631"/>
      <c r="M840" s="631"/>
      <c r="N840" s="631"/>
      <c r="O840" s="631"/>
      <c r="P840" s="631"/>
      <c r="Q840" s="631"/>
      <c r="R840" s="631"/>
      <c r="S840" s="631"/>
      <c r="T840" s="631"/>
      <c r="U840" s="631"/>
      <c r="V840" s="631"/>
      <c r="W840" s="631"/>
      <c r="X840" s="631"/>
      <c r="Y840" s="631"/>
    </row>
    <row r="841">
      <c r="A841" s="631"/>
      <c r="B841" s="631"/>
      <c r="C841" s="631"/>
      <c r="D841" s="631"/>
      <c r="E841" s="441"/>
      <c r="F841" s="631"/>
      <c r="G841" s="631"/>
      <c r="H841" s="631"/>
      <c r="I841" s="631"/>
      <c r="J841" s="631"/>
      <c r="K841" s="631"/>
      <c r="L841" s="631"/>
      <c r="M841" s="631"/>
      <c r="N841" s="631"/>
      <c r="O841" s="631"/>
      <c r="P841" s="631"/>
      <c r="Q841" s="631"/>
      <c r="R841" s="631"/>
      <c r="S841" s="631"/>
      <c r="T841" s="631"/>
      <c r="U841" s="631"/>
      <c r="V841" s="631"/>
      <c r="W841" s="631"/>
      <c r="X841" s="631"/>
      <c r="Y841" s="631"/>
    </row>
    <row r="842">
      <c r="A842" s="631"/>
      <c r="B842" s="631"/>
      <c r="C842" s="631"/>
      <c r="D842" s="631"/>
      <c r="E842" s="441"/>
      <c r="F842" s="631"/>
      <c r="G842" s="631"/>
      <c r="H842" s="631"/>
      <c r="I842" s="631"/>
      <c r="J842" s="631"/>
      <c r="K842" s="631"/>
      <c r="L842" s="631"/>
      <c r="M842" s="631"/>
      <c r="N842" s="631"/>
      <c r="O842" s="631"/>
      <c r="P842" s="631"/>
      <c r="Q842" s="631"/>
      <c r="R842" s="631"/>
      <c r="S842" s="631"/>
      <c r="T842" s="631"/>
      <c r="U842" s="631"/>
      <c r="V842" s="631"/>
      <c r="W842" s="631"/>
      <c r="X842" s="631"/>
      <c r="Y842" s="631"/>
    </row>
    <row r="843">
      <c r="A843" s="631"/>
      <c r="B843" s="631"/>
      <c r="C843" s="631"/>
      <c r="D843" s="631"/>
      <c r="E843" s="441"/>
      <c r="F843" s="631"/>
      <c r="G843" s="631"/>
      <c r="H843" s="631"/>
      <c r="I843" s="631"/>
      <c r="J843" s="631"/>
      <c r="K843" s="631"/>
      <c r="L843" s="631"/>
      <c r="M843" s="631"/>
      <c r="N843" s="631"/>
      <c r="O843" s="631"/>
      <c r="P843" s="631"/>
      <c r="Q843" s="631"/>
      <c r="R843" s="631"/>
      <c r="S843" s="631"/>
      <c r="T843" s="631"/>
      <c r="U843" s="631"/>
      <c r="V843" s="631"/>
      <c r="W843" s="631"/>
      <c r="X843" s="631"/>
      <c r="Y843" s="631"/>
    </row>
    <row r="844">
      <c r="A844" s="631"/>
      <c r="B844" s="631"/>
      <c r="C844" s="631"/>
      <c r="D844" s="631"/>
      <c r="E844" s="441"/>
      <c r="F844" s="631"/>
      <c r="G844" s="631"/>
      <c r="H844" s="631"/>
      <c r="I844" s="631"/>
      <c r="J844" s="631"/>
      <c r="K844" s="631"/>
      <c r="L844" s="631"/>
      <c r="M844" s="631"/>
      <c r="N844" s="631"/>
      <c r="O844" s="631"/>
      <c r="P844" s="631"/>
      <c r="Q844" s="631"/>
      <c r="R844" s="631"/>
      <c r="S844" s="631"/>
      <c r="T844" s="631"/>
      <c r="U844" s="631"/>
      <c r="V844" s="631"/>
      <c r="W844" s="631"/>
      <c r="X844" s="631"/>
      <c r="Y844" s="631"/>
    </row>
    <row r="845">
      <c r="A845" s="631"/>
      <c r="B845" s="631"/>
      <c r="C845" s="631"/>
      <c r="D845" s="631"/>
      <c r="E845" s="441"/>
      <c r="F845" s="631"/>
      <c r="G845" s="631"/>
      <c r="H845" s="631"/>
      <c r="I845" s="631"/>
      <c r="J845" s="631"/>
      <c r="K845" s="631"/>
      <c r="L845" s="631"/>
      <c r="M845" s="631"/>
      <c r="N845" s="631"/>
      <c r="O845" s="631"/>
      <c r="P845" s="631"/>
      <c r="Q845" s="631"/>
      <c r="R845" s="631"/>
      <c r="S845" s="631"/>
      <c r="T845" s="631"/>
      <c r="U845" s="631"/>
      <c r="V845" s="631"/>
      <c r="W845" s="631"/>
      <c r="X845" s="631"/>
      <c r="Y845" s="631"/>
    </row>
    <row r="846">
      <c r="A846" s="631"/>
      <c r="B846" s="631"/>
      <c r="C846" s="631"/>
      <c r="D846" s="631"/>
      <c r="E846" s="441"/>
      <c r="F846" s="631"/>
      <c r="G846" s="631"/>
      <c r="H846" s="631"/>
      <c r="I846" s="631"/>
      <c r="J846" s="631"/>
      <c r="K846" s="631"/>
      <c r="L846" s="631"/>
      <c r="M846" s="631"/>
      <c r="N846" s="631"/>
      <c r="O846" s="631"/>
      <c r="P846" s="631"/>
      <c r="Q846" s="631"/>
      <c r="R846" s="631"/>
      <c r="S846" s="631"/>
      <c r="T846" s="631"/>
      <c r="U846" s="631"/>
      <c r="V846" s="631"/>
      <c r="W846" s="631"/>
      <c r="X846" s="631"/>
      <c r="Y846" s="631"/>
    </row>
    <row r="847">
      <c r="A847" s="631"/>
      <c r="B847" s="631"/>
      <c r="C847" s="631"/>
      <c r="D847" s="631"/>
      <c r="E847" s="441"/>
      <c r="F847" s="631"/>
      <c r="G847" s="631"/>
      <c r="H847" s="631"/>
      <c r="I847" s="631"/>
      <c r="J847" s="631"/>
      <c r="K847" s="631"/>
      <c r="L847" s="631"/>
      <c r="M847" s="631"/>
      <c r="N847" s="631"/>
      <c r="O847" s="631"/>
      <c r="P847" s="631"/>
      <c r="Q847" s="631"/>
      <c r="R847" s="631"/>
      <c r="S847" s="631"/>
      <c r="T847" s="631"/>
      <c r="U847" s="631"/>
      <c r="V847" s="631"/>
      <c r="W847" s="631"/>
      <c r="X847" s="631"/>
      <c r="Y847" s="631"/>
    </row>
    <row r="848">
      <c r="A848" s="631"/>
      <c r="B848" s="631"/>
      <c r="C848" s="631"/>
      <c r="D848" s="631"/>
      <c r="E848" s="441"/>
      <c r="F848" s="631"/>
      <c r="G848" s="631"/>
      <c r="H848" s="631"/>
      <c r="I848" s="631"/>
      <c r="J848" s="631"/>
      <c r="K848" s="631"/>
      <c r="L848" s="631"/>
      <c r="M848" s="631"/>
      <c r="N848" s="631"/>
      <c r="O848" s="631"/>
      <c r="P848" s="631"/>
      <c r="Q848" s="631"/>
      <c r="R848" s="631"/>
      <c r="S848" s="631"/>
      <c r="T848" s="631"/>
      <c r="U848" s="631"/>
      <c r="V848" s="631"/>
      <c r="W848" s="631"/>
      <c r="X848" s="631"/>
      <c r="Y848" s="631"/>
    </row>
    <row r="849">
      <c r="A849" s="631"/>
      <c r="B849" s="631"/>
      <c r="C849" s="631"/>
      <c r="D849" s="631"/>
      <c r="E849" s="441"/>
      <c r="F849" s="631"/>
      <c r="G849" s="631"/>
      <c r="H849" s="631"/>
      <c r="I849" s="631"/>
      <c r="J849" s="631"/>
      <c r="K849" s="631"/>
      <c r="L849" s="631"/>
      <c r="M849" s="631"/>
      <c r="N849" s="631"/>
      <c r="O849" s="631"/>
      <c r="P849" s="631"/>
      <c r="Q849" s="631"/>
      <c r="R849" s="631"/>
      <c r="S849" s="631"/>
      <c r="T849" s="631"/>
      <c r="U849" s="631"/>
      <c r="V849" s="631"/>
      <c r="W849" s="631"/>
      <c r="X849" s="631"/>
      <c r="Y849" s="631"/>
    </row>
    <row r="850">
      <c r="A850" s="631"/>
      <c r="B850" s="631"/>
      <c r="C850" s="631"/>
      <c r="D850" s="631"/>
      <c r="E850" s="441"/>
      <c r="F850" s="631"/>
      <c r="G850" s="631"/>
      <c r="H850" s="631"/>
      <c r="I850" s="631"/>
      <c r="J850" s="631"/>
      <c r="K850" s="631"/>
      <c r="L850" s="631"/>
      <c r="M850" s="631"/>
      <c r="N850" s="631"/>
      <c r="O850" s="631"/>
      <c r="P850" s="631"/>
      <c r="Q850" s="631"/>
      <c r="R850" s="631"/>
      <c r="S850" s="631"/>
      <c r="T850" s="631"/>
      <c r="U850" s="631"/>
      <c r="V850" s="631"/>
      <c r="W850" s="631"/>
      <c r="X850" s="631"/>
      <c r="Y850" s="631"/>
    </row>
    <row r="851">
      <c r="A851" s="631"/>
      <c r="B851" s="631"/>
      <c r="C851" s="631"/>
      <c r="D851" s="631"/>
      <c r="E851" s="441"/>
      <c r="F851" s="631"/>
      <c r="G851" s="631"/>
      <c r="H851" s="631"/>
      <c r="I851" s="631"/>
      <c r="J851" s="631"/>
      <c r="K851" s="631"/>
      <c r="L851" s="631"/>
      <c r="M851" s="631"/>
      <c r="N851" s="631"/>
      <c r="O851" s="631"/>
      <c r="P851" s="631"/>
      <c r="Q851" s="631"/>
      <c r="R851" s="631"/>
      <c r="S851" s="631"/>
      <c r="T851" s="631"/>
      <c r="U851" s="631"/>
      <c r="V851" s="631"/>
      <c r="W851" s="631"/>
      <c r="X851" s="631"/>
      <c r="Y851" s="631"/>
    </row>
    <row r="852">
      <c r="A852" s="631"/>
      <c r="B852" s="631"/>
      <c r="C852" s="631"/>
      <c r="D852" s="631"/>
      <c r="E852" s="441"/>
      <c r="F852" s="631"/>
      <c r="G852" s="631"/>
      <c r="H852" s="631"/>
      <c r="I852" s="631"/>
      <c r="J852" s="631"/>
      <c r="K852" s="631"/>
      <c r="L852" s="631"/>
      <c r="M852" s="631"/>
      <c r="N852" s="631"/>
      <c r="O852" s="631"/>
      <c r="P852" s="631"/>
      <c r="Q852" s="631"/>
      <c r="R852" s="631"/>
      <c r="S852" s="631"/>
      <c r="T852" s="631"/>
      <c r="U852" s="631"/>
      <c r="V852" s="631"/>
      <c r="W852" s="631"/>
      <c r="X852" s="631"/>
      <c r="Y852" s="631"/>
    </row>
    <row r="853">
      <c r="A853" s="631"/>
      <c r="B853" s="631"/>
      <c r="C853" s="631"/>
      <c r="D853" s="631"/>
      <c r="E853" s="441"/>
      <c r="F853" s="631"/>
      <c r="G853" s="631"/>
      <c r="H853" s="631"/>
      <c r="I853" s="631"/>
      <c r="J853" s="631"/>
      <c r="K853" s="631"/>
      <c r="L853" s="631"/>
      <c r="M853" s="631"/>
      <c r="N853" s="631"/>
      <c r="O853" s="631"/>
      <c r="P853" s="631"/>
      <c r="Q853" s="631"/>
      <c r="R853" s="631"/>
      <c r="S853" s="631"/>
      <c r="T853" s="631"/>
      <c r="U853" s="631"/>
      <c r="V853" s="631"/>
      <c r="W853" s="631"/>
      <c r="X853" s="631"/>
      <c r="Y853" s="631"/>
    </row>
    <row r="854">
      <c r="A854" s="631"/>
      <c r="B854" s="631"/>
      <c r="C854" s="631"/>
      <c r="D854" s="631"/>
      <c r="E854" s="441"/>
      <c r="F854" s="631"/>
      <c r="G854" s="631"/>
      <c r="H854" s="631"/>
      <c r="I854" s="631"/>
      <c r="J854" s="631"/>
      <c r="K854" s="631"/>
      <c r="L854" s="631"/>
      <c r="M854" s="631"/>
      <c r="N854" s="631"/>
      <c r="O854" s="631"/>
      <c r="P854" s="631"/>
      <c r="Q854" s="631"/>
      <c r="R854" s="631"/>
      <c r="S854" s="631"/>
      <c r="T854" s="631"/>
      <c r="U854" s="631"/>
      <c r="V854" s="631"/>
      <c r="W854" s="631"/>
      <c r="X854" s="631"/>
      <c r="Y854" s="631"/>
    </row>
    <row r="855">
      <c r="A855" s="631"/>
      <c r="B855" s="631"/>
      <c r="C855" s="631"/>
      <c r="D855" s="631"/>
      <c r="E855" s="441"/>
      <c r="F855" s="631"/>
      <c r="G855" s="631"/>
      <c r="H855" s="631"/>
      <c r="I855" s="631"/>
      <c r="J855" s="631"/>
      <c r="K855" s="631"/>
      <c r="L855" s="631"/>
      <c r="M855" s="631"/>
      <c r="N855" s="631"/>
      <c r="O855" s="631"/>
      <c r="P855" s="631"/>
      <c r="Q855" s="631"/>
      <c r="R855" s="631"/>
      <c r="S855" s="631"/>
      <c r="T855" s="631"/>
      <c r="U855" s="631"/>
      <c r="V855" s="631"/>
      <c r="W855" s="631"/>
      <c r="X855" s="631"/>
      <c r="Y855" s="631"/>
    </row>
    <row r="856">
      <c r="A856" s="631"/>
      <c r="B856" s="631"/>
      <c r="C856" s="631"/>
      <c r="D856" s="631"/>
      <c r="E856" s="441"/>
      <c r="F856" s="631"/>
      <c r="G856" s="631"/>
      <c r="H856" s="631"/>
      <c r="I856" s="631"/>
      <c r="J856" s="631"/>
      <c r="K856" s="631"/>
      <c r="L856" s="631"/>
      <c r="M856" s="631"/>
      <c r="N856" s="631"/>
      <c r="O856" s="631"/>
      <c r="P856" s="631"/>
      <c r="Q856" s="631"/>
      <c r="R856" s="631"/>
      <c r="S856" s="631"/>
      <c r="T856" s="631"/>
      <c r="U856" s="631"/>
      <c r="V856" s="631"/>
      <c r="W856" s="631"/>
      <c r="X856" s="631"/>
      <c r="Y856" s="631"/>
    </row>
    <row r="857">
      <c r="A857" s="631"/>
      <c r="B857" s="631"/>
      <c r="C857" s="631"/>
      <c r="D857" s="631"/>
      <c r="E857" s="441"/>
      <c r="F857" s="631"/>
      <c r="G857" s="631"/>
      <c r="H857" s="631"/>
      <c r="I857" s="631"/>
      <c r="J857" s="631"/>
      <c r="K857" s="631"/>
      <c r="L857" s="631"/>
      <c r="M857" s="631"/>
      <c r="N857" s="631"/>
      <c r="O857" s="631"/>
      <c r="P857" s="631"/>
      <c r="Q857" s="631"/>
      <c r="R857" s="631"/>
      <c r="S857" s="631"/>
      <c r="T857" s="631"/>
      <c r="U857" s="631"/>
      <c r="V857" s="631"/>
      <c r="W857" s="631"/>
      <c r="X857" s="631"/>
      <c r="Y857" s="631"/>
    </row>
    <row r="858">
      <c r="A858" s="631"/>
      <c r="B858" s="631"/>
      <c r="C858" s="631"/>
      <c r="D858" s="631"/>
      <c r="E858" s="441"/>
      <c r="F858" s="631"/>
      <c r="G858" s="631"/>
      <c r="H858" s="631"/>
      <c r="I858" s="631"/>
      <c r="J858" s="631"/>
      <c r="K858" s="631"/>
      <c r="L858" s="631"/>
      <c r="M858" s="631"/>
      <c r="N858" s="631"/>
      <c r="O858" s="631"/>
      <c r="P858" s="631"/>
      <c r="Q858" s="631"/>
      <c r="R858" s="631"/>
      <c r="S858" s="631"/>
      <c r="T858" s="631"/>
      <c r="U858" s="631"/>
      <c r="V858" s="631"/>
      <c r="W858" s="631"/>
      <c r="X858" s="631"/>
      <c r="Y858" s="631"/>
    </row>
    <row r="859">
      <c r="A859" s="631"/>
      <c r="B859" s="631"/>
      <c r="C859" s="631"/>
      <c r="D859" s="631"/>
      <c r="E859" s="441"/>
      <c r="F859" s="631"/>
      <c r="G859" s="631"/>
      <c r="H859" s="631"/>
      <c r="I859" s="631"/>
      <c r="J859" s="631"/>
      <c r="K859" s="631"/>
      <c r="L859" s="631"/>
      <c r="M859" s="631"/>
      <c r="N859" s="631"/>
      <c r="O859" s="631"/>
      <c r="P859" s="631"/>
      <c r="Q859" s="631"/>
      <c r="R859" s="631"/>
      <c r="S859" s="631"/>
      <c r="T859" s="631"/>
      <c r="U859" s="631"/>
      <c r="V859" s="631"/>
      <c r="W859" s="631"/>
      <c r="X859" s="631"/>
      <c r="Y859" s="631"/>
    </row>
    <row r="860">
      <c r="A860" s="631"/>
      <c r="B860" s="631"/>
      <c r="C860" s="631"/>
      <c r="D860" s="631"/>
      <c r="E860" s="441"/>
      <c r="F860" s="631"/>
      <c r="G860" s="631"/>
      <c r="H860" s="631"/>
      <c r="I860" s="631"/>
      <c r="J860" s="631"/>
      <c r="K860" s="631"/>
      <c r="L860" s="631"/>
      <c r="M860" s="631"/>
      <c r="N860" s="631"/>
      <c r="O860" s="631"/>
      <c r="P860" s="631"/>
      <c r="Q860" s="631"/>
      <c r="R860" s="631"/>
      <c r="S860" s="631"/>
      <c r="T860" s="631"/>
      <c r="U860" s="631"/>
      <c r="V860" s="631"/>
      <c r="W860" s="631"/>
      <c r="X860" s="631"/>
      <c r="Y860" s="631"/>
    </row>
    <row r="861">
      <c r="A861" s="631"/>
      <c r="B861" s="631"/>
      <c r="C861" s="631"/>
      <c r="D861" s="631"/>
      <c r="E861" s="441"/>
      <c r="F861" s="631"/>
      <c r="G861" s="631"/>
      <c r="H861" s="631"/>
      <c r="I861" s="631"/>
      <c r="J861" s="631"/>
      <c r="K861" s="631"/>
      <c r="L861" s="631"/>
      <c r="M861" s="631"/>
      <c r="N861" s="631"/>
      <c r="O861" s="631"/>
      <c r="P861" s="631"/>
      <c r="Q861" s="631"/>
      <c r="R861" s="631"/>
      <c r="S861" s="631"/>
      <c r="T861" s="631"/>
      <c r="U861" s="631"/>
      <c r="V861" s="631"/>
      <c r="W861" s="631"/>
      <c r="X861" s="631"/>
      <c r="Y861" s="631"/>
    </row>
    <row r="862">
      <c r="A862" s="631"/>
      <c r="B862" s="631"/>
      <c r="C862" s="631"/>
      <c r="D862" s="631"/>
      <c r="E862" s="441"/>
      <c r="F862" s="631"/>
      <c r="G862" s="631"/>
      <c r="H862" s="631"/>
      <c r="I862" s="631"/>
      <c r="J862" s="631"/>
      <c r="K862" s="631"/>
      <c r="L862" s="631"/>
      <c r="M862" s="631"/>
      <c r="N862" s="631"/>
      <c r="O862" s="631"/>
      <c r="P862" s="631"/>
      <c r="Q862" s="631"/>
      <c r="R862" s="631"/>
      <c r="S862" s="631"/>
      <c r="T862" s="631"/>
      <c r="U862" s="631"/>
      <c r="V862" s="631"/>
      <c r="W862" s="631"/>
      <c r="X862" s="631"/>
      <c r="Y862" s="631"/>
    </row>
    <row r="863">
      <c r="A863" s="631"/>
      <c r="B863" s="631"/>
      <c r="C863" s="631"/>
      <c r="D863" s="631"/>
      <c r="E863" s="441"/>
      <c r="F863" s="631"/>
      <c r="G863" s="631"/>
      <c r="H863" s="631"/>
      <c r="I863" s="631"/>
      <c r="J863" s="631"/>
      <c r="K863" s="631"/>
      <c r="L863" s="631"/>
      <c r="M863" s="631"/>
      <c r="N863" s="631"/>
      <c r="O863" s="631"/>
      <c r="P863" s="631"/>
      <c r="Q863" s="631"/>
      <c r="R863" s="631"/>
      <c r="S863" s="631"/>
      <c r="T863" s="631"/>
      <c r="U863" s="631"/>
      <c r="V863" s="631"/>
      <c r="W863" s="631"/>
      <c r="X863" s="631"/>
      <c r="Y863" s="631"/>
    </row>
    <row r="864">
      <c r="A864" s="631"/>
      <c r="B864" s="631"/>
      <c r="C864" s="631"/>
      <c r="D864" s="631"/>
      <c r="E864" s="441"/>
      <c r="F864" s="631"/>
      <c r="G864" s="631"/>
      <c r="H864" s="631"/>
      <c r="I864" s="631"/>
      <c r="J864" s="631"/>
      <c r="K864" s="631"/>
      <c r="L864" s="631"/>
      <c r="M864" s="631"/>
      <c r="N864" s="631"/>
      <c r="O864" s="631"/>
      <c r="P864" s="631"/>
      <c r="Q864" s="631"/>
      <c r="R864" s="631"/>
      <c r="S864" s="631"/>
      <c r="T864" s="631"/>
      <c r="U864" s="631"/>
      <c r="V864" s="631"/>
      <c r="W864" s="631"/>
      <c r="X864" s="631"/>
      <c r="Y864" s="631"/>
    </row>
    <row r="865">
      <c r="A865" s="631"/>
      <c r="B865" s="631"/>
      <c r="C865" s="631"/>
      <c r="D865" s="631"/>
      <c r="E865" s="441"/>
      <c r="F865" s="631"/>
      <c r="G865" s="631"/>
      <c r="H865" s="631"/>
      <c r="I865" s="631"/>
      <c r="J865" s="631"/>
      <c r="K865" s="631"/>
      <c r="L865" s="631"/>
      <c r="M865" s="631"/>
      <c r="N865" s="631"/>
      <c r="O865" s="631"/>
      <c r="P865" s="631"/>
      <c r="Q865" s="631"/>
      <c r="R865" s="631"/>
      <c r="S865" s="631"/>
      <c r="T865" s="631"/>
      <c r="U865" s="631"/>
      <c r="V865" s="631"/>
      <c r="W865" s="631"/>
      <c r="X865" s="631"/>
      <c r="Y865" s="631"/>
    </row>
    <row r="866">
      <c r="A866" s="631"/>
      <c r="B866" s="631"/>
      <c r="C866" s="631"/>
      <c r="D866" s="631"/>
      <c r="E866" s="441"/>
      <c r="F866" s="631"/>
      <c r="G866" s="631"/>
      <c r="H866" s="631"/>
      <c r="I866" s="631"/>
      <c r="J866" s="631"/>
      <c r="K866" s="631"/>
      <c r="L866" s="631"/>
      <c r="M866" s="631"/>
      <c r="N866" s="631"/>
      <c r="O866" s="631"/>
      <c r="P866" s="631"/>
      <c r="Q866" s="631"/>
      <c r="R866" s="631"/>
      <c r="S866" s="631"/>
      <c r="T866" s="631"/>
      <c r="U866" s="631"/>
      <c r="V866" s="631"/>
      <c r="W866" s="631"/>
      <c r="X866" s="631"/>
      <c r="Y866" s="631"/>
    </row>
    <row r="867">
      <c r="A867" s="631"/>
      <c r="B867" s="631"/>
      <c r="C867" s="631"/>
      <c r="D867" s="631"/>
      <c r="E867" s="441"/>
      <c r="F867" s="631"/>
      <c r="G867" s="631"/>
      <c r="H867" s="631"/>
      <c r="I867" s="631"/>
      <c r="J867" s="631"/>
      <c r="K867" s="631"/>
      <c r="L867" s="631"/>
      <c r="M867" s="631"/>
      <c r="N867" s="631"/>
      <c r="O867" s="631"/>
      <c r="P867" s="631"/>
      <c r="Q867" s="631"/>
      <c r="R867" s="631"/>
      <c r="S867" s="631"/>
      <c r="T867" s="631"/>
      <c r="U867" s="631"/>
      <c r="V867" s="631"/>
      <c r="W867" s="631"/>
      <c r="X867" s="631"/>
      <c r="Y867" s="631"/>
    </row>
    <row r="868">
      <c r="A868" s="631"/>
      <c r="B868" s="631"/>
      <c r="C868" s="631"/>
      <c r="D868" s="631"/>
      <c r="E868" s="441"/>
      <c r="F868" s="631"/>
      <c r="G868" s="631"/>
      <c r="H868" s="631"/>
      <c r="I868" s="631"/>
      <c r="J868" s="631"/>
      <c r="K868" s="631"/>
      <c r="L868" s="631"/>
      <c r="M868" s="631"/>
      <c r="N868" s="631"/>
      <c r="O868" s="631"/>
      <c r="P868" s="631"/>
      <c r="Q868" s="631"/>
      <c r="R868" s="631"/>
      <c r="S868" s="631"/>
      <c r="T868" s="631"/>
      <c r="U868" s="631"/>
      <c r="V868" s="631"/>
      <c r="W868" s="631"/>
      <c r="X868" s="631"/>
      <c r="Y868" s="631"/>
    </row>
    <row r="869">
      <c r="A869" s="631"/>
      <c r="B869" s="631"/>
      <c r="C869" s="631"/>
      <c r="D869" s="631"/>
      <c r="E869" s="441"/>
      <c r="F869" s="631"/>
      <c r="G869" s="631"/>
      <c r="H869" s="631"/>
      <c r="I869" s="631"/>
      <c r="J869" s="631"/>
      <c r="K869" s="631"/>
      <c r="L869" s="631"/>
      <c r="M869" s="631"/>
      <c r="N869" s="631"/>
      <c r="O869" s="631"/>
      <c r="P869" s="631"/>
      <c r="Q869" s="631"/>
      <c r="R869" s="631"/>
      <c r="S869" s="631"/>
      <c r="T869" s="631"/>
      <c r="U869" s="631"/>
      <c r="V869" s="631"/>
      <c r="W869" s="631"/>
      <c r="X869" s="631"/>
      <c r="Y869" s="631"/>
    </row>
    <row r="870">
      <c r="A870" s="631"/>
      <c r="B870" s="631"/>
      <c r="C870" s="631"/>
      <c r="D870" s="631"/>
      <c r="E870" s="441"/>
      <c r="F870" s="631"/>
      <c r="G870" s="631"/>
      <c r="H870" s="631"/>
      <c r="I870" s="631"/>
      <c r="J870" s="631"/>
      <c r="K870" s="631"/>
      <c r="L870" s="631"/>
      <c r="M870" s="631"/>
      <c r="N870" s="631"/>
      <c r="O870" s="631"/>
      <c r="P870" s="631"/>
      <c r="Q870" s="631"/>
      <c r="R870" s="631"/>
      <c r="S870" s="631"/>
      <c r="T870" s="631"/>
      <c r="U870" s="631"/>
      <c r="V870" s="631"/>
      <c r="W870" s="631"/>
      <c r="X870" s="631"/>
      <c r="Y870" s="631"/>
    </row>
    <row r="871">
      <c r="A871" s="631"/>
      <c r="B871" s="631"/>
      <c r="C871" s="631"/>
      <c r="D871" s="631"/>
      <c r="E871" s="441"/>
      <c r="F871" s="631"/>
      <c r="G871" s="631"/>
      <c r="H871" s="631"/>
      <c r="I871" s="631"/>
      <c r="J871" s="631"/>
      <c r="K871" s="631"/>
      <c r="L871" s="631"/>
      <c r="M871" s="631"/>
      <c r="N871" s="631"/>
      <c r="O871" s="631"/>
      <c r="P871" s="631"/>
      <c r="Q871" s="631"/>
      <c r="R871" s="631"/>
      <c r="S871" s="631"/>
      <c r="T871" s="631"/>
      <c r="U871" s="631"/>
      <c r="V871" s="631"/>
      <c r="W871" s="631"/>
      <c r="X871" s="631"/>
      <c r="Y871" s="631"/>
    </row>
    <row r="872">
      <c r="A872" s="631"/>
      <c r="B872" s="631"/>
      <c r="C872" s="631"/>
      <c r="D872" s="631"/>
      <c r="E872" s="441"/>
      <c r="F872" s="631"/>
      <c r="G872" s="631"/>
      <c r="H872" s="631"/>
      <c r="I872" s="631"/>
      <c r="J872" s="631"/>
      <c r="K872" s="631"/>
      <c r="L872" s="631"/>
      <c r="M872" s="631"/>
      <c r="N872" s="631"/>
      <c r="O872" s="631"/>
      <c r="P872" s="631"/>
      <c r="Q872" s="631"/>
      <c r="R872" s="631"/>
      <c r="S872" s="631"/>
      <c r="T872" s="631"/>
      <c r="U872" s="631"/>
      <c r="V872" s="631"/>
      <c r="W872" s="631"/>
      <c r="X872" s="631"/>
      <c r="Y872" s="631"/>
    </row>
    <row r="873">
      <c r="A873" s="631"/>
      <c r="B873" s="631"/>
      <c r="C873" s="631"/>
      <c r="D873" s="631"/>
      <c r="E873" s="441"/>
      <c r="F873" s="631"/>
      <c r="G873" s="631"/>
      <c r="H873" s="631"/>
      <c r="I873" s="631"/>
      <c r="J873" s="631"/>
      <c r="K873" s="631"/>
      <c r="L873" s="631"/>
      <c r="M873" s="631"/>
      <c r="N873" s="631"/>
      <c r="O873" s="631"/>
      <c r="P873" s="631"/>
      <c r="Q873" s="631"/>
      <c r="R873" s="631"/>
      <c r="S873" s="631"/>
      <c r="T873" s="631"/>
      <c r="U873" s="631"/>
      <c r="V873" s="631"/>
      <c r="W873" s="631"/>
      <c r="X873" s="631"/>
      <c r="Y873" s="631"/>
    </row>
    <row r="874">
      <c r="A874" s="631"/>
      <c r="B874" s="631"/>
      <c r="C874" s="631"/>
      <c r="D874" s="631"/>
      <c r="E874" s="441"/>
      <c r="F874" s="631"/>
      <c r="G874" s="631"/>
      <c r="H874" s="631"/>
      <c r="I874" s="631"/>
      <c r="J874" s="631"/>
      <c r="K874" s="631"/>
      <c r="L874" s="631"/>
      <c r="M874" s="631"/>
      <c r="N874" s="631"/>
      <c r="O874" s="631"/>
      <c r="P874" s="631"/>
      <c r="Q874" s="631"/>
      <c r="R874" s="631"/>
      <c r="S874" s="631"/>
      <c r="T874" s="631"/>
      <c r="U874" s="631"/>
      <c r="V874" s="631"/>
      <c r="W874" s="631"/>
      <c r="X874" s="631"/>
      <c r="Y874" s="631"/>
    </row>
    <row r="875">
      <c r="A875" s="631"/>
      <c r="B875" s="631"/>
      <c r="C875" s="631"/>
      <c r="D875" s="631"/>
      <c r="E875" s="441"/>
      <c r="F875" s="631"/>
      <c r="G875" s="631"/>
      <c r="H875" s="631"/>
      <c r="I875" s="631"/>
      <c r="J875" s="631"/>
      <c r="K875" s="631"/>
      <c r="L875" s="631"/>
      <c r="M875" s="631"/>
      <c r="N875" s="631"/>
      <c r="O875" s="631"/>
      <c r="P875" s="631"/>
      <c r="Q875" s="631"/>
      <c r="R875" s="631"/>
      <c r="S875" s="631"/>
      <c r="T875" s="631"/>
      <c r="U875" s="631"/>
      <c r="V875" s="631"/>
      <c r="W875" s="631"/>
      <c r="X875" s="631"/>
      <c r="Y875" s="631"/>
    </row>
    <row r="876">
      <c r="A876" s="631"/>
      <c r="B876" s="631"/>
      <c r="C876" s="631"/>
      <c r="D876" s="631"/>
      <c r="E876" s="441"/>
      <c r="F876" s="631"/>
      <c r="G876" s="631"/>
      <c r="H876" s="631"/>
      <c r="I876" s="631"/>
      <c r="J876" s="631"/>
      <c r="K876" s="631"/>
      <c r="L876" s="631"/>
      <c r="M876" s="631"/>
      <c r="N876" s="631"/>
      <c r="O876" s="631"/>
      <c r="P876" s="631"/>
      <c r="Q876" s="631"/>
      <c r="R876" s="631"/>
      <c r="S876" s="631"/>
      <c r="T876" s="631"/>
      <c r="U876" s="631"/>
      <c r="V876" s="631"/>
      <c r="W876" s="631"/>
      <c r="X876" s="631"/>
      <c r="Y876" s="631"/>
    </row>
    <row r="877">
      <c r="A877" s="631"/>
      <c r="B877" s="631"/>
      <c r="C877" s="631"/>
      <c r="D877" s="631"/>
      <c r="E877" s="441"/>
      <c r="F877" s="631"/>
      <c r="G877" s="631"/>
      <c r="H877" s="631"/>
      <c r="I877" s="631"/>
      <c r="J877" s="631"/>
      <c r="K877" s="631"/>
      <c r="L877" s="631"/>
      <c r="M877" s="631"/>
      <c r="N877" s="631"/>
      <c r="O877" s="631"/>
      <c r="P877" s="631"/>
      <c r="Q877" s="631"/>
      <c r="R877" s="631"/>
      <c r="S877" s="631"/>
      <c r="T877" s="631"/>
      <c r="U877" s="631"/>
      <c r="V877" s="631"/>
      <c r="W877" s="631"/>
      <c r="X877" s="631"/>
      <c r="Y877" s="631"/>
    </row>
    <row r="878">
      <c r="A878" s="631"/>
      <c r="B878" s="631"/>
      <c r="C878" s="631"/>
      <c r="D878" s="631"/>
      <c r="E878" s="441"/>
      <c r="F878" s="631"/>
      <c r="G878" s="631"/>
      <c r="H878" s="631"/>
      <c r="I878" s="631"/>
      <c r="J878" s="631"/>
      <c r="K878" s="631"/>
      <c r="L878" s="631"/>
      <c r="M878" s="631"/>
      <c r="N878" s="631"/>
      <c r="O878" s="631"/>
      <c r="P878" s="631"/>
      <c r="Q878" s="631"/>
      <c r="R878" s="631"/>
      <c r="S878" s="631"/>
      <c r="T878" s="631"/>
      <c r="U878" s="631"/>
      <c r="V878" s="631"/>
      <c r="W878" s="631"/>
      <c r="X878" s="631"/>
      <c r="Y878" s="631"/>
    </row>
    <row r="879">
      <c r="A879" s="631"/>
      <c r="B879" s="631"/>
      <c r="C879" s="631"/>
      <c r="D879" s="631"/>
      <c r="E879" s="441"/>
      <c r="F879" s="631"/>
      <c r="G879" s="631"/>
      <c r="H879" s="631"/>
      <c r="I879" s="631"/>
      <c r="J879" s="631"/>
      <c r="K879" s="631"/>
      <c r="L879" s="631"/>
      <c r="M879" s="631"/>
      <c r="N879" s="631"/>
      <c r="O879" s="631"/>
      <c r="P879" s="631"/>
      <c r="Q879" s="631"/>
      <c r="R879" s="631"/>
      <c r="S879" s="631"/>
      <c r="T879" s="631"/>
      <c r="U879" s="631"/>
      <c r="V879" s="631"/>
      <c r="W879" s="631"/>
      <c r="X879" s="631"/>
      <c r="Y879" s="631"/>
    </row>
    <row r="880">
      <c r="A880" s="631"/>
      <c r="B880" s="631"/>
      <c r="C880" s="631"/>
      <c r="D880" s="631"/>
      <c r="E880" s="441"/>
      <c r="F880" s="631"/>
      <c r="G880" s="631"/>
      <c r="H880" s="631"/>
      <c r="I880" s="631"/>
      <c r="J880" s="631"/>
      <c r="K880" s="631"/>
      <c r="L880" s="631"/>
      <c r="M880" s="631"/>
      <c r="N880" s="631"/>
      <c r="O880" s="631"/>
      <c r="P880" s="631"/>
      <c r="Q880" s="631"/>
      <c r="R880" s="631"/>
      <c r="S880" s="631"/>
      <c r="T880" s="631"/>
      <c r="U880" s="631"/>
      <c r="V880" s="631"/>
      <c r="W880" s="631"/>
      <c r="X880" s="631"/>
      <c r="Y880" s="631"/>
    </row>
    <row r="881">
      <c r="A881" s="631"/>
      <c r="B881" s="631"/>
      <c r="C881" s="631"/>
      <c r="D881" s="631"/>
      <c r="E881" s="441"/>
      <c r="F881" s="631"/>
      <c r="G881" s="631"/>
      <c r="H881" s="631"/>
      <c r="I881" s="631"/>
      <c r="J881" s="631"/>
      <c r="K881" s="631"/>
      <c r="L881" s="631"/>
      <c r="M881" s="631"/>
      <c r="N881" s="631"/>
      <c r="O881" s="631"/>
      <c r="P881" s="631"/>
      <c r="Q881" s="631"/>
      <c r="R881" s="631"/>
      <c r="S881" s="631"/>
      <c r="T881" s="631"/>
      <c r="U881" s="631"/>
      <c r="V881" s="631"/>
      <c r="W881" s="631"/>
      <c r="X881" s="631"/>
      <c r="Y881" s="631"/>
    </row>
    <row r="882">
      <c r="A882" s="631"/>
      <c r="B882" s="631"/>
      <c r="C882" s="631"/>
      <c r="D882" s="631"/>
      <c r="E882" s="441"/>
      <c r="F882" s="631"/>
      <c r="G882" s="631"/>
      <c r="H882" s="631"/>
      <c r="I882" s="631"/>
      <c r="J882" s="631"/>
      <c r="K882" s="631"/>
      <c r="L882" s="631"/>
      <c r="M882" s="631"/>
      <c r="N882" s="631"/>
      <c r="O882" s="631"/>
      <c r="P882" s="631"/>
      <c r="Q882" s="631"/>
      <c r="R882" s="631"/>
      <c r="S882" s="631"/>
      <c r="T882" s="631"/>
      <c r="U882" s="631"/>
      <c r="V882" s="631"/>
      <c r="W882" s="631"/>
      <c r="X882" s="631"/>
      <c r="Y882" s="631"/>
    </row>
    <row r="883">
      <c r="A883" s="631"/>
      <c r="B883" s="631"/>
      <c r="C883" s="631"/>
      <c r="D883" s="631"/>
      <c r="E883" s="441"/>
      <c r="F883" s="631"/>
      <c r="G883" s="631"/>
      <c r="H883" s="631"/>
      <c r="I883" s="631"/>
      <c r="J883" s="631"/>
      <c r="K883" s="631"/>
      <c r="L883" s="631"/>
      <c r="M883" s="631"/>
      <c r="N883" s="631"/>
      <c r="O883" s="631"/>
      <c r="P883" s="631"/>
      <c r="Q883" s="631"/>
      <c r="R883" s="631"/>
      <c r="S883" s="631"/>
      <c r="T883" s="631"/>
      <c r="U883" s="631"/>
      <c r="V883" s="631"/>
      <c r="W883" s="631"/>
      <c r="X883" s="631"/>
      <c r="Y883" s="631"/>
    </row>
    <row r="884">
      <c r="A884" s="631"/>
      <c r="B884" s="631"/>
      <c r="C884" s="631"/>
      <c r="D884" s="631"/>
      <c r="E884" s="441"/>
      <c r="F884" s="631"/>
      <c r="G884" s="631"/>
      <c r="H884" s="631"/>
      <c r="I884" s="631"/>
      <c r="J884" s="631"/>
      <c r="K884" s="631"/>
      <c r="L884" s="631"/>
      <c r="M884" s="631"/>
      <c r="N884" s="631"/>
      <c r="O884" s="631"/>
      <c r="P884" s="631"/>
      <c r="Q884" s="631"/>
      <c r="R884" s="631"/>
      <c r="S884" s="631"/>
      <c r="T884" s="631"/>
      <c r="U884" s="631"/>
      <c r="V884" s="631"/>
      <c r="W884" s="631"/>
      <c r="X884" s="631"/>
      <c r="Y884" s="631"/>
    </row>
    <row r="885">
      <c r="A885" s="631"/>
      <c r="B885" s="631"/>
      <c r="C885" s="631"/>
      <c r="D885" s="631"/>
      <c r="E885" s="441"/>
      <c r="F885" s="631"/>
      <c r="G885" s="631"/>
      <c r="H885" s="631"/>
      <c r="I885" s="631"/>
      <c r="J885" s="631"/>
      <c r="K885" s="631"/>
      <c r="L885" s="631"/>
      <c r="M885" s="631"/>
      <c r="N885" s="631"/>
      <c r="O885" s="631"/>
      <c r="P885" s="631"/>
      <c r="Q885" s="631"/>
      <c r="R885" s="631"/>
      <c r="S885" s="631"/>
      <c r="T885" s="631"/>
      <c r="U885" s="631"/>
      <c r="V885" s="631"/>
      <c r="W885" s="631"/>
      <c r="X885" s="631"/>
      <c r="Y885" s="631"/>
    </row>
    <row r="886">
      <c r="A886" s="631"/>
      <c r="B886" s="631"/>
      <c r="C886" s="631"/>
      <c r="D886" s="631"/>
      <c r="E886" s="441"/>
      <c r="F886" s="631"/>
      <c r="G886" s="631"/>
      <c r="H886" s="631"/>
      <c r="I886" s="631"/>
      <c r="J886" s="631"/>
      <c r="K886" s="631"/>
      <c r="L886" s="631"/>
      <c r="M886" s="631"/>
      <c r="N886" s="631"/>
      <c r="O886" s="631"/>
      <c r="P886" s="631"/>
      <c r="Q886" s="631"/>
      <c r="R886" s="631"/>
      <c r="S886" s="631"/>
      <c r="T886" s="631"/>
      <c r="U886" s="631"/>
      <c r="V886" s="631"/>
      <c r="W886" s="631"/>
      <c r="X886" s="631"/>
      <c r="Y886" s="631"/>
    </row>
    <row r="887">
      <c r="A887" s="631"/>
      <c r="B887" s="631"/>
      <c r="C887" s="631"/>
      <c r="D887" s="631"/>
      <c r="E887" s="441"/>
      <c r="F887" s="631"/>
      <c r="G887" s="631"/>
      <c r="H887" s="631"/>
      <c r="I887" s="631"/>
      <c r="J887" s="631"/>
      <c r="K887" s="631"/>
      <c r="L887" s="631"/>
      <c r="M887" s="631"/>
      <c r="N887" s="631"/>
      <c r="O887" s="631"/>
      <c r="P887" s="631"/>
      <c r="Q887" s="631"/>
      <c r="R887" s="631"/>
      <c r="S887" s="631"/>
      <c r="T887" s="631"/>
      <c r="U887" s="631"/>
      <c r="V887" s="631"/>
      <c r="W887" s="631"/>
      <c r="X887" s="631"/>
      <c r="Y887" s="631"/>
    </row>
    <row r="888">
      <c r="A888" s="631"/>
      <c r="B888" s="631"/>
      <c r="C888" s="631"/>
      <c r="D888" s="631"/>
      <c r="E888" s="441"/>
      <c r="F888" s="631"/>
      <c r="G888" s="631"/>
      <c r="H888" s="631"/>
      <c r="I888" s="631"/>
      <c r="J888" s="631"/>
      <c r="K888" s="631"/>
      <c r="L888" s="631"/>
      <c r="M888" s="631"/>
      <c r="N888" s="631"/>
      <c r="O888" s="631"/>
      <c r="P888" s="631"/>
      <c r="Q888" s="631"/>
      <c r="R888" s="631"/>
      <c r="S888" s="631"/>
      <c r="T888" s="631"/>
      <c r="U888" s="631"/>
      <c r="V888" s="631"/>
      <c r="W888" s="631"/>
      <c r="X888" s="631"/>
      <c r="Y888" s="631"/>
    </row>
    <row r="889">
      <c r="A889" s="631"/>
      <c r="B889" s="631"/>
      <c r="C889" s="631"/>
      <c r="D889" s="631"/>
      <c r="E889" s="441"/>
      <c r="F889" s="631"/>
      <c r="G889" s="631"/>
      <c r="H889" s="631"/>
      <c r="I889" s="631"/>
      <c r="J889" s="631"/>
      <c r="K889" s="631"/>
      <c r="L889" s="631"/>
      <c r="M889" s="631"/>
      <c r="N889" s="631"/>
      <c r="O889" s="631"/>
      <c r="P889" s="631"/>
      <c r="Q889" s="631"/>
      <c r="R889" s="631"/>
      <c r="S889" s="631"/>
      <c r="T889" s="631"/>
      <c r="U889" s="631"/>
      <c r="V889" s="631"/>
      <c r="W889" s="631"/>
      <c r="X889" s="631"/>
      <c r="Y889" s="631"/>
    </row>
    <row r="890">
      <c r="A890" s="631"/>
      <c r="B890" s="631"/>
      <c r="C890" s="631"/>
      <c r="D890" s="631"/>
      <c r="E890" s="441"/>
      <c r="F890" s="631"/>
      <c r="G890" s="631"/>
      <c r="H890" s="631"/>
      <c r="I890" s="631"/>
      <c r="J890" s="631"/>
      <c r="K890" s="631"/>
      <c r="L890" s="631"/>
      <c r="M890" s="631"/>
      <c r="N890" s="631"/>
      <c r="O890" s="631"/>
      <c r="P890" s="631"/>
      <c r="Q890" s="631"/>
      <c r="R890" s="631"/>
      <c r="S890" s="631"/>
      <c r="T890" s="631"/>
      <c r="U890" s="631"/>
      <c r="V890" s="631"/>
      <c r="W890" s="631"/>
      <c r="X890" s="631"/>
      <c r="Y890" s="631"/>
    </row>
    <row r="891">
      <c r="A891" s="631"/>
      <c r="B891" s="631"/>
      <c r="C891" s="631"/>
      <c r="D891" s="631"/>
      <c r="E891" s="441"/>
      <c r="F891" s="631"/>
      <c r="G891" s="631"/>
      <c r="H891" s="631"/>
      <c r="I891" s="631"/>
      <c r="J891" s="631"/>
      <c r="K891" s="631"/>
      <c r="L891" s="631"/>
      <c r="M891" s="631"/>
      <c r="N891" s="631"/>
      <c r="O891" s="631"/>
      <c r="P891" s="631"/>
      <c r="Q891" s="631"/>
      <c r="R891" s="631"/>
      <c r="S891" s="631"/>
      <c r="T891" s="631"/>
      <c r="U891" s="631"/>
      <c r="V891" s="631"/>
      <c r="W891" s="631"/>
      <c r="X891" s="631"/>
      <c r="Y891" s="631"/>
    </row>
    <row r="892">
      <c r="A892" s="631"/>
      <c r="B892" s="631"/>
      <c r="C892" s="631"/>
      <c r="D892" s="631"/>
      <c r="E892" s="441"/>
      <c r="F892" s="631"/>
      <c r="G892" s="631"/>
      <c r="H892" s="631"/>
      <c r="I892" s="631"/>
      <c r="J892" s="631"/>
      <c r="K892" s="631"/>
      <c r="L892" s="631"/>
      <c r="M892" s="631"/>
      <c r="N892" s="631"/>
      <c r="O892" s="631"/>
      <c r="P892" s="631"/>
      <c r="Q892" s="631"/>
      <c r="R892" s="631"/>
      <c r="S892" s="631"/>
      <c r="T892" s="631"/>
      <c r="U892" s="631"/>
      <c r="V892" s="631"/>
      <c r="W892" s="631"/>
      <c r="X892" s="631"/>
      <c r="Y892" s="631"/>
    </row>
    <row r="893">
      <c r="A893" s="631"/>
      <c r="B893" s="631"/>
      <c r="C893" s="631"/>
      <c r="D893" s="631"/>
      <c r="E893" s="441"/>
      <c r="F893" s="631"/>
      <c r="G893" s="631"/>
      <c r="H893" s="631"/>
      <c r="I893" s="631"/>
      <c r="J893" s="631"/>
      <c r="K893" s="631"/>
      <c r="L893" s="631"/>
      <c r="M893" s="631"/>
      <c r="N893" s="631"/>
      <c r="O893" s="631"/>
      <c r="P893" s="631"/>
      <c r="Q893" s="631"/>
      <c r="R893" s="631"/>
      <c r="S893" s="631"/>
      <c r="T893" s="631"/>
      <c r="U893" s="631"/>
      <c r="V893" s="631"/>
      <c r="W893" s="631"/>
      <c r="X893" s="631"/>
      <c r="Y893" s="631"/>
    </row>
    <row r="894">
      <c r="A894" s="631"/>
      <c r="B894" s="631"/>
      <c r="C894" s="631"/>
      <c r="D894" s="631"/>
      <c r="E894" s="441"/>
      <c r="F894" s="631"/>
      <c r="G894" s="631"/>
      <c r="H894" s="631"/>
      <c r="I894" s="631"/>
      <c r="J894" s="631"/>
      <c r="K894" s="631"/>
      <c r="L894" s="631"/>
      <c r="M894" s="631"/>
      <c r="N894" s="631"/>
      <c r="O894" s="631"/>
      <c r="P894" s="631"/>
      <c r="Q894" s="631"/>
      <c r="R894" s="631"/>
      <c r="S894" s="631"/>
      <c r="T894" s="631"/>
      <c r="U894" s="631"/>
      <c r="V894" s="631"/>
      <c r="W894" s="631"/>
      <c r="X894" s="631"/>
      <c r="Y894" s="631"/>
    </row>
    <row r="895">
      <c r="A895" s="631"/>
      <c r="B895" s="631"/>
      <c r="C895" s="631"/>
      <c r="D895" s="631"/>
      <c r="E895" s="441"/>
      <c r="F895" s="631"/>
      <c r="G895" s="631"/>
      <c r="H895" s="631"/>
      <c r="I895" s="631"/>
      <c r="J895" s="631"/>
      <c r="K895" s="631"/>
      <c r="L895" s="631"/>
      <c r="M895" s="631"/>
      <c r="N895" s="631"/>
      <c r="O895" s="631"/>
      <c r="P895" s="631"/>
      <c r="Q895" s="631"/>
      <c r="R895" s="631"/>
      <c r="S895" s="631"/>
      <c r="T895" s="631"/>
      <c r="U895" s="631"/>
      <c r="V895" s="631"/>
      <c r="W895" s="631"/>
      <c r="X895" s="631"/>
      <c r="Y895" s="631"/>
    </row>
    <row r="896">
      <c r="A896" s="631"/>
      <c r="B896" s="631"/>
      <c r="C896" s="631"/>
      <c r="D896" s="631"/>
      <c r="E896" s="441"/>
      <c r="F896" s="631"/>
      <c r="G896" s="631"/>
      <c r="H896" s="631"/>
      <c r="I896" s="631"/>
      <c r="J896" s="631"/>
      <c r="K896" s="631"/>
      <c r="L896" s="631"/>
      <c r="M896" s="631"/>
      <c r="N896" s="631"/>
      <c r="O896" s="631"/>
      <c r="P896" s="631"/>
      <c r="Q896" s="631"/>
      <c r="R896" s="631"/>
      <c r="S896" s="631"/>
      <c r="T896" s="631"/>
      <c r="U896" s="631"/>
      <c r="V896" s="631"/>
      <c r="W896" s="631"/>
      <c r="X896" s="631"/>
      <c r="Y896" s="631"/>
    </row>
    <row r="897">
      <c r="A897" s="631"/>
      <c r="B897" s="631"/>
      <c r="C897" s="631"/>
      <c r="D897" s="631"/>
      <c r="E897" s="441"/>
      <c r="F897" s="631"/>
      <c r="G897" s="631"/>
      <c r="H897" s="631"/>
      <c r="I897" s="631"/>
      <c r="J897" s="631"/>
      <c r="K897" s="631"/>
      <c r="L897" s="631"/>
      <c r="M897" s="631"/>
      <c r="N897" s="631"/>
      <c r="O897" s="631"/>
      <c r="P897" s="631"/>
      <c r="Q897" s="631"/>
      <c r="R897" s="631"/>
      <c r="S897" s="631"/>
      <c r="T897" s="631"/>
      <c r="U897" s="631"/>
      <c r="V897" s="631"/>
      <c r="W897" s="631"/>
      <c r="X897" s="631"/>
      <c r="Y897" s="631"/>
    </row>
    <row r="898">
      <c r="A898" s="631"/>
      <c r="B898" s="631"/>
      <c r="C898" s="631"/>
      <c r="D898" s="631"/>
      <c r="E898" s="441"/>
      <c r="F898" s="631"/>
      <c r="G898" s="631"/>
      <c r="H898" s="631"/>
      <c r="I898" s="631"/>
      <c r="J898" s="631"/>
      <c r="K898" s="631"/>
      <c r="L898" s="631"/>
      <c r="M898" s="631"/>
      <c r="N898" s="631"/>
      <c r="O898" s="631"/>
      <c r="P898" s="631"/>
      <c r="Q898" s="631"/>
      <c r="R898" s="631"/>
      <c r="S898" s="631"/>
      <c r="T898" s="631"/>
      <c r="U898" s="631"/>
      <c r="V898" s="631"/>
      <c r="W898" s="631"/>
      <c r="X898" s="631"/>
      <c r="Y898" s="631"/>
    </row>
    <row r="899">
      <c r="A899" s="631"/>
      <c r="B899" s="631"/>
      <c r="C899" s="631"/>
      <c r="D899" s="631"/>
      <c r="E899" s="441"/>
      <c r="F899" s="631"/>
      <c r="G899" s="631"/>
      <c r="H899" s="631"/>
      <c r="I899" s="631"/>
      <c r="J899" s="631"/>
      <c r="K899" s="631"/>
      <c r="L899" s="631"/>
      <c r="M899" s="631"/>
      <c r="N899" s="631"/>
      <c r="O899" s="631"/>
      <c r="P899" s="631"/>
      <c r="Q899" s="631"/>
      <c r="R899" s="631"/>
      <c r="S899" s="631"/>
      <c r="T899" s="631"/>
      <c r="U899" s="631"/>
      <c r="V899" s="631"/>
      <c r="W899" s="631"/>
      <c r="X899" s="631"/>
      <c r="Y899" s="631"/>
    </row>
    <row r="900">
      <c r="A900" s="631"/>
      <c r="B900" s="631"/>
      <c r="C900" s="631"/>
      <c r="D900" s="631"/>
      <c r="E900" s="441"/>
      <c r="F900" s="631"/>
      <c r="G900" s="631"/>
      <c r="H900" s="631"/>
      <c r="I900" s="631"/>
      <c r="J900" s="631"/>
      <c r="K900" s="631"/>
      <c r="L900" s="631"/>
      <c r="M900" s="631"/>
      <c r="N900" s="631"/>
      <c r="O900" s="631"/>
      <c r="P900" s="631"/>
      <c r="Q900" s="631"/>
      <c r="R900" s="631"/>
      <c r="S900" s="631"/>
      <c r="T900" s="631"/>
      <c r="U900" s="631"/>
      <c r="V900" s="631"/>
      <c r="W900" s="631"/>
      <c r="X900" s="631"/>
      <c r="Y900" s="631"/>
    </row>
    <row r="901">
      <c r="A901" s="631"/>
      <c r="B901" s="631"/>
      <c r="C901" s="631"/>
      <c r="D901" s="631"/>
      <c r="E901" s="441"/>
      <c r="F901" s="631"/>
      <c r="G901" s="631"/>
      <c r="H901" s="631"/>
      <c r="I901" s="631"/>
      <c r="J901" s="631"/>
      <c r="K901" s="631"/>
      <c r="L901" s="631"/>
      <c r="M901" s="631"/>
      <c r="N901" s="631"/>
      <c r="O901" s="631"/>
      <c r="P901" s="631"/>
      <c r="Q901" s="631"/>
      <c r="R901" s="631"/>
      <c r="S901" s="631"/>
      <c r="T901" s="631"/>
      <c r="U901" s="631"/>
      <c r="V901" s="631"/>
      <c r="W901" s="631"/>
      <c r="X901" s="631"/>
      <c r="Y901" s="631"/>
    </row>
    <row r="902">
      <c r="A902" s="631"/>
      <c r="B902" s="631"/>
      <c r="C902" s="631"/>
      <c r="D902" s="631"/>
      <c r="E902" s="441"/>
      <c r="F902" s="631"/>
      <c r="G902" s="631"/>
      <c r="H902" s="631"/>
      <c r="I902" s="631"/>
      <c r="J902" s="631"/>
      <c r="K902" s="631"/>
      <c r="L902" s="631"/>
      <c r="M902" s="631"/>
      <c r="N902" s="631"/>
      <c r="O902" s="631"/>
      <c r="P902" s="631"/>
      <c r="Q902" s="631"/>
      <c r="R902" s="631"/>
      <c r="S902" s="631"/>
      <c r="T902" s="631"/>
      <c r="U902" s="631"/>
      <c r="V902" s="631"/>
      <c r="W902" s="631"/>
      <c r="X902" s="631"/>
      <c r="Y902" s="631"/>
    </row>
    <row r="903">
      <c r="A903" s="631"/>
      <c r="B903" s="631"/>
      <c r="C903" s="631"/>
      <c r="D903" s="631"/>
      <c r="E903" s="441"/>
      <c r="F903" s="631"/>
      <c r="G903" s="631"/>
      <c r="H903" s="631"/>
      <c r="I903" s="631"/>
      <c r="J903" s="631"/>
      <c r="K903" s="631"/>
      <c r="L903" s="631"/>
      <c r="M903" s="631"/>
      <c r="N903" s="631"/>
      <c r="O903" s="631"/>
      <c r="P903" s="631"/>
      <c r="Q903" s="631"/>
      <c r="R903" s="631"/>
      <c r="S903" s="631"/>
      <c r="T903" s="631"/>
      <c r="U903" s="631"/>
      <c r="V903" s="631"/>
      <c r="W903" s="631"/>
      <c r="X903" s="631"/>
      <c r="Y903" s="631"/>
    </row>
    <row r="904">
      <c r="A904" s="631"/>
      <c r="B904" s="631"/>
      <c r="C904" s="631"/>
      <c r="D904" s="631"/>
      <c r="E904" s="441"/>
      <c r="F904" s="631"/>
      <c r="G904" s="631"/>
      <c r="H904" s="631"/>
      <c r="I904" s="631"/>
      <c r="J904" s="631"/>
      <c r="K904" s="631"/>
      <c r="L904" s="631"/>
      <c r="M904" s="631"/>
      <c r="N904" s="631"/>
      <c r="O904" s="631"/>
      <c r="P904" s="631"/>
      <c r="Q904" s="631"/>
      <c r="R904" s="631"/>
      <c r="S904" s="631"/>
      <c r="T904" s="631"/>
      <c r="U904" s="631"/>
      <c r="V904" s="631"/>
      <c r="W904" s="631"/>
      <c r="X904" s="631"/>
      <c r="Y904" s="631"/>
    </row>
    <row r="905">
      <c r="A905" s="631"/>
      <c r="B905" s="631"/>
      <c r="C905" s="631"/>
      <c r="D905" s="631"/>
      <c r="E905" s="441"/>
      <c r="F905" s="631"/>
      <c r="G905" s="631"/>
      <c r="H905" s="631"/>
      <c r="I905" s="631"/>
      <c r="J905" s="631"/>
      <c r="K905" s="631"/>
      <c r="L905" s="631"/>
      <c r="M905" s="631"/>
      <c r="N905" s="631"/>
      <c r="O905" s="631"/>
      <c r="P905" s="631"/>
      <c r="Q905" s="631"/>
      <c r="R905" s="631"/>
      <c r="S905" s="631"/>
      <c r="T905" s="631"/>
      <c r="U905" s="631"/>
      <c r="V905" s="631"/>
      <c r="W905" s="631"/>
      <c r="X905" s="631"/>
      <c r="Y905" s="631"/>
    </row>
    <row r="906">
      <c r="A906" s="631"/>
      <c r="B906" s="631"/>
      <c r="C906" s="631"/>
      <c r="D906" s="631"/>
      <c r="E906" s="441"/>
      <c r="F906" s="631"/>
      <c r="G906" s="631"/>
      <c r="H906" s="631"/>
      <c r="I906" s="631"/>
      <c r="J906" s="631"/>
      <c r="K906" s="631"/>
      <c r="L906" s="631"/>
      <c r="M906" s="631"/>
      <c r="N906" s="631"/>
      <c r="O906" s="631"/>
      <c r="P906" s="631"/>
      <c r="Q906" s="631"/>
      <c r="R906" s="631"/>
      <c r="S906" s="631"/>
      <c r="T906" s="631"/>
      <c r="U906" s="631"/>
      <c r="V906" s="631"/>
      <c r="W906" s="631"/>
      <c r="X906" s="631"/>
      <c r="Y906" s="631"/>
    </row>
    <row r="907">
      <c r="A907" s="631"/>
      <c r="B907" s="631"/>
      <c r="C907" s="631"/>
      <c r="D907" s="631"/>
      <c r="E907" s="441"/>
      <c r="F907" s="631"/>
      <c r="G907" s="631"/>
      <c r="H907" s="631"/>
      <c r="I907" s="631"/>
      <c r="J907" s="631"/>
      <c r="K907" s="631"/>
      <c r="L907" s="631"/>
      <c r="M907" s="631"/>
      <c r="N907" s="631"/>
      <c r="O907" s="631"/>
      <c r="P907" s="631"/>
      <c r="Q907" s="631"/>
      <c r="R907" s="631"/>
      <c r="S907" s="631"/>
      <c r="T907" s="631"/>
      <c r="U907" s="631"/>
      <c r="V907" s="631"/>
      <c r="W907" s="631"/>
      <c r="X907" s="631"/>
      <c r="Y907" s="631"/>
    </row>
    <row r="908">
      <c r="A908" s="631"/>
      <c r="B908" s="631"/>
      <c r="C908" s="631"/>
      <c r="D908" s="631"/>
      <c r="E908" s="441"/>
      <c r="F908" s="631"/>
      <c r="G908" s="631"/>
      <c r="H908" s="631"/>
      <c r="I908" s="631"/>
      <c r="J908" s="631"/>
      <c r="K908" s="631"/>
      <c r="L908" s="631"/>
      <c r="M908" s="631"/>
      <c r="N908" s="631"/>
      <c r="O908" s="631"/>
      <c r="P908" s="631"/>
      <c r="Q908" s="631"/>
      <c r="R908" s="631"/>
      <c r="S908" s="631"/>
      <c r="T908" s="631"/>
      <c r="U908" s="631"/>
      <c r="V908" s="631"/>
      <c r="W908" s="631"/>
      <c r="X908" s="631"/>
      <c r="Y908" s="631"/>
    </row>
    <row r="909">
      <c r="A909" s="631"/>
      <c r="B909" s="631"/>
      <c r="C909" s="631"/>
      <c r="D909" s="631"/>
      <c r="E909" s="441"/>
      <c r="F909" s="631"/>
      <c r="G909" s="631"/>
      <c r="H909" s="631"/>
      <c r="I909" s="631"/>
      <c r="J909" s="631"/>
      <c r="K909" s="631"/>
      <c r="L909" s="631"/>
      <c r="M909" s="631"/>
      <c r="N909" s="631"/>
      <c r="O909" s="631"/>
      <c r="P909" s="631"/>
      <c r="Q909" s="631"/>
      <c r="R909" s="631"/>
      <c r="S909" s="631"/>
      <c r="T909" s="631"/>
      <c r="U909" s="631"/>
      <c r="V909" s="631"/>
      <c r="W909" s="631"/>
      <c r="X909" s="631"/>
      <c r="Y909" s="631"/>
    </row>
    <row r="910">
      <c r="A910" s="631"/>
      <c r="B910" s="631"/>
      <c r="C910" s="631"/>
      <c r="D910" s="631"/>
      <c r="E910" s="441"/>
      <c r="F910" s="631"/>
      <c r="G910" s="631"/>
      <c r="H910" s="631"/>
      <c r="I910" s="631"/>
      <c r="J910" s="631"/>
      <c r="K910" s="631"/>
      <c r="L910" s="631"/>
      <c r="M910" s="631"/>
      <c r="N910" s="631"/>
      <c r="O910" s="631"/>
      <c r="P910" s="631"/>
      <c r="Q910" s="631"/>
      <c r="R910" s="631"/>
      <c r="S910" s="631"/>
      <c r="T910" s="631"/>
      <c r="U910" s="631"/>
      <c r="V910" s="631"/>
      <c r="W910" s="631"/>
      <c r="X910" s="631"/>
      <c r="Y910" s="631"/>
    </row>
    <row r="911">
      <c r="A911" s="631"/>
      <c r="B911" s="631"/>
      <c r="C911" s="631"/>
      <c r="D911" s="631"/>
      <c r="E911" s="441"/>
      <c r="F911" s="631"/>
      <c r="G911" s="631"/>
      <c r="H911" s="631"/>
      <c r="I911" s="631"/>
      <c r="J911" s="631"/>
      <c r="K911" s="631"/>
      <c r="L911" s="631"/>
      <c r="M911" s="631"/>
      <c r="N911" s="631"/>
      <c r="O911" s="631"/>
      <c r="P911" s="631"/>
      <c r="Q911" s="631"/>
      <c r="R911" s="631"/>
      <c r="S911" s="631"/>
      <c r="T911" s="631"/>
      <c r="U911" s="631"/>
      <c r="V911" s="631"/>
      <c r="W911" s="631"/>
      <c r="X911" s="631"/>
      <c r="Y911" s="631"/>
    </row>
    <row r="912">
      <c r="A912" s="631"/>
      <c r="B912" s="631"/>
      <c r="C912" s="631"/>
      <c r="D912" s="631"/>
      <c r="E912" s="441"/>
      <c r="F912" s="631"/>
      <c r="G912" s="631"/>
      <c r="H912" s="631"/>
      <c r="I912" s="631"/>
      <c r="J912" s="631"/>
      <c r="K912" s="631"/>
      <c r="L912" s="631"/>
      <c r="M912" s="631"/>
      <c r="N912" s="631"/>
      <c r="O912" s="631"/>
      <c r="P912" s="631"/>
      <c r="Q912" s="631"/>
      <c r="R912" s="631"/>
      <c r="S912" s="631"/>
      <c r="T912" s="631"/>
      <c r="U912" s="631"/>
      <c r="V912" s="631"/>
      <c r="W912" s="631"/>
      <c r="X912" s="631"/>
      <c r="Y912" s="631"/>
    </row>
    <row r="913">
      <c r="A913" s="631"/>
      <c r="B913" s="631"/>
      <c r="C913" s="631"/>
      <c r="D913" s="631"/>
      <c r="E913" s="441"/>
      <c r="F913" s="631"/>
      <c r="G913" s="631"/>
      <c r="H913" s="631"/>
      <c r="I913" s="631"/>
      <c r="J913" s="631"/>
      <c r="K913" s="631"/>
      <c r="L913" s="631"/>
      <c r="M913" s="631"/>
      <c r="N913" s="631"/>
      <c r="O913" s="631"/>
      <c r="P913" s="631"/>
      <c r="Q913" s="631"/>
      <c r="R913" s="631"/>
      <c r="S913" s="631"/>
      <c r="T913" s="631"/>
      <c r="U913" s="631"/>
      <c r="V913" s="631"/>
      <c r="W913" s="631"/>
      <c r="X913" s="631"/>
      <c r="Y913" s="631"/>
    </row>
    <row r="914">
      <c r="A914" s="631"/>
      <c r="B914" s="631"/>
      <c r="C914" s="631"/>
      <c r="D914" s="631"/>
      <c r="E914" s="441"/>
      <c r="F914" s="631"/>
      <c r="G914" s="631"/>
      <c r="H914" s="631"/>
      <c r="I914" s="631"/>
      <c r="J914" s="631"/>
      <c r="K914" s="631"/>
      <c r="L914" s="631"/>
      <c r="M914" s="631"/>
      <c r="N914" s="631"/>
      <c r="O914" s="631"/>
      <c r="P914" s="631"/>
      <c r="Q914" s="631"/>
      <c r="R914" s="631"/>
      <c r="S914" s="631"/>
      <c r="T914" s="631"/>
      <c r="U914" s="631"/>
      <c r="V914" s="631"/>
      <c r="W914" s="631"/>
      <c r="X914" s="631"/>
      <c r="Y914" s="631"/>
    </row>
    <row r="915">
      <c r="A915" s="631"/>
      <c r="B915" s="631"/>
      <c r="C915" s="631"/>
      <c r="D915" s="631"/>
      <c r="E915" s="441"/>
      <c r="F915" s="631"/>
      <c r="G915" s="631"/>
      <c r="H915" s="631"/>
      <c r="I915" s="631"/>
      <c r="J915" s="631"/>
      <c r="K915" s="631"/>
      <c r="L915" s="631"/>
      <c r="M915" s="631"/>
      <c r="N915" s="631"/>
      <c r="O915" s="631"/>
      <c r="P915" s="631"/>
      <c r="Q915" s="631"/>
      <c r="R915" s="631"/>
      <c r="S915" s="631"/>
      <c r="T915" s="631"/>
      <c r="U915" s="631"/>
      <c r="V915" s="631"/>
      <c r="W915" s="631"/>
      <c r="X915" s="631"/>
      <c r="Y915" s="631"/>
    </row>
    <row r="916">
      <c r="A916" s="631"/>
      <c r="B916" s="631"/>
      <c r="C916" s="631"/>
      <c r="D916" s="631"/>
      <c r="E916" s="441"/>
      <c r="F916" s="631"/>
      <c r="G916" s="631"/>
      <c r="H916" s="631"/>
      <c r="I916" s="631"/>
      <c r="J916" s="631"/>
      <c r="K916" s="631"/>
      <c r="L916" s="631"/>
      <c r="M916" s="631"/>
      <c r="N916" s="631"/>
      <c r="O916" s="631"/>
      <c r="P916" s="631"/>
      <c r="Q916" s="631"/>
      <c r="R916" s="631"/>
      <c r="S916" s="631"/>
      <c r="T916" s="631"/>
      <c r="U916" s="631"/>
      <c r="V916" s="631"/>
      <c r="W916" s="631"/>
      <c r="X916" s="631"/>
      <c r="Y916" s="631"/>
    </row>
    <row r="917">
      <c r="A917" s="631"/>
      <c r="B917" s="631"/>
      <c r="C917" s="631"/>
      <c r="D917" s="631"/>
      <c r="E917" s="441"/>
      <c r="F917" s="631"/>
      <c r="G917" s="631"/>
      <c r="H917" s="631"/>
      <c r="I917" s="631"/>
      <c r="J917" s="631"/>
      <c r="K917" s="631"/>
      <c r="L917" s="631"/>
      <c r="M917" s="631"/>
      <c r="N917" s="631"/>
      <c r="O917" s="631"/>
      <c r="P917" s="631"/>
      <c r="Q917" s="631"/>
      <c r="R917" s="631"/>
      <c r="S917" s="631"/>
      <c r="T917" s="631"/>
      <c r="U917" s="631"/>
      <c r="V917" s="631"/>
      <c r="W917" s="631"/>
      <c r="X917" s="631"/>
      <c r="Y917" s="631"/>
    </row>
    <row r="918">
      <c r="A918" s="631"/>
      <c r="B918" s="631"/>
      <c r="C918" s="631"/>
      <c r="D918" s="631"/>
      <c r="E918" s="441"/>
      <c r="F918" s="631"/>
      <c r="G918" s="631"/>
      <c r="H918" s="631"/>
      <c r="I918" s="631"/>
      <c r="J918" s="631"/>
      <c r="K918" s="631"/>
      <c r="L918" s="631"/>
      <c r="M918" s="631"/>
      <c r="N918" s="631"/>
      <c r="O918" s="631"/>
      <c r="P918" s="631"/>
      <c r="Q918" s="631"/>
      <c r="R918" s="631"/>
      <c r="S918" s="631"/>
      <c r="T918" s="631"/>
      <c r="U918" s="631"/>
      <c r="V918" s="631"/>
      <c r="W918" s="631"/>
      <c r="X918" s="631"/>
      <c r="Y918" s="631"/>
    </row>
    <row r="919">
      <c r="A919" s="631"/>
      <c r="B919" s="631"/>
      <c r="C919" s="631"/>
      <c r="D919" s="631"/>
      <c r="E919" s="441"/>
      <c r="F919" s="631"/>
      <c r="G919" s="631"/>
      <c r="H919" s="631"/>
      <c r="I919" s="631"/>
      <c r="J919" s="631"/>
      <c r="K919" s="631"/>
      <c r="L919" s="631"/>
      <c r="M919" s="631"/>
      <c r="N919" s="631"/>
      <c r="O919" s="631"/>
      <c r="P919" s="631"/>
      <c r="Q919" s="631"/>
      <c r="R919" s="631"/>
      <c r="S919" s="631"/>
      <c r="T919" s="631"/>
      <c r="U919" s="631"/>
      <c r="V919" s="631"/>
      <c r="W919" s="631"/>
      <c r="X919" s="631"/>
      <c r="Y919" s="631"/>
    </row>
    <row r="920">
      <c r="A920" s="631"/>
      <c r="B920" s="631"/>
      <c r="C920" s="631"/>
      <c r="D920" s="631"/>
      <c r="E920" s="441"/>
      <c r="F920" s="631"/>
      <c r="G920" s="631"/>
      <c r="H920" s="631"/>
      <c r="I920" s="631"/>
      <c r="J920" s="631"/>
      <c r="K920" s="631"/>
      <c r="L920" s="631"/>
      <c r="M920" s="631"/>
      <c r="N920" s="631"/>
      <c r="O920" s="631"/>
      <c r="P920" s="631"/>
      <c r="Q920" s="631"/>
      <c r="R920" s="631"/>
      <c r="S920" s="631"/>
      <c r="T920" s="631"/>
      <c r="U920" s="631"/>
      <c r="V920" s="631"/>
      <c r="W920" s="631"/>
      <c r="X920" s="631"/>
      <c r="Y920" s="631"/>
    </row>
    <row r="921">
      <c r="A921" s="631"/>
      <c r="B921" s="631"/>
      <c r="C921" s="631"/>
      <c r="D921" s="631"/>
      <c r="E921" s="441"/>
      <c r="F921" s="631"/>
      <c r="G921" s="631"/>
      <c r="H921" s="631"/>
      <c r="I921" s="631"/>
      <c r="J921" s="631"/>
      <c r="K921" s="631"/>
      <c r="L921" s="631"/>
      <c r="M921" s="631"/>
      <c r="N921" s="631"/>
      <c r="O921" s="631"/>
      <c r="P921" s="631"/>
      <c r="Q921" s="631"/>
      <c r="R921" s="631"/>
      <c r="S921" s="631"/>
      <c r="T921" s="631"/>
      <c r="U921" s="631"/>
      <c r="V921" s="631"/>
      <c r="W921" s="631"/>
      <c r="X921" s="631"/>
      <c r="Y921" s="631"/>
    </row>
    <row r="922">
      <c r="A922" s="631"/>
      <c r="B922" s="631"/>
      <c r="C922" s="631"/>
      <c r="D922" s="631"/>
      <c r="E922" s="441"/>
      <c r="F922" s="631"/>
      <c r="G922" s="631"/>
      <c r="H922" s="631"/>
      <c r="I922" s="631"/>
      <c r="J922" s="631"/>
      <c r="K922" s="631"/>
      <c r="L922" s="631"/>
      <c r="M922" s="631"/>
      <c r="N922" s="631"/>
      <c r="O922" s="631"/>
      <c r="P922" s="631"/>
      <c r="Q922" s="631"/>
      <c r="R922" s="631"/>
      <c r="S922" s="631"/>
      <c r="T922" s="631"/>
      <c r="U922" s="631"/>
      <c r="V922" s="631"/>
      <c r="W922" s="631"/>
      <c r="X922" s="631"/>
      <c r="Y922" s="631"/>
    </row>
    <row r="923">
      <c r="A923" s="631"/>
      <c r="B923" s="631"/>
      <c r="C923" s="631"/>
      <c r="D923" s="631"/>
      <c r="E923" s="441"/>
      <c r="F923" s="631"/>
      <c r="G923" s="631"/>
      <c r="H923" s="631"/>
      <c r="I923" s="631"/>
      <c r="J923" s="631"/>
      <c r="K923" s="631"/>
      <c r="L923" s="631"/>
      <c r="M923" s="631"/>
      <c r="N923" s="631"/>
      <c r="O923" s="631"/>
      <c r="P923" s="631"/>
      <c r="Q923" s="631"/>
      <c r="R923" s="631"/>
      <c r="S923" s="631"/>
      <c r="T923" s="631"/>
      <c r="U923" s="631"/>
      <c r="V923" s="631"/>
      <c r="W923" s="631"/>
      <c r="X923" s="631"/>
      <c r="Y923" s="631"/>
    </row>
    <row r="924">
      <c r="A924" s="631"/>
      <c r="B924" s="631"/>
      <c r="C924" s="631"/>
      <c r="D924" s="631"/>
      <c r="E924" s="441"/>
      <c r="F924" s="631"/>
      <c r="G924" s="631"/>
      <c r="H924" s="631"/>
      <c r="I924" s="631"/>
      <c r="J924" s="631"/>
      <c r="K924" s="631"/>
      <c r="L924" s="631"/>
      <c r="M924" s="631"/>
      <c r="N924" s="631"/>
      <c r="O924" s="631"/>
      <c r="P924" s="631"/>
      <c r="Q924" s="631"/>
      <c r="R924" s="631"/>
      <c r="S924" s="631"/>
      <c r="T924" s="631"/>
      <c r="U924" s="631"/>
      <c r="V924" s="631"/>
      <c r="W924" s="631"/>
      <c r="X924" s="631"/>
      <c r="Y924" s="631"/>
    </row>
    <row r="925">
      <c r="A925" s="631"/>
      <c r="B925" s="631"/>
      <c r="C925" s="631"/>
      <c r="D925" s="631"/>
      <c r="E925" s="441"/>
      <c r="F925" s="631"/>
      <c r="G925" s="631"/>
      <c r="H925" s="631"/>
      <c r="I925" s="631"/>
      <c r="J925" s="631"/>
      <c r="K925" s="631"/>
      <c r="L925" s="631"/>
      <c r="M925" s="631"/>
      <c r="N925" s="631"/>
      <c r="O925" s="631"/>
      <c r="P925" s="631"/>
      <c r="Q925" s="631"/>
      <c r="R925" s="631"/>
      <c r="S925" s="631"/>
      <c r="T925" s="631"/>
      <c r="U925" s="631"/>
      <c r="V925" s="631"/>
      <c r="W925" s="631"/>
      <c r="X925" s="631"/>
      <c r="Y925" s="631"/>
    </row>
    <row r="926">
      <c r="A926" s="631"/>
      <c r="B926" s="631"/>
      <c r="C926" s="631"/>
      <c r="D926" s="631"/>
      <c r="E926" s="441"/>
      <c r="F926" s="631"/>
      <c r="G926" s="631"/>
      <c r="H926" s="631"/>
      <c r="I926" s="631"/>
      <c r="J926" s="631"/>
      <c r="K926" s="631"/>
      <c r="L926" s="631"/>
      <c r="M926" s="631"/>
      <c r="N926" s="631"/>
      <c r="O926" s="631"/>
      <c r="P926" s="631"/>
      <c r="Q926" s="631"/>
      <c r="R926" s="631"/>
      <c r="S926" s="631"/>
      <c r="T926" s="631"/>
      <c r="U926" s="631"/>
      <c r="V926" s="631"/>
      <c r="W926" s="631"/>
      <c r="X926" s="631"/>
      <c r="Y926" s="631"/>
    </row>
    <row r="927">
      <c r="A927" s="631"/>
      <c r="B927" s="631"/>
      <c r="C927" s="631"/>
      <c r="D927" s="631"/>
      <c r="E927" s="441"/>
      <c r="F927" s="631"/>
      <c r="G927" s="631"/>
      <c r="H927" s="631"/>
      <c r="I927" s="631"/>
      <c r="J927" s="631"/>
      <c r="K927" s="631"/>
      <c r="L927" s="631"/>
      <c r="M927" s="631"/>
      <c r="N927" s="631"/>
      <c r="O927" s="631"/>
      <c r="P927" s="631"/>
      <c r="Q927" s="631"/>
      <c r="R927" s="631"/>
      <c r="S927" s="631"/>
      <c r="T927" s="631"/>
      <c r="U927" s="631"/>
      <c r="V927" s="631"/>
      <c r="W927" s="631"/>
      <c r="X927" s="631"/>
      <c r="Y927" s="631"/>
    </row>
    <row r="928">
      <c r="A928" s="631"/>
      <c r="B928" s="631"/>
      <c r="C928" s="631"/>
      <c r="D928" s="631"/>
      <c r="E928" s="441"/>
      <c r="F928" s="631"/>
      <c r="G928" s="631"/>
      <c r="H928" s="631"/>
      <c r="I928" s="631"/>
      <c r="J928" s="631"/>
      <c r="K928" s="631"/>
      <c r="L928" s="631"/>
      <c r="M928" s="631"/>
      <c r="N928" s="631"/>
      <c r="O928" s="631"/>
      <c r="P928" s="631"/>
      <c r="Q928" s="631"/>
      <c r="R928" s="631"/>
      <c r="S928" s="631"/>
      <c r="T928" s="631"/>
      <c r="U928" s="631"/>
      <c r="V928" s="631"/>
      <c r="W928" s="631"/>
      <c r="X928" s="631"/>
      <c r="Y928" s="631"/>
    </row>
    <row r="929">
      <c r="A929" s="631"/>
      <c r="B929" s="631"/>
      <c r="C929" s="631"/>
      <c r="D929" s="631"/>
      <c r="E929" s="441"/>
      <c r="F929" s="631"/>
      <c r="G929" s="631"/>
      <c r="H929" s="631"/>
      <c r="I929" s="631"/>
      <c r="J929" s="631"/>
      <c r="K929" s="631"/>
      <c r="L929" s="631"/>
      <c r="M929" s="631"/>
      <c r="N929" s="631"/>
      <c r="O929" s="631"/>
      <c r="P929" s="631"/>
      <c r="Q929" s="631"/>
      <c r="R929" s="631"/>
      <c r="S929" s="631"/>
      <c r="T929" s="631"/>
      <c r="U929" s="631"/>
      <c r="V929" s="631"/>
      <c r="W929" s="631"/>
      <c r="X929" s="631"/>
      <c r="Y929" s="631"/>
    </row>
    <row r="930">
      <c r="A930" s="631"/>
      <c r="B930" s="631"/>
      <c r="C930" s="631"/>
      <c r="D930" s="631"/>
      <c r="E930" s="441"/>
      <c r="F930" s="631"/>
      <c r="G930" s="631"/>
      <c r="H930" s="631"/>
      <c r="I930" s="631"/>
      <c r="J930" s="631"/>
      <c r="K930" s="631"/>
      <c r="L930" s="631"/>
      <c r="M930" s="631"/>
      <c r="N930" s="631"/>
      <c r="O930" s="631"/>
      <c r="P930" s="631"/>
      <c r="Q930" s="631"/>
      <c r="R930" s="631"/>
      <c r="S930" s="631"/>
      <c r="T930" s="631"/>
      <c r="U930" s="631"/>
      <c r="V930" s="631"/>
      <c r="W930" s="631"/>
      <c r="X930" s="631"/>
      <c r="Y930" s="631"/>
    </row>
    <row r="931">
      <c r="A931" s="631"/>
      <c r="B931" s="631"/>
      <c r="C931" s="631"/>
      <c r="D931" s="631"/>
      <c r="E931" s="441"/>
      <c r="F931" s="631"/>
      <c r="G931" s="631"/>
      <c r="H931" s="631"/>
      <c r="I931" s="631"/>
      <c r="J931" s="631"/>
      <c r="K931" s="631"/>
      <c r="L931" s="631"/>
      <c r="M931" s="631"/>
      <c r="N931" s="631"/>
      <c r="O931" s="631"/>
      <c r="P931" s="631"/>
      <c r="Q931" s="631"/>
      <c r="R931" s="631"/>
      <c r="S931" s="631"/>
      <c r="T931" s="631"/>
      <c r="U931" s="631"/>
      <c r="V931" s="631"/>
      <c r="W931" s="631"/>
      <c r="X931" s="631"/>
      <c r="Y931" s="631"/>
    </row>
    <row r="932">
      <c r="A932" s="631"/>
      <c r="B932" s="631"/>
      <c r="C932" s="631"/>
      <c r="D932" s="631"/>
      <c r="E932" s="441"/>
      <c r="F932" s="631"/>
      <c r="G932" s="631"/>
      <c r="H932" s="631"/>
      <c r="I932" s="631"/>
      <c r="J932" s="631"/>
      <c r="K932" s="631"/>
      <c r="L932" s="631"/>
      <c r="M932" s="631"/>
      <c r="N932" s="631"/>
      <c r="O932" s="631"/>
      <c r="P932" s="631"/>
      <c r="Q932" s="631"/>
      <c r="R932" s="631"/>
      <c r="S932" s="631"/>
      <c r="T932" s="631"/>
      <c r="U932" s="631"/>
      <c r="V932" s="631"/>
      <c r="W932" s="631"/>
      <c r="X932" s="631"/>
      <c r="Y932" s="631"/>
    </row>
    <row r="933">
      <c r="A933" s="631"/>
      <c r="B933" s="631"/>
      <c r="C933" s="631"/>
      <c r="D933" s="631"/>
      <c r="E933" s="441"/>
      <c r="F933" s="631"/>
      <c r="G933" s="631"/>
      <c r="H933" s="631"/>
      <c r="I933" s="631"/>
      <c r="J933" s="631"/>
      <c r="K933" s="631"/>
      <c r="L933" s="631"/>
      <c r="M933" s="631"/>
      <c r="N933" s="631"/>
      <c r="O933" s="631"/>
      <c r="P933" s="631"/>
      <c r="Q933" s="631"/>
      <c r="R933" s="631"/>
      <c r="S933" s="631"/>
      <c r="T933" s="631"/>
      <c r="U933" s="631"/>
      <c r="V933" s="631"/>
      <c r="W933" s="631"/>
      <c r="X933" s="631"/>
      <c r="Y933" s="631"/>
    </row>
    <row r="934">
      <c r="A934" s="631"/>
      <c r="B934" s="631"/>
      <c r="C934" s="631"/>
      <c r="D934" s="631"/>
      <c r="E934" s="441"/>
      <c r="F934" s="631"/>
      <c r="G934" s="631"/>
      <c r="H934" s="631"/>
      <c r="I934" s="631"/>
      <c r="J934" s="631"/>
      <c r="K934" s="631"/>
      <c r="L934" s="631"/>
      <c r="M934" s="631"/>
      <c r="N934" s="631"/>
      <c r="O934" s="631"/>
      <c r="P934" s="631"/>
      <c r="Q934" s="631"/>
      <c r="R934" s="631"/>
      <c r="S934" s="631"/>
      <c r="T934" s="631"/>
      <c r="U934" s="631"/>
      <c r="V934" s="631"/>
      <c r="W934" s="631"/>
      <c r="X934" s="631"/>
      <c r="Y934" s="631"/>
    </row>
    <row r="935">
      <c r="A935" s="631"/>
      <c r="B935" s="631"/>
      <c r="C935" s="631"/>
      <c r="D935" s="631"/>
      <c r="E935" s="441"/>
      <c r="F935" s="631"/>
      <c r="G935" s="631"/>
      <c r="H935" s="631"/>
      <c r="I935" s="631"/>
      <c r="J935" s="631"/>
      <c r="K935" s="631"/>
      <c r="L935" s="631"/>
      <c r="M935" s="631"/>
      <c r="N935" s="631"/>
      <c r="O935" s="631"/>
      <c r="P935" s="631"/>
      <c r="Q935" s="631"/>
      <c r="R935" s="631"/>
      <c r="S935" s="631"/>
      <c r="T935" s="631"/>
      <c r="U935" s="631"/>
      <c r="V935" s="631"/>
      <c r="W935" s="631"/>
      <c r="X935" s="631"/>
      <c r="Y935" s="631"/>
    </row>
    <row r="936">
      <c r="A936" s="631"/>
      <c r="B936" s="631"/>
      <c r="C936" s="631"/>
      <c r="D936" s="631"/>
      <c r="E936" s="441"/>
      <c r="F936" s="631"/>
      <c r="G936" s="631"/>
      <c r="H936" s="631"/>
      <c r="I936" s="631"/>
      <c r="J936" s="631"/>
      <c r="K936" s="631"/>
      <c r="L936" s="631"/>
      <c r="M936" s="631"/>
      <c r="N936" s="631"/>
      <c r="O936" s="631"/>
      <c r="P936" s="631"/>
      <c r="Q936" s="631"/>
      <c r="R936" s="631"/>
      <c r="S936" s="631"/>
      <c r="T936" s="631"/>
      <c r="U936" s="631"/>
      <c r="V936" s="631"/>
      <c r="W936" s="631"/>
      <c r="X936" s="631"/>
      <c r="Y936" s="631"/>
    </row>
    <row r="937">
      <c r="A937" s="631"/>
      <c r="B937" s="631"/>
      <c r="C937" s="631"/>
      <c r="D937" s="631"/>
      <c r="E937" s="441"/>
      <c r="F937" s="631"/>
      <c r="G937" s="631"/>
      <c r="H937" s="631"/>
      <c r="I937" s="631"/>
      <c r="J937" s="631"/>
      <c r="K937" s="631"/>
      <c r="L937" s="631"/>
      <c r="M937" s="631"/>
      <c r="N937" s="631"/>
      <c r="O937" s="631"/>
      <c r="P937" s="631"/>
      <c r="Q937" s="631"/>
      <c r="R937" s="631"/>
      <c r="S937" s="631"/>
      <c r="T937" s="631"/>
      <c r="U937" s="631"/>
      <c r="V937" s="631"/>
      <c r="W937" s="631"/>
      <c r="X937" s="631"/>
      <c r="Y937" s="631"/>
    </row>
    <row r="938">
      <c r="A938" s="631"/>
      <c r="B938" s="631"/>
      <c r="C938" s="631"/>
      <c r="D938" s="631"/>
      <c r="E938" s="441"/>
      <c r="F938" s="631"/>
      <c r="G938" s="631"/>
      <c r="H938" s="631"/>
      <c r="I938" s="631"/>
      <c r="J938" s="631"/>
      <c r="K938" s="631"/>
      <c r="L938" s="631"/>
      <c r="M938" s="631"/>
      <c r="N938" s="631"/>
      <c r="O938" s="631"/>
      <c r="P938" s="631"/>
      <c r="Q938" s="631"/>
      <c r="R938" s="631"/>
      <c r="S938" s="631"/>
      <c r="T938" s="631"/>
      <c r="U938" s="631"/>
      <c r="V938" s="631"/>
      <c r="W938" s="631"/>
      <c r="X938" s="631"/>
      <c r="Y938" s="631"/>
    </row>
    <row r="939">
      <c r="A939" s="631"/>
      <c r="B939" s="631"/>
      <c r="C939" s="631"/>
      <c r="D939" s="631"/>
      <c r="E939" s="441"/>
      <c r="F939" s="631"/>
      <c r="G939" s="631"/>
      <c r="H939" s="631"/>
      <c r="I939" s="631"/>
      <c r="J939" s="631"/>
      <c r="K939" s="631"/>
      <c r="L939" s="631"/>
      <c r="M939" s="631"/>
      <c r="N939" s="631"/>
      <c r="O939" s="631"/>
      <c r="P939" s="631"/>
      <c r="Q939" s="631"/>
      <c r="R939" s="631"/>
      <c r="S939" s="631"/>
      <c r="T939" s="631"/>
      <c r="U939" s="631"/>
      <c r="V939" s="631"/>
      <c r="W939" s="631"/>
      <c r="X939" s="631"/>
      <c r="Y939" s="631"/>
    </row>
    <row r="940">
      <c r="A940" s="631"/>
      <c r="B940" s="631"/>
      <c r="C940" s="631"/>
      <c r="D940" s="631"/>
      <c r="E940" s="441"/>
      <c r="F940" s="631"/>
      <c r="G940" s="631"/>
      <c r="H940" s="631"/>
      <c r="I940" s="631"/>
      <c r="J940" s="631"/>
      <c r="K940" s="631"/>
      <c r="L940" s="631"/>
      <c r="M940" s="631"/>
      <c r="N940" s="631"/>
      <c r="O940" s="631"/>
      <c r="P940" s="631"/>
      <c r="Q940" s="631"/>
      <c r="R940" s="631"/>
      <c r="S940" s="631"/>
      <c r="T940" s="631"/>
      <c r="U940" s="631"/>
      <c r="V940" s="631"/>
      <c r="W940" s="631"/>
      <c r="X940" s="631"/>
      <c r="Y940" s="631"/>
    </row>
    <row r="941">
      <c r="A941" s="631"/>
      <c r="B941" s="631"/>
      <c r="C941" s="631"/>
      <c r="D941" s="631"/>
      <c r="E941" s="441"/>
      <c r="F941" s="631"/>
      <c r="G941" s="631"/>
      <c r="H941" s="631"/>
      <c r="I941" s="631"/>
      <c r="J941" s="631"/>
      <c r="K941" s="631"/>
      <c r="L941" s="631"/>
      <c r="M941" s="631"/>
      <c r="N941" s="631"/>
      <c r="O941" s="631"/>
      <c r="P941" s="631"/>
      <c r="Q941" s="631"/>
      <c r="R941" s="631"/>
      <c r="S941" s="631"/>
      <c r="T941" s="631"/>
      <c r="U941" s="631"/>
      <c r="V941" s="631"/>
      <c r="W941" s="631"/>
      <c r="X941" s="631"/>
      <c r="Y941" s="631"/>
    </row>
    <row r="942">
      <c r="A942" s="631"/>
      <c r="B942" s="631"/>
      <c r="C942" s="631"/>
      <c r="D942" s="631"/>
      <c r="E942" s="441"/>
      <c r="F942" s="631"/>
      <c r="G942" s="631"/>
      <c r="H942" s="631"/>
      <c r="I942" s="631"/>
      <c r="J942" s="631"/>
      <c r="K942" s="631"/>
      <c r="L942" s="631"/>
      <c r="M942" s="631"/>
      <c r="N942" s="631"/>
      <c r="O942" s="631"/>
      <c r="P942" s="631"/>
      <c r="Q942" s="631"/>
      <c r="R942" s="631"/>
      <c r="S942" s="631"/>
      <c r="T942" s="631"/>
      <c r="U942" s="631"/>
      <c r="V942" s="631"/>
      <c r="W942" s="631"/>
      <c r="X942" s="631"/>
      <c r="Y942" s="631"/>
    </row>
    <row r="943">
      <c r="A943" s="631"/>
      <c r="B943" s="631"/>
      <c r="C943" s="631"/>
      <c r="D943" s="631"/>
      <c r="E943" s="441"/>
      <c r="F943" s="631"/>
      <c r="G943" s="631"/>
      <c r="H943" s="631"/>
      <c r="I943" s="631"/>
      <c r="J943" s="631"/>
      <c r="K943" s="631"/>
      <c r="L943" s="631"/>
      <c r="M943" s="631"/>
      <c r="N943" s="631"/>
      <c r="O943" s="631"/>
      <c r="P943" s="631"/>
      <c r="Q943" s="631"/>
      <c r="R943" s="631"/>
      <c r="S943" s="631"/>
      <c r="T943" s="631"/>
      <c r="U943" s="631"/>
      <c r="V943" s="631"/>
      <c r="W943" s="631"/>
      <c r="X943" s="631"/>
      <c r="Y943" s="631"/>
    </row>
    <row r="944">
      <c r="A944" s="631"/>
      <c r="B944" s="631"/>
      <c r="C944" s="631"/>
      <c r="D944" s="631"/>
      <c r="E944" s="441"/>
      <c r="F944" s="631"/>
      <c r="G944" s="631"/>
      <c r="H944" s="631"/>
      <c r="I944" s="631"/>
      <c r="J944" s="631"/>
      <c r="K944" s="631"/>
      <c r="L944" s="631"/>
      <c r="M944" s="631"/>
      <c r="N944" s="631"/>
      <c r="O944" s="631"/>
      <c r="P944" s="631"/>
      <c r="Q944" s="631"/>
      <c r="R944" s="631"/>
      <c r="S944" s="631"/>
      <c r="T944" s="631"/>
      <c r="U944" s="631"/>
      <c r="V944" s="631"/>
      <c r="W944" s="631"/>
      <c r="X944" s="631"/>
      <c r="Y944" s="631"/>
    </row>
    <row r="945">
      <c r="A945" s="631"/>
      <c r="B945" s="631"/>
      <c r="C945" s="631"/>
      <c r="D945" s="631"/>
      <c r="E945" s="441"/>
      <c r="F945" s="631"/>
      <c r="G945" s="631"/>
      <c r="H945" s="631"/>
      <c r="I945" s="631"/>
      <c r="J945" s="631"/>
      <c r="K945" s="631"/>
      <c r="L945" s="631"/>
      <c r="M945" s="631"/>
      <c r="N945" s="631"/>
      <c r="O945" s="631"/>
      <c r="P945" s="631"/>
      <c r="Q945" s="631"/>
      <c r="R945" s="631"/>
      <c r="S945" s="631"/>
      <c r="T945" s="631"/>
      <c r="U945" s="631"/>
      <c r="V945" s="631"/>
      <c r="W945" s="631"/>
      <c r="X945" s="631"/>
      <c r="Y945" s="631"/>
    </row>
    <row r="946">
      <c r="A946" s="631"/>
      <c r="B946" s="631"/>
      <c r="C946" s="631"/>
      <c r="D946" s="631"/>
      <c r="E946" s="441"/>
      <c r="F946" s="631"/>
      <c r="G946" s="631"/>
      <c r="H946" s="631"/>
      <c r="I946" s="631"/>
      <c r="J946" s="631"/>
      <c r="K946" s="631"/>
      <c r="L946" s="631"/>
      <c r="M946" s="631"/>
      <c r="N946" s="631"/>
      <c r="O946" s="631"/>
      <c r="P946" s="631"/>
      <c r="Q946" s="631"/>
      <c r="R946" s="631"/>
      <c r="S946" s="631"/>
      <c r="T946" s="631"/>
      <c r="U946" s="631"/>
      <c r="V946" s="631"/>
      <c r="W946" s="631"/>
      <c r="X946" s="631"/>
      <c r="Y946" s="631"/>
    </row>
    <row r="947">
      <c r="A947" s="631"/>
      <c r="B947" s="631"/>
      <c r="C947" s="631"/>
      <c r="D947" s="631"/>
      <c r="E947" s="441"/>
      <c r="F947" s="631"/>
      <c r="G947" s="631"/>
      <c r="H947" s="631"/>
      <c r="I947" s="631"/>
      <c r="J947" s="631"/>
      <c r="K947" s="631"/>
      <c r="L947" s="631"/>
      <c r="M947" s="631"/>
      <c r="N947" s="631"/>
      <c r="O947" s="631"/>
      <c r="P947" s="631"/>
      <c r="Q947" s="631"/>
      <c r="R947" s="631"/>
      <c r="S947" s="631"/>
      <c r="T947" s="631"/>
      <c r="U947" s="631"/>
      <c r="V947" s="631"/>
      <c r="W947" s="631"/>
      <c r="X947" s="631"/>
      <c r="Y947" s="631"/>
    </row>
    <row r="948">
      <c r="A948" s="631"/>
      <c r="B948" s="631"/>
      <c r="C948" s="631"/>
      <c r="D948" s="631"/>
      <c r="E948" s="441"/>
      <c r="F948" s="631"/>
      <c r="G948" s="631"/>
      <c r="H948" s="631"/>
      <c r="I948" s="631"/>
      <c r="J948" s="631"/>
      <c r="K948" s="631"/>
      <c r="L948" s="631"/>
      <c r="M948" s="631"/>
      <c r="N948" s="631"/>
      <c r="O948" s="631"/>
      <c r="P948" s="631"/>
      <c r="Q948" s="631"/>
      <c r="R948" s="631"/>
      <c r="S948" s="631"/>
      <c r="T948" s="631"/>
      <c r="U948" s="631"/>
      <c r="V948" s="631"/>
      <c r="W948" s="631"/>
      <c r="X948" s="631"/>
      <c r="Y948" s="631"/>
    </row>
    <row r="949">
      <c r="A949" s="631"/>
      <c r="B949" s="631"/>
      <c r="C949" s="631"/>
      <c r="D949" s="631"/>
      <c r="E949" s="441"/>
      <c r="F949" s="631"/>
      <c r="G949" s="631"/>
      <c r="H949" s="631"/>
      <c r="I949" s="631"/>
      <c r="J949" s="631"/>
      <c r="K949" s="631"/>
      <c r="L949" s="631"/>
      <c r="M949" s="631"/>
      <c r="N949" s="631"/>
      <c r="O949" s="631"/>
      <c r="P949" s="631"/>
      <c r="Q949" s="631"/>
      <c r="R949" s="631"/>
      <c r="S949" s="631"/>
      <c r="T949" s="631"/>
      <c r="U949" s="631"/>
      <c r="V949" s="631"/>
      <c r="W949" s="631"/>
      <c r="X949" s="631"/>
      <c r="Y949" s="631"/>
    </row>
    <row r="950">
      <c r="A950" s="631"/>
      <c r="B950" s="631"/>
      <c r="C950" s="631"/>
      <c r="D950" s="631"/>
      <c r="E950" s="441"/>
      <c r="F950" s="631"/>
      <c r="G950" s="631"/>
      <c r="H950" s="631"/>
      <c r="I950" s="631"/>
      <c r="J950" s="631"/>
      <c r="K950" s="631"/>
      <c r="L950" s="631"/>
      <c r="M950" s="631"/>
      <c r="N950" s="631"/>
      <c r="O950" s="631"/>
      <c r="P950" s="631"/>
      <c r="Q950" s="631"/>
      <c r="R950" s="631"/>
      <c r="S950" s="631"/>
      <c r="T950" s="631"/>
      <c r="U950" s="631"/>
      <c r="V950" s="631"/>
      <c r="W950" s="631"/>
      <c r="X950" s="631"/>
      <c r="Y950" s="631"/>
    </row>
    <row r="951">
      <c r="A951" s="631"/>
      <c r="B951" s="631"/>
      <c r="C951" s="631"/>
      <c r="D951" s="631"/>
      <c r="E951" s="441"/>
      <c r="F951" s="631"/>
      <c r="G951" s="631"/>
      <c r="H951" s="631"/>
      <c r="I951" s="631"/>
      <c r="J951" s="631"/>
      <c r="K951" s="631"/>
      <c r="L951" s="631"/>
      <c r="M951" s="631"/>
      <c r="N951" s="631"/>
      <c r="O951" s="631"/>
      <c r="P951" s="631"/>
      <c r="Q951" s="631"/>
      <c r="R951" s="631"/>
      <c r="S951" s="631"/>
      <c r="T951" s="631"/>
      <c r="U951" s="631"/>
      <c r="V951" s="631"/>
      <c r="W951" s="631"/>
      <c r="X951" s="631"/>
      <c r="Y951" s="631"/>
    </row>
    <row r="952">
      <c r="A952" s="631"/>
      <c r="B952" s="631"/>
      <c r="C952" s="631"/>
      <c r="D952" s="631"/>
      <c r="E952" s="441"/>
      <c r="F952" s="631"/>
      <c r="G952" s="631"/>
      <c r="H952" s="631"/>
      <c r="I952" s="631"/>
      <c r="J952" s="631"/>
      <c r="K952" s="631"/>
      <c r="L952" s="631"/>
      <c r="M952" s="631"/>
      <c r="N952" s="631"/>
      <c r="O952" s="631"/>
      <c r="P952" s="631"/>
      <c r="Q952" s="631"/>
      <c r="R952" s="631"/>
      <c r="S952" s="631"/>
      <c r="T952" s="631"/>
      <c r="U952" s="631"/>
      <c r="V952" s="631"/>
      <c r="W952" s="631"/>
      <c r="X952" s="631"/>
      <c r="Y952" s="631"/>
    </row>
    <row r="953">
      <c r="A953" s="631"/>
      <c r="B953" s="631"/>
      <c r="C953" s="631"/>
      <c r="D953" s="631"/>
      <c r="E953" s="441"/>
      <c r="F953" s="631"/>
      <c r="G953" s="631"/>
      <c r="H953" s="631"/>
      <c r="I953" s="631"/>
      <c r="J953" s="631"/>
      <c r="K953" s="631"/>
      <c r="L953" s="631"/>
      <c r="M953" s="631"/>
      <c r="N953" s="631"/>
      <c r="O953" s="631"/>
      <c r="P953" s="631"/>
      <c r="Q953" s="631"/>
      <c r="R953" s="631"/>
      <c r="S953" s="631"/>
      <c r="T953" s="631"/>
      <c r="U953" s="631"/>
      <c r="V953" s="631"/>
      <c r="W953" s="631"/>
      <c r="X953" s="631"/>
      <c r="Y953" s="631"/>
    </row>
    <row r="954">
      <c r="A954" s="631"/>
      <c r="B954" s="631"/>
      <c r="C954" s="631"/>
      <c r="D954" s="631"/>
      <c r="E954" s="441"/>
      <c r="F954" s="631"/>
      <c r="G954" s="631"/>
      <c r="H954" s="631"/>
      <c r="I954" s="631"/>
      <c r="J954" s="631"/>
      <c r="K954" s="631"/>
      <c r="L954" s="631"/>
      <c r="M954" s="631"/>
      <c r="N954" s="631"/>
      <c r="O954" s="631"/>
      <c r="P954" s="631"/>
      <c r="Q954" s="631"/>
      <c r="R954" s="631"/>
      <c r="S954" s="631"/>
      <c r="T954" s="631"/>
      <c r="U954" s="631"/>
      <c r="V954" s="631"/>
      <c r="W954" s="631"/>
      <c r="X954" s="631"/>
      <c r="Y954" s="631"/>
    </row>
    <row r="955">
      <c r="A955" s="631"/>
      <c r="B955" s="631"/>
      <c r="C955" s="631"/>
      <c r="D955" s="631"/>
      <c r="E955" s="441"/>
      <c r="F955" s="631"/>
      <c r="G955" s="631"/>
      <c r="H955" s="631"/>
      <c r="I955" s="631"/>
      <c r="J955" s="631"/>
      <c r="K955" s="631"/>
      <c r="L955" s="631"/>
      <c r="M955" s="631"/>
      <c r="N955" s="631"/>
      <c r="O955" s="631"/>
      <c r="P955" s="631"/>
      <c r="Q955" s="631"/>
      <c r="R955" s="631"/>
      <c r="S955" s="631"/>
      <c r="T955" s="631"/>
      <c r="U955" s="631"/>
      <c r="V955" s="631"/>
      <c r="W955" s="631"/>
      <c r="X955" s="631"/>
      <c r="Y955" s="631"/>
    </row>
    <row r="956">
      <c r="A956" s="631"/>
      <c r="B956" s="631"/>
      <c r="C956" s="631"/>
      <c r="D956" s="631"/>
      <c r="E956" s="441"/>
      <c r="F956" s="631"/>
      <c r="G956" s="631"/>
      <c r="H956" s="631"/>
      <c r="I956" s="631"/>
      <c r="J956" s="631"/>
      <c r="K956" s="631"/>
      <c r="L956" s="631"/>
      <c r="M956" s="631"/>
      <c r="N956" s="631"/>
      <c r="O956" s="631"/>
      <c r="P956" s="631"/>
      <c r="Q956" s="631"/>
      <c r="R956" s="631"/>
      <c r="S956" s="631"/>
      <c r="T956" s="631"/>
      <c r="U956" s="631"/>
      <c r="V956" s="631"/>
      <c r="W956" s="631"/>
      <c r="X956" s="631"/>
      <c r="Y956" s="631"/>
    </row>
    <row r="957">
      <c r="A957" s="631"/>
      <c r="B957" s="631"/>
      <c r="C957" s="631"/>
      <c r="D957" s="631"/>
      <c r="E957" s="441"/>
      <c r="F957" s="631"/>
      <c r="G957" s="631"/>
      <c r="H957" s="631"/>
      <c r="I957" s="631"/>
      <c r="J957" s="631"/>
      <c r="K957" s="631"/>
      <c r="L957" s="631"/>
      <c r="M957" s="631"/>
      <c r="N957" s="631"/>
      <c r="O957" s="631"/>
      <c r="P957" s="631"/>
      <c r="Q957" s="631"/>
      <c r="R957" s="631"/>
      <c r="S957" s="631"/>
      <c r="T957" s="631"/>
      <c r="U957" s="631"/>
      <c r="V957" s="631"/>
      <c r="W957" s="631"/>
      <c r="X957" s="631"/>
      <c r="Y957" s="631"/>
    </row>
    <row r="958">
      <c r="A958" s="631"/>
      <c r="B958" s="631"/>
      <c r="C958" s="631"/>
      <c r="D958" s="631"/>
      <c r="E958" s="441"/>
      <c r="F958" s="631"/>
      <c r="G958" s="631"/>
      <c r="H958" s="631"/>
      <c r="I958" s="631"/>
      <c r="J958" s="631"/>
      <c r="K958" s="631"/>
      <c r="L958" s="631"/>
      <c r="M958" s="631"/>
      <c r="N958" s="631"/>
      <c r="O958" s="631"/>
      <c r="P958" s="631"/>
      <c r="Q958" s="631"/>
      <c r="R958" s="631"/>
      <c r="S958" s="631"/>
      <c r="T958" s="631"/>
      <c r="U958" s="631"/>
      <c r="V958" s="631"/>
      <c r="W958" s="631"/>
      <c r="X958" s="631"/>
      <c r="Y958" s="631"/>
    </row>
    <row r="959">
      <c r="A959" s="631"/>
      <c r="B959" s="631"/>
      <c r="C959" s="631"/>
      <c r="D959" s="631"/>
      <c r="E959" s="441"/>
      <c r="F959" s="631"/>
      <c r="G959" s="631"/>
      <c r="H959" s="631"/>
      <c r="I959" s="631"/>
      <c r="J959" s="631"/>
      <c r="K959" s="631"/>
      <c r="L959" s="631"/>
      <c r="M959" s="631"/>
      <c r="N959" s="631"/>
      <c r="O959" s="631"/>
      <c r="P959" s="631"/>
      <c r="Q959" s="631"/>
      <c r="R959" s="631"/>
      <c r="S959" s="631"/>
      <c r="T959" s="631"/>
      <c r="U959" s="631"/>
      <c r="V959" s="631"/>
      <c r="W959" s="631"/>
      <c r="X959" s="631"/>
      <c r="Y959" s="631"/>
    </row>
    <row r="960">
      <c r="A960" s="631"/>
      <c r="B960" s="631"/>
      <c r="C960" s="631"/>
      <c r="D960" s="631"/>
      <c r="E960" s="441"/>
      <c r="F960" s="631"/>
      <c r="G960" s="631"/>
      <c r="H960" s="631"/>
      <c r="I960" s="631"/>
      <c r="J960" s="631"/>
      <c r="K960" s="631"/>
      <c r="L960" s="631"/>
      <c r="M960" s="631"/>
      <c r="N960" s="631"/>
      <c r="O960" s="631"/>
      <c r="P960" s="631"/>
      <c r="Q960" s="631"/>
      <c r="R960" s="631"/>
      <c r="S960" s="631"/>
      <c r="T960" s="631"/>
      <c r="U960" s="631"/>
      <c r="V960" s="631"/>
      <c r="W960" s="631"/>
      <c r="X960" s="631"/>
      <c r="Y960" s="631"/>
    </row>
    <row r="961">
      <c r="A961" s="631"/>
      <c r="B961" s="631"/>
      <c r="C961" s="631"/>
      <c r="D961" s="631"/>
      <c r="E961" s="441"/>
      <c r="F961" s="631"/>
      <c r="G961" s="631"/>
      <c r="H961" s="631"/>
      <c r="I961" s="631"/>
      <c r="J961" s="631"/>
      <c r="K961" s="631"/>
      <c r="L961" s="631"/>
      <c r="M961" s="631"/>
      <c r="N961" s="631"/>
      <c r="O961" s="631"/>
      <c r="P961" s="631"/>
      <c r="Q961" s="631"/>
      <c r="R961" s="631"/>
      <c r="S961" s="631"/>
      <c r="T961" s="631"/>
      <c r="U961" s="631"/>
      <c r="V961" s="631"/>
      <c r="W961" s="631"/>
      <c r="X961" s="631"/>
      <c r="Y961" s="631"/>
    </row>
    <row r="962">
      <c r="A962" s="631"/>
      <c r="B962" s="631"/>
      <c r="C962" s="631"/>
      <c r="D962" s="631"/>
      <c r="E962" s="441"/>
      <c r="F962" s="631"/>
      <c r="G962" s="631"/>
      <c r="H962" s="631"/>
      <c r="I962" s="631"/>
      <c r="J962" s="631"/>
      <c r="K962" s="631"/>
      <c r="L962" s="631"/>
      <c r="M962" s="631"/>
      <c r="N962" s="631"/>
      <c r="O962" s="631"/>
      <c r="P962" s="631"/>
      <c r="Q962" s="631"/>
      <c r="R962" s="631"/>
      <c r="S962" s="631"/>
      <c r="T962" s="631"/>
      <c r="U962" s="631"/>
      <c r="V962" s="631"/>
      <c r="W962" s="631"/>
      <c r="X962" s="631"/>
      <c r="Y962" s="631"/>
    </row>
    <row r="963">
      <c r="A963" s="631"/>
      <c r="B963" s="631"/>
      <c r="C963" s="631"/>
      <c r="D963" s="631"/>
      <c r="E963" s="441"/>
      <c r="F963" s="631"/>
      <c r="G963" s="631"/>
      <c r="H963" s="631"/>
      <c r="I963" s="631"/>
      <c r="J963" s="631"/>
      <c r="K963" s="631"/>
      <c r="L963" s="631"/>
      <c r="M963" s="631"/>
      <c r="N963" s="631"/>
      <c r="O963" s="631"/>
      <c r="P963" s="631"/>
      <c r="Q963" s="631"/>
      <c r="R963" s="631"/>
      <c r="S963" s="631"/>
      <c r="T963" s="631"/>
      <c r="U963" s="631"/>
      <c r="V963" s="631"/>
      <c r="W963" s="631"/>
      <c r="X963" s="631"/>
      <c r="Y963" s="631"/>
    </row>
    <row r="964">
      <c r="A964" s="631"/>
      <c r="B964" s="631"/>
      <c r="C964" s="631"/>
      <c r="D964" s="631"/>
      <c r="E964" s="441"/>
      <c r="F964" s="631"/>
      <c r="G964" s="631"/>
      <c r="H964" s="631"/>
      <c r="I964" s="631"/>
      <c r="J964" s="631"/>
      <c r="K964" s="631"/>
      <c r="L964" s="631"/>
      <c r="M964" s="631"/>
      <c r="N964" s="631"/>
      <c r="O964" s="631"/>
      <c r="P964" s="631"/>
      <c r="Q964" s="631"/>
      <c r="R964" s="631"/>
      <c r="S964" s="631"/>
      <c r="T964" s="631"/>
      <c r="U964" s="631"/>
      <c r="V964" s="631"/>
      <c r="W964" s="631"/>
      <c r="X964" s="631"/>
      <c r="Y964" s="631"/>
    </row>
    <row r="965">
      <c r="A965" s="631"/>
      <c r="B965" s="631"/>
      <c r="C965" s="631"/>
      <c r="D965" s="631"/>
      <c r="E965" s="441"/>
      <c r="F965" s="631"/>
      <c r="G965" s="631"/>
      <c r="H965" s="631"/>
      <c r="I965" s="631"/>
      <c r="J965" s="631"/>
      <c r="K965" s="631"/>
      <c r="L965" s="631"/>
      <c r="M965" s="631"/>
      <c r="N965" s="631"/>
      <c r="O965" s="631"/>
      <c r="P965" s="631"/>
      <c r="Q965" s="631"/>
      <c r="R965" s="631"/>
      <c r="S965" s="631"/>
      <c r="T965" s="631"/>
      <c r="U965" s="631"/>
      <c r="V965" s="631"/>
      <c r="W965" s="631"/>
      <c r="X965" s="631"/>
      <c r="Y965" s="631"/>
    </row>
    <row r="966">
      <c r="A966" s="631"/>
      <c r="B966" s="631"/>
      <c r="C966" s="631"/>
      <c r="D966" s="631"/>
      <c r="E966" s="441"/>
      <c r="F966" s="631"/>
      <c r="G966" s="631"/>
      <c r="H966" s="631"/>
      <c r="I966" s="631"/>
      <c r="J966" s="631"/>
      <c r="K966" s="631"/>
      <c r="L966" s="631"/>
      <c r="M966" s="631"/>
      <c r="N966" s="631"/>
      <c r="O966" s="631"/>
      <c r="P966" s="631"/>
      <c r="Q966" s="631"/>
      <c r="R966" s="631"/>
      <c r="S966" s="631"/>
      <c r="T966" s="631"/>
      <c r="U966" s="631"/>
      <c r="V966" s="631"/>
      <c r="W966" s="631"/>
      <c r="X966" s="631"/>
      <c r="Y966" s="631"/>
    </row>
    <row r="967">
      <c r="A967" s="631"/>
      <c r="B967" s="631"/>
      <c r="C967" s="631"/>
      <c r="D967" s="631"/>
      <c r="E967" s="441"/>
      <c r="F967" s="631"/>
      <c r="G967" s="631"/>
      <c r="H967" s="631"/>
      <c r="I967" s="631"/>
      <c r="J967" s="631"/>
      <c r="K967" s="631"/>
      <c r="L967" s="631"/>
      <c r="M967" s="631"/>
      <c r="N967" s="631"/>
      <c r="O967" s="631"/>
      <c r="P967" s="631"/>
      <c r="Q967" s="631"/>
      <c r="R967" s="631"/>
      <c r="S967" s="631"/>
      <c r="T967" s="631"/>
      <c r="U967" s="631"/>
      <c r="V967" s="631"/>
      <c r="W967" s="631"/>
      <c r="X967" s="631"/>
      <c r="Y967" s="631"/>
    </row>
    <row r="968">
      <c r="A968" s="631"/>
      <c r="B968" s="631"/>
      <c r="C968" s="631"/>
      <c r="D968" s="631"/>
      <c r="E968" s="441"/>
      <c r="F968" s="631"/>
      <c r="G968" s="631"/>
      <c r="H968" s="631"/>
      <c r="I968" s="631"/>
      <c r="J968" s="631"/>
      <c r="K968" s="631"/>
      <c r="L968" s="631"/>
      <c r="M968" s="631"/>
      <c r="N968" s="631"/>
      <c r="O968" s="631"/>
      <c r="P968" s="631"/>
      <c r="Q968" s="631"/>
      <c r="R968" s="631"/>
      <c r="S968" s="631"/>
      <c r="T968" s="631"/>
      <c r="U968" s="631"/>
      <c r="V968" s="631"/>
      <c r="W968" s="631"/>
      <c r="X968" s="631"/>
      <c r="Y968" s="631"/>
    </row>
    <row r="969">
      <c r="A969" s="631"/>
      <c r="B969" s="631"/>
      <c r="C969" s="631"/>
      <c r="D969" s="631"/>
      <c r="E969" s="441"/>
      <c r="F969" s="631"/>
      <c r="G969" s="631"/>
      <c r="H969" s="631"/>
      <c r="I969" s="631"/>
      <c r="J969" s="631"/>
      <c r="K969" s="631"/>
      <c r="L969" s="631"/>
      <c r="M969" s="631"/>
      <c r="N969" s="631"/>
      <c r="O969" s="631"/>
      <c r="P969" s="631"/>
      <c r="Q969" s="631"/>
      <c r="R969" s="631"/>
      <c r="S969" s="631"/>
      <c r="T969" s="631"/>
      <c r="U969" s="631"/>
      <c r="V969" s="631"/>
      <c r="W969" s="631"/>
      <c r="X969" s="631"/>
      <c r="Y969" s="631"/>
    </row>
    <row r="970">
      <c r="A970" s="631"/>
      <c r="B970" s="631"/>
      <c r="C970" s="631"/>
      <c r="D970" s="631"/>
      <c r="E970" s="441"/>
      <c r="F970" s="631"/>
      <c r="G970" s="631"/>
      <c r="H970" s="631"/>
      <c r="I970" s="631"/>
      <c r="J970" s="631"/>
      <c r="K970" s="631"/>
      <c r="L970" s="631"/>
      <c r="M970" s="631"/>
      <c r="N970" s="631"/>
      <c r="O970" s="631"/>
      <c r="P970" s="631"/>
      <c r="Q970" s="631"/>
      <c r="R970" s="631"/>
      <c r="S970" s="631"/>
      <c r="T970" s="631"/>
      <c r="U970" s="631"/>
      <c r="V970" s="631"/>
      <c r="W970" s="631"/>
      <c r="X970" s="631"/>
      <c r="Y970" s="631"/>
    </row>
    <row r="971">
      <c r="A971" s="631"/>
      <c r="B971" s="631"/>
      <c r="C971" s="631"/>
      <c r="D971" s="631"/>
      <c r="E971" s="441"/>
      <c r="F971" s="631"/>
      <c r="G971" s="631"/>
      <c r="H971" s="631"/>
      <c r="I971" s="631"/>
      <c r="J971" s="631"/>
      <c r="K971" s="631"/>
      <c r="L971" s="631"/>
      <c r="M971" s="631"/>
      <c r="N971" s="631"/>
      <c r="O971" s="631"/>
      <c r="P971" s="631"/>
      <c r="Q971" s="631"/>
      <c r="R971" s="631"/>
      <c r="S971" s="631"/>
      <c r="T971" s="631"/>
      <c r="U971" s="631"/>
      <c r="V971" s="631"/>
      <c r="W971" s="631"/>
      <c r="X971" s="631"/>
      <c r="Y971" s="631"/>
    </row>
    <row r="972">
      <c r="A972" s="631"/>
      <c r="B972" s="631"/>
      <c r="C972" s="631"/>
      <c r="D972" s="631"/>
      <c r="E972" s="441"/>
      <c r="F972" s="631"/>
      <c r="G972" s="631"/>
      <c r="H972" s="631"/>
      <c r="I972" s="631"/>
      <c r="J972" s="631"/>
      <c r="K972" s="631"/>
      <c r="L972" s="631"/>
      <c r="M972" s="631"/>
      <c r="N972" s="631"/>
      <c r="O972" s="631"/>
      <c r="P972" s="631"/>
      <c r="Q972" s="631"/>
      <c r="R972" s="631"/>
      <c r="S972" s="631"/>
      <c r="T972" s="631"/>
      <c r="U972" s="631"/>
      <c r="V972" s="631"/>
      <c r="W972" s="631"/>
      <c r="X972" s="631"/>
      <c r="Y972" s="631"/>
    </row>
    <row r="973">
      <c r="A973" s="631"/>
      <c r="B973" s="631"/>
      <c r="C973" s="631"/>
      <c r="D973" s="631"/>
      <c r="E973" s="441"/>
      <c r="F973" s="631"/>
      <c r="G973" s="631"/>
      <c r="H973" s="631"/>
      <c r="I973" s="631"/>
      <c r="J973" s="631"/>
      <c r="K973" s="631"/>
      <c r="L973" s="631"/>
      <c r="M973" s="631"/>
      <c r="N973" s="631"/>
      <c r="O973" s="631"/>
      <c r="P973" s="631"/>
      <c r="Q973" s="631"/>
      <c r="R973" s="631"/>
      <c r="S973" s="631"/>
      <c r="T973" s="631"/>
      <c r="U973" s="631"/>
      <c r="V973" s="631"/>
      <c r="W973" s="631"/>
      <c r="X973" s="631"/>
      <c r="Y973" s="631"/>
    </row>
    <row r="974">
      <c r="A974" s="631"/>
      <c r="B974" s="631"/>
      <c r="C974" s="631"/>
      <c r="D974" s="631"/>
      <c r="E974" s="441"/>
      <c r="F974" s="631"/>
      <c r="G974" s="631"/>
      <c r="H974" s="631"/>
      <c r="I974" s="631"/>
      <c r="J974" s="631"/>
      <c r="K974" s="631"/>
      <c r="L974" s="631"/>
      <c r="M974" s="631"/>
      <c r="N974" s="631"/>
      <c r="O974" s="631"/>
      <c r="P974" s="631"/>
      <c r="Q974" s="631"/>
      <c r="R974" s="631"/>
      <c r="S974" s="631"/>
      <c r="T974" s="631"/>
      <c r="U974" s="631"/>
      <c r="V974" s="631"/>
      <c r="W974" s="631"/>
      <c r="X974" s="631"/>
      <c r="Y974" s="631"/>
    </row>
    <row r="975">
      <c r="A975" s="631"/>
      <c r="B975" s="631"/>
      <c r="C975" s="631"/>
      <c r="D975" s="631"/>
      <c r="E975" s="441"/>
      <c r="F975" s="631"/>
      <c r="G975" s="631"/>
      <c r="H975" s="631"/>
      <c r="I975" s="631"/>
      <c r="J975" s="631"/>
      <c r="K975" s="631"/>
      <c r="L975" s="631"/>
      <c r="M975" s="631"/>
      <c r="N975" s="631"/>
      <c r="O975" s="631"/>
      <c r="P975" s="631"/>
      <c r="Q975" s="631"/>
      <c r="R975" s="631"/>
      <c r="S975" s="631"/>
      <c r="T975" s="631"/>
      <c r="U975" s="631"/>
      <c r="V975" s="631"/>
      <c r="W975" s="631"/>
      <c r="X975" s="631"/>
      <c r="Y975" s="631"/>
    </row>
    <row r="976">
      <c r="A976" s="631"/>
      <c r="B976" s="631"/>
      <c r="C976" s="631"/>
      <c r="D976" s="631"/>
      <c r="E976" s="441"/>
      <c r="F976" s="631"/>
      <c r="G976" s="631"/>
      <c r="H976" s="631"/>
      <c r="I976" s="631"/>
      <c r="J976" s="631"/>
      <c r="K976" s="631"/>
      <c r="L976" s="631"/>
      <c r="M976" s="631"/>
      <c r="N976" s="631"/>
      <c r="O976" s="631"/>
      <c r="P976" s="631"/>
      <c r="Q976" s="631"/>
      <c r="R976" s="631"/>
      <c r="S976" s="631"/>
      <c r="T976" s="631"/>
      <c r="U976" s="631"/>
      <c r="V976" s="631"/>
      <c r="W976" s="631"/>
      <c r="X976" s="631"/>
      <c r="Y976" s="631"/>
    </row>
    <row r="977">
      <c r="A977" s="631"/>
      <c r="B977" s="631"/>
      <c r="C977" s="631"/>
      <c r="D977" s="631"/>
      <c r="E977" s="441"/>
      <c r="F977" s="631"/>
      <c r="G977" s="631"/>
      <c r="H977" s="631"/>
      <c r="I977" s="631"/>
      <c r="J977" s="631"/>
      <c r="K977" s="631"/>
      <c r="L977" s="631"/>
      <c r="M977" s="631"/>
      <c r="N977" s="631"/>
      <c r="O977" s="631"/>
      <c r="P977" s="631"/>
      <c r="Q977" s="631"/>
      <c r="R977" s="631"/>
      <c r="S977" s="631"/>
      <c r="T977" s="631"/>
      <c r="U977" s="631"/>
      <c r="V977" s="631"/>
      <c r="W977" s="631"/>
      <c r="X977" s="631"/>
      <c r="Y977" s="631"/>
    </row>
    <row r="978">
      <c r="A978" s="631"/>
      <c r="B978" s="631"/>
      <c r="C978" s="631"/>
      <c r="D978" s="631"/>
      <c r="E978" s="441"/>
      <c r="F978" s="631"/>
      <c r="G978" s="631"/>
      <c r="H978" s="631"/>
      <c r="I978" s="631"/>
      <c r="J978" s="631"/>
      <c r="K978" s="631"/>
      <c r="L978" s="631"/>
      <c r="M978" s="631"/>
      <c r="N978" s="631"/>
      <c r="O978" s="631"/>
      <c r="P978" s="631"/>
      <c r="Q978" s="631"/>
      <c r="R978" s="631"/>
      <c r="S978" s="631"/>
      <c r="T978" s="631"/>
      <c r="U978" s="631"/>
      <c r="V978" s="631"/>
      <c r="W978" s="631"/>
      <c r="X978" s="631"/>
      <c r="Y978" s="631"/>
    </row>
    <row r="979">
      <c r="A979" s="631"/>
      <c r="B979" s="631"/>
      <c r="C979" s="631"/>
      <c r="D979" s="631"/>
      <c r="E979" s="441"/>
      <c r="F979" s="631"/>
      <c r="G979" s="631"/>
      <c r="H979" s="631"/>
      <c r="I979" s="631"/>
      <c r="J979" s="631"/>
      <c r="K979" s="631"/>
      <c r="L979" s="631"/>
      <c r="M979" s="631"/>
      <c r="N979" s="631"/>
      <c r="O979" s="631"/>
      <c r="P979" s="631"/>
      <c r="Q979" s="631"/>
      <c r="R979" s="631"/>
      <c r="S979" s="631"/>
      <c r="T979" s="631"/>
      <c r="U979" s="631"/>
      <c r="V979" s="631"/>
      <c r="W979" s="631"/>
      <c r="X979" s="631"/>
      <c r="Y979" s="631"/>
    </row>
    <row r="980">
      <c r="A980" s="631"/>
      <c r="B980" s="631"/>
      <c r="C980" s="631"/>
      <c r="D980" s="631"/>
      <c r="E980" s="441"/>
      <c r="F980" s="631"/>
      <c r="G980" s="631"/>
      <c r="H980" s="631"/>
      <c r="I980" s="631"/>
      <c r="J980" s="631"/>
      <c r="K980" s="631"/>
      <c r="L980" s="631"/>
      <c r="M980" s="631"/>
      <c r="N980" s="631"/>
      <c r="O980" s="631"/>
      <c r="P980" s="631"/>
      <c r="Q980" s="631"/>
      <c r="R980" s="631"/>
      <c r="S980" s="631"/>
      <c r="T980" s="631"/>
      <c r="U980" s="631"/>
      <c r="V980" s="631"/>
      <c r="W980" s="631"/>
      <c r="X980" s="631"/>
      <c r="Y980" s="631"/>
    </row>
    <row r="981">
      <c r="A981" s="631"/>
      <c r="B981" s="631"/>
      <c r="C981" s="631"/>
      <c r="D981" s="631"/>
      <c r="E981" s="441"/>
      <c r="F981" s="631"/>
      <c r="G981" s="631"/>
      <c r="H981" s="631"/>
      <c r="I981" s="631"/>
      <c r="J981" s="631"/>
      <c r="K981" s="631"/>
      <c r="L981" s="631"/>
      <c r="M981" s="631"/>
      <c r="N981" s="631"/>
      <c r="O981" s="631"/>
      <c r="P981" s="631"/>
      <c r="Q981" s="631"/>
      <c r="R981" s="631"/>
      <c r="S981" s="631"/>
      <c r="T981" s="631"/>
      <c r="U981" s="631"/>
      <c r="V981" s="631"/>
      <c r="W981" s="631"/>
      <c r="X981" s="631"/>
      <c r="Y981" s="631"/>
    </row>
    <row r="982">
      <c r="A982" s="631"/>
      <c r="B982" s="631"/>
      <c r="C982" s="631"/>
      <c r="D982" s="631"/>
      <c r="E982" s="441"/>
      <c r="F982" s="631"/>
      <c r="G982" s="631"/>
      <c r="H982" s="631"/>
      <c r="I982" s="631"/>
      <c r="J982" s="631"/>
      <c r="K982" s="631"/>
      <c r="L982" s="631"/>
      <c r="M982" s="631"/>
      <c r="N982" s="631"/>
      <c r="O982" s="631"/>
      <c r="P982" s="631"/>
      <c r="Q982" s="631"/>
      <c r="R982" s="631"/>
      <c r="S982" s="631"/>
      <c r="T982" s="631"/>
      <c r="U982" s="631"/>
      <c r="V982" s="631"/>
      <c r="W982" s="631"/>
      <c r="X982" s="631"/>
      <c r="Y982" s="631"/>
    </row>
    <row r="983">
      <c r="A983" s="631"/>
      <c r="B983" s="631"/>
      <c r="C983" s="631"/>
      <c r="D983" s="631"/>
      <c r="E983" s="441"/>
      <c r="F983" s="631"/>
      <c r="G983" s="631"/>
      <c r="H983" s="631"/>
      <c r="I983" s="631"/>
      <c r="J983" s="631"/>
      <c r="K983" s="631"/>
      <c r="L983" s="631"/>
      <c r="M983" s="631"/>
      <c r="N983" s="631"/>
      <c r="O983" s="631"/>
      <c r="P983" s="631"/>
      <c r="Q983" s="631"/>
      <c r="R983" s="631"/>
      <c r="S983" s="631"/>
      <c r="T983" s="631"/>
      <c r="U983" s="631"/>
      <c r="V983" s="631"/>
      <c r="W983" s="631"/>
      <c r="X983" s="631"/>
      <c r="Y983" s="631"/>
    </row>
    <row r="984">
      <c r="A984" s="631"/>
      <c r="B984" s="631"/>
      <c r="C984" s="631"/>
      <c r="D984" s="631"/>
      <c r="E984" s="441"/>
      <c r="F984" s="631"/>
      <c r="G984" s="631"/>
      <c r="H984" s="631"/>
      <c r="I984" s="631"/>
      <c r="J984" s="631"/>
      <c r="K984" s="631"/>
      <c r="L984" s="631"/>
      <c r="M984" s="631"/>
      <c r="N984" s="631"/>
      <c r="O984" s="631"/>
      <c r="P984" s="631"/>
      <c r="Q984" s="631"/>
      <c r="R984" s="631"/>
      <c r="S984" s="631"/>
      <c r="T984" s="631"/>
      <c r="U984" s="631"/>
      <c r="V984" s="631"/>
      <c r="W984" s="631"/>
      <c r="X984" s="631"/>
      <c r="Y984" s="631"/>
    </row>
    <row r="985">
      <c r="A985" s="631"/>
      <c r="B985" s="631"/>
      <c r="C985" s="631"/>
      <c r="D985" s="631"/>
      <c r="E985" s="441"/>
      <c r="F985" s="631"/>
      <c r="G985" s="631"/>
      <c r="H985" s="631"/>
      <c r="I985" s="631"/>
      <c r="J985" s="631"/>
      <c r="K985" s="631"/>
      <c r="L985" s="631"/>
      <c r="M985" s="631"/>
      <c r="N985" s="631"/>
      <c r="O985" s="631"/>
      <c r="P985" s="631"/>
      <c r="Q985" s="631"/>
      <c r="R985" s="631"/>
      <c r="S985" s="631"/>
      <c r="T985" s="631"/>
      <c r="U985" s="631"/>
      <c r="V985" s="631"/>
      <c r="W985" s="631"/>
      <c r="X985" s="631"/>
      <c r="Y985" s="631"/>
    </row>
    <row r="986">
      <c r="A986" s="631"/>
      <c r="B986" s="631"/>
      <c r="C986" s="631"/>
      <c r="D986" s="631"/>
      <c r="E986" s="441"/>
      <c r="F986" s="631"/>
      <c r="G986" s="631"/>
      <c r="H986" s="631"/>
      <c r="I986" s="631"/>
      <c r="J986" s="631"/>
      <c r="K986" s="631"/>
      <c r="L986" s="631"/>
      <c r="M986" s="631"/>
      <c r="N986" s="631"/>
      <c r="O986" s="631"/>
      <c r="P986" s="631"/>
      <c r="Q986" s="631"/>
      <c r="R986" s="631"/>
      <c r="S986" s="631"/>
      <c r="T986" s="631"/>
      <c r="U986" s="631"/>
      <c r="V986" s="631"/>
      <c r="W986" s="631"/>
      <c r="X986" s="631"/>
      <c r="Y986" s="631"/>
    </row>
    <row r="987">
      <c r="A987" s="631"/>
      <c r="B987" s="631"/>
      <c r="C987" s="631"/>
      <c r="D987" s="631"/>
      <c r="E987" s="441"/>
      <c r="F987" s="631"/>
      <c r="G987" s="631"/>
      <c r="H987" s="631"/>
      <c r="I987" s="631"/>
      <c r="J987" s="631"/>
      <c r="K987" s="631"/>
      <c r="L987" s="631"/>
      <c r="M987" s="631"/>
      <c r="N987" s="631"/>
      <c r="O987" s="631"/>
      <c r="P987" s="631"/>
      <c r="Q987" s="631"/>
      <c r="R987" s="631"/>
      <c r="S987" s="631"/>
      <c r="T987" s="631"/>
      <c r="U987" s="631"/>
      <c r="V987" s="631"/>
      <c r="W987" s="631"/>
      <c r="X987" s="631"/>
      <c r="Y987" s="631"/>
    </row>
    <row r="988">
      <c r="A988" s="631"/>
      <c r="B988" s="631"/>
      <c r="C988" s="631"/>
      <c r="D988" s="631"/>
      <c r="E988" s="441"/>
      <c r="F988" s="631"/>
      <c r="G988" s="631"/>
      <c r="H988" s="631"/>
      <c r="I988" s="631"/>
      <c r="J988" s="631"/>
      <c r="K988" s="631"/>
      <c r="L988" s="631"/>
      <c r="M988" s="631"/>
      <c r="N988" s="631"/>
      <c r="O988" s="631"/>
      <c r="P988" s="631"/>
      <c r="Q988" s="631"/>
      <c r="R988" s="631"/>
      <c r="S988" s="631"/>
      <c r="T988" s="631"/>
      <c r="U988" s="631"/>
      <c r="V988" s="631"/>
      <c r="W988" s="631"/>
      <c r="X988" s="631"/>
      <c r="Y988" s="631"/>
    </row>
    <row r="989">
      <c r="A989" s="631"/>
      <c r="B989" s="631"/>
      <c r="C989" s="631"/>
      <c r="D989" s="631"/>
      <c r="E989" s="441"/>
      <c r="F989" s="631"/>
      <c r="G989" s="631"/>
      <c r="H989" s="631"/>
      <c r="I989" s="631"/>
      <c r="J989" s="631"/>
      <c r="K989" s="631"/>
      <c r="L989" s="631"/>
      <c r="M989" s="631"/>
      <c r="N989" s="631"/>
      <c r="O989" s="631"/>
      <c r="P989" s="631"/>
      <c r="Q989" s="631"/>
      <c r="R989" s="631"/>
      <c r="S989" s="631"/>
      <c r="T989" s="631"/>
      <c r="U989" s="631"/>
      <c r="V989" s="631"/>
      <c r="W989" s="631"/>
      <c r="X989" s="631"/>
      <c r="Y989" s="631"/>
    </row>
    <row r="990">
      <c r="A990" s="631"/>
      <c r="B990" s="631"/>
      <c r="C990" s="631"/>
      <c r="D990" s="631"/>
      <c r="E990" s="441"/>
      <c r="F990" s="631"/>
      <c r="G990" s="631"/>
      <c r="H990" s="631"/>
      <c r="I990" s="631"/>
      <c r="J990" s="631"/>
      <c r="K990" s="631"/>
      <c r="L990" s="631"/>
      <c r="M990" s="631"/>
      <c r="N990" s="631"/>
      <c r="O990" s="631"/>
      <c r="P990" s="631"/>
      <c r="Q990" s="631"/>
      <c r="R990" s="631"/>
      <c r="S990" s="631"/>
      <c r="T990" s="631"/>
      <c r="U990" s="631"/>
      <c r="V990" s="631"/>
      <c r="W990" s="631"/>
      <c r="X990" s="631"/>
      <c r="Y990" s="631"/>
    </row>
    <row r="991">
      <c r="A991" s="631"/>
      <c r="B991" s="631"/>
      <c r="C991" s="631"/>
      <c r="D991" s="631"/>
      <c r="E991" s="441"/>
      <c r="F991" s="631"/>
      <c r="G991" s="631"/>
      <c r="H991" s="631"/>
      <c r="I991" s="631"/>
      <c r="J991" s="631"/>
      <c r="K991" s="631"/>
      <c r="L991" s="631"/>
      <c r="M991" s="631"/>
      <c r="N991" s="631"/>
      <c r="O991" s="631"/>
      <c r="P991" s="631"/>
      <c r="Q991" s="631"/>
      <c r="R991" s="631"/>
      <c r="S991" s="631"/>
      <c r="T991" s="631"/>
      <c r="U991" s="631"/>
      <c r="V991" s="631"/>
      <c r="W991" s="631"/>
      <c r="X991" s="631"/>
      <c r="Y991" s="631"/>
    </row>
    <row r="992">
      <c r="A992" s="631"/>
      <c r="B992" s="631"/>
      <c r="C992" s="631"/>
      <c r="D992" s="631"/>
      <c r="E992" s="441"/>
      <c r="F992" s="631"/>
      <c r="G992" s="631"/>
      <c r="H992" s="631"/>
      <c r="I992" s="631"/>
      <c r="J992" s="631"/>
      <c r="K992" s="631"/>
      <c r="L992" s="631"/>
      <c r="M992" s="631"/>
      <c r="N992" s="631"/>
      <c r="O992" s="631"/>
      <c r="P992" s="631"/>
      <c r="Q992" s="631"/>
      <c r="R992" s="631"/>
      <c r="S992" s="631"/>
      <c r="T992" s="631"/>
      <c r="U992" s="631"/>
      <c r="V992" s="631"/>
      <c r="W992" s="631"/>
      <c r="X992" s="631"/>
      <c r="Y992" s="631"/>
    </row>
    <row r="993">
      <c r="A993" s="631"/>
      <c r="B993" s="631"/>
      <c r="C993" s="631"/>
      <c r="D993" s="631"/>
      <c r="E993" s="441"/>
      <c r="F993" s="631"/>
      <c r="G993" s="631"/>
      <c r="H993" s="631"/>
      <c r="I993" s="631"/>
      <c r="J993" s="631"/>
      <c r="K993" s="631"/>
      <c r="L993" s="631"/>
      <c r="M993" s="631"/>
      <c r="N993" s="631"/>
      <c r="O993" s="631"/>
      <c r="P993" s="631"/>
      <c r="Q993" s="631"/>
      <c r="R993" s="631"/>
      <c r="S993" s="631"/>
      <c r="T993" s="631"/>
      <c r="U993" s="631"/>
      <c r="V993" s="631"/>
      <c r="W993" s="631"/>
      <c r="X993" s="631"/>
      <c r="Y993" s="631"/>
    </row>
    <row r="994">
      <c r="A994" s="631"/>
      <c r="B994" s="631"/>
      <c r="C994" s="631"/>
      <c r="D994" s="631"/>
      <c r="E994" s="441"/>
      <c r="F994" s="631"/>
      <c r="G994" s="631"/>
      <c r="H994" s="631"/>
      <c r="I994" s="631"/>
      <c r="J994" s="631"/>
      <c r="K994" s="631"/>
      <c r="L994" s="631"/>
      <c r="M994" s="631"/>
      <c r="N994" s="631"/>
      <c r="O994" s="631"/>
      <c r="P994" s="631"/>
      <c r="Q994" s="631"/>
      <c r="R994" s="631"/>
      <c r="S994" s="631"/>
      <c r="T994" s="631"/>
      <c r="U994" s="631"/>
      <c r="V994" s="631"/>
      <c r="W994" s="631"/>
      <c r="X994" s="631"/>
      <c r="Y994" s="631"/>
    </row>
    <row r="995">
      <c r="A995" s="631"/>
      <c r="B995" s="631"/>
      <c r="C995" s="631"/>
      <c r="D995" s="631"/>
      <c r="E995" s="441"/>
      <c r="F995" s="631"/>
      <c r="G995" s="631"/>
      <c r="H995" s="631"/>
      <c r="I995" s="631"/>
      <c r="J995" s="631"/>
      <c r="K995" s="631"/>
      <c r="L995" s="631"/>
      <c r="M995" s="631"/>
      <c r="N995" s="631"/>
      <c r="O995" s="631"/>
      <c r="P995" s="631"/>
      <c r="Q995" s="631"/>
      <c r="R995" s="631"/>
      <c r="S995" s="631"/>
      <c r="T995" s="631"/>
      <c r="U995" s="631"/>
      <c r="V995" s="631"/>
      <c r="W995" s="631"/>
      <c r="X995" s="631"/>
      <c r="Y995" s="631"/>
    </row>
    <row r="996">
      <c r="A996" s="631"/>
      <c r="B996" s="631"/>
      <c r="C996" s="631"/>
      <c r="D996" s="631"/>
      <c r="E996" s="441"/>
      <c r="F996" s="631"/>
      <c r="G996" s="631"/>
      <c r="H996" s="631"/>
      <c r="I996" s="631"/>
      <c r="J996" s="631"/>
      <c r="K996" s="631"/>
      <c r="L996" s="631"/>
      <c r="M996" s="631"/>
      <c r="N996" s="631"/>
      <c r="O996" s="631"/>
      <c r="P996" s="631"/>
      <c r="Q996" s="631"/>
      <c r="R996" s="631"/>
      <c r="S996" s="631"/>
      <c r="T996" s="631"/>
      <c r="U996" s="631"/>
      <c r="V996" s="631"/>
      <c r="W996" s="631"/>
      <c r="X996" s="631"/>
      <c r="Y996" s="631"/>
    </row>
    <row r="997">
      <c r="A997" s="631"/>
      <c r="B997" s="631"/>
      <c r="C997" s="631"/>
      <c r="D997" s="631"/>
      <c r="E997" s="441"/>
      <c r="F997" s="631"/>
      <c r="G997" s="631"/>
      <c r="H997" s="631"/>
      <c r="I997" s="631"/>
      <c r="J997" s="631"/>
      <c r="K997" s="631"/>
      <c r="L997" s="631"/>
      <c r="M997" s="631"/>
      <c r="N997" s="631"/>
      <c r="O997" s="631"/>
      <c r="P997" s="631"/>
      <c r="Q997" s="631"/>
      <c r="R997" s="631"/>
      <c r="S997" s="631"/>
      <c r="T997" s="631"/>
      <c r="U997" s="631"/>
      <c r="V997" s="631"/>
      <c r="W997" s="631"/>
      <c r="X997" s="631"/>
      <c r="Y997" s="631"/>
    </row>
    <row r="998">
      <c r="A998" s="631"/>
      <c r="B998" s="631"/>
      <c r="C998" s="631"/>
      <c r="D998" s="631"/>
      <c r="E998" s="441"/>
      <c r="F998" s="631"/>
      <c r="G998" s="631"/>
      <c r="H998" s="631"/>
      <c r="I998" s="631"/>
      <c r="J998" s="631"/>
      <c r="K998" s="631"/>
      <c r="L998" s="631"/>
      <c r="M998" s="631"/>
      <c r="N998" s="631"/>
      <c r="O998" s="631"/>
      <c r="P998" s="631"/>
      <c r="Q998" s="631"/>
      <c r="R998" s="631"/>
      <c r="S998" s="631"/>
      <c r="T998" s="631"/>
      <c r="U998" s="631"/>
      <c r="V998" s="631"/>
      <c r="W998" s="631"/>
      <c r="X998" s="631"/>
      <c r="Y998" s="631"/>
    </row>
    <row r="999">
      <c r="A999" s="631"/>
      <c r="B999" s="631"/>
      <c r="C999" s="631"/>
      <c r="D999" s="631"/>
      <c r="E999" s="441"/>
      <c r="F999" s="631"/>
      <c r="G999" s="631"/>
      <c r="H999" s="631"/>
      <c r="I999" s="631"/>
      <c r="J999" s="631"/>
      <c r="K999" s="631"/>
      <c r="L999" s="631"/>
      <c r="M999" s="631"/>
      <c r="N999" s="631"/>
      <c r="O999" s="631"/>
      <c r="P999" s="631"/>
      <c r="Q999" s="631"/>
      <c r="R999" s="631"/>
      <c r="S999" s="631"/>
      <c r="T999" s="631"/>
      <c r="U999" s="631"/>
      <c r="V999" s="631"/>
      <c r="W999" s="631"/>
      <c r="X999" s="631"/>
      <c r="Y999" s="631"/>
    </row>
    <row r="1000">
      <c r="A1000" s="631"/>
      <c r="B1000" s="631"/>
      <c r="C1000" s="631"/>
      <c r="D1000" s="631"/>
      <c r="E1000" s="441"/>
      <c r="F1000" s="631"/>
      <c r="G1000" s="631"/>
      <c r="H1000" s="631"/>
      <c r="I1000" s="631"/>
      <c r="J1000" s="631"/>
      <c r="K1000" s="631"/>
      <c r="L1000" s="631"/>
      <c r="M1000" s="631"/>
      <c r="N1000" s="631"/>
      <c r="O1000" s="631"/>
      <c r="P1000" s="631"/>
      <c r="Q1000" s="631"/>
      <c r="R1000" s="631"/>
      <c r="S1000" s="631"/>
      <c r="T1000" s="631"/>
      <c r="U1000" s="631"/>
      <c r="V1000" s="631"/>
      <c r="W1000" s="631"/>
      <c r="X1000" s="631"/>
      <c r="Y1000" s="631"/>
    </row>
    <row r="1001">
      <c r="A1001" s="631"/>
      <c r="B1001" s="631"/>
      <c r="C1001" s="631"/>
      <c r="D1001" s="631"/>
      <c r="E1001" s="441"/>
      <c r="F1001" s="631"/>
      <c r="G1001" s="631"/>
      <c r="H1001" s="631"/>
      <c r="I1001" s="631"/>
      <c r="J1001" s="631"/>
      <c r="K1001" s="631"/>
      <c r="L1001" s="631"/>
      <c r="M1001" s="631"/>
      <c r="N1001" s="631"/>
      <c r="O1001" s="631"/>
      <c r="P1001" s="631"/>
      <c r="Q1001" s="631"/>
      <c r="R1001" s="631"/>
      <c r="S1001" s="631"/>
      <c r="T1001" s="631"/>
      <c r="U1001" s="631"/>
      <c r="V1001" s="631"/>
      <c r="W1001" s="631"/>
      <c r="X1001" s="631"/>
      <c r="Y1001" s="631"/>
    </row>
    <row r="1002">
      <c r="A1002" s="631"/>
      <c r="B1002" s="631"/>
      <c r="C1002" s="631"/>
      <c r="D1002" s="631"/>
      <c r="E1002" s="441"/>
      <c r="F1002" s="631"/>
      <c r="G1002" s="631"/>
      <c r="H1002" s="631"/>
      <c r="I1002" s="631"/>
      <c r="J1002" s="631"/>
      <c r="K1002" s="631"/>
      <c r="L1002" s="631"/>
      <c r="M1002" s="631"/>
      <c r="N1002" s="631"/>
      <c r="O1002" s="631"/>
      <c r="P1002" s="631"/>
      <c r="Q1002" s="631"/>
      <c r="R1002" s="631"/>
      <c r="S1002" s="631"/>
      <c r="T1002" s="631"/>
      <c r="U1002" s="631"/>
      <c r="V1002" s="631"/>
      <c r="W1002" s="631"/>
      <c r="X1002" s="631"/>
      <c r="Y1002" s="631"/>
    </row>
    <row r="1003">
      <c r="A1003" s="631"/>
      <c r="B1003" s="631"/>
      <c r="C1003" s="631"/>
      <c r="D1003" s="631"/>
      <c r="E1003" s="441"/>
      <c r="F1003" s="631"/>
      <c r="G1003" s="631"/>
      <c r="H1003" s="631"/>
      <c r="I1003" s="631"/>
      <c r="J1003" s="631"/>
      <c r="K1003" s="631"/>
      <c r="L1003" s="631"/>
      <c r="M1003" s="631"/>
      <c r="N1003" s="631"/>
      <c r="O1003" s="631"/>
      <c r="P1003" s="631"/>
      <c r="Q1003" s="631"/>
      <c r="R1003" s="631"/>
      <c r="S1003" s="631"/>
      <c r="T1003" s="631"/>
      <c r="U1003" s="631"/>
      <c r="V1003" s="631"/>
      <c r="W1003" s="631"/>
      <c r="X1003" s="631"/>
      <c r="Y1003" s="631"/>
    </row>
    <row r="1004">
      <c r="A1004" s="631"/>
      <c r="B1004" s="631"/>
      <c r="C1004" s="631"/>
      <c r="D1004" s="631"/>
      <c r="E1004" s="441"/>
      <c r="F1004" s="631"/>
      <c r="G1004" s="631"/>
      <c r="H1004" s="631"/>
      <c r="I1004" s="631"/>
      <c r="J1004" s="631"/>
      <c r="K1004" s="631"/>
      <c r="L1004" s="631"/>
      <c r="M1004" s="631"/>
      <c r="N1004" s="631"/>
      <c r="O1004" s="631"/>
      <c r="P1004" s="631"/>
      <c r="Q1004" s="631"/>
      <c r="R1004" s="631"/>
      <c r="S1004" s="631"/>
      <c r="T1004" s="631"/>
      <c r="U1004" s="631"/>
      <c r="V1004" s="631"/>
      <c r="W1004" s="631"/>
      <c r="X1004" s="631"/>
      <c r="Y1004" s="631"/>
    </row>
    <row r="1005">
      <c r="A1005" s="631"/>
      <c r="B1005" s="631"/>
      <c r="C1005" s="631"/>
      <c r="D1005" s="631"/>
      <c r="E1005" s="441"/>
      <c r="F1005" s="631"/>
      <c r="G1005" s="631"/>
      <c r="H1005" s="631"/>
      <c r="I1005" s="631"/>
      <c r="J1005" s="631"/>
      <c r="K1005" s="631"/>
      <c r="L1005" s="631"/>
      <c r="M1005" s="631"/>
      <c r="N1005" s="631"/>
      <c r="O1005" s="631"/>
      <c r="P1005" s="631"/>
      <c r="Q1005" s="631"/>
      <c r="R1005" s="631"/>
      <c r="S1005" s="631"/>
      <c r="T1005" s="631"/>
      <c r="U1005" s="631"/>
      <c r="V1005" s="631"/>
      <c r="W1005" s="631"/>
      <c r="X1005" s="631"/>
      <c r="Y1005" s="631"/>
    </row>
    <row r="1006">
      <c r="A1006" s="631"/>
      <c r="B1006" s="631"/>
      <c r="C1006" s="631"/>
      <c r="D1006" s="631"/>
      <c r="E1006" s="441"/>
      <c r="F1006" s="631"/>
      <c r="G1006" s="631"/>
      <c r="H1006" s="631"/>
      <c r="I1006" s="631"/>
      <c r="J1006" s="631"/>
      <c r="K1006" s="631"/>
      <c r="L1006" s="631"/>
      <c r="M1006" s="631"/>
      <c r="N1006" s="631"/>
      <c r="O1006" s="631"/>
      <c r="P1006" s="631"/>
      <c r="Q1006" s="631"/>
      <c r="R1006" s="631"/>
      <c r="S1006" s="631"/>
      <c r="T1006" s="631"/>
      <c r="U1006" s="631"/>
      <c r="V1006" s="631"/>
      <c r="W1006" s="631"/>
      <c r="X1006" s="631"/>
      <c r="Y1006" s="631"/>
    </row>
  </sheetData>
  <mergeCells count="1">
    <mergeCell ref="A1:D1"/>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5.43"/>
    <col customWidth="1" min="2" max="2" width="22.71"/>
    <col customWidth="1" min="3" max="3" width="19.71"/>
    <col customWidth="1" min="5" max="5" width="19.86"/>
    <col customWidth="1" min="6" max="6" width="20.86"/>
    <col customWidth="1" min="7" max="7" width="17.14"/>
    <col customWidth="1" min="9" max="9" width="17.14"/>
    <col customWidth="1" min="10" max="10" width="20.43"/>
    <col customWidth="1" min="11" max="11" width="15.71"/>
    <col customWidth="1" min="12" max="12" width="16.14"/>
  </cols>
  <sheetData>
    <row r="1" ht="22.5" customHeight="1">
      <c r="A1" s="453" t="s">
        <v>908</v>
      </c>
      <c r="B1" s="451" t="s">
        <v>909</v>
      </c>
      <c r="C1" s="451" t="s">
        <v>910</v>
      </c>
      <c r="E1" s="453" t="s">
        <v>911</v>
      </c>
      <c r="F1" s="453" t="s">
        <v>912</v>
      </c>
      <c r="G1" s="642" t="s">
        <v>913</v>
      </c>
      <c r="H1" s="643" t="s">
        <v>914</v>
      </c>
      <c r="I1" s="642" t="s">
        <v>915</v>
      </c>
      <c r="J1" s="642" t="s">
        <v>916</v>
      </c>
    </row>
    <row r="2" ht="22.5" customHeight="1">
      <c r="A2" s="644" t="s">
        <v>917</v>
      </c>
      <c r="B2" s="645">
        <v>16.57</v>
      </c>
      <c r="C2" s="646"/>
      <c r="E2" s="647" t="s">
        <v>918</v>
      </c>
      <c r="F2" s="648">
        <v>4226.67938931297</v>
      </c>
      <c r="G2" s="649">
        <v>0.412</v>
      </c>
      <c r="H2" s="650" t="s">
        <v>919</v>
      </c>
      <c r="I2" s="650">
        <v>0.424</v>
      </c>
      <c r="J2" s="651">
        <f t="shared" ref="J2:J13" si="1">I2-G2</f>
        <v>0.012</v>
      </c>
    </row>
    <row r="3" ht="22.5" customHeight="1">
      <c r="A3" s="644" t="s">
        <v>920</v>
      </c>
      <c r="B3" s="645">
        <v>3379.8</v>
      </c>
      <c r="C3" s="652">
        <v>11266.0</v>
      </c>
      <c r="E3" s="647" t="s">
        <v>921</v>
      </c>
      <c r="F3" s="648">
        <v>6216.81132075471</v>
      </c>
      <c r="G3" s="649">
        <v>0.08</v>
      </c>
      <c r="H3" s="650" t="s">
        <v>922</v>
      </c>
      <c r="I3" s="650">
        <v>0.08</v>
      </c>
      <c r="J3" s="653">
        <f t="shared" si="1"/>
        <v>0</v>
      </c>
      <c r="K3" s="654"/>
    </row>
    <row r="4" ht="22.5" customHeight="1">
      <c r="A4" s="644" t="s">
        <v>923</v>
      </c>
      <c r="B4" s="645">
        <v>8.57</v>
      </c>
      <c r="C4" s="652">
        <v>71446.0</v>
      </c>
      <c r="E4" s="655" t="s">
        <v>924</v>
      </c>
      <c r="F4" s="648">
        <v>247473.689655172</v>
      </c>
      <c r="G4" s="649">
        <v>0.136</v>
      </c>
      <c r="H4" s="650" t="s">
        <v>925</v>
      </c>
      <c r="I4" s="650">
        <v>0.136</v>
      </c>
      <c r="J4" s="653">
        <f t="shared" si="1"/>
        <v>0</v>
      </c>
      <c r="K4" s="654"/>
    </row>
    <row r="5" ht="22.5" customHeight="1">
      <c r="A5" s="644" t="s">
        <v>926</v>
      </c>
      <c r="B5" s="645">
        <v>177.99</v>
      </c>
      <c r="C5" s="646"/>
      <c r="D5" s="656"/>
      <c r="E5" s="647" t="s">
        <v>927</v>
      </c>
      <c r="F5" s="657">
        <v>334.014500836586</v>
      </c>
      <c r="G5" s="649">
        <v>2.19</v>
      </c>
      <c r="H5" s="650" t="s">
        <v>922</v>
      </c>
      <c r="I5" s="650">
        <v>2.4</v>
      </c>
      <c r="J5" s="651">
        <f t="shared" si="1"/>
        <v>0.21</v>
      </c>
      <c r="K5" s="654"/>
    </row>
    <row r="6" ht="22.5" customHeight="1">
      <c r="A6" s="644" t="s">
        <v>928</v>
      </c>
      <c r="B6" s="645">
        <v>346.28</v>
      </c>
      <c r="C6" s="646"/>
      <c r="D6" s="211"/>
      <c r="E6" s="647" t="s">
        <v>929</v>
      </c>
      <c r="F6" s="657">
        <v>334.001785395465</v>
      </c>
      <c r="G6" s="649">
        <v>3.6</v>
      </c>
      <c r="H6" s="650" t="s">
        <v>922</v>
      </c>
      <c r="I6" s="650">
        <v>4.2</v>
      </c>
      <c r="J6" s="651">
        <f t="shared" si="1"/>
        <v>0.6</v>
      </c>
    </row>
    <row r="7" ht="22.5" customHeight="1">
      <c r="A7" s="644" t="s">
        <v>930</v>
      </c>
      <c r="B7" s="645">
        <v>3720.0</v>
      </c>
      <c r="C7" s="646"/>
      <c r="E7" s="647" t="s">
        <v>931</v>
      </c>
      <c r="F7" s="648">
        <v>5264.9054054054</v>
      </c>
      <c r="G7" s="649">
        <v>0.21</v>
      </c>
      <c r="H7" s="650" t="s">
        <v>922</v>
      </c>
      <c r="I7" s="650">
        <v>0.209</v>
      </c>
      <c r="J7" s="658">
        <f t="shared" si="1"/>
        <v>-0.001</v>
      </c>
      <c r="L7" s="112">
        <v>0.21</v>
      </c>
      <c r="M7" s="627">
        <f>L7*600</f>
        <v>126</v>
      </c>
    </row>
    <row r="8" ht="22.5" customHeight="1">
      <c r="A8" s="644" t="s">
        <v>932</v>
      </c>
      <c r="B8" s="645">
        <v>3964.0</v>
      </c>
      <c r="C8" s="646"/>
      <c r="E8" s="647" t="s">
        <v>933</v>
      </c>
      <c r="F8" s="657">
        <v>333.973282442748</v>
      </c>
      <c r="G8" s="649">
        <v>8.97</v>
      </c>
      <c r="H8" s="650" t="s">
        <v>922</v>
      </c>
      <c r="I8" s="650">
        <v>9.2</v>
      </c>
      <c r="J8" s="651">
        <f t="shared" si="1"/>
        <v>0.23</v>
      </c>
    </row>
    <row r="9" ht="22.5" customHeight="1">
      <c r="A9" s="644" t="s">
        <v>934</v>
      </c>
      <c r="B9" s="645">
        <v>29470.0</v>
      </c>
      <c r="C9" s="646"/>
      <c r="E9" s="647" t="s">
        <v>935</v>
      </c>
      <c r="F9" s="648">
        <v>334.140476190476</v>
      </c>
      <c r="G9" s="649">
        <v>0.43</v>
      </c>
      <c r="H9" s="650" t="s">
        <v>922</v>
      </c>
      <c r="I9" s="650">
        <v>0.363</v>
      </c>
      <c r="J9" s="658">
        <f t="shared" si="1"/>
        <v>-0.067</v>
      </c>
    </row>
    <row r="10" ht="22.5" customHeight="1">
      <c r="A10" s="644" t="s">
        <v>936</v>
      </c>
      <c r="B10" s="645">
        <v>150.15</v>
      </c>
      <c r="C10" s="646"/>
      <c r="E10" s="647" t="s">
        <v>937</v>
      </c>
      <c r="F10" s="648">
        <v>118.988346829942</v>
      </c>
      <c r="G10" s="649">
        <v>21.2</v>
      </c>
      <c r="H10" s="650" t="s">
        <v>919</v>
      </c>
      <c r="I10" s="650">
        <v>21.4</v>
      </c>
      <c r="J10" s="651">
        <f t="shared" si="1"/>
        <v>0.2</v>
      </c>
    </row>
    <row r="11" ht="22.5" customHeight="1">
      <c r="A11" s="644" t="s">
        <v>938</v>
      </c>
      <c r="B11" s="659">
        <v>4.7056000000000004</v>
      </c>
      <c r="C11" s="652">
        <v>5882.0</v>
      </c>
      <c r="E11" s="647" t="s">
        <v>321</v>
      </c>
      <c r="F11" s="657">
        <v>1418.68510858324</v>
      </c>
      <c r="G11" s="649">
        <v>11.3</v>
      </c>
      <c r="H11" s="650" t="s">
        <v>922</v>
      </c>
      <c r="I11" s="650">
        <v>11.6</v>
      </c>
      <c r="J11" s="651">
        <f t="shared" si="1"/>
        <v>0.3</v>
      </c>
    </row>
    <row r="12" ht="22.5" customHeight="1">
      <c r="A12" s="644" t="s">
        <v>939</v>
      </c>
      <c r="B12" s="659">
        <v>70.1904</v>
      </c>
      <c r="C12" s="652">
        <v>14623.0</v>
      </c>
      <c r="E12" s="647" t="s">
        <v>940</v>
      </c>
      <c r="F12" s="648">
        <v>149.915841584158</v>
      </c>
      <c r="G12" s="649">
        <v>0.38</v>
      </c>
      <c r="H12" s="650" t="s">
        <v>922</v>
      </c>
      <c r="I12" s="650">
        <v>0.309</v>
      </c>
      <c r="J12" s="658">
        <f t="shared" si="1"/>
        <v>-0.071</v>
      </c>
    </row>
    <row r="13" ht="22.5" customHeight="1">
      <c r="A13" s="644" t="s">
        <v>941</v>
      </c>
      <c r="B13" s="659">
        <v>154.764</v>
      </c>
      <c r="C13" s="652">
        <v>6448.5</v>
      </c>
      <c r="E13" s="647" t="s">
        <v>942</v>
      </c>
      <c r="F13" s="648">
        <v>18914.2894736842</v>
      </c>
      <c r="G13" s="649">
        <v>0.363</v>
      </c>
      <c r="H13" s="650" t="s">
        <v>922</v>
      </c>
      <c r="I13" s="650">
        <v>0.365</v>
      </c>
      <c r="J13" s="651">
        <f t="shared" si="1"/>
        <v>0.002</v>
      </c>
    </row>
    <row r="14" ht="22.5" customHeight="1">
      <c r="A14" s="644" t="s">
        <v>943</v>
      </c>
      <c r="B14" s="659">
        <v>69.335</v>
      </c>
      <c r="C14" s="652">
        <v>13867.0</v>
      </c>
    </row>
    <row r="15" ht="22.5" customHeight="1">
      <c r="A15" s="644" t="s">
        <v>944</v>
      </c>
      <c r="B15" s="645">
        <v>63.03</v>
      </c>
      <c r="C15" s="646"/>
      <c r="E15" s="449" t="s">
        <v>945</v>
      </c>
      <c r="I15" s="660"/>
      <c r="J15" s="661"/>
    </row>
    <row r="16" ht="22.5" customHeight="1">
      <c r="A16" s="644" t="s">
        <v>946</v>
      </c>
      <c r="B16" s="645">
        <v>294.0</v>
      </c>
      <c r="C16" s="646"/>
      <c r="E16" s="660" t="s">
        <v>870</v>
      </c>
      <c r="G16" s="661"/>
      <c r="H16" s="660" t="s">
        <v>947</v>
      </c>
      <c r="I16" s="662" t="s">
        <v>948</v>
      </c>
      <c r="J16" s="663" t="s">
        <v>949</v>
      </c>
      <c r="K16" s="664" t="s">
        <v>950</v>
      </c>
      <c r="L16" s="662" t="s">
        <v>948</v>
      </c>
    </row>
    <row r="17" ht="22.5" customHeight="1">
      <c r="A17" s="644" t="s">
        <v>951</v>
      </c>
      <c r="B17" s="645">
        <v>22817.0</v>
      </c>
      <c r="C17" s="646"/>
      <c r="E17" s="665" t="s">
        <v>952</v>
      </c>
      <c r="F17" s="661"/>
      <c r="I17" s="666" t="s">
        <v>870</v>
      </c>
      <c r="J17" s="666" t="s">
        <v>359</v>
      </c>
      <c r="K17" s="667" t="s">
        <v>360</v>
      </c>
      <c r="L17" s="666" t="s">
        <v>870</v>
      </c>
    </row>
    <row r="18" ht="22.5" customHeight="1">
      <c r="A18" s="644" t="s">
        <v>953</v>
      </c>
      <c r="B18" s="645">
        <v>39657.0</v>
      </c>
      <c r="C18" s="646"/>
      <c r="E18" s="668" t="s">
        <v>869</v>
      </c>
      <c r="F18" s="661"/>
      <c r="I18" s="666" t="s">
        <v>869</v>
      </c>
      <c r="J18" s="666" t="s">
        <v>359</v>
      </c>
      <c r="K18" s="667" t="s">
        <v>477</v>
      </c>
      <c r="L18" s="666" t="s">
        <v>869</v>
      </c>
    </row>
    <row r="19" ht="22.5" customHeight="1">
      <c r="A19" s="644" t="s">
        <v>954</v>
      </c>
      <c r="B19" s="645">
        <v>12200.0</v>
      </c>
      <c r="C19" s="646"/>
      <c r="E19" s="668"/>
      <c r="F19" s="661"/>
      <c r="I19" s="666" t="s">
        <v>869</v>
      </c>
      <c r="J19" s="666" t="s">
        <v>359</v>
      </c>
      <c r="K19" s="667" t="s">
        <v>369</v>
      </c>
      <c r="L19" s="666" t="s">
        <v>869</v>
      </c>
    </row>
    <row r="20" ht="22.5" customHeight="1">
      <c r="A20" s="644" t="s">
        <v>955</v>
      </c>
      <c r="B20" s="659"/>
      <c r="C20" s="646"/>
      <c r="E20" s="660"/>
      <c r="F20" s="661"/>
      <c r="I20" s="666" t="s">
        <v>870</v>
      </c>
      <c r="J20" s="666" t="s">
        <v>359</v>
      </c>
      <c r="K20" s="667" t="s">
        <v>465</v>
      </c>
      <c r="L20" s="666" t="s">
        <v>870</v>
      </c>
    </row>
    <row r="21" ht="22.5" customHeight="1">
      <c r="A21" s="644" t="s">
        <v>956</v>
      </c>
      <c r="B21" s="659"/>
      <c r="C21" s="646"/>
      <c r="E21" s="665"/>
      <c r="F21" s="661"/>
      <c r="I21" s="666" t="s">
        <v>952</v>
      </c>
      <c r="J21" s="666" t="s">
        <v>359</v>
      </c>
      <c r="K21" s="667" t="s">
        <v>957</v>
      </c>
      <c r="L21" s="666" t="s">
        <v>952</v>
      </c>
    </row>
    <row r="22" ht="22.5" customHeight="1">
      <c r="A22" s="644" t="s">
        <v>958</v>
      </c>
      <c r="B22" s="645">
        <v>501.375</v>
      </c>
      <c r="C22" s="646"/>
      <c r="E22" s="668"/>
      <c r="F22" s="661"/>
      <c r="I22" s="666" t="s">
        <v>869</v>
      </c>
      <c r="J22" s="666" t="s">
        <v>359</v>
      </c>
      <c r="K22" s="667" t="s">
        <v>385</v>
      </c>
      <c r="L22" s="666" t="s">
        <v>869</v>
      </c>
    </row>
    <row r="23" ht="22.5" customHeight="1">
      <c r="A23" s="650" t="s">
        <v>959</v>
      </c>
      <c r="B23" s="669">
        <v>17.85</v>
      </c>
      <c r="C23" s="670"/>
      <c r="E23" s="668"/>
      <c r="F23" s="661"/>
      <c r="I23" s="666" t="s">
        <v>869</v>
      </c>
      <c r="J23" s="666" t="s">
        <v>359</v>
      </c>
      <c r="K23" s="667" t="s">
        <v>430</v>
      </c>
      <c r="L23" s="666" t="s">
        <v>869</v>
      </c>
    </row>
    <row r="24">
      <c r="C24" s="443"/>
      <c r="E24" s="660"/>
      <c r="F24" s="668"/>
      <c r="G24" s="535"/>
      <c r="I24" s="666" t="s">
        <v>870</v>
      </c>
      <c r="J24" s="666" t="s">
        <v>380</v>
      </c>
      <c r="K24" s="671" t="s">
        <v>451</v>
      </c>
      <c r="L24" s="666" t="s">
        <v>870</v>
      </c>
    </row>
    <row r="25">
      <c r="C25" s="443"/>
      <c r="E25" s="660"/>
      <c r="F25" s="668"/>
      <c r="G25" s="449"/>
      <c r="I25" s="666" t="s">
        <v>870</v>
      </c>
      <c r="J25" s="666" t="s">
        <v>380</v>
      </c>
      <c r="K25" s="671" t="s">
        <v>381</v>
      </c>
      <c r="L25" s="666" t="s">
        <v>870</v>
      </c>
    </row>
    <row r="26">
      <c r="C26" s="443"/>
      <c r="E26" s="660"/>
      <c r="F26" s="668"/>
      <c r="G26" s="449"/>
      <c r="I26" s="666" t="s">
        <v>870</v>
      </c>
      <c r="J26" s="666" t="s">
        <v>380</v>
      </c>
      <c r="K26" s="671" t="s">
        <v>400</v>
      </c>
      <c r="L26" s="666" t="s">
        <v>870</v>
      </c>
    </row>
    <row r="27">
      <c r="C27" s="443"/>
      <c r="E27" s="660"/>
      <c r="F27" s="668"/>
      <c r="G27" s="449"/>
      <c r="I27" s="666" t="s">
        <v>870</v>
      </c>
      <c r="J27" s="666" t="s">
        <v>380</v>
      </c>
      <c r="K27" s="671" t="s">
        <v>413</v>
      </c>
      <c r="L27" s="666" t="s">
        <v>870</v>
      </c>
    </row>
    <row r="28">
      <c r="C28" s="443"/>
      <c r="F28" s="668"/>
    </row>
    <row r="29">
      <c r="C29" s="443"/>
      <c r="F29" s="668"/>
    </row>
    <row r="30">
      <c r="C30" s="443"/>
      <c r="F30" s="668"/>
    </row>
    <row r="31">
      <c r="A31" s="443" t="str">
        <f t="array" ref="A31:A1024">TOLERANCIA!D2:D1002</f>
        <v>ANTERIOR</v>
      </c>
      <c r="B31" s="443" t="str">
        <f>IFERROR(__xludf.DUMMYFUNCTION("TRANSPOSE(unique(FILTER($K$17:$K$28,$J$17:$J$28=A31)))"),"Rayado de pecho ")</f>
        <v>Rayado de pecho </v>
      </c>
      <c r="C31" s="534" t="str">
        <f>IFERROR(__xludf.DUMMYFUNCTION("""COMPUTED_VALUE"""),"Desuello de manos ")</f>
        <v>Desuello de manos </v>
      </c>
      <c r="D31" s="534" t="str">
        <f>IFERROR(__xludf.DUMMYFUNCTION("""COMPUTED_VALUE"""),"Eviscerado de Blanca")</f>
        <v>Eviscerado de Blanca</v>
      </c>
      <c r="E31" s="443" t="str">
        <f>IFERROR(__xludf.DUMMYFUNCTION("""COMPUTED_VALUE"""),"Desolladora (cogote ")</f>
        <v>Desolladora (cogote </v>
      </c>
      <c r="F31" s="443" t="str">
        <f>IFERROR(__xludf.DUMMYFUNCTION("""COMPUTED_VALUE"""),"Leche visible ")</f>
        <v>Leche visible </v>
      </c>
      <c r="G31" s="443" t="str">
        <f>IFERROR(__xludf.DUMMYFUNCTION("""COMPUTED_VALUE"""),"Clipado de esofago ")</f>
        <v>Clipado de esofago </v>
      </c>
      <c r="H31" s="627" t="str">
        <f>IFERROR(__xludf.DUMMYFUNCTION("""COMPUTED_VALUE"""),"Corte de esternon ")</f>
        <v>Corte de esternon </v>
      </c>
    </row>
    <row r="32">
      <c r="A32" s="443" t="s">
        <v>359</v>
      </c>
      <c r="B32" s="443" t="str">
        <f>IFERROR(__xludf.DUMMYFUNCTION("TRANSPOSE(unique(FILTER($K$17:$K$28,$J$17:$J$28=A32)))"),"Rayado de pecho ")</f>
        <v>Rayado de pecho </v>
      </c>
      <c r="C32" s="534" t="str">
        <f>IFERROR(__xludf.DUMMYFUNCTION("""COMPUTED_VALUE"""),"Desuello de manos ")</f>
        <v>Desuello de manos </v>
      </c>
      <c r="D32" s="534" t="str">
        <f>IFERROR(__xludf.DUMMYFUNCTION("""COMPUTED_VALUE"""),"Eviscerado de Blanca")</f>
        <v>Eviscerado de Blanca</v>
      </c>
      <c r="E32" s="443" t="str">
        <f>IFERROR(__xludf.DUMMYFUNCTION("""COMPUTED_VALUE"""),"Desolladora (cogote ")</f>
        <v>Desolladora (cogote </v>
      </c>
      <c r="F32" s="443" t="str">
        <f>IFERROR(__xludf.DUMMYFUNCTION("""COMPUTED_VALUE"""),"Leche visible ")</f>
        <v>Leche visible </v>
      </c>
      <c r="G32" s="443" t="str">
        <f>IFERROR(__xludf.DUMMYFUNCTION("""COMPUTED_VALUE"""),"Clipado de esofago ")</f>
        <v>Clipado de esofago </v>
      </c>
      <c r="H32" s="627" t="str">
        <f>IFERROR(__xludf.DUMMYFUNCTION("""COMPUTED_VALUE"""),"Corte de esternon ")</f>
        <v>Corte de esternon </v>
      </c>
    </row>
    <row r="33">
      <c r="A33" s="443" t="s">
        <v>359</v>
      </c>
      <c r="B33" s="443" t="str">
        <f>IFERROR(__xludf.DUMMYFUNCTION("TRANSPOSE(unique(FILTER($K$17:$K$28,$J$17:$J$28=A33)))"),"Rayado de pecho ")</f>
        <v>Rayado de pecho </v>
      </c>
      <c r="C33" s="534" t="str">
        <f>IFERROR(__xludf.DUMMYFUNCTION("""COMPUTED_VALUE"""),"Desuello de manos ")</f>
        <v>Desuello de manos </v>
      </c>
      <c r="D33" s="534" t="str">
        <f>IFERROR(__xludf.DUMMYFUNCTION("""COMPUTED_VALUE"""),"Eviscerado de Blanca")</f>
        <v>Eviscerado de Blanca</v>
      </c>
      <c r="E33" s="443" t="str">
        <f>IFERROR(__xludf.DUMMYFUNCTION("""COMPUTED_VALUE"""),"Desolladora (cogote ")</f>
        <v>Desolladora (cogote </v>
      </c>
      <c r="F33" s="443" t="str">
        <f>IFERROR(__xludf.DUMMYFUNCTION("""COMPUTED_VALUE"""),"Leche visible ")</f>
        <v>Leche visible </v>
      </c>
      <c r="G33" s="443" t="str">
        <f>IFERROR(__xludf.DUMMYFUNCTION("""COMPUTED_VALUE"""),"Clipado de esofago ")</f>
        <v>Clipado de esofago </v>
      </c>
      <c r="H33" s="627" t="str">
        <f>IFERROR(__xludf.DUMMYFUNCTION("""COMPUTED_VALUE"""),"Corte de esternon ")</f>
        <v>Corte de esternon </v>
      </c>
    </row>
    <row r="34">
      <c r="A34" s="443" t="s">
        <v>359</v>
      </c>
      <c r="B34" s="443" t="str">
        <f>IFERROR(__xludf.DUMMYFUNCTION("TRANSPOSE(unique(FILTER($K$17:$K$28,$J$17:$J$28=A34)))"),"Rayado de pecho ")</f>
        <v>Rayado de pecho </v>
      </c>
      <c r="C34" s="534" t="str">
        <f>IFERROR(__xludf.DUMMYFUNCTION("""COMPUTED_VALUE"""),"Desuello de manos ")</f>
        <v>Desuello de manos </v>
      </c>
      <c r="D34" s="534" t="str">
        <f>IFERROR(__xludf.DUMMYFUNCTION("""COMPUTED_VALUE"""),"Eviscerado de Blanca")</f>
        <v>Eviscerado de Blanca</v>
      </c>
      <c r="E34" s="443" t="str">
        <f>IFERROR(__xludf.DUMMYFUNCTION("""COMPUTED_VALUE"""),"Desolladora (cogote ")</f>
        <v>Desolladora (cogote </v>
      </c>
      <c r="F34" s="443" t="str">
        <f>IFERROR(__xludf.DUMMYFUNCTION("""COMPUTED_VALUE"""),"Leche visible ")</f>
        <v>Leche visible </v>
      </c>
      <c r="G34" s="443" t="str">
        <f>IFERROR(__xludf.DUMMYFUNCTION("""COMPUTED_VALUE"""),"Clipado de esofago ")</f>
        <v>Clipado de esofago </v>
      </c>
      <c r="H34" s="627" t="str">
        <f>IFERROR(__xludf.DUMMYFUNCTION("""COMPUTED_VALUE"""),"Corte de esternon ")</f>
        <v>Corte de esternon </v>
      </c>
    </row>
    <row r="35">
      <c r="A35" s="443" t="s">
        <v>380</v>
      </c>
      <c r="B35" s="443" t="str">
        <f>IFERROR(__xludf.DUMMYFUNCTION("TRANSPOSE(unique(FILTER($K$17:$K$28,$J$17:$J$28=A35)))"),"Corte de patas ")</f>
        <v>Corte de patas </v>
      </c>
      <c r="C35" s="534" t="str">
        <f>IFERROR(__xludf.DUMMYFUNCTION("""COMPUTED_VALUE"""),"Choque de canales ")</f>
        <v>Choque de canales </v>
      </c>
      <c r="D35" s="534" t="str">
        <f>IFERROR(__xludf.DUMMYFUNCTION("""COMPUTED_VALUE"""),"Manipulacion ")</f>
        <v>Manipulacion </v>
      </c>
      <c r="E35" s="443" t="str">
        <f>IFERROR(__xludf.DUMMYFUNCTION("""COMPUTED_VALUE"""),"Despeje de recto ")</f>
        <v>Despeje de recto </v>
      </c>
      <c r="F35" s="443"/>
      <c r="G35" s="443"/>
    </row>
    <row r="36">
      <c r="A36" s="443" t="s">
        <v>359</v>
      </c>
      <c r="B36" s="443" t="str">
        <f>IFERROR(__xludf.DUMMYFUNCTION("TRANSPOSE(unique(FILTER($K$17:$K$28,$J$17:$J$28=A36)))"),"Rayado de pecho ")</f>
        <v>Rayado de pecho </v>
      </c>
      <c r="C36" s="534" t="str">
        <f>IFERROR(__xludf.DUMMYFUNCTION("""COMPUTED_VALUE"""),"Desuello de manos ")</f>
        <v>Desuello de manos </v>
      </c>
      <c r="D36" s="534" t="str">
        <f>IFERROR(__xludf.DUMMYFUNCTION("""COMPUTED_VALUE"""),"Eviscerado de Blanca")</f>
        <v>Eviscerado de Blanca</v>
      </c>
      <c r="E36" s="443" t="str">
        <f>IFERROR(__xludf.DUMMYFUNCTION("""COMPUTED_VALUE"""),"Desolladora (cogote ")</f>
        <v>Desolladora (cogote </v>
      </c>
      <c r="F36" s="443" t="str">
        <f>IFERROR(__xludf.DUMMYFUNCTION("""COMPUTED_VALUE"""),"Leche visible ")</f>
        <v>Leche visible </v>
      </c>
      <c r="G36" s="443" t="str">
        <f>IFERROR(__xludf.DUMMYFUNCTION("""COMPUTED_VALUE"""),"Clipado de esofago ")</f>
        <v>Clipado de esofago </v>
      </c>
      <c r="H36" s="627" t="str">
        <f>IFERROR(__xludf.DUMMYFUNCTION("""COMPUTED_VALUE"""),"Corte de esternon ")</f>
        <v>Corte de esternon </v>
      </c>
    </row>
    <row r="37">
      <c r="A37" s="443" t="s">
        <v>359</v>
      </c>
      <c r="B37" s="443" t="str">
        <f>IFERROR(__xludf.DUMMYFUNCTION("TRANSPOSE(unique(FILTER($K$17:$K$28,$J$17:$J$28=A37)))"),"Rayado de pecho ")</f>
        <v>Rayado de pecho </v>
      </c>
      <c r="C37" s="534" t="str">
        <f>IFERROR(__xludf.DUMMYFUNCTION("""COMPUTED_VALUE"""),"Desuello de manos ")</f>
        <v>Desuello de manos </v>
      </c>
      <c r="D37" s="534" t="str">
        <f>IFERROR(__xludf.DUMMYFUNCTION("""COMPUTED_VALUE"""),"Eviscerado de Blanca")</f>
        <v>Eviscerado de Blanca</v>
      </c>
      <c r="E37" s="443" t="str">
        <f>IFERROR(__xludf.DUMMYFUNCTION("""COMPUTED_VALUE"""),"Desolladora (cogote ")</f>
        <v>Desolladora (cogote </v>
      </c>
      <c r="F37" s="443" t="str">
        <f>IFERROR(__xludf.DUMMYFUNCTION("""COMPUTED_VALUE"""),"Leche visible ")</f>
        <v>Leche visible </v>
      </c>
      <c r="G37" s="443" t="str">
        <f>IFERROR(__xludf.DUMMYFUNCTION("""COMPUTED_VALUE"""),"Clipado de esofago ")</f>
        <v>Clipado de esofago </v>
      </c>
      <c r="H37" s="627" t="str">
        <f>IFERROR(__xludf.DUMMYFUNCTION("""COMPUTED_VALUE"""),"Corte de esternon ")</f>
        <v>Corte de esternon </v>
      </c>
    </row>
    <row r="38">
      <c r="A38" s="443" t="s">
        <v>359</v>
      </c>
      <c r="B38" s="443" t="str">
        <f>IFERROR(__xludf.DUMMYFUNCTION("TRANSPOSE(unique(FILTER($K$17:$K$28,$J$17:$J$28=A38)))"),"Rayado de pecho ")</f>
        <v>Rayado de pecho </v>
      </c>
      <c r="C38" s="534" t="str">
        <f>IFERROR(__xludf.DUMMYFUNCTION("""COMPUTED_VALUE"""),"Desuello de manos ")</f>
        <v>Desuello de manos </v>
      </c>
      <c r="D38" s="534" t="str">
        <f>IFERROR(__xludf.DUMMYFUNCTION("""COMPUTED_VALUE"""),"Eviscerado de Blanca")</f>
        <v>Eviscerado de Blanca</v>
      </c>
      <c r="E38" s="443" t="str">
        <f>IFERROR(__xludf.DUMMYFUNCTION("""COMPUTED_VALUE"""),"Desolladora (cogote ")</f>
        <v>Desolladora (cogote </v>
      </c>
      <c r="F38" s="443" t="str">
        <f>IFERROR(__xludf.DUMMYFUNCTION("""COMPUTED_VALUE"""),"Leche visible ")</f>
        <v>Leche visible </v>
      </c>
      <c r="G38" s="443" t="str">
        <f>IFERROR(__xludf.DUMMYFUNCTION("""COMPUTED_VALUE"""),"Clipado de esofago ")</f>
        <v>Clipado de esofago </v>
      </c>
      <c r="H38" s="627" t="str">
        <f>IFERROR(__xludf.DUMMYFUNCTION("""COMPUTED_VALUE"""),"Corte de esternon ")</f>
        <v>Corte de esternon </v>
      </c>
    </row>
    <row r="39">
      <c r="A39" s="443" t="s">
        <v>380</v>
      </c>
      <c r="B39" s="443" t="str">
        <f>IFERROR(__xludf.DUMMYFUNCTION("TRANSPOSE(unique(FILTER($K$17:$K$28,$J$17:$J$28=A39)))"),"Corte de patas ")</f>
        <v>Corte de patas </v>
      </c>
      <c r="C39" s="534" t="str">
        <f>IFERROR(__xludf.DUMMYFUNCTION("""COMPUTED_VALUE"""),"Choque de canales ")</f>
        <v>Choque de canales </v>
      </c>
      <c r="D39" s="534" t="str">
        <f>IFERROR(__xludf.DUMMYFUNCTION("""COMPUTED_VALUE"""),"Manipulacion ")</f>
        <v>Manipulacion </v>
      </c>
      <c r="E39" s="443" t="str">
        <f>IFERROR(__xludf.DUMMYFUNCTION("""COMPUTED_VALUE"""),"Despeje de recto ")</f>
        <v>Despeje de recto </v>
      </c>
      <c r="F39" s="443"/>
      <c r="G39" s="443"/>
    </row>
    <row r="40">
      <c r="A40" s="443" t="s">
        <v>359</v>
      </c>
      <c r="B40" s="443" t="str">
        <f>IFERROR(__xludf.DUMMYFUNCTION("TRANSPOSE(unique(FILTER($K$17:$K$28,$J$17:$J$28=A40)))"),"Rayado de pecho ")</f>
        <v>Rayado de pecho </v>
      </c>
      <c r="C40" s="534" t="str">
        <f>IFERROR(__xludf.DUMMYFUNCTION("""COMPUTED_VALUE"""),"Desuello de manos ")</f>
        <v>Desuello de manos </v>
      </c>
      <c r="D40" s="534" t="str">
        <f>IFERROR(__xludf.DUMMYFUNCTION("""COMPUTED_VALUE"""),"Eviscerado de Blanca")</f>
        <v>Eviscerado de Blanca</v>
      </c>
      <c r="E40" s="443" t="str">
        <f>IFERROR(__xludf.DUMMYFUNCTION("""COMPUTED_VALUE"""),"Desolladora (cogote ")</f>
        <v>Desolladora (cogote </v>
      </c>
      <c r="F40" s="443" t="str">
        <f>IFERROR(__xludf.DUMMYFUNCTION("""COMPUTED_VALUE"""),"Leche visible ")</f>
        <v>Leche visible </v>
      </c>
      <c r="G40" s="443" t="str">
        <f>IFERROR(__xludf.DUMMYFUNCTION("""COMPUTED_VALUE"""),"Clipado de esofago ")</f>
        <v>Clipado de esofago </v>
      </c>
      <c r="H40" s="627" t="str">
        <f>IFERROR(__xludf.DUMMYFUNCTION("""COMPUTED_VALUE"""),"Corte de esternon ")</f>
        <v>Corte de esternon </v>
      </c>
    </row>
    <row r="41">
      <c r="A41" s="443" t="s">
        <v>359</v>
      </c>
      <c r="B41" s="443" t="str">
        <f>IFERROR(__xludf.DUMMYFUNCTION("TRANSPOSE(unique(FILTER($K$17:$K$28,$J$17:$J$28=A41)))"),"Rayado de pecho ")</f>
        <v>Rayado de pecho </v>
      </c>
      <c r="C41" s="534" t="str">
        <f>IFERROR(__xludf.DUMMYFUNCTION("""COMPUTED_VALUE"""),"Desuello de manos ")</f>
        <v>Desuello de manos </v>
      </c>
      <c r="D41" s="534" t="str">
        <f>IFERROR(__xludf.DUMMYFUNCTION("""COMPUTED_VALUE"""),"Eviscerado de Blanca")</f>
        <v>Eviscerado de Blanca</v>
      </c>
      <c r="E41" s="443" t="str">
        <f>IFERROR(__xludf.DUMMYFUNCTION("""COMPUTED_VALUE"""),"Desolladora (cogote ")</f>
        <v>Desolladora (cogote </v>
      </c>
      <c r="F41" s="443" t="str">
        <f>IFERROR(__xludf.DUMMYFUNCTION("""COMPUTED_VALUE"""),"Leche visible ")</f>
        <v>Leche visible </v>
      </c>
      <c r="G41" s="443" t="str">
        <f>IFERROR(__xludf.DUMMYFUNCTION("""COMPUTED_VALUE"""),"Clipado de esofago ")</f>
        <v>Clipado de esofago </v>
      </c>
      <c r="H41" s="627" t="str">
        <f>IFERROR(__xludf.DUMMYFUNCTION("""COMPUTED_VALUE"""),"Corte de esternon ")</f>
        <v>Corte de esternon </v>
      </c>
    </row>
    <row r="42">
      <c r="A42" s="443" t="s">
        <v>359</v>
      </c>
      <c r="B42" s="443" t="str">
        <f>IFERROR(__xludf.DUMMYFUNCTION("TRANSPOSE(unique(FILTER($K$17:$K$28,$J$17:$J$28=A42)))"),"Rayado de pecho ")</f>
        <v>Rayado de pecho </v>
      </c>
      <c r="C42" s="534" t="str">
        <f>IFERROR(__xludf.DUMMYFUNCTION("""COMPUTED_VALUE"""),"Desuello de manos ")</f>
        <v>Desuello de manos </v>
      </c>
      <c r="D42" s="534" t="str">
        <f>IFERROR(__xludf.DUMMYFUNCTION("""COMPUTED_VALUE"""),"Eviscerado de Blanca")</f>
        <v>Eviscerado de Blanca</v>
      </c>
      <c r="E42" s="443" t="str">
        <f>IFERROR(__xludf.DUMMYFUNCTION("""COMPUTED_VALUE"""),"Desolladora (cogote ")</f>
        <v>Desolladora (cogote </v>
      </c>
      <c r="F42" s="443" t="str">
        <f>IFERROR(__xludf.DUMMYFUNCTION("""COMPUTED_VALUE"""),"Leche visible ")</f>
        <v>Leche visible </v>
      </c>
      <c r="G42" s="443" t="str">
        <f>IFERROR(__xludf.DUMMYFUNCTION("""COMPUTED_VALUE"""),"Clipado de esofago ")</f>
        <v>Clipado de esofago </v>
      </c>
      <c r="H42" s="627" t="str">
        <f>IFERROR(__xludf.DUMMYFUNCTION("""COMPUTED_VALUE"""),"Corte de esternon ")</f>
        <v>Corte de esternon </v>
      </c>
    </row>
    <row r="43">
      <c r="A43" s="443" t="s">
        <v>380</v>
      </c>
      <c r="B43" s="443" t="str">
        <f>IFERROR(__xludf.DUMMYFUNCTION("TRANSPOSE(unique(FILTER($K$17:$K$28,$J$17:$J$28=A43)))"),"Corte de patas ")</f>
        <v>Corte de patas </v>
      </c>
      <c r="C43" s="534" t="str">
        <f>IFERROR(__xludf.DUMMYFUNCTION("""COMPUTED_VALUE"""),"Choque de canales ")</f>
        <v>Choque de canales </v>
      </c>
      <c r="D43" s="534" t="str">
        <f>IFERROR(__xludf.DUMMYFUNCTION("""COMPUTED_VALUE"""),"Manipulacion ")</f>
        <v>Manipulacion </v>
      </c>
      <c r="E43" s="443" t="str">
        <f>IFERROR(__xludf.DUMMYFUNCTION("""COMPUTED_VALUE"""),"Despeje de recto ")</f>
        <v>Despeje de recto </v>
      </c>
      <c r="F43" s="443"/>
      <c r="G43" s="443"/>
    </row>
    <row r="44">
      <c r="A44" s="443" t="s">
        <v>380</v>
      </c>
      <c r="B44" s="443" t="str">
        <f>IFERROR(__xludf.DUMMYFUNCTION("TRANSPOSE(unique(FILTER($K$17:$K$28,$J$17:$J$28=A44)))"),"Corte de patas ")</f>
        <v>Corte de patas </v>
      </c>
      <c r="C44" s="534" t="str">
        <f>IFERROR(__xludf.DUMMYFUNCTION("""COMPUTED_VALUE"""),"Choque de canales ")</f>
        <v>Choque de canales </v>
      </c>
      <c r="D44" s="534" t="str">
        <f>IFERROR(__xludf.DUMMYFUNCTION("""COMPUTED_VALUE"""),"Manipulacion ")</f>
        <v>Manipulacion </v>
      </c>
      <c r="E44" s="443" t="str">
        <f>IFERROR(__xludf.DUMMYFUNCTION("""COMPUTED_VALUE"""),"Despeje de recto ")</f>
        <v>Despeje de recto </v>
      </c>
      <c r="F44" s="443"/>
      <c r="G44" s="443"/>
    </row>
    <row r="45">
      <c r="A45" s="443" t="s">
        <v>380</v>
      </c>
      <c r="B45" s="443" t="str">
        <f>IFERROR(__xludf.DUMMYFUNCTION("TRANSPOSE(unique(FILTER($K$17:$K$28,$J$17:$J$28=A45)))"),"Corte de patas ")</f>
        <v>Corte de patas </v>
      </c>
      <c r="C45" s="534" t="str">
        <f>IFERROR(__xludf.DUMMYFUNCTION("""COMPUTED_VALUE"""),"Choque de canales ")</f>
        <v>Choque de canales </v>
      </c>
      <c r="D45" s="534" t="str">
        <f>IFERROR(__xludf.DUMMYFUNCTION("""COMPUTED_VALUE"""),"Manipulacion ")</f>
        <v>Manipulacion </v>
      </c>
      <c r="E45" s="443" t="str">
        <f>IFERROR(__xludf.DUMMYFUNCTION("""COMPUTED_VALUE"""),"Despeje de recto ")</f>
        <v>Despeje de recto </v>
      </c>
      <c r="F45" s="443"/>
      <c r="G45" s="443"/>
    </row>
    <row r="46">
      <c r="A46" s="443" t="s">
        <v>359</v>
      </c>
      <c r="B46" s="443" t="str">
        <f>IFERROR(__xludf.DUMMYFUNCTION("TRANSPOSE(unique(FILTER($K$17:$K$28,$J$17:$J$28=A46)))"),"Rayado de pecho ")</f>
        <v>Rayado de pecho </v>
      </c>
      <c r="C46" s="534" t="str">
        <f>IFERROR(__xludf.DUMMYFUNCTION("""COMPUTED_VALUE"""),"Desuello de manos ")</f>
        <v>Desuello de manos </v>
      </c>
      <c r="D46" s="534" t="str">
        <f>IFERROR(__xludf.DUMMYFUNCTION("""COMPUTED_VALUE"""),"Eviscerado de Blanca")</f>
        <v>Eviscerado de Blanca</v>
      </c>
      <c r="E46" s="443" t="str">
        <f>IFERROR(__xludf.DUMMYFUNCTION("""COMPUTED_VALUE"""),"Desolladora (cogote ")</f>
        <v>Desolladora (cogote </v>
      </c>
      <c r="F46" s="443" t="str">
        <f>IFERROR(__xludf.DUMMYFUNCTION("""COMPUTED_VALUE"""),"Leche visible ")</f>
        <v>Leche visible </v>
      </c>
      <c r="G46" s="443" t="str">
        <f>IFERROR(__xludf.DUMMYFUNCTION("""COMPUTED_VALUE"""),"Clipado de esofago ")</f>
        <v>Clipado de esofago </v>
      </c>
      <c r="H46" s="627" t="str">
        <f>IFERROR(__xludf.DUMMYFUNCTION("""COMPUTED_VALUE"""),"Corte de esternon ")</f>
        <v>Corte de esternon </v>
      </c>
    </row>
    <row r="47">
      <c r="A47" s="443" t="s">
        <v>359</v>
      </c>
      <c r="B47" s="443" t="str">
        <f>IFERROR(__xludf.DUMMYFUNCTION("TRANSPOSE(unique(FILTER($K$17:$K$28,$J$17:$J$28=A47)))"),"Rayado de pecho ")</f>
        <v>Rayado de pecho </v>
      </c>
      <c r="C47" s="534" t="str">
        <f>IFERROR(__xludf.DUMMYFUNCTION("""COMPUTED_VALUE"""),"Desuello de manos ")</f>
        <v>Desuello de manos </v>
      </c>
      <c r="D47" s="534" t="str">
        <f>IFERROR(__xludf.DUMMYFUNCTION("""COMPUTED_VALUE"""),"Eviscerado de Blanca")</f>
        <v>Eviscerado de Blanca</v>
      </c>
      <c r="E47" s="443" t="str">
        <f>IFERROR(__xludf.DUMMYFUNCTION("""COMPUTED_VALUE"""),"Desolladora (cogote ")</f>
        <v>Desolladora (cogote </v>
      </c>
      <c r="F47" s="443" t="str">
        <f>IFERROR(__xludf.DUMMYFUNCTION("""COMPUTED_VALUE"""),"Leche visible ")</f>
        <v>Leche visible </v>
      </c>
      <c r="G47" s="443" t="str">
        <f>IFERROR(__xludf.DUMMYFUNCTION("""COMPUTED_VALUE"""),"Clipado de esofago ")</f>
        <v>Clipado de esofago </v>
      </c>
      <c r="H47" s="627" t="str">
        <f>IFERROR(__xludf.DUMMYFUNCTION("""COMPUTED_VALUE"""),"Corte de esternon ")</f>
        <v>Corte de esternon </v>
      </c>
    </row>
    <row r="48">
      <c r="A48" s="443" t="s">
        <v>380</v>
      </c>
      <c r="B48" s="443" t="str">
        <f>IFERROR(__xludf.DUMMYFUNCTION("TRANSPOSE(unique(FILTER($K$17:$K$28,$J$17:$J$28=A48)))"),"Corte de patas ")</f>
        <v>Corte de patas </v>
      </c>
      <c r="C48" s="534" t="str">
        <f>IFERROR(__xludf.DUMMYFUNCTION("""COMPUTED_VALUE"""),"Choque de canales ")</f>
        <v>Choque de canales </v>
      </c>
      <c r="D48" s="534" t="str">
        <f>IFERROR(__xludf.DUMMYFUNCTION("""COMPUTED_VALUE"""),"Manipulacion ")</f>
        <v>Manipulacion </v>
      </c>
      <c r="E48" s="443" t="str">
        <f>IFERROR(__xludf.DUMMYFUNCTION("""COMPUTED_VALUE"""),"Despeje de recto ")</f>
        <v>Despeje de recto </v>
      </c>
      <c r="F48" s="443"/>
      <c r="G48" s="443"/>
    </row>
    <row r="49">
      <c r="A49" s="443" t="s">
        <v>359</v>
      </c>
      <c r="B49" s="443" t="str">
        <f>IFERROR(__xludf.DUMMYFUNCTION("TRANSPOSE(unique(FILTER($K$17:$K$28,$J$17:$J$28=A49)))"),"Rayado de pecho ")</f>
        <v>Rayado de pecho </v>
      </c>
      <c r="C49" s="534" t="str">
        <f>IFERROR(__xludf.DUMMYFUNCTION("""COMPUTED_VALUE"""),"Desuello de manos ")</f>
        <v>Desuello de manos </v>
      </c>
      <c r="D49" s="534" t="str">
        <f>IFERROR(__xludf.DUMMYFUNCTION("""COMPUTED_VALUE"""),"Eviscerado de Blanca")</f>
        <v>Eviscerado de Blanca</v>
      </c>
      <c r="E49" s="443" t="str">
        <f>IFERROR(__xludf.DUMMYFUNCTION("""COMPUTED_VALUE"""),"Desolladora (cogote ")</f>
        <v>Desolladora (cogote </v>
      </c>
      <c r="F49" s="443" t="str">
        <f>IFERROR(__xludf.DUMMYFUNCTION("""COMPUTED_VALUE"""),"Leche visible ")</f>
        <v>Leche visible </v>
      </c>
      <c r="G49" s="443" t="str">
        <f>IFERROR(__xludf.DUMMYFUNCTION("""COMPUTED_VALUE"""),"Clipado de esofago ")</f>
        <v>Clipado de esofago </v>
      </c>
      <c r="H49" s="627" t="str">
        <f>IFERROR(__xludf.DUMMYFUNCTION("""COMPUTED_VALUE"""),"Corte de esternon ")</f>
        <v>Corte de esternon </v>
      </c>
    </row>
    <row r="50">
      <c r="A50" s="443" t="s">
        <v>380</v>
      </c>
      <c r="B50" s="443" t="str">
        <f>IFERROR(__xludf.DUMMYFUNCTION("TRANSPOSE(unique(FILTER($K$17:$K$28,$J$17:$J$28=A50)))"),"Corte de patas ")</f>
        <v>Corte de patas </v>
      </c>
      <c r="C50" s="534" t="str">
        <f>IFERROR(__xludf.DUMMYFUNCTION("""COMPUTED_VALUE"""),"Choque de canales ")</f>
        <v>Choque de canales </v>
      </c>
      <c r="D50" s="534" t="str">
        <f>IFERROR(__xludf.DUMMYFUNCTION("""COMPUTED_VALUE"""),"Manipulacion ")</f>
        <v>Manipulacion </v>
      </c>
      <c r="E50" s="443" t="str">
        <f>IFERROR(__xludf.DUMMYFUNCTION("""COMPUTED_VALUE"""),"Despeje de recto ")</f>
        <v>Despeje de recto </v>
      </c>
      <c r="F50" s="443"/>
      <c r="G50" s="443"/>
    </row>
    <row r="51">
      <c r="A51" s="627" t="s">
        <v>359</v>
      </c>
      <c r="B51" s="627" t="str">
        <f>IFERROR(__xludf.DUMMYFUNCTION("TRANSPOSE(unique(FILTER($K$17:$K$28,$J$17:$J$28=A51)))"),"Rayado de pecho ")</f>
        <v>Rayado de pecho </v>
      </c>
      <c r="C51" s="534" t="str">
        <f>IFERROR(__xludf.DUMMYFUNCTION("""COMPUTED_VALUE"""),"Desuello de manos ")</f>
        <v>Desuello de manos </v>
      </c>
      <c r="D51" s="534" t="str">
        <f>IFERROR(__xludf.DUMMYFUNCTION("""COMPUTED_VALUE"""),"Eviscerado de Blanca")</f>
        <v>Eviscerado de Blanca</v>
      </c>
      <c r="E51" s="627" t="str">
        <f>IFERROR(__xludf.DUMMYFUNCTION("""COMPUTED_VALUE"""),"Desolladora (cogote ")</f>
        <v>Desolladora (cogote </v>
      </c>
      <c r="F51" s="627" t="str">
        <f>IFERROR(__xludf.DUMMYFUNCTION("""COMPUTED_VALUE"""),"Leche visible ")</f>
        <v>Leche visible </v>
      </c>
      <c r="G51" s="627" t="str">
        <f>IFERROR(__xludf.DUMMYFUNCTION("""COMPUTED_VALUE"""),"Clipado de esofago ")</f>
        <v>Clipado de esofago </v>
      </c>
      <c r="H51" s="627" t="str">
        <f>IFERROR(__xludf.DUMMYFUNCTION("""COMPUTED_VALUE"""),"Corte de esternon ")</f>
        <v>Corte de esternon </v>
      </c>
    </row>
    <row r="52">
      <c r="A52" s="627" t="s">
        <v>359</v>
      </c>
      <c r="B52" s="627" t="str">
        <f>IFERROR(__xludf.DUMMYFUNCTION("TRANSPOSE(unique(FILTER($K$17:$K$28,$J$17:$J$28=A52)))"),"Rayado de pecho ")</f>
        <v>Rayado de pecho </v>
      </c>
      <c r="C52" s="443" t="str">
        <f>IFERROR(__xludf.DUMMYFUNCTION("""COMPUTED_VALUE"""),"Desuello de manos ")</f>
        <v>Desuello de manos </v>
      </c>
      <c r="D52" s="534" t="str">
        <f>IFERROR(__xludf.DUMMYFUNCTION("""COMPUTED_VALUE"""),"Eviscerado de Blanca")</f>
        <v>Eviscerado de Blanca</v>
      </c>
      <c r="E52" s="627" t="str">
        <f>IFERROR(__xludf.DUMMYFUNCTION("""COMPUTED_VALUE"""),"Desolladora (cogote ")</f>
        <v>Desolladora (cogote </v>
      </c>
      <c r="F52" s="627" t="str">
        <f>IFERROR(__xludf.DUMMYFUNCTION("""COMPUTED_VALUE"""),"Leche visible ")</f>
        <v>Leche visible </v>
      </c>
      <c r="G52" s="627" t="str">
        <f>IFERROR(__xludf.DUMMYFUNCTION("""COMPUTED_VALUE"""),"Clipado de esofago ")</f>
        <v>Clipado de esofago </v>
      </c>
      <c r="H52" s="627" t="str">
        <f>IFERROR(__xludf.DUMMYFUNCTION("""COMPUTED_VALUE"""),"Corte de esternon ")</f>
        <v>Corte de esternon </v>
      </c>
    </row>
    <row r="53">
      <c r="A53" s="627" t="s">
        <v>380</v>
      </c>
      <c r="B53" s="627" t="str">
        <f>IFERROR(__xludf.DUMMYFUNCTION("TRANSPOSE(unique(FILTER($K$17:$K$28,$J$17:$J$28=A53)))"),"Corte de patas ")</f>
        <v>Corte de patas </v>
      </c>
      <c r="C53" s="443" t="str">
        <f>IFERROR(__xludf.DUMMYFUNCTION("""COMPUTED_VALUE"""),"Choque de canales ")</f>
        <v>Choque de canales </v>
      </c>
      <c r="D53" s="534" t="str">
        <f>IFERROR(__xludf.DUMMYFUNCTION("""COMPUTED_VALUE"""),"Manipulacion ")</f>
        <v>Manipulacion </v>
      </c>
      <c r="E53" s="627" t="str">
        <f>IFERROR(__xludf.DUMMYFUNCTION("""COMPUTED_VALUE"""),"Despeje de recto ")</f>
        <v>Despeje de recto </v>
      </c>
    </row>
    <row r="54">
      <c r="A54" s="627" t="s">
        <v>359</v>
      </c>
      <c r="B54" s="627" t="str">
        <f>IFERROR(__xludf.DUMMYFUNCTION("TRANSPOSE(unique(FILTER($K$17:$K$28,$J$17:$J$28=A54)))"),"Rayado de pecho ")</f>
        <v>Rayado de pecho </v>
      </c>
      <c r="C54" s="443" t="str">
        <f>IFERROR(__xludf.DUMMYFUNCTION("""COMPUTED_VALUE"""),"Desuello de manos ")</f>
        <v>Desuello de manos </v>
      </c>
      <c r="D54" s="534" t="str">
        <f>IFERROR(__xludf.DUMMYFUNCTION("""COMPUTED_VALUE"""),"Eviscerado de Blanca")</f>
        <v>Eviscerado de Blanca</v>
      </c>
      <c r="E54" s="627" t="str">
        <f>IFERROR(__xludf.DUMMYFUNCTION("""COMPUTED_VALUE"""),"Desolladora (cogote ")</f>
        <v>Desolladora (cogote </v>
      </c>
      <c r="F54" s="627" t="str">
        <f>IFERROR(__xludf.DUMMYFUNCTION("""COMPUTED_VALUE"""),"Leche visible ")</f>
        <v>Leche visible </v>
      </c>
      <c r="G54" s="627" t="str">
        <f>IFERROR(__xludf.DUMMYFUNCTION("""COMPUTED_VALUE"""),"Clipado de esofago ")</f>
        <v>Clipado de esofago </v>
      </c>
      <c r="H54" s="627" t="str">
        <f>IFERROR(__xludf.DUMMYFUNCTION("""COMPUTED_VALUE"""),"Corte de esternon ")</f>
        <v>Corte de esternon </v>
      </c>
    </row>
    <row r="55">
      <c r="A55" s="627" t="s">
        <v>380</v>
      </c>
      <c r="B55" s="627" t="str">
        <f>IFERROR(__xludf.DUMMYFUNCTION("TRANSPOSE(unique(FILTER($K$17:$K$28,$J$17:$J$28=A55)))"),"Corte de patas ")</f>
        <v>Corte de patas </v>
      </c>
      <c r="C55" s="443" t="str">
        <f>IFERROR(__xludf.DUMMYFUNCTION("""COMPUTED_VALUE"""),"Choque de canales ")</f>
        <v>Choque de canales </v>
      </c>
      <c r="D55" s="534" t="str">
        <f>IFERROR(__xludf.DUMMYFUNCTION("""COMPUTED_VALUE"""),"Manipulacion ")</f>
        <v>Manipulacion </v>
      </c>
      <c r="E55" s="627" t="str">
        <f>IFERROR(__xludf.DUMMYFUNCTION("""COMPUTED_VALUE"""),"Despeje de recto ")</f>
        <v>Despeje de recto </v>
      </c>
    </row>
    <row r="56">
      <c r="A56" s="627" t="s">
        <v>380</v>
      </c>
      <c r="B56" s="627" t="str">
        <f>IFERROR(__xludf.DUMMYFUNCTION("TRANSPOSE(unique(FILTER($K$17:$K$28,$J$17:$J$28=A56)))"),"Corte de patas ")</f>
        <v>Corte de patas </v>
      </c>
      <c r="C56" s="443" t="str">
        <f>IFERROR(__xludf.DUMMYFUNCTION("""COMPUTED_VALUE"""),"Choque de canales ")</f>
        <v>Choque de canales </v>
      </c>
      <c r="D56" s="534" t="str">
        <f>IFERROR(__xludf.DUMMYFUNCTION("""COMPUTED_VALUE"""),"Manipulacion ")</f>
        <v>Manipulacion </v>
      </c>
      <c r="E56" s="627" t="str">
        <f>IFERROR(__xludf.DUMMYFUNCTION("""COMPUTED_VALUE"""),"Despeje de recto ")</f>
        <v>Despeje de recto </v>
      </c>
    </row>
    <row r="57">
      <c r="A57" s="627" t="s">
        <v>380</v>
      </c>
      <c r="B57" s="627" t="str">
        <f>IFERROR(__xludf.DUMMYFUNCTION("TRANSPOSE(unique(FILTER($K$17:$K$28,$J$17:$J$28=A57)))"),"Corte de patas ")</f>
        <v>Corte de patas </v>
      </c>
      <c r="C57" s="443" t="str">
        <f>IFERROR(__xludf.DUMMYFUNCTION("""COMPUTED_VALUE"""),"Choque de canales ")</f>
        <v>Choque de canales </v>
      </c>
      <c r="D57" s="534" t="str">
        <f>IFERROR(__xludf.DUMMYFUNCTION("""COMPUTED_VALUE"""),"Manipulacion ")</f>
        <v>Manipulacion </v>
      </c>
      <c r="E57" s="627" t="str">
        <f>IFERROR(__xludf.DUMMYFUNCTION("""COMPUTED_VALUE"""),"Despeje de recto ")</f>
        <v>Despeje de recto </v>
      </c>
    </row>
    <row r="58">
      <c r="A58" s="627" t="s">
        <v>380</v>
      </c>
      <c r="B58" s="627" t="str">
        <f>IFERROR(__xludf.DUMMYFUNCTION("TRANSPOSE(unique(FILTER($K$17:$K$28,$J$17:$J$28=A58)))"),"Corte de patas ")</f>
        <v>Corte de patas </v>
      </c>
      <c r="C58" s="443" t="str">
        <f>IFERROR(__xludf.DUMMYFUNCTION("""COMPUTED_VALUE"""),"Choque de canales ")</f>
        <v>Choque de canales </v>
      </c>
      <c r="D58" s="534" t="str">
        <f>IFERROR(__xludf.DUMMYFUNCTION("""COMPUTED_VALUE"""),"Manipulacion ")</f>
        <v>Manipulacion </v>
      </c>
      <c r="E58" s="627" t="str">
        <f>IFERROR(__xludf.DUMMYFUNCTION("""COMPUTED_VALUE"""),"Despeje de recto ")</f>
        <v>Despeje de recto </v>
      </c>
    </row>
    <row r="59">
      <c r="A59" s="627" t="s">
        <v>359</v>
      </c>
      <c r="B59" s="627" t="str">
        <f>IFERROR(__xludf.DUMMYFUNCTION("TRANSPOSE(unique(FILTER($K$17:$K$28,$J$17:$J$28=A59)))"),"Rayado de pecho ")</f>
        <v>Rayado de pecho </v>
      </c>
      <c r="C59" s="443" t="str">
        <f>IFERROR(__xludf.DUMMYFUNCTION("""COMPUTED_VALUE"""),"Desuello de manos ")</f>
        <v>Desuello de manos </v>
      </c>
      <c r="D59" s="534" t="str">
        <f>IFERROR(__xludf.DUMMYFUNCTION("""COMPUTED_VALUE"""),"Eviscerado de Blanca")</f>
        <v>Eviscerado de Blanca</v>
      </c>
      <c r="E59" s="627" t="str">
        <f>IFERROR(__xludf.DUMMYFUNCTION("""COMPUTED_VALUE"""),"Desolladora (cogote ")</f>
        <v>Desolladora (cogote </v>
      </c>
      <c r="F59" s="627" t="str">
        <f>IFERROR(__xludf.DUMMYFUNCTION("""COMPUTED_VALUE"""),"Leche visible ")</f>
        <v>Leche visible </v>
      </c>
      <c r="G59" s="627" t="str">
        <f>IFERROR(__xludf.DUMMYFUNCTION("""COMPUTED_VALUE"""),"Clipado de esofago ")</f>
        <v>Clipado de esofago </v>
      </c>
      <c r="H59" s="627" t="str">
        <f>IFERROR(__xludf.DUMMYFUNCTION("""COMPUTED_VALUE"""),"Corte de esternon ")</f>
        <v>Corte de esternon </v>
      </c>
    </row>
    <row r="60">
      <c r="A60" s="627" t="s">
        <v>359</v>
      </c>
      <c r="B60" s="627" t="str">
        <f>IFERROR(__xludf.DUMMYFUNCTION("TRANSPOSE(unique(FILTER($K$17:$K$28,$J$17:$J$28=A60)))"),"Rayado de pecho ")</f>
        <v>Rayado de pecho </v>
      </c>
      <c r="C60" s="443" t="str">
        <f>IFERROR(__xludf.DUMMYFUNCTION("""COMPUTED_VALUE"""),"Desuello de manos ")</f>
        <v>Desuello de manos </v>
      </c>
      <c r="D60" s="534" t="str">
        <f>IFERROR(__xludf.DUMMYFUNCTION("""COMPUTED_VALUE"""),"Eviscerado de Blanca")</f>
        <v>Eviscerado de Blanca</v>
      </c>
      <c r="E60" s="627" t="str">
        <f>IFERROR(__xludf.DUMMYFUNCTION("""COMPUTED_VALUE"""),"Desolladora (cogote ")</f>
        <v>Desolladora (cogote </v>
      </c>
      <c r="F60" s="627" t="str">
        <f>IFERROR(__xludf.DUMMYFUNCTION("""COMPUTED_VALUE"""),"Leche visible ")</f>
        <v>Leche visible </v>
      </c>
      <c r="G60" s="627" t="str">
        <f>IFERROR(__xludf.DUMMYFUNCTION("""COMPUTED_VALUE"""),"Clipado de esofago ")</f>
        <v>Clipado de esofago </v>
      </c>
      <c r="H60" s="627" t="str">
        <f>IFERROR(__xludf.DUMMYFUNCTION("""COMPUTED_VALUE"""),"Corte de esternon ")</f>
        <v>Corte de esternon </v>
      </c>
    </row>
    <row r="61">
      <c r="A61" s="627" t="s">
        <v>380</v>
      </c>
      <c r="B61" s="627" t="str">
        <f>IFERROR(__xludf.DUMMYFUNCTION("TRANSPOSE(unique(FILTER($K$17:$K$28,$J$17:$J$28=A61)))"),"Corte de patas ")</f>
        <v>Corte de patas </v>
      </c>
      <c r="C61" s="443" t="str">
        <f>IFERROR(__xludf.DUMMYFUNCTION("""COMPUTED_VALUE"""),"Choque de canales ")</f>
        <v>Choque de canales </v>
      </c>
      <c r="D61" s="534" t="str">
        <f>IFERROR(__xludf.DUMMYFUNCTION("""COMPUTED_VALUE"""),"Manipulacion ")</f>
        <v>Manipulacion </v>
      </c>
      <c r="E61" s="627" t="str">
        <f>IFERROR(__xludf.DUMMYFUNCTION("""COMPUTED_VALUE"""),"Despeje de recto ")</f>
        <v>Despeje de recto </v>
      </c>
    </row>
    <row r="62">
      <c r="A62" s="627" t="s">
        <v>380</v>
      </c>
      <c r="B62" s="627" t="str">
        <f>IFERROR(__xludf.DUMMYFUNCTION("TRANSPOSE(unique(FILTER($K$17:$K$28,$J$17:$J$28=A62)))"),"Corte de patas ")</f>
        <v>Corte de patas </v>
      </c>
      <c r="C62" s="443" t="str">
        <f>IFERROR(__xludf.DUMMYFUNCTION("""COMPUTED_VALUE"""),"Choque de canales ")</f>
        <v>Choque de canales </v>
      </c>
      <c r="D62" s="534" t="str">
        <f>IFERROR(__xludf.DUMMYFUNCTION("""COMPUTED_VALUE"""),"Manipulacion ")</f>
        <v>Manipulacion </v>
      </c>
      <c r="E62" s="627" t="str">
        <f>IFERROR(__xludf.DUMMYFUNCTION("""COMPUTED_VALUE"""),"Despeje de recto ")</f>
        <v>Despeje de recto </v>
      </c>
    </row>
    <row r="63">
      <c r="A63" s="627" t="s">
        <v>380</v>
      </c>
      <c r="B63" s="627" t="str">
        <f>IFERROR(__xludf.DUMMYFUNCTION("TRANSPOSE(unique(FILTER($K$17:$K$28,$J$17:$J$28=A63)))"),"Corte de patas ")</f>
        <v>Corte de patas </v>
      </c>
      <c r="C63" s="443" t="str">
        <f>IFERROR(__xludf.DUMMYFUNCTION("""COMPUTED_VALUE"""),"Choque de canales ")</f>
        <v>Choque de canales </v>
      </c>
      <c r="D63" s="534" t="str">
        <f>IFERROR(__xludf.DUMMYFUNCTION("""COMPUTED_VALUE"""),"Manipulacion ")</f>
        <v>Manipulacion </v>
      </c>
      <c r="E63" s="627" t="str">
        <f>IFERROR(__xludf.DUMMYFUNCTION("""COMPUTED_VALUE"""),"Despeje de recto ")</f>
        <v>Despeje de recto </v>
      </c>
    </row>
    <row r="64">
      <c r="A64" s="627" t="s">
        <v>359</v>
      </c>
      <c r="B64" s="627" t="str">
        <f>IFERROR(__xludf.DUMMYFUNCTION("TRANSPOSE(unique(FILTER($K$17:$K$28,$J$17:$J$28=A64)))"),"Rayado de pecho ")</f>
        <v>Rayado de pecho </v>
      </c>
      <c r="C64" s="443" t="str">
        <f>IFERROR(__xludf.DUMMYFUNCTION("""COMPUTED_VALUE"""),"Desuello de manos ")</f>
        <v>Desuello de manos </v>
      </c>
      <c r="D64" s="534" t="str">
        <f>IFERROR(__xludf.DUMMYFUNCTION("""COMPUTED_VALUE"""),"Eviscerado de Blanca")</f>
        <v>Eviscerado de Blanca</v>
      </c>
      <c r="E64" s="627" t="str">
        <f>IFERROR(__xludf.DUMMYFUNCTION("""COMPUTED_VALUE"""),"Desolladora (cogote ")</f>
        <v>Desolladora (cogote </v>
      </c>
      <c r="F64" s="627" t="str">
        <f>IFERROR(__xludf.DUMMYFUNCTION("""COMPUTED_VALUE"""),"Leche visible ")</f>
        <v>Leche visible </v>
      </c>
      <c r="G64" s="627" t="str">
        <f>IFERROR(__xludf.DUMMYFUNCTION("""COMPUTED_VALUE"""),"Clipado de esofago ")</f>
        <v>Clipado de esofago </v>
      </c>
      <c r="H64" s="627" t="str">
        <f>IFERROR(__xludf.DUMMYFUNCTION("""COMPUTED_VALUE"""),"Corte de esternon ")</f>
        <v>Corte de esternon </v>
      </c>
    </row>
    <row r="65">
      <c r="A65" s="627" t="s">
        <v>380</v>
      </c>
      <c r="B65" s="627" t="str">
        <f>IFERROR(__xludf.DUMMYFUNCTION("TRANSPOSE(unique(FILTER($K$17:$K$28,$J$17:$J$28=A65)))"),"Corte de patas ")</f>
        <v>Corte de patas </v>
      </c>
      <c r="C65" s="443" t="str">
        <f>IFERROR(__xludf.DUMMYFUNCTION("""COMPUTED_VALUE"""),"Choque de canales ")</f>
        <v>Choque de canales </v>
      </c>
      <c r="D65" s="534" t="str">
        <f>IFERROR(__xludf.DUMMYFUNCTION("""COMPUTED_VALUE"""),"Manipulacion ")</f>
        <v>Manipulacion </v>
      </c>
      <c r="E65" s="627" t="str">
        <f>IFERROR(__xludf.DUMMYFUNCTION("""COMPUTED_VALUE"""),"Despeje de recto ")</f>
        <v>Despeje de recto </v>
      </c>
    </row>
    <row r="66">
      <c r="A66" s="627" t="s">
        <v>380</v>
      </c>
      <c r="B66" s="627" t="str">
        <f>IFERROR(__xludf.DUMMYFUNCTION("TRANSPOSE(unique(FILTER($K$17:$K$28,$J$17:$J$28=A66)))"),"Corte de patas ")</f>
        <v>Corte de patas </v>
      </c>
      <c r="C66" s="443" t="str">
        <f>IFERROR(__xludf.DUMMYFUNCTION("""COMPUTED_VALUE"""),"Choque de canales ")</f>
        <v>Choque de canales </v>
      </c>
      <c r="D66" s="534" t="str">
        <f>IFERROR(__xludf.DUMMYFUNCTION("""COMPUTED_VALUE"""),"Manipulacion ")</f>
        <v>Manipulacion </v>
      </c>
      <c r="E66" s="627" t="str">
        <f>IFERROR(__xludf.DUMMYFUNCTION("""COMPUTED_VALUE"""),"Despeje de recto ")</f>
        <v>Despeje de recto </v>
      </c>
    </row>
    <row r="67">
      <c r="A67" s="627" t="s">
        <v>359</v>
      </c>
      <c r="B67" s="627" t="str">
        <f>IFERROR(__xludf.DUMMYFUNCTION("TRANSPOSE(unique(FILTER($K$17:$K$28,$J$17:$J$28=A67)))"),"Rayado de pecho ")</f>
        <v>Rayado de pecho </v>
      </c>
      <c r="C67" s="443" t="str">
        <f>IFERROR(__xludf.DUMMYFUNCTION("""COMPUTED_VALUE"""),"Desuello de manos ")</f>
        <v>Desuello de manos </v>
      </c>
      <c r="D67" s="534" t="str">
        <f>IFERROR(__xludf.DUMMYFUNCTION("""COMPUTED_VALUE"""),"Eviscerado de Blanca")</f>
        <v>Eviscerado de Blanca</v>
      </c>
      <c r="E67" s="627" t="str">
        <f>IFERROR(__xludf.DUMMYFUNCTION("""COMPUTED_VALUE"""),"Desolladora (cogote ")</f>
        <v>Desolladora (cogote </v>
      </c>
      <c r="F67" s="627" t="str">
        <f>IFERROR(__xludf.DUMMYFUNCTION("""COMPUTED_VALUE"""),"Leche visible ")</f>
        <v>Leche visible </v>
      </c>
      <c r="G67" s="627" t="str">
        <f>IFERROR(__xludf.DUMMYFUNCTION("""COMPUTED_VALUE"""),"Clipado de esofago ")</f>
        <v>Clipado de esofago </v>
      </c>
      <c r="H67" s="627" t="str">
        <f>IFERROR(__xludf.DUMMYFUNCTION("""COMPUTED_VALUE"""),"Corte de esternon ")</f>
        <v>Corte de esternon </v>
      </c>
    </row>
    <row r="68">
      <c r="A68" s="627" t="s">
        <v>359</v>
      </c>
      <c r="B68" s="627" t="str">
        <f>IFERROR(__xludf.DUMMYFUNCTION("TRANSPOSE(unique(FILTER($K$17:$K$28,$J$17:$J$28=A68)))"),"Rayado de pecho ")</f>
        <v>Rayado de pecho </v>
      </c>
      <c r="C68" s="443" t="str">
        <f>IFERROR(__xludf.DUMMYFUNCTION("""COMPUTED_VALUE"""),"Desuello de manos ")</f>
        <v>Desuello de manos </v>
      </c>
      <c r="D68" s="534" t="str">
        <f>IFERROR(__xludf.DUMMYFUNCTION("""COMPUTED_VALUE"""),"Eviscerado de Blanca")</f>
        <v>Eviscerado de Blanca</v>
      </c>
      <c r="E68" s="627" t="str">
        <f>IFERROR(__xludf.DUMMYFUNCTION("""COMPUTED_VALUE"""),"Desolladora (cogote ")</f>
        <v>Desolladora (cogote </v>
      </c>
      <c r="F68" s="627" t="str">
        <f>IFERROR(__xludf.DUMMYFUNCTION("""COMPUTED_VALUE"""),"Leche visible ")</f>
        <v>Leche visible </v>
      </c>
      <c r="G68" s="627" t="str">
        <f>IFERROR(__xludf.DUMMYFUNCTION("""COMPUTED_VALUE"""),"Clipado de esofago ")</f>
        <v>Clipado de esofago </v>
      </c>
      <c r="H68" s="627" t="str">
        <f>IFERROR(__xludf.DUMMYFUNCTION("""COMPUTED_VALUE"""),"Corte de esternon ")</f>
        <v>Corte de esternon </v>
      </c>
    </row>
    <row r="69">
      <c r="A69" s="627" t="s">
        <v>359</v>
      </c>
      <c r="B69" s="627" t="str">
        <f>IFERROR(__xludf.DUMMYFUNCTION("TRANSPOSE(unique(FILTER($K$17:$K$28,$J$17:$J$28=A69)))"),"Rayado de pecho ")</f>
        <v>Rayado de pecho </v>
      </c>
      <c r="C69" s="443" t="str">
        <f>IFERROR(__xludf.DUMMYFUNCTION("""COMPUTED_VALUE"""),"Desuello de manos ")</f>
        <v>Desuello de manos </v>
      </c>
      <c r="D69" s="534" t="str">
        <f>IFERROR(__xludf.DUMMYFUNCTION("""COMPUTED_VALUE"""),"Eviscerado de Blanca")</f>
        <v>Eviscerado de Blanca</v>
      </c>
      <c r="E69" s="627" t="str">
        <f>IFERROR(__xludf.DUMMYFUNCTION("""COMPUTED_VALUE"""),"Desolladora (cogote ")</f>
        <v>Desolladora (cogote </v>
      </c>
      <c r="F69" s="627" t="str">
        <f>IFERROR(__xludf.DUMMYFUNCTION("""COMPUTED_VALUE"""),"Leche visible ")</f>
        <v>Leche visible </v>
      </c>
      <c r="G69" s="627" t="str">
        <f>IFERROR(__xludf.DUMMYFUNCTION("""COMPUTED_VALUE"""),"Clipado de esofago ")</f>
        <v>Clipado de esofago </v>
      </c>
      <c r="H69" s="627" t="str">
        <f>IFERROR(__xludf.DUMMYFUNCTION("""COMPUTED_VALUE"""),"Corte de esternon ")</f>
        <v>Corte de esternon </v>
      </c>
    </row>
    <row r="70">
      <c r="A70" s="627" t="s">
        <v>380</v>
      </c>
      <c r="B70" s="627" t="str">
        <f>IFERROR(__xludf.DUMMYFUNCTION("TRANSPOSE(unique(FILTER($K$17:$K$28,$J$17:$J$28=A70)))"),"Corte de patas ")</f>
        <v>Corte de patas </v>
      </c>
      <c r="C70" s="443" t="str">
        <f>IFERROR(__xludf.DUMMYFUNCTION("""COMPUTED_VALUE"""),"Choque de canales ")</f>
        <v>Choque de canales </v>
      </c>
      <c r="D70" s="534" t="str">
        <f>IFERROR(__xludf.DUMMYFUNCTION("""COMPUTED_VALUE"""),"Manipulacion ")</f>
        <v>Manipulacion </v>
      </c>
      <c r="E70" s="627" t="str">
        <f>IFERROR(__xludf.DUMMYFUNCTION("""COMPUTED_VALUE"""),"Despeje de recto ")</f>
        <v>Despeje de recto </v>
      </c>
    </row>
    <row r="71">
      <c r="A71" s="627" t="s">
        <v>380</v>
      </c>
      <c r="B71" s="627" t="str">
        <f>IFERROR(__xludf.DUMMYFUNCTION("TRANSPOSE(unique(FILTER($K$17:$K$28,$J$17:$J$28=A71)))"),"Corte de patas ")</f>
        <v>Corte de patas </v>
      </c>
      <c r="C71" s="443" t="str">
        <f>IFERROR(__xludf.DUMMYFUNCTION("""COMPUTED_VALUE"""),"Choque de canales ")</f>
        <v>Choque de canales </v>
      </c>
      <c r="D71" s="534" t="str">
        <f>IFERROR(__xludf.DUMMYFUNCTION("""COMPUTED_VALUE"""),"Manipulacion ")</f>
        <v>Manipulacion </v>
      </c>
      <c r="E71" s="627" t="str">
        <f>IFERROR(__xludf.DUMMYFUNCTION("""COMPUTED_VALUE"""),"Despeje de recto ")</f>
        <v>Despeje de recto </v>
      </c>
    </row>
    <row r="72">
      <c r="A72" s="627" t="s">
        <v>359</v>
      </c>
      <c r="B72" s="627" t="str">
        <f>IFERROR(__xludf.DUMMYFUNCTION("TRANSPOSE(unique(FILTER($K$17:$K$28,$J$17:$J$28=A72)))"),"Rayado de pecho ")</f>
        <v>Rayado de pecho </v>
      </c>
      <c r="C72" s="443" t="str">
        <f>IFERROR(__xludf.DUMMYFUNCTION("""COMPUTED_VALUE"""),"Desuello de manos ")</f>
        <v>Desuello de manos </v>
      </c>
      <c r="D72" s="534" t="str">
        <f>IFERROR(__xludf.DUMMYFUNCTION("""COMPUTED_VALUE"""),"Eviscerado de Blanca")</f>
        <v>Eviscerado de Blanca</v>
      </c>
      <c r="E72" s="627" t="str">
        <f>IFERROR(__xludf.DUMMYFUNCTION("""COMPUTED_VALUE"""),"Desolladora (cogote ")</f>
        <v>Desolladora (cogote </v>
      </c>
      <c r="F72" s="627" t="str">
        <f>IFERROR(__xludf.DUMMYFUNCTION("""COMPUTED_VALUE"""),"Leche visible ")</f>
        <v>Leche visible </v>
      </c>
      <c r="G72" s="627" t="str">
        <f>IFERROR(__xludf.DUMMYFUNCTION("""COMPUTED_VALUE"""),"Clipado de esofago ")</f>
        <v>Clipado de esofago </v>
      </c>
      <c r="H72" s="627" t="str">
        <f>IFERROR(__xludf.DUMMYFUNCTION("""COMPUTED_VALUE"""),"Corte de esternon ")</f>
        <v>Corte de esternon </v>
      </c>
    </row>
    <row r="73">
      <c r="A73" s="627" t="s">
        <v>359</v>
      </c>
      <c r="B73" s="627" t="str">
        <f>IFERROR(__xludf.DUMMYFUNCTION("TRANSPOSE(unique(FILTER($K$17:$K$28,$J$17:$J$28=A73)))"),"Rayado de pecho ")</f>
        <v>Rayado de pecho </v>
      </c>
      <c r="C73" s="443" t="str">
        <f>IFERROR(__xludf.DUMMYFUNCTION("""COMPUTED_VALUE"""),"Desuello de manos ")</f>
        <v>Desuello de manos </v>
      </c>
      <c r="D73" s="534" t="str">
        <f>IFERROR(__xludf.DUMMYFUNCTION("""COMPUTED_VALUE"""),"Eviscerado de Blanca")</f>
        <v>Eviscerado de Blanca</v>
      </c>
      <c r="E73" s="627" t="str">
        <f>IFERROR(__xludf.DUMMYFUNCTION("""COMPUTED_VALUE"""),"Desolladora (cogote ")</f>
        <v>Desolladora (cogote </v>
      </c>
      <c r="F73" s="627" t="str">
        <f>IFERROR(__xludf.DUMMYFUNCTION("""COMPUTED_VALUE"""),"Leche visible ")</f>
        <v>Leche visible </v>
      </c>
      <c r="G73" s="627" t="str">
        <f>IFERROR(__xludf.DUMMYFUNCTION("""COMPUTED_VALUE"""),"Clipado de esofago ")</f>
        <v>Clipado de esofago </v>
      </c>
      <c r="H73" s="627" t="str">
        <f>IFERROR(__xludf.DUMMYFUNCTION("""COMPUTED_VALUE"""),"Corte de esternon ")</f>
        <v>Corte de esternon </v>
      </c>
    </row>
    <row r="74">
      <c r="A74" s="627" t="s">
        <v>359</v>
      </c>
      <c r="B74" s="627" t="str">
        <f>IFERROR(__xludf.DUMMYFUNCTION("TRANSPOSE(unique(FILTER($K$17:$K$28,$J$17:$J$28=A74)))"),"Rayado de pecho ")</f>
        <v>Rayado de pecho </v>
      </c>
      <c r="C74" s="443" t="str">
        <f>IFERROR(__xludf.DUMMYFUNCTION("""COMPUTED_VALUE"""),"Desuello de manos ")</f>
        <v>Desuello de manos </v>
      </c>
      <c r="D74" s="534" t="str">
        <f>IFERROR(__xludf.DUMMYFUNCTION("""COMPUTED_VALUE"""),"Eviscerado de Blanca")</f>
        <v>Eviscerado de Blanca</v>
      </c>
      <c r="E74" s="627" t="str">
        <f>IFERROR(__xludf.DUMMYFUNCTION("""COMPUTED_VALUE"""),"Desolladora (cogote ")</f>
        <v>Desolladora (cogote </v>
      </c>
      <c r="F74" s="627" t="str">
        <f>IFERROR(__xludf.DUMMYFUNCTION("""COMPUTED_VALUE"""),"Leche visible ")</f>
        <v>Leche visible </v>
      </c>
      <c r="G74" s="627" t="str">
        <f>IFERROR(__xludf.DUMMYFUNCTION("""COMPUTED_VALUE"""),"Clipado de esofago ")</f>
        <v>Clipado de esofago </v>
      </c>
      <c r="H74" s="627" t="str">
        <f>IFERROR(__xludf.DUMMYFUNCTION("""COMPUTED_VALUE"""),"Corte de esternon ")</f>
        <v>Corte de esternon </v>
      </c>
    </row>
    <row r="75">
      <c r="A75" s="627" t="s">
        <v>359</v>
      </c>
      <c r="B75" s="627" t="str">
        <f>IFERROR(__xludf.DUMMYFUNCTION("TRANSPOSE(unique(FILTER($K$17:$K$28,$J$17:$J$28=A75)))"),"Rayado de pecho ")</f>
        <v>Rayado de pecho </v>
      </c>
      <c r="C75" s="443" t="str">
        <f>IFERROR(__xludf.DUMMYFUNCTION("""COMPUTED_VALUE"""),"Desuello de manos ")</f>
        <v>Desuello de manos </v>
      </c>
      <c r="D75" s="534" t="str">
        <f>IFERROR(__xludf.DUMMYFUNCTION("""COMPUTED_VALUE"""),"Eviscerado de Blanca")</f>
        <v>Eviscerado de Blanca</v>
      </c>
      <c r="E75" s="627" t="str">
        <f>IFERROR(__xludf.DUMMYFUNCTION("""COMPUTED_VALUE"""),"Desolladora (cogote ")</f>
        <v>Desolladora (cogote </v>
      </c>
      <c r="F75" s="627" t="str">
        <f>IFERROR(__xludf.DUMMYFUNCTION("""COMPUTED_VALUE"""),"Leche visible ")</f>
        <v>Leche visible </v>
      </c>
      <c r="G75" s="627" t="str">
        <f>IFERROR(__xludf.DUMMYFUNCTION("""COMPUTED_VALUE"""),"Clipado de esofago ")</f>
        <v>Clipado de esofago </v>
      </c>
      <c r="H75" s="627" t="str">
        <f>IFERROR(__xludf.DUMMYFUNCTION("""COMPUTED_VALUE"""),"Corte de esternon ")</f>
        <v>Corte de esternon </v>
      </c>
    </row>
    <row r="76">
      <c r="A76" s="627" t="s">
        <v>380</v>
      </c>
      <c r="B76" s="627" t="str">
        <f>IFERROR(__xludf.DUMMYFUNCTION("TRANSPOSE(unique(FILTER($K$17:$K$28,$J$17:$J$28=A76)))"),"Corte de patas ")</f>
        <v>Corte de patas </v>
      </c>
      <c r="C76" s="443" t="str">
        <f>IFERROR(__xludf.DUMMYFUNCTION("""COMPUTED_VALUE"""),"Choque de canales ")</f>
        <v>Choque de canales </v>
      </c>
      <c r="D76" s="534" t="str">
        <f>IFERROR(__xludf.DUMMYFUNCTION("""COMPUTED_VALUE"""),"Manipulacion ")</f>
        <v>Manipulacion </v>
      </c>
      <c r="E76" s="627" t="str">
        <f>IFERROR(__xludf.DUMMYFUNCTION("""COMPUTED_VALUE"""),"Despeje de recto ")</f>
        <v>Despeje de recto </v>
      </c>
    </row>
    <row r="77">
      <c r="A77" s="627" t="s">
        <v>380</v>
      </c>
      <c r="B77" s="627" t="str">
        <f>IFERROR(__xludf.DUMMYFUNCTION("TRANSPOSE(unique(FILTER($K$17:$K$28,$J$17:$J$28=A77)))"),"Corte de patas ")</f>
        <v>Corte de patas </v>
      </c>
      <c r="C77" s="443" t="str">
        <f>IFERROR(__xludf.DUMMYFUNCTION("""COMPUTED_VALUE"""),"Choque de canales ")</f>
        <v>Choque de canales </v>
      </c>
      <c r="D77" s="534" t="str">
        <f>IFERROR(__xludf.DUMMYFUNCTION("""COMPUTED_VALUE"""),"Manipulacion ")</f>
        <v>Manipulacion </v>
      </c>
      <c r="E77" s="627" t="str">
        <f>IFERROR(__xludf.DUMMYFUNCTION("""COMPUTED_VALUE"""),"Despeje de recto ")</f>
        <v>Despeje de recto </v>
      </c>
    </row>
    <row r="78">
      <c r="A78" s="627" t="s">
        <v>359</v>
      </c>
      <c r="B78" s="627" t="str">
        <f>IFERROR(__xludf.DUMMYFUNCTION("TRANSPOSE(unique(FILTER($K$17:$K$28,$J$17:$J$28=A78)))"),"Rayado de pecho ")</f>
        <v>Rayado de pecho </v>
      </c>
      <c r="C78" s="443" t="str">
        <f>IFERROR(__xludf.DUMMYFUNCTION("""COMPUTED_VALUE"""),"Desuello de manos ")</f>
        <v>Desuello de manos </v>
      </c>
      <c r="D78" s="534" t="str">
        <f>IFERROR(__xludf.DUMMYFUNCTION("""COMPUTED_VALUE"""),"Eviscerado de Blanca")</f>
        <v>Eviscerado de Blanca</v>
      </c>
      <c r="E78" s="627" t="str">
        <f>IFERROR(__xludf.DUMMYFUNCTION("""COMPUTED_VALUE"""),"Desolladora (cogote ")</f>
        <v>Desolladora (cogote </v>
      </c>
      <c r="F78" s="627" t="str">
        <f>IFERROR(__xludf.DUMMYFUNCTION("""COMPUTED_VALUE"""),"Leche visible ")</f>
        <v>Leche visible </v>
      </c>
      <c r="G78" s="627" t="str">
        <f>IFERROR(__xludf.DUMMYFUNCTION("""COMPUTED_VALUE"""),"Clipado de esofago ")</f>
        <v>Clipado de esofago </v>
      </c>
      <c r="H78" s="627" t="str">
        <f>IFERROR(__xludf.DUMMYFUNCTION("""COMPUTED_VALUE"""),"Corte de esternon ")</f>
        <v>Corte de esternon </v>
      </c>
    </row>
    <row r="79">
      <c r="A79" s="627" t="s">
        <v>359</v>
      </c>
      <c r="B79" s="627" t="str">
        <f>IFERROR(__xludf.DUMMYFUNCTION("TRANSPOSE(unique(FILTER($K$17:$K$28,$J$17:$J$28=A79)))"),"Rayado de pecho ")</f>
        <v>Rayado de pecho </v>
      </c>
      <c r="C79" s="443" t="str">
        <f>IFERROR(__xludf.DUMMYFUNCTION("""COMPUTED_VALUE"""),"Desuello de manos ")</f>
        <v>Desuello de manos </v>
      </c>
      <c r="D79" s="534" t="str">
        <f>IFERROR(__xludf.DUMMYFUNCTION("""COMPUTED_VALUE"""),"Eviscerado de Blanca")</f>
        <v>Eviscerado de Blanca</v>
      </c>
      <c r="E79" s="627" t="str">
        <f>IFERROR(__xludf.DUMMYFUNCTION("""COMPUTED_VALUE"""),"Desolladora (cogote ")</f>
        <v>Desolladora (cogote </v>
      </c>
      <c r="F79" s="627" t="str">
        <f>IFERROR(__xludf.DUMMYFUNCTION("""COMPUTED_VALUE"""),"Leche visible ")</f>
        <v>Leche visible </v>
      </c>
      <c r="G79" s="627" t="str">
        <f>IFERROR(__xludf.DUMMYFUNCTION("""COMPUTED_VALUE"""),"Clipado de esofago ")</f>
        <v>Clipado de esofago </v>
      </c>
      <c r="H79" s="627" t="str">
        <f>IFERROR(__xludf.DUMMYFUNCTION("""COMPUTED_VALUE"""),"Corte de esternon ")</f>
        <v>Corte de esternon </v>
      </c>
    </row>
    <row r="80">
      <c r="A80" s="627" t="s">
        <v>359</v>
      </c>
      <c r="B80" s="627" t="str">
        <f>IFERROR(__xludf.DUMMYFUNCTION("TRANSPOSE(unique(FILTER($K$17:$K$28,$J$17:$J$28=A80)))"),"Rayado de pecho ")</f>
        <v>Rayado de pecho </v>
      </c>
      <c r="C80" s="443" t="str">
        <f>IFERROR(__xludf.DUMMYFUNCTION("""COMPUTED_VALUE"""),"Desuello de manos ")</f>
        <v>Desuello de manos </v>
      </c>
      <c r="D80" s="534" t="str">
        <f>IFERROR(__xludf.DUMMYFUNCTION("""COMPUTED_VALUE"""),"Eviscerado de Blanca")</f>
        <v>Eviscerado de Blanca</v>
      </c>
      <c r="E80" s="627" t="str">
        <f>IFERROR(__xludf.DUMMYFUNCTION("""COMPUTED_VALUE"""),"Desolladora (cogote ")</f>
        <v>Desolladora (cogote </v>
      </c>
      <c r="F80" s="627" t="str">
        <f>IFERROR(__xludf.DUMMYFUNCTION("""COMPUTED_VALUE"""),"Leche visible ")</f>
        <v>Leche visible </v>
      </c>
      <c r="G80" s="627" t="str">
        <f>IFERROR(__xludf.DUMMYFUNCTION("""COMPUTED_VALUE"""),"Clipado de esofago ")</f>
        <v>Clipado de esofago </v>
      </c>
      <c r="H80" s="627" t="str">
        <f>IFERROR(__xludf.DUMMYFUNCTION("""COMPUTED_VALUE"""),"Corte de esternon ")</f>
        <v>Corte de esternon </v>
      </c>
    </row>
    <row r="81">
      <c r="A81" s="627" t="s">
        <v>359</v>
      </c>
      <c r="B81" s="627" t="str">
        <f>IFERROR(__xludf.DUMMYFUNCTION("TRANSPOSE(unique(FILTER($K$17:$K$28,$J$17:$J$28=A81)))"),"Rayado de pecho ")</f>
        <v>Rayado de pecho </v>
      </c>
      <c r="C81" s="443" t="str">
        <f>IFERROR(__xludf.DUMMYFUNCTION("""COMPUTED_VALUE"""),"Desuello de manos ")</f>
        <v>Desuello de manos </v>
      </c>
      <c r="D81" s="534" t="str">
        <f>IFERROR(__xludf.DUMMYFUNCTION("""COMPUTED_VALUE"""),"Eviscerado de Blanca")</f>
        <v>Eviscerado de Blanca</v>
      </c>
      <c r="E81" s="627" t="str">
        <f>IFERROR(__xludf.DUMMYFUNCTION("""COMPUTED_VALUE"""),"Desolladora (cogote ")</f>
        <v>Desolladora (cogote </v>
      </c>
      <c r="F81" s="627" t="str">
        <f>IFERROR(__xludf.DUMMYFUNCTION("""COMPUTED_VALUE"""),"Leche visible ")</f>
        <v>Leche visible </v>
      </c>
      <c r="G81" s="627" t="str">
        <f>IFERROR(__xludf.DUMMYFUNCTION("""COMPUTED_VALUE"""),"Clipado de esofago ")</f>
        <v>Clipado de esofago </v>
      </c>
      <c r="H81" s="627" t="str">
        <f>IFERROR(__xludf.DUMMYFUNCTION("""COMPUTED_VALUE"""),"Corte de esternon ")</f>
        <v>Corte de esternon </v>
      </c>
    </row>
    <row r="82">
      <c r="A82" s="627" t="s">
        <v>380</v>
      </c>
      <c r="B82" s="627" t="str">
        <f>IFERROR(__xludf.DUMMYFUNCTION("TRANSPOSE(unique(FILTER($K$17:$K$28,$J$17:$J$28=A82)))"),"Corte de patas ")</f>
        <v>Corte de patas </v>
      </c>
      <c r="C82" s="443" t="str">
        <f>IFERROR(__xludf.DUMMYFUNCTION("""COMPUTED_VALUE"""),"Choque de canales ")</f>
        <v>Choque de canales </v>
      </c>
      <c r="D82" s="534" t="str">
        <f>IFERROR(__xludf.DUMMYFUNCTION("""COMPUTED_VALUE"""),"Manipulacion ")</f>
        <v>Manipulacion </v>
      </c>
      <c r="E82" s="627" t="str">
        <f>IFERROR(__xludf.DUMMYFUNCTION("""COMPUTED_VALUE"""),"Despeje de recto ")</f>
        <v>Despeje de recto </v>
      </c>
    </row>
    <row r="83">
      <c r="A83" s="627" t="s">
        <v>359</v>
      </c>
      <c r="B83" s="627" t="str">
        <f>IFERROR(__xludf.DUMMYFUNCTION("TRANSPOSE(unique(FILTER($K$17:$K$28,$J$17:$J$28=A83)))"),"Rayado de pecho ")</f>
        <v>Rayado de pecho </v>
      </c>
      <c r="C83" s="443" t="str">
        <f>IFERROR(__xludf.DUMMYFUNCTION("""COMPUTED_VALUE"""),"Desuello de manos ")</f>
        <v>Desuello de manos </v>
      </c>
      <c r="D83" s="534" t="str">
        <f>IFERROR(__xludf.DUMMYFUNCTION("""COMPUTED_VALUE"""),"Eviscerado de Blanca")</f>
        <v>Eviscerado de Blanca</v>
      </c>
      <c r="E83" s="627" t="str">
        <f>IFERROR(__xludf.DUMMYFUNCTION("""COMPUTED_VALUE"""),"Desolladora (cogote ")</f>
        <v>Desolladora (cogote </v>
      </c>
      <c r="F83" s="627" t="str">
        <f>IFERROR(__xludf.DUMMYFUNCTION("""COMPUTED_VALUE"""),"Leche visible ")</f>
        <v>Leche visible </v>
      </c>
      <c r="G83" s="627" t="str">
        <f>IFERROR(__xludf.DUMMYFUNCTION("""COMPUTED_VALUE"""),"Clipado de esofago ")</f>
        <v>Clipado de esofago </v>
      </c>
      <c r="H83" s="627" t="str">
        <f>IFERROR(__xludf.DUMMYFUNCTION("""COMPUTED_VALUE"""),"Corte de esternon ")</f>
        <v>Corte de esternon </v>
      </c>
    </row>
    <row r="84">
      <c r="A84" s="627" t="s">
        <v>359</v>
      </c>
      <c r="B84" s="627" t="str">
        <f>IFERROR(__xludf.DUMMYFUNCTION("TRANSPOSE(unique(FILTER($K$17:$K$28,$J$17:$J$28=A84)))"),"Rayado de pecho ")</f>
        <v>Rayado de pecho </v>
      </c>
      <c r="C84" s="443" t="str">
        <f>IFERROR(__xludf.DUMMYFUNCTION("""COMPUTED_VALUE"""),"Desuello de manos ")</f>
        <v>Desuello de manos </v>
      </c>
      <c r="D84" s="534" t="str">
        <f>IFERROR(__xludf.DUMMYFUNCTION("""COMPUTED_VALUE"""),"Eviscerado de Blanca")</f>
        <v>Eviscerado de Blanca</v>
      </c>
      <c r="E84" s="627" t="str">
        <f>IFERROR(__xludf.DUMMYFUNCTION("""COMPUTED_VALUE"""),"Desolladora (cogote ")</f>
        <v>Desolladora (cogote </v>
      </c>
      <c r="F84" s="627" t="str">
        <f>IFERROR(__xludf.DUMMYFUNCTION("""COMPUTED_VALUE"""),"Leche visible ")</f>
        <v>Leche visible </v>
      </c>
      <c r="G84" s="627" t="str">
        <f>IFERROR(__xludf.DUMMYFUNCTION("""COMPUTED_VALUE"""),"Clipado de esofago ")</f>
        <v>Clipado de esofago </v>
      </c>
      <c r="H84" s="627" t="str">
        <f>IFERROR(__xludf.DUMMYFUNCTION("""COMPUTED_VALUE"""),"Corte de esternon ")</f>
        <v>Corte de esternon </v>
      </c>
    </row>
    <row r="85">
      <c r="A85" s="627" t="s">
        <v>380</v>
      </c>
      <c r="B85" s="627" t="str">
        <f>IFERROR(__xludf.DUMMYFUNCTION("TRANSPOSE(unique(FILTER($K$17:$K$28,$J$17:$J$28=A85)))"),"Corte de patas ")</f>
        <v>Corte de patas </v>
      </c>
      <c r="C85" s="443" t="str">
        <f>IFERROR(__xludf.DUMMYFUNCTION("""COMPUTED_VALUE"""),"Choque de canales ")</f>
        <v>Choque de canales </v>
      </c>
      <c r="D85" s="534" t="str">
        <f>IFERROR(__xludf.DUMMYFUNCTION("""COMPUTED_VALUE"""),"Manipulacion ")</f>
        <v>Manipulacion </v>
      </c>
      <c r="E85" s="627" t="str">
        <f>IFERROR(__xludf.DUMMYFUNCTION("""COMPUTED_VALUE"""),"Despeje de recto ")</f>
        <v>Despeje de recto </v>
      </c>
    </row>
    <row r="86">
      <c r="A86" s="627" t="s">
        <v>380</v>
      </c>
      <c r="B86" s="627" t="str">
        <f>IFERROR(__xludf.DUMMYFUNCTION("TRANSPOSE(unique(FILTER($K$17:$K$28,$J$17:$J$28=A86)))"),"Corte de patas ")</f>
        <v>Corte de patas </v>
      </c>
      <c r="C86" s="443" t="str">
        <f>IFERROR(__xludf.DUMMYFUNCTION("""COMPUTED_VALUE"""),"Choque de canales ")</f>
        <v>Choque de canales </v>
      </c>
      <c r="D86" s="534" t="str">
        <f>IFERROR(__xludf.DUMMYFUNCTION("""COMPUTED_VALUE"""),"Manipulacion ")</f>
        <v>Manipulacion </v>
      </c>
      <c r="E86" s="627" t="str">
        <f>IFERROR(__xludf.DUMMYFUNCTION("""COMPUTED_VALUE"""),"Despeje de recto ")</f>
        <v>Despeje de recto </v>
      </c>
    </row>
    <row r="87">
      <c r="A87" s="627" t="s">
        <v>380</v>
      </c>
      <c r="B87" s="627" t="str">
        <f>IFERROR(__xludf.DUMMYFUNCTION("TRANSPOSE(unique(FILTER($K$17:$K$28,$J$17:$J$28=A87)))"),"Corte de patas ")</f>
        <v>Corte de patas </v>
      </c>
      <c r="C87" s="443" t="str">
        <f>IFERROR(__xludf.DUMMYFUNCTION("""COMPUTED_VALUE"""),"Choque de canales ")</f>
        <v>Choque de canales </v>
      </c>
      <c r="D87" s="534" t="str">
        <f>IFERROR(__xludf.DUMMYFUNCTION("""COMPUTED_VALUE"""),"Manipulacion ")</f>
        <v>Manipulacion </v>
      </c>
      <c r="E87" s="627" t="str">
        <f>IFERROR(__xludf.DUMMYFUNCTION("""COMPUTED_VALUE"""),"Despeje de recto ")</f>
        <v>Despeje de recto </v>
      </c>
    </row>
    <row r="88">
      <c r="A88" s="627" t="s">
        <v>380</v>
      </c>
      <c r="B88" s="627" t="str">
        <f>IFERROR(__xludf.DUMMYFUNCTION("TRANSPOSE(unique(FILTER($K$17:$K$28,$J$17:$J$28=A88)))"),"Corte de patas ")</f>
        <v>Corte de patas </v>
      </c>
      <c r="C88" s="443" t="str">
        <f>IFERROR(__xludf.DUMMYFUNCTION("""COMPUTED_VALUE"""),"Choque de canales ")</f>
        <v>Choque de canales </v>
      </c>
      <c r="D88" s="534" t="str">
        <f>IFERROR(__xludf.DUMMYFUNCTION("""COMPUTED_VALUE"""),"Manipulacion ")</f>
        <v>Manipulacion </v>
      </c>
      <c r="E88" s="627" t="str">
        <f>IFERROR(__xludf.DUMMYFUNCTION("""COMPUTED_VALUE"""),"Despeje de recto ")</f>
        <v>Despeje de recto </v>
      </c>
    </row>
    <row r="89">
      <c r="A89" s="627" t="s">
        <v>380</v>
      </c>
      <c r="B89" s="627" t="str">
        <f>IFERROR(__xludf.DUMMYFUNCTION("TRANSPOSE(unique(FILTER($K$17:$K$28,$J$17:$J$28=A89)))"),"Corte de patas ")</f>
        <v>Corte de patas </v>
      </c>
      <c r="C89" s="443" t="str">
        <f>IFERROR(__xludf.DUMMYFUNCTION("""COMPUTED_VALUE"""),"Choque de canales ")</f>
        <v>Choque de canales </v>
      </c>
      <c r="D89" s="534" t="str">
        <f>IFERROR(__xludf.DUMMYFUNCTION("""COMPUTED_VALUE"""),"Manipulacion ")</f>
        <v>Manipulacion </v>
      </c>
      <c r="E89" s="627" t="str">
        <f>IFERROR(__xludf.DUMMYFUNCTION("""COMPUTED_VALUE"""),"Despeje de recto ")</f>
        <v>Despeje de recto </v>
      </c>
    </row>
    <row r="90">
      <c r="A90" s="627" t="s">
        <v>359</v>
      </c>
      <c r="B90" s="627" t="str">
        <f>IFERROR(__xludf.DUMMYFUNCTION("TRANSPOSE(unique(FILTER($K$17:$K$28,$J$17:$J$28=A90)))"),"Rayado de pecho ")</f>
        <v>Rayado de pecho </v>
      </c>
      <c r="C90" s="443" t="str">
        <f>IFERROR(__xludf.DUMMYFUNCTION("""COMPUTED_VALUE"""),"Desuello de manos ")</f>
        <v>Desuello de manos </v>
      </c>
      <c r="D90" s="534" t="str">
        <f>IFERROR(__xludf.DUMMYFUNCTION("""COMPUTED_VALUE"""),"Eviscerado de Blanca")</f>
        <v>Eviscerado de Blanca</v>
      </c>
      <c r="E90" s="627" t="str">
        <f>IFERROR(__xludf.DUMMYFUNCTION("""COMPUTED_VALUE"""),"Desolladora (cogote ")</f>
        <v>Desolladora (cogote </v>
      </c>
      <c r="F90" s="627" t="str">
        <f>IFERROR(__xludf.DUMMYFUNCTION("""COMPUTED_VALUE"""),"Leche visible ")</f>
        <v>Leche visible </v>
      </c>
      <c r="G90" s="627" t="str">
        <f>IFERROR(__xludf.DUMMYFUNCTION("""COMPUTED_VALUE"""),"Clipado de esofago ")</f>
        <v>Clipado de esofago </v>
      </c>
      <c r="H90" s="627" t="str">
        <f>IFERROR(__xludf.DUMMYFUNCTION("""COMPUTED_VALUE"""),"Corte de esternon ")</f>
        <v>Corte de esternon </v>
      </c>
    </row>
    <row r="91">
      <c r="A91" s="627" t="s">
        <v>380</v>
      </c>
      <c r="B91" s="627" t="str">
        <f>IFERROR(__xludf.DUMMYFUNCTION("TRANSPOSE(unique(FILTER($K$17:$K$28,$J$17:$J$28=A91)))"),"Corte de patas ")</f>
        <v>Corte de patas </v>
      </c>
      <c r="C91" s="443" t="str">
        <f>IFERROR(__xludf.DUMMYFUNCTION("""COMPUTED_VALUE"""),"Choque de canales ")</f>
        <v>Choque de canales </v>
      </c>
      <c r="D91" s="534" t="str">
        <f>IFERROR(__xludf.DUMMYFUNCTION("""COMPUTED_VALUE"""),"Manipulacion ")</f>
        <v>Manipulacion </v>
      </c>
      <c r="E91" s="627" t="str">
        <f>IFERROR(__xludf.DUMMYFUNCTION("""COMPUTED_VALUE"""),"Despeje de recto ")</f>
        <v>Despeje de recto </v>
      </c>
    </row>
    <row r="92">
      <c r="A92" s="627" t="s">
        <v>359</v>
      </c>
      <c r="B92" s="627" t="str">
        <f>IFERROR(__xludf.DUMMYFUNCTION("TRANSPOSE(unique(FILTER($K$17:$K$28,$J$17:$J$28=A92)))"),"Rayado de pecho ")</f>
        <v>Rayado de pecho </v>
      </c>
      <c r="C92" s="443" t="str">
        <f>IFERROR(__xludf.DUMMYFUNCTION("""COMPUTED_VALUE"""),"Desuello de manos ")</f>
        <v>Desuello de manos </v>
      </c>
      <c r="D92" s="534" t="str">
        <f>IFERROR(__xludf.DUMMYFUNCTION("""COMPUTED_VALUE"""),"Eviscerado de Blanca")</f>
        <v>Eviscerado de Blanca</v>
      </c>
      <c r="E92" s="627" t="str">
        <f>IFERROR(__xludf.DUMMYFUNCTION("""COMPUTED_VALUE"""),"Desolladora (cogote ")</f>
        <v>Desolladora (cogote </v>
      </c>
      <c r="F92" s="627" t="str">
        <f>IFERROR(__xludf.DUMMYFUNCTION("""COMPUTED_VALUE"""),"Leche visible ")</f>
        <v>Leche visible </v>
      </c>
      <c r="G92" s="627" t="str">
        <f>IFERROR(__xludf.DUMMYFUNCTION("""COMPUTED_VALUE"""),"Clipado de esofago ")</f>
        <v>Clipado de esofago </v>
      </c>
      <c r="H92" s="627" t="str">
        <f>IFERROR(__xludf.DUMMYFUNCTION("""COMPUTED_VALUE"""),"Corte de esternon ")</f>
        <v>Corte de esternon </v>
      </c>
    </row>
    <row r="93">
      <c r="A93" s="627" t="s">
        <v>380</v>
      </c>
      <c r="B93" s="627" t="str">
        <f>IFERROR(__xludf.DUMMYFUNCTION("TRANSPOSE(unique(FILTER($K$17:$K$28,$J$17:$J$28=A93)))"),"Corte de patas ")</f>
        <v>Corte de patas </v>
      </c>
      <c r="C93" s="443" t="str">
        <f>IFERROR(__xludf.DUMMYFUNCTION("""COMPUTED_VALUE"""),"Choque de canales ")</f>
        <v>Choque de canales </v>
      </c>
      <c r="D93" s="534" t="str">
        <f>IFERROR(__xludf.DUMMYFUNCTION("""COMPUTED_VALUE"""),"Manipulacion ")</f>
        <v>Manipulacion </v>
      </c>
      <c r="E93" s="627" t="str">
        <f>IFERROR(__xludf.DUMMYFUNCTION("""COMPUTED_VALUE"""),"Despeje de recto ")</f>
        <v>Despeje de recto </v>
      </c>
    </row>
    <row r="94">
      <c r="A94" s="627" t="s">
        <v>380</v>
      </c>
      <c r="B94" s="627" t="str">
        <f>IFERROR(__xludf.DUMMYFUNCTION("TRANSPOSE(unique(FILTER($K$17:$K$28,$J$17:$J$28=A94)))"),"Corte de patas ")</f>
        <v>Corte de patas </v>
      </c>
      <c r="C94" s="443" t="str">
        <f>IFERROR(__xludf.DUMMYFUNCTION("""COMPUTED_VALUE"""),"Choque de canales ")</f>
        <v>Choque de canales </v>
      </c>
      <c r="D94" s="534" t="str">
        <f>IFERROR(__xludf.DUMMYFUNCTION("""COMPUTED_VALUE"""),"Manipulacion ")</f>
        <v>Manipulacion </v>
      </c>
      <c r="E94" s="627" t="str">
        <f>IFERROR(__xludf.DUMMYFUNCTION("""COMPUTED_VALUE"""),"Despeje de recto ")</f>
        <v>Despeje de recto </v>
      </c>
    </row>
    <row r="95">
      <c r="A95" s="627" t="s">
        <v>380</v>
      </c>
      <c r="B95" s="627" t="str">
        <f>IFERROR(__xludf.DUMMYFUNCTION("TRANSPOSE(unique(FILTER($K$17:$K$28,$J$17:$J$28=A95)))"),"Corte de patas ")</f>
        <v>Corte de patas </v>
      </c>
      <c r="C95" s="443" t="str">
        <f>IFERROR(__xludf.DUMMYFUNCTION("""COMPUTED_VALUE"""),"Choque de canales ")</f>
        <v>Choque de canales </v>
      </c>
      <c r="D95" s="534" t="str">
        <f>IFERROR(__xludf.DUMMYFUNCTION("""COMPUTED_VALUE"""),"Manipulacion ")</f>
        <v>Manipulacion </v>
      </c>
      <c r="E95" s="627" t="str">
        <f>IFERROR(__xludf.DUMMYFUNCTION("""COMPUTED_VALUE"""),"Despeje de recto ")</f>
        <v>Despeje de recto </v>
      </c>
    </row>
    <row r="96">
      <c r="A96" s="627" t="s">
        <v>380</v>
      </c>
      <c r="B96" s="627" t="str">
        <f>IFERROR(__xludf.DUMMYFUNCTION("TRANSPOSE(unique(FILTER($K$17:$K$28,$J$17:$J$28=A96)))"),"Corte de patas ")</f>
        <v>Corte de patas </v>
      </c>
      <c r="C96" s="443" t="str">
        <f>IFERROR(__xludf.DUMMYFUNCTION("""COMPUTED_VALUE"""),"Choque de canales ")</f>
        <v>Choque de canales </v>
      </c>
      <c r="D96" s="534" t="str">
        <f>IFERROR(__xludf.DUMMYFUNCTION("""COMPUTED_VALUE"""),"Manipulacion ")</f>
        <v>Manipulacion </v>
      </c>
      <c r="E96" s="627" t="str">
        <f>IFERROR(__xludf.DUMMYFUNCTION("""COMPUTED_VALUE"""),"Despeje de recto ")</f>
        <v>Despeje de recto </v>
      </c>
    </row>
    <row r="97">
      <c r="A97" s="627" t="s">
        <v>380</v>
      </c>
      <c r="B97" s="627" t="str">
        <f>IFERROR(__xludf.DUMMYFUNCTION("TRANSPOSE(unique(FILTER($K$17:$K$28,$J$17:$J$28=A97)))"),"Corte de patas ")</f>
        <v>Corte de patas </v>
      </c>
      <c r="C97" s="443" t="str">
        <f>IFERROR(__xludf.DUMMYFUNCTION("""COMPUTED_VALUE"""),"Choque de canales ")</f>
        <v>Choque de canales </v>
      </c>
      <c r="D97" s="534" t="str">
        <f>IFERROR(__xludf.DUMMYFUNCTION("""COMPUTED_VALUE"""),"Manipulacion ")</f>
        <v>Manipulacion </v>
      </c>
      <c r="E97" s="627" t="str">
        <f>IFERROR(__xludf.DUMMYFUNCTION("""COMPUTED_VALUE"""),"Despeje de recto ")</f>
        <v>Despeje de recto </v>
      </c>
    </row>
    <row r="98">
      <c r="A98" s="627" t="s">
        <v>380</v>
      </c>
      <c r="B98" s="627" t="str">
        <f>IFERROR(__xludf.DUMMYFUNCTION("TRANSPOSE(unique(FILTER($K$17:$K$28,$J$17:$J$28=A98)))"),"Corte de patas ")</f>
        <v>Corte de patas </v>
      </c>
      <c r="C98" s="443" t="str">
        <f>IFERROR(__xludf.DUMMYFUNCTION("""COMPUTED_VALUE"""),"Choque de canales ")</f>
        <v>Choque de canales </v>
      </c>
      <c r="D98" s="534" t="str">
        <f>IFERROR(__xludf.DUMMYFUNCTION("""COMPUTED_VALUE"""),"Manipulacion ")</f>
        <v>Manipulacion </v>
      </c>
      <c r="E98" s="627" t="str">
        <f>IFERROR(__xludf.DUMMYFUNCTION("""COMPUTED_VALUE"""),"Despeje de recto ")</f>
        <v>Despeje de recto </v>
      </c>
    </row>
    <row r="99">
      <c r="A99" s="627" t="s">
        <v>359</v>
      </c>
      <c r="B99" s="627" t="str">
        <f>IFERROR(__xludf.DUMMYFUNCTION("TRANSPOSE(unique(FILTER($K$17:$K$28,$J$17:$J$28=A99)))"),"Rayado de pecho ")</f>
        <v>Rayado de pecho </v>
      </c>
      <c r="C99" s="443" t="str">
        <f>IFERROR(__xludf.DUMMYFUNCTION("""COMPUTED_VALUE"""),"Desuello de manos ")</f>
        <v>Desuello de manos </v>
      </c>
      <c r="D99" s="534" t="str">
        <f>IFERROR(__xludf.DUMMYFUNCTION("""COMPUTED_VALUE"""),"Eviscerado de Blanca")</f>
        <v>Eviscerado de Blanca</v>
      </c>
      <c r="E99" s="627" t="str">
        <f>IFERROR(__xludf.DUMMYFUNCTION("""COMPUTED_VALUE"""),"Desolladora (cogote ")</f>
        <v>Desolladora (cogote </v>
      </c>
      <c r="F99" s="627" t="str">
        <f>IFERROR(__xludf.DUMMYFUNCTION("""COMPUTED_VALUE"""),"Leche visible ")</f>
        <v>Leche visible </v>
      </c>
      <c r="G99" s="627" t="str">
        <f>IFERROR(__xludf.DUMMYFUNCTION("""COMPUTED_VALUE"""),"Clipado de esofago ")</f>
        <v>Clipado de esofago </v>
      </c>
      <c r="H99" s="627" t="str">
        <f>IFERROR(__xludf.DUMMYFUNCTION("""COMPUTED_VALUE"""),"Corte de esternon ")</f>
        <v>Corte de esternon </v>
      </c>
    </row>
    <row r="100">
      <c r="A100" s="627" t="s">
        <v>380</v>
      </c>
      <c r="B100" s="627" t="str">
        <f>IFERROR(__xludf.DUMMYFUNCTION("TRANSPOSE(unique(FILTER($K$17:$K$28,$J$17:$J$28=A100)))"),"Corte de patas ")</f>
        <v>Corte de patas </v>
      </c>
      <c r="C100" s="443" t="str">
        <f>IFERROR(__xludf.DUMMYFUNCTION("""COMPUTED_VALUE"""),"Choque de canales ")</f>
        <v>Choque de canales </v>
      </c>
      <c r="D100" s="534" t="str">
        <f>IFERROR(__xludf.DUMMYFUNCTION("""COMPUTED_VALUE"""),"Manipulacion ")</f>
        <v>Manipulacion </v>
      </c>
      <c r="E100" s="627" t="str">
        <f>IFERROR(__xludf.DUMMYFUNCTION("""COMPUTED_VALUE"""),"Despeje de recto ")</f>
        <v>Despeje de recto </v>
      </c>
    </row>
    <row r="101">
      <c r="A101" s="627" t="s">
        <v>380</v>
      </c>
      <c r="B101" s="627" t="str">
        <f>IFERROR(__xludf.DUMMYFUNCTION("TRANSPOSE(unique(FILTER($K$17:$K$28,$J$17:$J$28=A101)))"),"Corte de patas ")</f>
        <v>Corte de patas </v>
      </c>
      <c r="C101" s="443" t="str">
        <f>IFERROR(__xludf.DUMMYFUNCTION("""COMPUTED_VALUE"""),"Choque de canales ")</f>
        <v>Choque de canales </v>
      </c>
      <c r="D101" s="534" t="str">
        <f>IFERROR(__xludf.DUMMYFUNCTION("""COMPUTED_VALUE"""),"Manipulacion ")</f>
        <v>Manipulacion </v>
      </c>
      <c r="E101" s="627" t="str">
        <f>IFERROR(__xludf.DUMMYFUNCTION("""COMPUTED_VALUE"""),"Despeje de recto ")</f>
        <v>Despeje de recto </v>
      </c>
    </row>
    <row r="102">
      <c r="A102" s="627" t="s">
        <v>380</v>
      </c>
      <c r="B102" s="627" t="str">
        <f>IFERROR(__xludf.DUMMYFUNCTION("TRANSPOSE(unique(FILTER($K$17:$K$28,$J$17:$J$28=A102)))"),"Corte de patas ")</f>
        <v>Corte de patas </v>
      </c>
      <c r="C102" s="443" t="str">
        <f>IFERROR(__xludf.DUMMYFUNCTION("""COMPUTED_VALUE"""),"Choque de canales ")</f>
        <v>Choque de canales </v>
      </c>
      <c r="D102" s="534" t="str">
        <f>IFERROR(__xludf.DUMMYFUNCTION("""COMPUTED_VALUE"""),"Manipulacion ")</f>
        <v>Manipulacion </v>
      </c>
      <c r="E102" s="627" t="str">
        <f>IFERROR(__xludf.DUMMYFUNCTION("""COMPUTED_VALUE"""),"Despeje de recto ")</f>
        <v>Despeje de recto </v>
      </c>
    </row>
    <row r="103">
      <c r="A103" s="627" t="s">
        <v>380</v>
      </c>
      <c r="B103" s="627" t="str">
        <f>IFERROR(__xludf.DUMMYFUNCTION("TRANSPOSE(unique(FILTER($K$17:$K$28,$J$17:$J$28=A103)))"),"Corte de patas ")</f>
        <v>Corte de patas </v>
      </c>
      <c r="C103" s="443" t="str">
        <f>IFERROR(__xludf.DUMMYFUNCTION("""COMPUTED_VALUE"""),"Choque de canales ")</f>
        <v>Choque de canales </v>
      </c>
      <c r="D103" s="534" t="str">
        <f>IFERROR(__xludf.DUMMYFUNCTION("""COMPUTED_VALUE"""),"Manipulacion ")</f>
        <v>Manipulacion </v>
      </c>
      <c r="E103" s="627" t="str">
        <f>IFERROR(__xludf.DUMMYFUNCTION("""COMPUTED_VALUE"""),"Despeje de recto ")</f>
        <v>Despeje de recto </v>
      </c>
    </row>
    <row r="104">
      <c r="A104" s="627" t="s">
        <v>380</v>
      </c>
      <c r="B104" s="627" t="str">
        <f>IFERROR(__xludf.DUMMYFUNCTION("TRANSPOSE(unique(FILTER($K$17:$K$28,$J$17:$J$28=A104)))"),"Corte de patas ")</f>
        <v>Corte de patas </v>
      </c>
      <c r="C104" s="443" t="str">
        <f>IFERROR(__xludf.DUMMYFUNCTION("""COMPUTED_VALUE"""),"Choque de canales ")</f>
        <v>Choque de canales </v>
      </c>
      <c r="D104" s="534" t="str">
        <f>IFERROR(__xludf.DUMMYFUNCTION("""COMPUTED_VALUE"""),"Manipulacion ")</f>
        <v>Manipulacion </v>
      </c>
      <c r="E104" s="627" t="str">
        <f>IFERROR(__xludf.DUMMYFUNCTION("""COMPUTED_VALUE"""),"Despeje de recto ")</f>
        <v>Despeje de recto </v>
      </c>
    </row>
    <row r="105">
      <c r="A105" s="627" t="s">
        <v>380</v>
      </c>
      <c r="B105" s="627" t="str">
        <f>IFERROR(__xludf.DUMMYFUNCTION("TRANSPOSE(unique(FILTER($K$17:$K$28,$J$17:$J$28=A105)))"),"Corte de patas ")</f>
        <v>Corte de patas </v>
      </c>
      <c r="C105" s="443" t="str">
        <f>IFERROR(__xludf.DUMMYFUNCTION("""COMPUTED_VALUE"""),"Choque de canales ")</f>
        <v>Choque de canales </v>
      </c>
      <c r="D105" s="534" t="str">
        <f>IFERROR(__xludf.DUMMYFUNCTION("""COMPUTED_VALUE"""),"Manipulacion ")</f>
        <v>Manipulacion </v>
      </c>
      <c r="E105" s="627" t="str">
        <f>IFERROR(__xludf.DUMMYFUNCTION("""COMPUTED_VALUE"""),"Despeje de recto ")</f>
        <v>Despeje de recto </v>
      </c>
    </row>
    <row r="106">
      <c r="A106" s="627" t="s">
        <v>380</v>
      </c>
      <c r="B106" s="627" t="str">
        <f>IFERROR(__xludf.DUMMYFUNCTION("TRANSPOSE(unique(FILTER($K$17:$K$28,$J$17:$J$28=A106)))"),"Corte de patas ")</f>
        <v>Corte de patas </v>
      </c>
      <c r="C106" s="443" t="str">
        <f>IFERROR(__xludf.DUMMYFUNCTION("""COMPUTED_VALUE"""),"Choque de canales ")</f>
        <v>Choque de canales </v>
      </c>
      <c r="D106" s="534" t="str">
        <f>IFERROR(__xludf.DUMMYFUNCTION("""COMPUTED_VALUE"""),"Manipulacion ")</f>
        <v>Manipulacion </v>
      </c>
      <c r="E106" s="627" t="str">
        <f>IFERROR(__xludf.DUMMYFUNCTION("""COMPUTED_VALUE"""),"Despeje de recto ")</f>
        <v>Despeje de recto </v>
      </c>
    </row>
    <row r="107">
      <c r="A107" s="627" t="s">
        <v>359</v>
      </c>
      <c r="B107" s="627" t="str">
        <f>IFERROR(__xludf.DUMMYFUNCTION("TRANSPOSE(unique(FILTER($K$17:$K$28,$J$17:$J$28=A107)))"),"Rayado de pecho ")</f>
        <v>Rayado de pecho </v>
      </c>
      <c r="C107" s="443" t="str">
        <f>IFERROR(__xludf.DUMMYFUNCTION("""COMPUTED_VALUE"""),"Desuello de manos ")</f>
        <v>Desuello de manos </v>
      </c>
      <c r="D107" s="534" t="str">
        <f>IFERROR(__xludf.DUMMYFUNCTION("""COMPUTED_VALUE"""),"Eviscerado de Blanca")</f>
        <v>Eviscerado de Blanca</v>
      </c>
      <c r="E107" s="627" t="str">
        <f>IFERROR(__xludf.DUMMYFUNCTION("""COMPUTED_VALUE"""),"Desolladora (cogote ")</f>
        <v>Desolladora (cogote </v>
      </c>
      <c r="F107" s="627" t="str">
        <f>IFERROR(__xludf.DUMMYFUNCTION("""COMPUTED_VALUE"""),"Leche visible ")</f>
        <v>Leche visible </v>
      </c>
      <c r="G107" s="627" t="str">
        <f>IFERROR(__xludf.DUMMYFUNCTION("""COMPUTED_VALUE"""),"Clipado de esofago ")</f>
        <v>Clipado de esofago </v>
      </c>
      <c r="H107" s="627" t="str">
        <f>IFERROR(__xludf.DUMMYFUNCTION("""COMPUTED_VALUE"""),"Corte de esternon ")</f>
        <v>Corte de esternon </v>
      </c>
    </row>
    <row r="108">
      <c r="A108" s="627" t="s">
        <v>380</v>
      </c>
      <c r="B108" s="627" t="str">
        <f>IFERROR(__xludf.DUMMYFUNCTION("TRANSPOSE(unique(FILTER($K$17:$K$28,$J$17:$J$28=A108)))"),"Corte de patas ")</f>
        <v>Corte de patas </v>
      </c>
      <c r="C108" s="443" t="str">
        <f>IFERROR(__xludf.DUMMYFUNCTION("""COMPUTED_VALUE"""),"Choque de canales ")</f>
        <v>Choque de canales </v>
      </c>
      <c r="D108" s="534" t="str">
        <f>IFERROR(__xludf.DUMMYFUNCTION("""COMPUTED_VALUE"""),"Manipulacion ")</f>
        <v>Manipulacion </v>
      </c>
      <c r="E108" s="627" t="str">
        <f>IFERROR(__xludf.DUMMYFUNCTION("""COMPUTED_VALUE"""),"Despeje de recto ")</f>
        <v>Despeje de recto </v>
      </c>
    </row>
    <row r="109">
      <c r="A109" s="627" t="s">
        <v>380</v>
      </c>
      <c r="B109" s="627" t="str">
        <f>IFERROR(__xludf.DUMMYFUNCTION("TRANSPOSE(unique(FILTER($K$17:$K$28,$J$17:$J$28=A109)))"),"Corte de patas ")</f>
        <v>Corte de patas </v>
      </c>
      <c r="C109" s="443" t="str">
        <f>IFERROR(__xludf.DUMMYFUNCTION("""COMPUTED_VALUE"""),"Choque de canales ")</f>
        <v>Choque de canales </v>
      </c>
      <c r="D109" s="534" t="str">
        <f>IFERROR(__xludf.DUMMYFUNCTION("""COMPUTED_VALUE"""),"Manipulacion ")</f>
        <v>Manipulacion </v>
      </c>
      <c r="E109" s="627" t="str">
        <f>IFERROR(__xludf.DUMMYFUNCTION("""COMPUTED_VALUE"""),"Despeje de recto ")</f>
        <v>Despeje de recto </v>
      </c>
    </row>
    <row r="110">
      <c r="A110" s="627" t="s">
        <v>380</v>
      </c>
      <c r="B110" s="627" t="str">
        <f>IFERROR(__xludf.DUMMYFUNCTION("TRANSPOSE(unique(FILTER($K$17:$K$28,$J$17:$J$28=A110)))"),"Corte de patas ")</f>
        <v>Corte de patas </v>
      </c>
      <c r="C110" s="443" t="str">
        <f>IFERROR(__xludf.DUMMYFUNCTION("""COMPUTED_VALUE"""),"Choque de canales ")</f>
        <v>Choque de canales </v>
      </c>
      <c r="D110" s="534" t="str">
        <f>IFERROR(__xludf.DUMMYFUNCTION("""COMPUTED_VALUE"""),"Manipulacion ")</f>
        <v>Manipulacion </v>
      </c>
      <c r="E110" s="627" t="str">
        <f>IFERROR(__xludf.DUMMYFUNCTION("""COMPUTED_VALUE"""),"Despeje de recto ")</f>
        <v>Despeje de recto </v>
      </c>
    </row>
    <row r="111">
      <c r="A111" s="627" t="s">
        <v>380</v>
      </c>
      <c r="B111" s="627" t="str">
        <f>IFERROR(__xludf.DUMMYFUNCTION("TRANSPOSE(unique(FILTER($K$17:$K$28,$J$17:$J$28=A111)))"),"Corte de patas ")</f>
        <v>Corte de patas </v>
      </c>
      <c r="C111" s="443" t="str">
        <f>IFERROR(__xludf.DUMMYFUNCTION("""COMPUTED_VALUE"""),"Choque de canales ")</f>
        <v>Choque de canales </v>
      </c>
      <c r="D111" s="534" t="str">
        <f>IFERROR(__xludf.DUMMYFUNCTION("""COMPUTED_VALUE"""),"Manipulacion ")</f>
        <v>Manipulacion </v>
      </c>
      <c r="E111" s="627" t="str">
        <f>IFERROR(__xludf.DUMMYFUNCTION("""COMPUTED_VALUE"""),"Despeje de recto ")</f>
        <v>Despeje de recto </v>
      </c>
    </row>
    <row r="112">
      <c r="A112" s="627" t="s">
        <v>359</v>
      </c>
      <c r="B112" s="627" t="str">
        <f>IFERROR(__xludf.DUMMYFUNCTION("TRANSPOSE(unique(FILTER($K$17:$K$28,$J$17:$J$28=A112)))"),"Rayado de pecho ")</f>
        <v>Rayado de pecho </v>
      </c>
      <c r="C112" s="443" t="str">
        <f>IFERROR(__xludf.DUMMYFUNCTION("""COMPUTED_VALUE"""),"Desuello de manos ")</f>
        <v>Desuello de manos </v>
      </c>
      <c r="D112" s="534" t="str">
        <f>IFERROR(__xludf.DUMMYFUNCTION("""COMPUTED_VALUE"""),"Eviscerado de Blanca")</f>
        <v>Eviscerado de Blanca</v>
      </c>
      <c r="E112" s="627" t="str">
        <f>IFERROR(__xludf.DUMMYFUNCTION("""COMPUTED_VALUE"""),"Desolladora (cogote ")</f>
        <v>Desolladora (cogote </v>
      </c>
      <c r="F112" s="627" t="str">
        <f>IFERROR(__xludf.DUMMYFUNCTION("""COMPUTED_VALUE"""),"Leche visible ")</f>
        <v>Leche visible </v>
      </c>
      <c r="G112" s="627" t="str">
        <f>IFERROR(__xludf.DUMMYFUNCTION("""COMPUTED_VALUE"""),"Clipado de esofago ")</f>
        <v>Clipado de esofago </v>
      </c>
      <c r="H112" s="627" t="str">
        <f>IFERROR(__xludf.DUMMYFUNCTION("""COMPUTED_VALUE"""),"Corte de esternon ")</f>
        <v>Corte de esternon </v>
      </c>
    </row>
    <row r="113">
      <c r="A113" s="627" t="s">
        <v>380</v>
      </c>
      <c r="B113" s="627" t="str">
        <f>IFERROR(__xludf.DUMMYFUNCTION("TRANSPOSE(unique(FILTER($K$17:$K$28,$J$17:$J$28=A113)))"),"Corte de patas ")</f>
        <v>Corte de patas </v>
      </c>
      <c r="C113" s="443" t="str">
        <f>IFERROR(__xludf.DUMMYFUNCTION("""COMPUTED_VALUE"""),"Choque de canales ")</f>
        <v>Choque de canales </v>
      </c>
      <c r="D113" s="534" t="str">
        <f>IFERROR(__xludf.DUMMYFUNCTION("""COMPUTED_VALUE"""),"Manipulacion ")</f>
        <v>Manipulacion </v>
      </c>
      <c r="E113" s="627" t="str">
        <f>IFERROR(__xludf.DUMMYFUNCTION("""COMPUTED_VALUE"""),"Despeje de recto ")</f>
        <v>Despeje de recto </v>
      </c>
    </row>
    <row r="114">
      <c r="A114" s="627" t="s">
        <v>380</v>
      </c>
      <c r="B114" s="627" t="str">
        <f>IFERROR(__xludf.DUMMYFUNCTION("TRANSPOSE(unique(FILTER($K$17:$K$28,$J$17:$J$28=A114)))"),"Corte de patas ")</f>
        <v>Corte de patas </v>
      </c>
      <c r="C114" s="443" t="str">
        <f>IFERROR(__xludf.DUMMYFUNCTION("""COMPUTED_VALUE"""),"Choque de canales ")</f>
        <v>Choque de canales </v>
      </c>
      <c r="D114" s="534" t="str">
        <f>IFERROR(__xludf.DUMMYFUNCTION("""COMPUTED_VALUE"""),"Manipulacion ")</f>
        <v>Manipulacion </v>
      </c>
      <c r="E114" s="627" t="str">
        <f>IFERROR(__xludf.DUMMYFUNCTION("""COMPUTED_VALUE"""),"Despeje de recto ")</f>
        <v>Despeje de recto </v>
      </c>
    </row>
    <row r="115">
      <c r="A115" s="627" t="s">
        <v>359</v>
      </c>
      <c r="B115" s="627" t="str">
        <f>IFERROR(__xludf.DUMMYFUNCTION("TRANSPOSE(unique(FILTER($K$17:$K$28,$J$17:$J$28=A115)))"),"Rayado de pecho ")</f>
        <v>Rayado de pecho </v>
      </c>
      <c r="C115" s="443" t="str">
        <f>IFERROR(__xludf.DUMMYFUNCTION("""COMPUTED_VALUE"""),"Desuello de manos ")</f>
        <v>Desuello de manos </v>
      </c>
      <c r="D115" s="534" t="str">
        <f>IFERROR(__xludf.DUMMYFUNCTION("""COMPUTED_VALUE"""),"Eviscerado de Blanca")</f>
        <v>Eviscerado de Blanca</v>
      </c>
      <c r="E115" s="627" t="str">
        <f>IFERROR(__xludf.DUMMYFUNCTION("""COMPUTED_VALUE"""),"Desolladora (cogote ")</f>
        <v>Desolladora (cogote </v>
      </c>
      <c r="F115" s="627" t="str">
        <f>IFERROR(__xludf.DUMMYFUNCTION("""COMPUTED_VALUE"""),"Leche visible ")</f>
        <v>Leche visible </v>
      </c>
      <c r="G115" s="627" t="str">
        <f>IFERROR(__xludf.DUMMYFUNCTION("""COMPUTED_VALUE"""),"Clipado de esofago ")</f>
        <v>Clipado de esofago </v>
      </c>
      <c r="H115" s="627" t="str">
        <f>IFERROR(__xludf.DUMMYFUNCTION("""COMPUTED_VALUE"""),"Corte de esternon ")</f>
        <v>Corte de esternon </v>
      </c>
    </row>
    <row r="116">
      <c r="A116" s="627" t="s">
        <v>359</v>
      </c>
      <c r="B116" s="627" t="str">
        <f>IFERROR(__xludf.DUMMYFUNCTION("TRANSPOSE(unique(FILTER($K$17:$K$28,$J$17:$J$28=A116)))"),"Rayado de pecho ")</f>
        <v>Rayado de pecho </v>
      </c>
      <c r="C116" s="443" t="str">
        <f>IFERROR(__xludf.DUMMYFUNCTION("""COMPUTED_VALUE"""),"Desuello de manos ")</f>
        <v>Desuello de manos </v>
      </c>
      <c r="D116" s="534" t="str">
        <f>IFERROR(__xludf.DUMMYFUNCTION("""COMPUTED_VALUE"""),"Eviscerado de Blanca")</f>
        <v>Eviscerado de Blanca</v>
      </c>
      <c r="E116" s="627" t="str">
        <f>IFERROR(__xludf.DUMMYFUNCTION("""COMPUTED_VALUE"""),"Desolladora (cogote ")</f>
        <v>Desolladora (cogote </v>
      </c>
      <c r="F116" s="627" t="str">
        <f>IFERROR(__xludf.DUMMYFUNCTION("""COMPUTED_VALUE"""),"Leche visible ")</f>
        <v>Leche visible </v>
      </c>
      <c r="G116" s="627" t="str">
        <f>IFERROR(__xludf.DUMMYFUNCTION("""COMPUTED_VALUE"""),"Clipado de esofago ")</f>
        <v>Clipado de esofago </v>
      </c>
      <c r="H116" s="627" t="str">
        <f>IFERROR(__xludf.DUMMYFUNCTION("""COMPUTED_VALUE"""),"Corte de esternon ")</f>
        <v>Corte de esternon </v>
      </c>
    </row>
    <row r="117">
      <c r="A117" s="627" t="s">
        <v>359</v>
      </c>
      <c r="B117" s="627" t="str">
        <f>IFERROR(__xludf.DUMMYFUNCTION("TRANSPOSE(unique(FILTER($K$17:$K$28,$J$17:$J$28=A117)))"),"Rayado de pecho ")</f>
        <v>Rayado de pecho </v>
      </c>
      <c r="C117" s="443" t="str">
        <f>IFERROR(__xludf.DUMMYFUNCTION("""COMPUTED_VALUE"""),"Desuello de manos ")</f>
        <v>Desuello de manos </v>
      </c>
      <c r="D117" s="534" t="str">
        <f>IFERROR(__xludf.DUMMYFUNCTION("""COMPUTED_VALUE"""),"Eviscerado de Blanca")</f>
        <v>Eviscerado de Blanca</v>
      </c>
      <c r="E117" s="627" t="str">
        <f>IFERROR(__xludf.DUMMYFUNCTION("""COMPUTED_VALUE"""),"Desolladora (cogote ")</f>
        <v>Desolladora (cogote </v>
      </c>
      <c r="F117" s="627" t="str">
        <f>IFERROR(__xludf.DUMMYFUNCTION("""COMPUTED_VALUE"""),"Leche visible ")</f>
        <v>Leche visible </v>
      </c>
      <c r="G117" s="627" t="str">
        <f>IFERROR(__xludf.DUMMYFUNCTION("""COMPUTED_VALUE"""),"Clipado de esofago ")</f>
        <v>Clipado de esofago </v>
      </c>
      <c r="H117" s="627" t="str">
        <f>IFERROR(__xludf.DUMMYFUNCTION("""COMPUTED_VALUE"""),"Corte de esternon ")</f>
        <v>Corte de esternon </v>
      </c>
    </row>
    <row r="118">
      <c r="A118" s="627" t="s">
        <v>359</v>
      </c>
      <c r="B118" s="627" t="str">
        <f>IFERROR(__xludf.DUMMYFUNCTION("TRANSPOSE(unique(FILTER($K$17:$K$28,$J$17:$J$28=A118)))"),"Rayado de pecho ")</f>
        <v>Rayado de pecho </v>
      </c>
      <c r="C118" s="443" t="str">
        <f>IFERROR(__xludf.DUMMYFUNCTION("""COMPUTED_VALUE"""),"Desuello de manos ")</f>
        <v>Desuello de manos </v>
      </c>
      <c r="D118" s="534" t="str">
        <f>IFERROR(__xludf.DUMMYFUNCTION("""COMPUTED_VALUE"""),"Eviscerado de Blanca")</f>
        <v>Eviscerado de Blanca</v>
      </c>
      <c r="E118" s="627" t="str">
        <f>IFERROR(__xludf.DUMMYFUNCTION("""COMPUTED_VALUE"""),"Desolladora (cogote ")</f>
        <v>Desolladora (cogote </v>
      </c>
      <c r="F118" s="627" t="str">
        <f>IFERROR(__xludf.DUMMYFUNCTION("""COMPUTED_VALUE"""),"Leche visible ")</f>
        <v>Leche visible </v>
      </c>
      <c r="G118" s="627" t="str">
        <f>IFERROR(__xludf.DUMMYFUNCTION("""COMPUTED_VALUE"""),"Clipado de esofago ")</f>
        <v>Clipado de esofago </v>
      </c>
      <c r="H118" s="627" t="str">
        <f>IFERROR(__xludf.DUMMYFUNCTION("""COMPUTED_VALUE"""),"Corte de esternon ")</f>
        <v>Corte de esternon </v>
      </c>
    </row>
    <row r="119">
      <c r="A119" s="627" t="s">
        <v>359</v>
      </c>
      <c r="B119" s="627" t="str">
        <f>IFERROR(__xludf.DUMMYFUNCTION("TRANSPOSE(unique(FILTER($K$17:$K$28,$J$17:$J$28=A119)))"),"Rayado de pecho ")</f>
        <v>Rayado de pecho </v>
      </c>
      <c r="C119" s="443" t="str">
        <f>IFERROR(__xludf.DUMMYFUNCTION("""COMPUTED_VALUE"""),"Desuello de manos ")</f>
        <v>Desuello de manos </v>
      </c>
      <c r="D119" s="534" t="str">
        <f>IFERROR(__xludf.DUMMYFUNCTION("""COMPUTED_VALUE"""),"Eviscerado de Blanca")</f>
        <v>Eviscerado de Blanca</v>
      </c>
      <c r="E119" s="627" t="str">
        <f>IFERROR(__xludf.DUMMYFUNCTION("""COMPUTED_VALUE"""),"Desolladora (cogote ")</f>
        <v>Desolladora (cogote </v>
      </c>
      <c r="F119" s="627" t="str">
        <f>IFERROR(__xludf.DUMMYFUNCTION("""COMPUTED_VALUE"""),"Leche visible ")</f>
        <v>Leche visible </v>
      </c>
      <c r="G119" s="627" t="str">
        <f>IFERROR(__xludf.DUMMYFUNCTION("""COMPUTED_VALUE"""),"Clipado de esofago ")</f>
        <v>Clipado de esofago </v>
      </c>
      <c r="H119" s="627" t="str">
        <f>IFERROR(__xludf.DUMMYFUNCTION("""COMPUTED_VALUE"""),"Corte de esternon ")</f>
        <v>Corte de esternon </v>
      </c>
    </row>
    <row r="120">
      <c r="A120" s="627" t="s">
        <v>359</v>
      </c>
      <c r="B120" s="627" t="str">
        <f>IFERROR(__xludf.DUMMYFUNCTION("TRANSPOSE(unique(FILTER($K$17:$K$28,$J$17:$J$28=A120)))"),"Rayado de pecho ")</f>
        <v>Rayado de pecho </v>
      </c>
      <c r="C120" s="443" t="str">
        <f>IFERROR(__xludf.DUMMYFUNCTION("""COMPUTED_VALUE"""),"Desuello de manos ")</f>
        <v>Desuello de manos </v>
      </c>
      <c r="D120" s="534" t="str">
        <f>IFERROR(__xludf.DUMMYFUNCTION("""COMPUTED_VALUE"""),"Eviscerado de Blanca")</f>
        <v>Eviscerado de Blanca</v>
      </c>
      <c r="E120" s="627" t="str">
        <f>IFERROR(__xludf.DUMMYFUNCTION("""COMPUTED_VALUE"""),"Desolladora (cogote ")</f>
        <v>Desolladora (cogote </v>
      </c>
      <c r="F120" s="627" t="str">
        <f>IFERROR(__xludf.DUMMYFUNCTION("""COMPUTED_VALUE"""),"Leche visible ")</f>
        <v>Leche visible </v>
      </c>
      <c r="G120" s="627" t="str">
        <f>IFERROR(__xludf.DUMMYFUNCTION("""COMPUTED_VALUE"""),"Clipado de esofago ")</f>
        <v>Clipado de esofago </v>
      </c>
      <c r="H120" s="627" t="str">
        <f>IFERROR(__xludf.DUMMYFUNCTION("""COMPUTED_VALUE"""),"Corte de esternon ")</f>
        <v>Corte de esternon </v>
      </c>
    </row>
    <row r="121">
      <c r="A121" s="627" t="s">
        <v>359</v>
      </c>
      <c r="B121" s="627" t="str">
        <f>IFERROR(__xludf.DUMMYFUNCTION("TRANSPOSE(unique(FILTER($K$17:$K$28,$J$17:$J$28=A121)))"),"Rayado de pecho ")</f>
        <v>Rayado de pecho </v>
      </c>
      <c r="C121" s="443" t="str">
        <f>IFERROR(__xludf.DUMMYFUNCTION("""COMPUTED_VALUE"""),"Desuello de manos ")</f>
        <v>Desuello de manos </v>
      </c>
      <c r="D121" s="534" t="str">
        <f>IFERROR(__xludf.DUMMYFUNCTION("""COMPUTED_VALUE"""),"Eviscerado de Blanca")</f>
        <v>Eviscerado de Blanca</v>
      </c>
      <c r="E121" s="627" t="str">
        <f>IFERROR(__xludf.DUMMYFUNCTION("""COMPUTED_VALUE"""),"Desolladora (cogote ")</f>
        <v>Desolladora (cogote </v>
      </c>
      <c r="F121" s="627" t="str">
        <f>IFERROR(__xludf.DUMMYFUNCTION("""COMPUTED_VALUE"""),"Leche visible ")</f>
        <v>Leche visible </v>
      </c>
      <c r="G121" s="627" t="str">
        <f>IFERROR(__xludf.DUMMYFUNCTION("""COMPUTED_VALUE"""),"Clipado de esofago ")</f>
        <v>Clipado de esofago </v>
      </c>
      <c r="H121" s="627" t="str">
        <f>IFERROR(__xludf.DUMMYFUNCTION("""COMPUTED_VALUE"""),"Corte de esternon ")</f>
        <v>Corte de esternon </v>
      </c>
    </row>
    <row r="122">
      <c r="A122" s="627" t="s">
        <v>359</v>
      </c>
      <c r="B122" s="627" t="str">
        <f>IFERROR(__xludf.DUMMYFUNCTION("TRANSPOSE(unique(FILTER($K$17:$K$28,$J$17:$J$28=A122)))"),"Rayado de pecho ")</f>
        <v>Rayado de pecho </v>
      </c>
      <c r="C122" s="443" t="str">
        <f>IFERROR(__xludf.DUMMYFUNCTION("""COMPUTED_VALUE"""),"Desuello de manos ")</f>
        <v>Desuello de manos </v>
      </c>
      <c r="D122" s="534" t="str">
        <f>IFERROR(__xludf.DUMMYFUNCTION("""COMPUTED_VALUE"""),"Eviscerado de Blanca")</f>
        <v>Eviscerado de Blanca</v>
      </c>
      <c r="E122" s="627" t="str">
        <f>IFERROR(__xludf.DUMMYFUNCTION("""COMPUTED_VALUE"""),"Desolladora (cogote ")</f>
        <v>Desolladora (cogote </v>
      </c>
      <c r="F122" s="627" t="str">
        <f>IFERROR(__xludf.DUMMYFUNCTION("""COMPUTED_VALUE"""),"Leche visible ")</f>
        <v>Leche visible </v>
      </c>
      <c r="G122" s="627" t="str">
        <f>IFERROR(__xludf.DUMMYFUNCTION("""COMPUTED_VALUE"""),"Clipado de esofago ")</f>
        <v>Clipado de esofago </v>
      </c>
      <c r="H122" s="627" t="str">
        <f>IFERROR(__xludf.DUMMYFUNCTION("""COMPUTED_VALUE"""),"Corte de esternon ")</f>
        <v>Corte de esternon </v>
      </c>
    </row>
    <row r="123">
      <c r="A123" s="627" t="s">
        <v>359</v>
      </c>
      <c r="B123" s="627" t="str">
        <f>IFERROR(__xludf.DUMMYFUNCTION("TRANSPOSE(unique(FILTER($K$17:$K$28,$J$17:$J$28=A123)))"),"Rayado de pecho ")</f>
        <v>Rayado de pecho </v>
      </c>
      <c r="C123" s="443" t="str">
        <f>IFERROR(__xludf.DUMMYFUNCTION("""COMPUTED_VALUE"""),"Desuello de manos ")</f>
        <v>Desuello de manos </v>
      </c>
      <c r="D123" s="534" t="str">
        <f>IFERROR(__xludf.DUMMYFUNCTION("""COMPUTED_VALUE"""),"Eviscerado de Blanca")</f>
        <v>Eviscerado de Blanca</v>
      </c>
      <c r="E123" s="627" t="str">
        <f>IFERROR(__xludf.DUMMYFUNCTION("""COMPUTED_VALUE"""),"Desolladora (cogote ")</f>
        <v>Desolladora (cogote </v>
      </c>
      <c r="F123" s="627" t="str">
        <f>IFERROR(__xludf.DUMMYFUNCTION("""COMPUTED_VALUE"""),"Leche visible ")</f>
        <v>Leche visible </v>
      </c>
      <c r="G123" s="627" t="str">
        <f>IFERROR(__xludf.DUMMYFUNCTION("""COMPUTED_VALUE"""),"Clipado de esofago ")</f>
        <v>Clipado de esofago </v>
      </c>
      <c r="H123" s="627" t="str">
        <f>IFERROR(__xludf.DUMMYFUNCTION("""COMPUTED_VALUE"""),"Corte de esternon ")</f>
        <v>Corte de esternon </v>
      </c>
    </row>
    <row r="124">
      <c r="A124" s="627" t="s">
        <v>359</v>
      </c>
      <c r="B124" s="627" t="str">
        <f>IFERROR(__xludf.DUMMYFUNCTION("TRANSPOSE(unique(FILTER($K$17:$K$28,$J$17:$J$28=A124)))"),"Rayado de pecho ")</f>
        <v>Rayado de pecho </v>
      </c>
      <c r="C124" s="443" t="str">
        <f>IFERROR(__xludf.DUMMYFUNCTION("""COMPUTED_VALUE"""),"Desuello de manos ")</f>
        <v>Desuello de manos </v>
      </c>
      <c r="D124" s="534" t="str">
        <f>IFERROR(__xludf.DUMMYFUNCTION("""COMPUTED_VALUE"""),"Eviscerado de Blanca")</f>
        <v>Eviscerado de Blanca</v>
      </c>
      <c r="E124" s="627" t="str">
        <f>IFERROR(__xludf.DUMMYFUNCTION("""COMPUTED_VALUE"""),"Desolladora (cogote ")</f>
        <v>Desolladora (cogote </v>
      </c>
      <c r="F124" s="627" t="str">
        <f>IFERROR(__xludf.DUMMYFUNCTION("""COMPUTED_VALUE"""),"Leche visible ")</f>
        <v>Leche visible </v>
      </c>
      <c r="G124" s="627" t="str">
        <f>IFERROR(__xludf.DUMMYFUNCTION("""COMPUTED_VALUE"""),"Clipado de esofago ")</f>
        <v>Clipado de esofago </v>
      </c>
      <c r="H124" s="627" t="str">
        <f>IFERROR(__xludf.DUMMYFUNCTION("""COMPUTED_VALUE"""),"Corte de esternon ")</f>
        <v>Corte de esternon </v>
      </c>
    </row>
    <row r="125">
      <c r="A125" s="627" t="s">
        <v>359</v>
      </c>
      <c r="B125" s="627" t="str">
        <f>IFERROR(__xludf.DUMMYFUNCTION("TRANSPOSE(unique(FILTER($K$17:$K$28,$J$17:$J$28=A125)))"),"Rayado de pecho ")</f>
        <v>Rayado de pecho </v>
      </c>
      <c r="C125" s="443" t="str">
        <f>IFERROR(__xludf.DUMMYFUNCTION("""COMPUTED_VALUE"""),"Desuello de manos ")</f>
        <v>Desuello de manos </v>
      </c>
      <c r="D125" s="534" t="str">
        <f>IFERROR(__xludf.DUMMYFUNCTION("""COMPUTED_VALUE"""),"Eviscerado de Blanca")</f>
        <v>Eviscerado de Blanca</v>
      </c>
      <c r="E125" s="627" t="str">
        <f>IFERROR(__xludf.DUMMYFUNCTION("""COMPUTED_VALUE"""),"Desolladora (cogote ")</f>
        <v>Desolladora (cogote </v>
      </c>
      <c r="F125" s="627" t="str">
        <f>IFERROR(__xludf.DUMMYFUNCTION("""COMPUTED_VALUE"""),"Leche visible ")</f>
        <v>Leche visible </v>
      </c>
      <c r="G125" s="627" t="str">
        <f>IFERROR(__xludf.DUMMYFUNCTION("""COMPUTED_VALUE"""),"Clipado de esofago ")</f>
        <v>Clipado de esofago </v>
      </c>
      <c r="H125" s="627" t="str">
        <f>IFERROR(__xludf.DUMMYFUNCTION("""COMPUTED_VALUE"""),"Corte de esternon ")</f>
        <v>Corte de esternon </v>
      </c>
    </row>
    <row r="126">
      <c r="A126" s="627" t="s">
        <v>380</v>
      </c>
      <c r="B126" s="627" t="str">
        <f>IFERROR(__xludf.DUMMYFUNCTION("TRANSPOSE(unique(FILTER($K$17:$K$28,$J$17:$J$28=A126)))"),"Corte de patas ")</f>
        <v>Corte de patas </v>
      </c>
      <c r="C126" s="443" t="str">
        <f>IFERROR(__xludf.DUMMYFUNCTION("""COMPUTED_VALUE"""),"Choque de canales ")</f>
        <v>Choque de canales </v>
      </c>
      <c r="D126" s="534" t="str">
        <f>IFERROR(__xludf.DUMMYFUNCTION("""COMPUTED_VALUE"""),"Manipulacion ")</f>
        <v>Manipulacion </v>
      </c>
      <c r="E126" s="627" t="str">
        <f>IFERROR(__xludf.DUMMYFUNCTION("""COMPUTED_VALUE"""),"Despeje de recto ")</f>
        <v>Despeje de recto </v>
      </c>
    </row>
    <row r="127">
      <c r="A127" s="627" t="s">
        <v>380</v>
      </c>
      <c r="B127" s="627" t="str">
        <f>IFERROR(__xludf.DUMMYFUNCTION("TRANSPOSE(unique(FILTER($K$17:$K$28,$J$17:$J$28=A127)))"),"Corte de patas ")</f>
        <v>Corte de patas </v>
      </c>
      <c r="C127" s="443" t="str">
        <f>IFERROR(__xludf.DUMMYFUNCTION("""COMPUTED_VALUE"""),"Choque de canales ")</f>
        <v>Choque de canales </v>
      </c>
      <c r="D127" s="534" t="str">
        <f>IFERROR(__xludf.DUMMYFUNCTION("""COMPUTED_VALUE"""),"Manipulacion ")</f>
        <v>Manipulacion </v>
      </c>
      <c r="E127" s="627" t="str">
        <f>IFERROR(__xludf.DUMMYFUNCTION("""COMPUTED_VALUE"""),"Despeje de recto ")</f>
        <v>Despeje de recto </v>
      </c>
    </row>
    <row r="128">
      <c r="A128" s="627" t="s">
        <v>359</v>
      </c>
      <c r="B128" s="627" t="str">
        <f>IFERROR(__xludf.DUMMYFUNCTION("TRANSPOSE(unique(FILTER($K$17:$K$28,$J$17:$J$28=A128)))"),"Rayado de pecho ")</f>
        <v>Rayado de pecho </v>
      </c>
      <c r="C128" s="443" t="str">
        <f>IFERROR(__xludf.DUMMYFUNCTION("""COMPUTED_VALUE"""),"Desuello de manos ")</f>
        <v>Desuello de manos </v>
      </c>
      <c r="D128" s="534" t="str">
        <f>IFERROR(__xludf.DUMMYFUNCTION("""COMPUTED_VALUE"""),"Eviscerado de Blanca")</f>
        <v>Eviscerado de Blanca</v>
      </c>
      <c r="E128" s="627" t="str">
        <f>IFERROR(__xludf.DUMMYFUNCTION("""COMPUTED_VALUE"""),"Desolladora (cogote ")</f>
        <v>Desolladora (cogote </v>
      </c>
      <c r="F128" s="627" t="str">
        <f>IFERROR(__xludf.DUMMYFUNCTION("""COMPUTED_VALUE"""),"Leche visible ")</f>
        <v>Leche visible </v>
      </c>
      <c r="G128" s="627" t="str">
        <f>IFERROR(__xludf.DUMMYFUNCTION("""COMPUTED_VALUE"""),"Clipado de esofago ")</f>
        <v>Clipado de esofago </v>
      </c>
      <c r="H128" s="627" t="str">
        <f>IFERROR(__xludf.DUMMYFUNCTION("""COMPUTED_VALUE"""),"Corte de esternon ")</f>
        <v>Corte de esternon </v>
      </c>
    </row>
    <row r="129">
      <c r="A129" s="627" t="s">
        <v>380</v>
      </c>
      <c r="B129" s="627" t="str">
        <f>IFERROR(__xludf.DUMMYFUNCTION("TRANSPOSE(unique(FILTER($K$17:$K$28,$J$17:$J$28=A129)))"),"Corte de patas ")</f>
        <v>Corte de patas </v>
      </c>
      <c r="C129" s="443" t="str">
        <f>IFERROR(__xludf.DUMMYFUNCTION("""COMPUTED_VALUE"""),"Choque de canales ")</f>
        <v>Choque de canales </v>
      </c>
      <c r="D129" s="534" t="str">
        <f>IFERROR(__xludf.DUMMYFUNCTION("""COMPUTED_VALUE"""),"Manipulacion ")</f>
        <v>Manipulacion </v>
      </c>
      <c r="E129" s="627" t="str">
        <f>IFERROR(__xludf.DUMMYFUNCTION("""COMPUTED_VALUE"""),"Despeje de recto ")</f>
        <v>Despeje de recto </v>
      </c>
    </row>
    <row r="130">
      <c r="A130" s="627" t="s">
        <v>380</v>
      </c>
      <c r="B130" s="627" t="str">
        <f>IFERROR(__xludf.DUMMYFUNCTION("TRANSPOSE(unique(FILTER($K$17:$K$28,$J$17:$J$28=A130)))"),"Corte de patas ")</f>
        <v>Corte de patas </v>
      </c>
      <c r="C130" s="443" t="str">
        <f>IFERROR(__xludf.DUMMYFUNCTION("""COMPUTED_VALUE"""),"Choque de canales ")</f>
        <v>Choque de canales </v>
      </c>
      <c r="D130" s="534" t="str">
        <f>IFERROR(__xludf.DUMMYFUNCTION("""COMPUTED_VALUE"""),"Manipulacion ")</f>
        <v>Manipulacion </v>
      </c>
      <c r="E130" s="627" t="str">
        <f>IFERROR(__xludf.DUMMYFUNCTION("""COMPUTED_VALUE"""),"Despeje de recto ")</f>
        <v>Despeje de recto </v>
      </c>
    </row>
    <row r="131">
      <c r="A131" s="627" t="s">
        <v>380</v>
      </c>
      <c r="B131" s="627" t="str">
        <f>IFERROR(__xludf.DUMMYFUNCTION("TRANSPOSE(unique(FILTER($K$17:$K$28,$J$17:$J$28=A131)))"),"Corte de patas ")</f>
        <v>Corte de patas </v>
      </c>
      <c r="C131" s="443" t="str">
        <f>IFERROR(__xludf.DUMMYFUNCTION("""COMPUTED_VALUE"""),"Choque de canales ")</f>
        <v>Choque de canales </v>
      </c>
      <c r="D131" s="534" t="str">
        <f>IFERROR(__xludf.DUMMYFUNCTION("""COMPUTED_VALUE"""),"Manipulacion ")</f>
        <v>Manipulacion </v>
      </c>
      <c r="E131" s="627" t="str">
        <f>IFERROR(__xludf.DUMMYFUNCTION("""COMPUTED_VALUE"""),"Despeje de recto ")</f>
        <v>Despeje de recto </v>
      </c>
    </row>
    <row r="132">
      <c r="A132" s="627" t="s">
        <v>359</v>
      </c>
      <c r="B132" s="627" t="str">
        <f>IFERROR(__xludf.DUMMYFUNCTION("TRANSPOSE(unique(FILTER($K$17:$K$28,$J$17:$J$28=A132)))"),"Rayado de pecho ")</f>
        <v>Rayado de pecho </v>
      </c>
      <c r="C132" s="443" t="str">
        <f>IFERROR(__xludf.DUMMYFUNCTION("""COMPUTED_VALUE"""),"Desuello de manos ")</f>
        <v>Desuello de manos </v>
      </c>
      <c r="D132" s="534" t="str">
        <f>IFERROR(__xludf.DUMMYFUNCTION("""COMPUTED_VALUE"""),"Eviscerado de Blanca")</f>
        <v>Eviscerado de Blanca</v>
      </c>
      <c r="E132" s="627" t="str">
        <f>IFERROR(__xludf.DUMMYFUNCTION("""COMPUTED_VALUE"""),"Desolladora (cogote ")</f>
        <v>Desolladora (cogote </v>
      </c>
      <c r="F132" s="627" t="str">
        <f>IFERROR(__xludf.DUMMYFUNCTION("""COMPUTED_VALUE"""),"Leche visible ")</f>
        <v>Leche visible </v>
      </c>
      <c r="G132" s="627" t="str">
        <f>IFERROR(__xludf.DUMMYFUNCTION("""COMPUTED_VALUE"""),"Clipado de esofago ")</f>
        <v>Clipado de esofago </v>
      </c>
      <c r="H132" s="627" t="str">
        <f>IFERROR(__xludf.DUMMYFUNCTION("""COMPUTED_VALUE"""),"Corte de esternon ")</f>
        <v>Corte de esternon </v>
      </c>
    </row>
    <row r="133">
      <c r="A133" s="627" t="s">
        <v>380</v>
      </c>
      <c r="B133" s="627" t="str">
        <f>IFERROR(__xludf.DUMMYFUNCTION("TRANSPOSE(unique(FILTER($K$17:$K$28,$J$17:$J$28=A133)))"),"Corte de patas ")</f>
        <v>Corte de patas </v>
      </c>
      <c r="C133" s="443" t="str">
        <f>IFERROR(__xludf.DUMMYFUNCTION("""COMPUTED_VALUE"""),"Choque de canales ")</f>
        <v>Choque de canales </v>
      </c>
      <c r="D133" s="534" t="str">
        <f>IFERROR(__xludf.DUMMYFUNCTION("""COMPUTED_VALUE"""),"Manipulacion ")</f>
        <v>Manipulacion </v>
      </c>
      <c r="E133" s="627" t="str">
        <f>IFERROR(__xludf.DUMMYFUNCTION("""COMPUTED_VALUE"""),"Despeje de recto ")</f>
        <v>Despeje de recto </v>
      </c>
    </row>
    <row r="134">
      <c r="A134" s="627" t="s">
        <v>380</v>
      </c>
      <c r="B134" s="627" t="str">
        <f>IFERROR(__xludf.DUMMYFUNCTION("TRANSPOSE(unique(FILTER($K$17:$K$28,$J$17:$J$28=A134)))"),"Corte de patas ")</f>
        <v>Corte de patas </v>
      </c>
      <c r="C134" s="443" t="str">
        <f>IFERROR(__xludf.DUMMYFUNCTION("""COMPUTED_VALUE"""),"Choque de canales ")</f>
        <v>Choque de canales </v>
      </c>
      <c r="D134" s="534" t="str">
        <f>IFERROR(__xludf.DUMMYFUNCTION("""COMPUTED_VALUE"""),"Manipulacion ")</f>
        <v>Manipulacion </v>
      </c>
      <c r="E134" s="627" t="str">
        <f>IFERROR(__xludf.DUMMYFUNCTION("""COMPUTED_VALUE"""),"Despeje de recto ")</f>
        <v>Despeje de recto </v>
      </c>
    </row>
    <row r="135">
      <c r="A135" s="627" t="s">
        <v>359</v>
      </c>
      <c r="B135" s="627" t="str">
        <f>IFERROR(__xludf.DUMMYFUNCTION("TRANSPOSE(unique(FILTER($K$17:$K$28,$J$17:$J$28=A135)))"),"Rayado de pecho ")</f>
        <v>Rayado de pecho </v>
      </c>
      <c r="C135" s="443" t="str">
        <f>IFERROR(__xludf.DUMMYFUNCTION("""COMPUTED_VALUE"""),"Desuello de manos ")</f>
        <v>Desuello de manos </v>
      </c>
      <c r="D135" s="534" t="str">
        <f>IFERROR(__xludf.DUMMYFUNCTION("""COMPUTED_VALUE"""),"Eviscerado de Blanca")</f>
        <v>Eviscerado de Blanca</v>
      </c>
      <c r="E135" s="627" t="str">
        <f>IFERROR(__xludf.DUMMYFUNCTION("""COMPUTED_VALUE"""),"Desolladora (cogote ")</f>
        <v>Desolladora (cogote </v>
      </c>
      <c r="F135" s="627" t="str">
        <f>IFERROR(__xludf.DUMMYFUNCTION("""COMPUTED_VALUE"""),"Leche visible ")</f>
        <v>Leche visible </v>
      </c>
      <c r="G135" s="627" t="str">
        <f>IFERROR(__xludf.DUMMYFUNCTION("""COMPUTED_VALUE"""),"Clipado de esofago ")</f>
        <v>Clipado de esofago </v>
      </c>
      <c r="H135" s="627" t="str">
        <f>IFERROR(__xludf.DUMMYFUNCTION("""COMPUTED_VALUE"""),"Corte de esternon ")</f>
        <v>Corte de esternon </v>
      </c>
    </row>
    <row r="136">
      <c r="A136" s="627" t="s">
        <v>380</v>
      </c>
      <c r="B136" s="627" t="str">
        <f>IFERROR(__xludf.DUMMYFUNCTION("TRANSPOSE(unique(FILTER($K$17:$K$28,$J$17:$J$28=A136)))"),"Corte de patas ")</f>
        <v>Corte de patas </v>
      </c>
      <c r="C136" s="443" t="str">
        <f>IFERROR(__xludf.DUMMYFUNCTION("""COMPUTED_VALUE"""),"Choque de canales ")</f>
        <v>Choque de canales </v>
      </c>
      <c r="D136" s="534" t="str">
        <f>IFERROR(__xludf.DUMMYFUNCTION("""COMPUTED_VALUE"""),"Manipulacion ")</f>
        <v>Manipulacion </v>
      </c>
      <c r="E136" s="627" t="str">
        <f>IFERROR(__xludf.DUMMYFUNCTION("""COMPUTED_VALUE"""),"Despeje de recto ")</f>
        <v>Despeje de recto </v>
      </c>
    </row>
    <row r="137">
      <c r="A137" s="627" t="s">
        <v>359</v>
      </c>
      <c r="B137" s="627" t="str">
        <f>IFERROR(__xludf.DUMMYFUNCTION("TRANSPOSE(unique(FILTER($K$17:$K$28,$J$17:$J$28=A137)))"),"Rayado de pecho ")</f>
        <v>Rayado de pecho </v>
      </c>
      <c r="C137" s="443" t="str">
        <f>IFERROR(__xludf.DUMMYFUNCTION("""COMPUTED_VALUE"""),"Desuello de manos ")</f>
        <v>Desuello de manos </v>
      </c>
      <c r="D137" s="534" t="str">
        <f>IFERROR(__xludf.DUMMYFUNCTION("""COMPUTED_VALUE"""),"Eviscerado de Blanca")</f>
        <v>Eviscerado de Blanca</v>
      </c>
      <c r="E137" s="627" t="str">
        <f>IFERROR(__xludf.DUMMYFUNCTION("""COMPUTED_VALUE"""),"Desolladora (cogote ")</f>
        <v>Desolladora (cogote </v>
      </c>
      <c r="F137" s="627" t="str">
        <f>IFERROR(__xludf.DUMMYFUNCTION("""COMPUTED_VALUE"""),"Leche visible ")</f>
        <v>Leche visible </v>
      </c>
      <c r="G137" s="627" t="str">
        <f>IFERROR(__xludf.DUMMYFUNCTION("""COMPUTED_VALUE"""),"Clipado de esofago ")</f>
        <v>Clipado de esofago </v>
      </c>
      <c r="H137" s="627" t="str">
        <f>IFERROR(__xludf.DUMMYFUNCTION("""COMPUTED_VALUE"""),"Corte de esternon ")</f>
        <v>Corte de esternon </v>
      </c>
    </row>
    <row r="138">
      <c r="A138" s="627" t="s">
        <v>359</v>
      </c>
      <c r="B138" s="627" t="str">
        <f>IFERROR(__xludf.DUMMYFUNCTION("TRANSPOSE(unique(FILTER($K$17:$K$28,$J$17:$J$28=A138)))"),"Rayado de pecho ")</f>
        <v>Rayado de pecho </v>
      </c>
      <c r="C138" s="443" t="str">
        <f>IFERROR(__xludf.DUMMYFUNCTION("""COMPUTED_VALUE"""),"Desuello de manos ")</f>
        <v>Desuello de manos </v>
      </c>
      <c r="D138" s="534" t="str">
        <f>IFERROR(__xludf.DUMMYFUNCTION("""COMPUTED_VALUE"""),"Eviscerado de Blanca")</f>
        <v>Eviscerado de Blanca</v>
      </c>
      <c r="E138" s="627" t="str">
        <f>IFERROR(__xludf.DUMMYFUNCTION("""COMPUTED_VALUE"""),"Desolladora (cogote ")</f>
        <v>Desolladora (cogote </v>
      </c>
      <c r="F138" s="627" t="str">
        <f>IFERROR(__xludf.DUMMYFUNCTION("""COMPUTED_VALUE"""),"Leche visible ")</f>
        <v>Leche visible </v>
      </c>
      <c r="G138" s="627" t="str">
        <f>IFERROR(__xludf.DUMMYFUNCTION("""COMPUTED_VALUE"""),"Clipado de esofago ")</f>
        <v>Clipado de esofago </v>
      </c>
      <c r="H138" s="627" t="str">
        <f>IFERROR(__xludf.DUMMYFUNCTION("""COMPUTED_VALUE"""),"Corte de esternon ")</f>
        <v>Corte de esternon </v>
      </c>
    </row>
    <row r="139">
      <c r="A139" s="627" t="s">
        <v>359</v>
      </c>
      <c r="B139" s="627" t="str">
        <f>IFERROR(__xludf.DUMMYFUNCTION("TRANSPOSE(unique(FILTER($K$17:$K$28,$J$17:$J$28=A139)))"),"Rayado de pecho ")</f>
        <v>Rayado de pecho </v>
      </c>
      <c r="C139" s="443" t="str">
        <f>IFERROR(__xludf.DUMMYFUNCTION("""COMPUTED_VALUE"""),"Desuello de manos ")</f>
        <v>Desuello de manos </v>
      </c>
      <c r="D139" s="534" t="str">
        <f>IFERROR(__xludf.DUMMYFUNCTION("""COMPUTED_VALUE"""),"Eviscerado de Blanca")</f>
        <v>Eviscerado de Blanca</v>
      </c>
      <c r="E139" s="627" t="str">
        <f>IFERROR(__xludf.DUMMYFUNCTION("""COMPUTED_VALUE"""),"Desolladora (cogote ")</f>
        <v>Desolladora (cogote </v>
      </c>
      <c r="F139" s="627" t="str">
        <f>IFERROR(__xludf.DUMMYFUNCTION("""COMPUTED_VALUE"""),"Leche visible ")</f>
        <v>Leche visible </v>
      </c>
      <c r="G139" s="627" t="str">
        <f>IFERROR(__xludf.DUMMYFUNCTION("""COMPUTED_VALUE"""),"Clipado de esofago ")</f>
        <v>Clipado de esofago </v>
      </c>
      <c r="H139" s="627" t="str">
        <f>IFERROR(__xludf.DUMMYFUNCTION("""COMPUTED_VALUE"""),"Corte de esternon ")</f>
        <v>Corte de esternon </v>
      </c>
    </row>
    <row r="140">
      <c r="A140" s="627" t="s">
        <v>359</v>
      </c>
      <c r="B140" s="627" t="str">
        <f>IFERROR(__xludf.DUMMYFUNCTION("TRANSPOSE(unique(FILTER($K$17:$K$28,$J$17:$J$28=A140)))"),"Rayado de pecho ")</f>
        <v>Rayado de pecho </v>
      </c>
      <c r="C140" s="443" t="str">
        <f>IFERROR(__xludf.DUMMYFUNCTION("""COMPUTED_VALUE"""),"Desuello de manos ")</f>
        <v>Desuello de manos </v>
      </c>
      <c r="D140" s="534" t="str">
        <f>IFERROR(__xludf.DUMMYFUNCTION("""COMPUTED_VALUE"""),"Eviscerado de Blanca")</f>
        <v>Eviscerado de Blanca</v>
      </c>
      <c r="E140" s="627" t="str">
        <f>IFERROR(__xludf.DUMMYFUNCTION("""COMPUTED_VALUE"""),"Desolladora (cogote ")</f>
        <v>Desolladora (cogote </v>
      </c>
      <c r="F140" s="627" t="str">
        <f>IFERROR(__xludf.DUMMYFUNCTION("""COMPUTED_VALUE"""),"Leche visible ")</f>
        <v>Leche visible </v>
      </c>
      <c r="G140" s="627" t="str">
        <f>IFERROR(__xludf.DUMMYFUNCTION("""COMPUTED_VALUE"""),"Clipado de esofago ")</f>
        <v>Clipado de esofago </v>
      </c>
      <c r="H140" s="627" t="str">
        <f>IFERROR(__xludf.DUMMYFUNCTION("""COMPUTED_VALUE"""),"Corte de esternon ")</f>
        <v>Corte de esternon </v>
      </c>
    </row>
    <row r="141">
      <c r="A141" s="627" t="s">
        <v>359</v>
      </c>
      <c r="B141" s="627" t="str">
        <f>IFERROR(__xludf.DUMMYFUNCTION("TRANSPOSE(unique(FILTER($K$17:$K$28,$J$17:$J$28=A141)))"),"Rayado de pecho ")</f>
        <v>Rayado de pecho </v>
      </c>
      <c r="C141" s="443" t="str">
        <f>IFERROR(__xludf.DUMMYFUNCTION("""COMPUTED_VALUE"""),"Desuello de manos ")</f>
        <v>Desuello de manos </v>
      </c>
      <c r="D141" s="534" t="str">
        <f>IFERROR(__xludf.DUMMYFUNCTION("""COMPUTED_VALUE"""),"Eviscerado de Blanca")</f>
        <v>Eviscerado de Blanca</v>
      </c>
      <c r="E141" s="627" t="str">
        <f>IFERROR(__xludf.DUMMYFUNCTION("""COMPUTED_VALUE"""),"Desolladora (cogote ")</f>
        <v>Desolladora (cogote </v>
      </c>
      <c r="F141" s="627" t="str">
        <f>IFERROR(__xludf.DUMMYFUNCTION("""COMPUTED_VALUE"""),"Leche visible ")</f>
        <v>Leche visible </v>
      </c>
      <c r="G141" s="627" t="str">
        <f>IFERROR(__xludf.DUMMYFUNCTION("""COMPUTED_VALUE"""),"Clipado de esofago ")</f>
        <v>Clipado de esofago </v>
      </c>
      <c r="H141" s="627" t="str">
        <f>IFERROR(__xludf.DUMMYFUNCTION("""COMPUTED_VALUE"""),"Corte de esternon ")</f>
        <v>Corte de esternon </v>
      </c>
    </row>
    <row r="142">
      <c r="A142" s="627" t="s">
        <v>359</v>
      </c>
      <c r="B142" s="627" t="str">
        <f>IFERROR(__xludf.DUMMYFUNCTION("TRANSPOSE(unique(FILTER($K$17:$K$28,$J$17:$J$28=A142)))"),"Rayado de pecho ")</f>
        <v>Rayado de pecho </v>
      </c>
      <c r="C142" s="443" t="str">
        <f>IFERROR(__xludf.DUMMYFUNCTION("""COMPUTED_VALUE"""),"Desuello de manos ")</f>
        <v>Desuello de manos </v>
      </c>
      <c r="D142" s="534" t="str">
        <f>IFERROR(__xludf.DUMMYFUNCTION("""COMPUTED_VALUE"""),"Eviscerado de Blanca")</f>
        <v>Eviscerado de Blanca</v>
      </c>
      <c r="E142" s="627" t="str">
        <f>IFERROR(__xludf.DUMMYFUNCTION("""COMPUTED_VALUE"""),"Desolladora (cogote ")</f>
        <v>Desolladora (cogote </v>
      </c>
      <c r="F142" s="627" t="str">
        <f>IFERROR(__xludf.DUMMYFUNCTION("""COMPUTED_VALUE"""),"Leche visible ")</f>
        <v>Leche visible </v>
      </c>
      <c r="G142" s="627" t="str">
        <f>IFERROR(__xludf.DUMMYFUNCTION("""COMPUTED_VALUE"""),"Clipado de esofago ")</f>
        <v>Clipado de esofago </v>
      </c>
      <c r="H142" s="627" t="str">
        <f>IFERROR(__xludf.DUMMYFUNCTION("""COMPUTED_VALUE"""),"Corte de esternon ")</f>
        <v>Corte de esternon </v>
      </c>
    </row>
    <row r="143">
      <c r="A143" s="627" t="s">
        <v>359</v>
      </c>
      <c r="B143" s="627" t="str">
        <f>IFERROR(__xludf.DUMMYFUNCTION("TRANSPOSE(unique(FILTER($K$17:$K$28,$J$17:$J$28=A143)))"),"Rayado de pecho ")</f>
        <v>Rayado de pecho </v>
      </c>
      <c r="C143" s="443" t="str">
        <f>IFERROR(__xludf.DUMMYFUNCTION("""COMPUTED_VALUE"""),"Desuello de manos ")</f>
        <v>Desuello de manos </v>
      </c>
      <c r="D143" s="534" t="str">
        <f>IFERROR(__xludf.DUMMYFUNCTION("""COMPUTED_VALUE"""),"Eviscerado de Blanca")</f>
        <v>Eviscerado de Blanca</v>
      </c>
      <c r="E143" s="627" t="str">
        <f>IFERROR(__xludf.DUMMYFUNCTION("""COMPUTED_VALUE"""),"Desolladora (cogote ")</f>
        <v>Desolladora (cogote </v>
      </c>
      <c r="F143" s="627" t="str">
        <f>IFERROR(__xludf.DUMMYFUNCTION("""COMPUTED_VALUE"""),"Leche visible ")</f>
        <v>Leche visible </v>
      </c>
      <c r="G143" s="627" t="str">
        <f>IFERROR(__xludf.DUMMYFUNCTION("""COMPUTED_VALUE"""),"Clipado de esofago ")</f>
        <v>Clipado de esofago </v>
      </c>
      <c r="H143" s="627" t="str">
        <f>IFERROR(__xludf.DUMMYFUNCTION("""COMPUTED_VALUE"""),"Corte de esternon ")</f>
        <v>Corte de esternon </v>
      </c>
    </row>
    <row r="144">
      <c r="A144" s="627" t="s">
        <v>380</v>
      </c>
      <c r="B144" s="627" t="str">
        <f>IFERROR(__xludf.DUMMYFUNCTION("TRANSPOSE(unique(FILTER($K$17:$K$28,$J$17:$J$28=A144)))"),"Corte de patas ")</f>
        <v>Corte de patas </v>
      </c>
      <c r="C144" s="443" t="str">
        <f>IFERROR(__xludf.DUMMYFUNCTION("""COMPUTED_VALUE"""),"Choque de canales ")</f>
        <v>Choque de canales </v>
      </c>
      <c r="D144" s="534" t="str">
        <f>IFERROR(__xludf.DUMMYFUNCTION("""COMPUTED_VALUE"""),"Manipulacion ")</f>
        <v>Manipulacion </v>
      </c>
      <c r="E144" s="627" t="str">
        <f>IFERROR(__xludf.DUMMYFUNCTION("""COMPUTED_VALUE"""),"Despeje de recto ")</f>
        <v>Despeje de recto </v>
      </c>
    </row>
    <row r="145">
      <c r="A145" s="627" t="s">
        <v>359</v>
      </c>
      <c r="B145" s="627" t="str">
        <f>IFERROR(__xludf.DUMMYFUNCTION("TRANSPOSE(unique(FILTER($K$17:$K$28,$J$17:$J$28=A145)))"),"Rayado de pecho ")</f>
        <v>Rayado de pecho </v>
      </c>
      <c r="C145" s="443" t="str">
        <f>IFERROR(__xludf.DUMMYFUNCTION("""COMPUTED_VALUE"""),"Desuello de manos ")</f>
        <v>Desuello de manos </v>
      </c>
      <c r="D145" s="534" t="str">
        <f>IFERROR(__xludf.DUMMYFUNCTION("""COMPUTED_VALUE"""),"Eviscerado de Blanca")</f>
        <v>Eviscerado de Blanca</v>
      </c>
      <c r="E145" s="627" t="str">
        <f>IFERROR(__xludf.DUMMYFUNCTION("""COMPUTED_VALUE"""),"Desolladora (cogote ")</f>
        <v>Desolladora (cogote </v>
      </c>
      <c r="F145" s="627" t="str">
        <f>IFERROR(__xludf.DUMMYFUNCTION("""COMPUTED_VALUE"""),"Leche visible ")</f>
        <v>Leche visible </v>
      </c>
      <c r="G145" s="627" t="str">
        <f>IFERROR(__xludf.DUMMYFUNCTION("""COMPUTED_VALUE"""),"Clipado de esofago ")</f>
        <v>Clipado de esofago </v>
      </c>
      <c r="H145" s="627" t="str">
        <f>IFERROR(__xludf.DUMMYFUNCTION("""COMPUTED_VALUE"""),"Corte de esternon ")</f>
        <v>Corte de esternon </v>
      </c>
    </row>
    <row r="146">
      <c r="A146" s="627" t="s">
        <v>359</v>
      </c>
      <c r="B146" s="627" t="str">
        <f>IFERROR(__xludf.DUMMYFUNCTION("TRANSPOSE(unique(FILTER($K$17:$K$28,$J$17:$J$28=A146)))"),"Rayado de pecho ")</f>
        <v>Rayado de pecho </v>
      </c>
      <c r="C146" s="443" t="str">
        <f>IFERROR(__xludf.DUMMYFUNCTION("""COMPUTED_VALUE"""),"Desuello de manos ")</f>
        <v>Desuello de manos </v>
      </c>
      <c r="D146" s="534" t="str">
        <f>IFERROR(__xludf.DUMMYFUNCTION("""COMPUTED_VALUE"""),"Eviscerado de Blanca")</f>
        <v>Eviscerado de Blanca</v>
      </c>
      <c r="E146" s="627" t="str">
        <f>IFERROR(__xludf.DUMMYFUNCTION("""COMPUTED_VALUE"""),"Desolladora (cogote ")</f>
        <v>Desolladora (cogote </v>
      </c>
      <c r="F146" s="627" t="str">
        <f>IFERROR(__xludf.DUMMYFUNCTION("""COMPUTED_VALUE"""),"Leche visible ")</f>
        <v>Leche visible </v>
      </c>
      <c r="G146" s="627" t="str">
        <f>IFERROR(__xludf.DUMMYFUNCTION("""COMPUTED_VALUE"""),"Clipado de esofago ")</f>
        <v>Clipado de esofago </v>
      </c>
      <c r="H146" s="627" t="str">
        <f>IFERROR(__xludf.DUMMYFUNCTION("""COMPUTED_VALUE"""),"Corte de esternon ")</f>
        <v>Corte de esternon </v>
      </c>
    </row>
    <row r="147">
      <c r="A147" s="627" t="s">
        <v>380</v>
      </c>
      <c r="B147" s="627" t="str">
        <f>IFERROR(__xludf.DUMMYFUNCTION("TRANSPOSE(unique(FILTER($K$17:$K$28,$J$17:$J$28=A147)))"),"Corte de patas ")</f>
        <v>Corte de patas </v>
      </c>
      <c r="C147" s="443" t="str">
        <f>IFERROR(__xludf.DUMMYFUNCTION("""COMPUTED_VALUE"""),"Choque de canales ")</f>
        <v>Choque de canales </v>
      </c>
      <c r="D147" s="534" t="str">
        <f>IFERROR(__xludf.DUMMYFUNCTION("""COMPUTED_VALUE"""),"Manipulacion ")</f>
        <v>Manipulacion </v>
      </c>
      <c r="E147" s="627" t="str">
        <f>IFERROR(__xludf.DUMMYFUNCTION("""COMPUTED_VALUE"""),"Despeje de recto ")</f>
        <v>Despeje de recto </v>
      </c>
    </row>
    <row r="148">
      <c r="A148" s="627" t="s">
        <v>359</v>
      </c>
      <c r="B148" s="627" t="str">
        <f>IFERROR(__xludf.DUMMYFUNCTION("TRANSPOSE(unique(FILTER($K$17:$K$28,$J$17:$J$28=A148)))"),"Rayado de pecho ")</f>
        <v>Rayado de pecho </v>
      </c>
      <c r="C148" s="443" t="str">
        <f>IFERROR(__xludf.DUMMYFUNCTION("""COMPUTED_VALUE"""),"Desuello de manos ")</f>
        <v>Desuello de manos </v>
      </c>
      <c r="D148" s="534" t="str">
        <f>IFERROR(__xludf.DUMMYFUNCTION("""COMPUTED_VALUE"""),"Eviscerado de Blanca")</f>
        <v>Eviscerado de Blanca</v>
      </c>
      <c r="E148" s="627" t="str">
        <f>IFERROR(__xludf.DUMMYFUNCTION("""COMPUTED_VALUE"""),"Desolladora (cogote ")</f>
        <v>Desolladora (cogote </v>
      </c>
      <c r="F148" s="627" t="str">
        <f>IFERROR(__xludf.DUMMYFUNCTION("""COMPUTED_VALUE"""),"Leche visible ")</f>
        <v>Leche visible </v>
      </c>
      <c r="G148" s="627" t="str">
        <f>IFERROR(__xludf.DUMMYFUNCTION("""COMPUTED_VALUE"""),"Clipado de esofago ")</f>
        <v>Clipado de esofago </v>
      </c>
      <c r="H148" s="627" t="str">
        <f>IFERROR(__xludf.DUMMYFUNCTION("""COMPUTED_VALUE"""),"Corte de esternon ")</f>
        <v>Corte de esternon </v>
      </c>
    </row>
    <row r="149">
      <c r="A149" s="627" t="s">
        <v>380</v>
      </c>
      <c r="B149" s="627" t="str">
        <f>IFERROR(__xludf.DUMMYFUNCTION("TRANSPOSE(unique(FILTER($K$17:$K$28,$J$17:$J$28=A149)))"),"Corte de patas ")</f>
        <v>Corte de patas </v>
      </c>
      <c r="C149" s="443" t="str">
        <f>IFERROR(__xludf.DUMMYFUNCTION("""COMPUTED_VALUE"""),"Choque de canales ")</f>
        <v>Choque de canales </v>
      </c>
      <c r="D149" s="534" t="str">
        <f>IFERROR(__xludf.DUMMYFUNCTION("""COMPUTED_VALUE"""),"Manipulacion ")</f>
        <v>Manipulacion </v>
      </c>
      <c r="E149" s="627" t="str">
        <f>IFERROR(__xludf.DUMMYFUNCTION("""COMPUTED_VALUE"""),"Despeje de recto ")</f>
        <v>Despeje de recto </v>
      </c>
    </row>
    <row r="150">
      <c r="A150" s="627" t="s">
        <v>359</v>
      </c>
      <c r="B150" s="627" t="str">
        <f>IFERROR(__xludf.DUMMYFUNCTION("TRANSPOSE(unique(FILTER($K$17:$K$28,$J$17:$J$28=A150)))"),"Rayado de pecho ")</f>
        <v>Rayado de pecho </v>
      </c>
      <c r="C150" s="443" t="str">
        <f>IFERROR(__xludf.DUMMYFUNCTION("""COMPUTED_VALUE"""),"Desuello de manos ")</f>
        <v>Desuello de manos </v>
      </c>
      <c r="D150" s="534" t="str">
        <f>IFERROR(__xludf.DUMMYFUNCTION("""COMPUTED_VALUE"""),"Eviscerado de Blanca")</f>
        <v>Eviscerado de Blanca</v>
      </c>
      <c r="E150" s="627" t="str">
        <f>IFERROR(__xludf.DUMMYFUNCTION("""COMPUTED_VALUE"""),"Desolladora (cogote ")</f>
        <v>Desolladora (cogote </v>
      </c>
      <c r="F150" s="627" t="str">
        <f>IFERROR(__xludf.DUMMYFUNCTION("""COMPUTED_VALUE"""),"Leche visible ")</f>
        <v>Leche visible </v>
      </c>
      <c r="G150" s="627" t="str">
        <f>IFERROR(__xludf.DUMMYFUNCTION("""COMPUTED_VALUE"""),"Clipado de esofago ")</f>
        <v>Clipado de esofago </v>
      </c>
      <c r="H150" s="627" t="str">
        <f>IFERROR(__xludf.DUMMYFUNCTION("""COMPUTED_VALUE"""),"Corte de esternon ")</f>
        <v>Corte de esternon </v>
      </c>
    </row>
    <row r="151">
      <c r="A151" s="627" t="s">
        <v>359</v>
      </c>
      <c r="B151" s="627" t="str">
        <f>IFERROR(__xludf.DUMMYFUNCTION("TRANSPOSE(unique(FILTER($K$17:$K$28,$J$17:$J$28=A151)))"),"Rayado de pecho ")</f>
        <v>Rayado de pecho </v>
      </c>
      <c r="C151" s="443" t="str">
        <f>IFERROR(__xludf.DUMMYFUNCTION("""COMPUTED_VALUE"""),"Desuello de manos ")</f>
        <v>Desuello de manos </v>
      </c>
      <c r="D151" s="534" t="str">
        <f>IFERROR(__xludf.DUMMYFUNCTION("""COMPUTED_VALUE"""),"Eviscerado de Blanca")</f>
        <v>Eviscerado de Blanca</v>
      </c>
      <c r="E151" s="627" t="str">
        <f>IFERROR(__xludf.DUMMYFUNCTION("""COMPUTED_VALUE"""),"Desolladora (cogote ")</f>
        <v>Desolladora (cogote </v>
      </c>
      <c r="F151" s="627" t="str">
        <f>IFERROR(__xludf.DUMMYFUNCTION("""COMPUTED_VALUE"""),"Leche visible ")</f>
        <v>Leche visible </v>
      </c>
      <c r="G151" s="627" t="str">
        <f>IFERROR(__xludf.DUMMYFUNCTION("""COMPUTED_VALUE"""),"Clipado de esofago ")</f>
        <v>Clipado de esofago </v>
      </c>
      <c r="H151" s="627" t="str">
        <f>IFERROR(__xludf.DUMMYFUNCTION("""COMPUTED_VALUE"""),"Corte de esternon ")</f>
        <v>Corte de esternon </v>
      </c>
    </row>
    <row r="152">
      <c r="A152" s="627" t="s">
        <v>380</v>
      </c>
      <c r="B152" s="627" t="str">
        <f>IFERROR(__xludf.DUMMYFUNCTION("TRANSPOSE(unique(FILTER($K$17:$K$28,$J$17:$J$28=A152)))"),"Corte de patas ")</f>
        <v>Corte de patas </v>
      </c>
      <c r="C152" s="443" t="str">
        <f>IFERROR(__xludf.DUMMYFUNCTION("""COMPUTED_VALUE"""),"Choque de canales ")</f>
        <v>Choque de canales </v>
      </c>
      <c r="D152" s="534" t="str">
        <f>IFERROR(__xludf.DUMMYFUNCTION("""COMPUTED_VALUE"""),"Manipulacion ")</f>
        <v>Manipulacion </v>
      </c>
      <c r="E152" s="627" t="str">
        <f>IFERROR(__xludf.DUMMYFUNCTION("""COMPUTED_VALUE"""),"Despeje de recto ")</f>
        <v>Despeje de recto </v>
      </c>
    </row>
    <row r="153">
      <c r="A153" s="627" t="s">
        <v>380</v>
      </c>
      <c r="B153" s="627" t="str">
        <f>IFERROR(__xludf.DUMMYFUNCTION("TRANSPOSE(unique(FILTER($K$17:$K$28,$J$17:$J$28=A153)))"),"Corte de patas ")</f>
        <v>Corte de patas </v>
      </c>
      <c r="C153" s="443" t="str">
        <f>IFERROR(__xludf.DUMMYFUNCTION("""COMPUTED_VALUE"""),"Choque de canales ")</f>
        <v>Choque de canales </v>
      </c>
      <c r="D153" s="534" t="str">
        <f>IFERROR(__xludf.DUMMYFUNCTION("""COMPUTED_VALUE"""),"Manipulacion ")</f>
        <v>Manipulacion </v>
      </c>
      <c r="E153" s="627" t="str">
        <f>IFERROR(__xludf.DUMMYFUNCTION("""COMPUTED_VALUE"""),"Despeje de recto ")</f>
        <v>Despeje de recto </v>
      </c>
    </row>
    <row r="154">
      <c r="A154" s="627" t="s">
        <v>359</v>
      </c>
      <c r="B154" s="627" t="str">
        <f>IFERROR(__xludf.DUMMYFUNCTION("TRANSPOSE(unique(FILTER($K$17:$K$28,$J$17:$J$28=A154)))"),"Rayado de pecho ")</f>
        <v>Rayado de pecho </v>
      </c>
      <c r="C154" s="443" t="str">
        <f>IFERROR(__xludf.DUMMYFUNCTION("""COMPUTED_VALUE"""),"Desuello de manos ")</f>
        <v>Desuello de manos </v>
      </c>
      <c r="D154" s="534" t="str">
        <f>IFERROR(__xludf.DUMMYFUNCTION("""COMPUTED_VALUE"""),"Eviscerado de Blanca")</f>
        <v>Eviscerado de Blanca</v>
      </c>
      <c r="E154" s="627" t="str">
        <f>IFERROR(__xludf.DUMMYFUNCTION("""COMPUTED_VALUE"""),"Desolladora (cogote ")</f>
        <v>Desolladora (cogote </v>
      </c>
      <c r="F154" s="627" t="str">
        <f>IFERROR(__xludf.DUMMYFUNCTION("""COMPUTED_VALUE"""),"Leche visible ")</f>
        <v>Leche visible </v>
      </c>
      <c r="G154" s="627" t="str">
        <f>IFERROR(__xludf.DUMMYFUNCTION("""COMPUTED_VALUE"""),"Clipado de esofago ")</f>
        <v>Clipado de esofago </v>
      </c>
      <c r="H154" s="627" t="str">
        <f>IFERROR(__xludf.DUMMYFUNCTION("""COMPUTED_VALUE"""),"Corte de esternon ")</f>
        <v>Corte de esternon </v>
      </c>
    </row>
    <row r="155">
      <c r="A155" s="627" t="s">
        <v>359</v>
      </c>
      <c r="B155" s="627" t="str">
        <f>IFERROR(__xludf.DUMMYFUNCTION("TRANSPOSE(unique(FILTER($K$17:$K$28,$J$17:$J$28=A155)))"),"Rayado de pecho ")</f>
        <v>Rayado de pecho </v>
      </c>
      <c r="C155" s="443" t="str">
        <f>IFERROR(__xludf.DUMMYFUNCTION("""COMPUTED_VALUE"""),"Desuello de manos ")</f>
        <v>Desuello de manos </v>
      </c>
      <c r="D155" s="534" t="str">
        <f>IFERROR(__xludf.DUMMYFUNCTION("""COMPUTED_VALUE"""),"Eviscerado de Blanca")</f>
        <v>Eviscerado de Blanca</v>
      </c>
      <c r="E155" s="627" t="str">
        <f>IFERROR(__xludf.DUMMYFUNCTION("""COMPUTED_VALUE"""),"Desolladora (cogote ")</f>
        <v>Desolladora (cogote </v>
      </c>
      <c r="F155" s="627" t="str">
        <f>IFERROR(__xludf.DUMMYFUNCTION("""COMPUTED_VALUE"""),"Leche visible ")</f>
        <v>Leche visible </v>
      </c>
      <c r="G155" s="627" t="str">
        <f>IFERROR(__xludf.DUMMYFUNCTION("""COMPUTED_VALUE"""),"Clipado de esofago ")</f>
        <v>Clipado de esofago </v>
      </c>
      <c r="H155" s="627" t="str">
        <f>IFERROR(__xludf.DUMMYFUNCTION("""COMPUTED_VALUE"""),"Corte de esternon ")</f>
        <v>Corte de esternon </v>
      </c>
    </row>
    <row r="156">
      <c r="A156" s="627" t="s">
        <v>359</v>
      </c>
      <c r="B156" s="627" t="str">
        <f>IFERROR(__xludf.DUMMYFUNCTION("TRANSPOSE(unique(FILTER($K$17:$K$28,$J$17:$J$28=A156)))"),"Rayado de pecho ")</f>
        <v>Rayado de pecho </v>
      </c>
      <c r="C156" s="443" t="str">
        <f>IFERROR(__xludf.DUMMYFUNCTION("""COMPUTED_VALUE"""),"Desuello de manos ")</f>
        <v>Desuello de manos </v>
      </c>
      <c r="D156" s="534" t="str">
        <f>IFERROR(__xludf.DUMMYFUNCTION("""COMPUTED_VALUE"""),"Eviscerado de Blanca")</f>
        <v>Eviscerado de Blanca</v>
      </c>
      <c r="E156" s="627" t="str">
        <f>IFERROR(__xludf.DUMMYFUNCTION("""COMPUTED_VALUE"""),"Desolladora (cogote ")</f>
        <v>Desolladora (cogote </v>
      </c>
      <c r="F156" s="627" t="str">
        <f>IFERROR(__xludf.DUMMYFUNCTION("""COMPUTED_VALUE"""),"Leche visible ")</f>
        <v>Leche visible </v>
      </c>
      <c r="G156" s="627" t="str">
        <f>IFERROR(__xludf.DUMMYFUNCTION("""COMPUTED_VALUE"""),"Clipado de esofago ")</f>
        <v>Clipado de esofago </v>
      </c>
      <c r="H156" s="627" t="str">
        <f>IFERROR(__xludf.DUMMYFUNCTION("""COMPUTED_VALUE"""),"Corte de esternon ")</f>
        <v>Corte de esternon </v>
      </c>
    </row>
    <row r="157">
      <c r="A157" s="627" t="s">
        <v>380</v>
      </c>
      <c r="B157" s="627" t="str">
        <f>IFERROR(__xludf.DUMMYFUNCTION("TRANSPOSE(unique(FILTER($K$17:$K$28,$J$17:$J$28=A157)))"),"Corte de patas ")</f>
        <v>Corte de patas </v>
      </c>
      <c r="C157" s="443" t="str">
        <f>IFERROR(__xludf.DUMMYFUNCTION("""COMPUTED_VALUE"""),"Choque de canales ")</f>
        <v>Choque de canales </v>
      </c>
      <c r="D157" s="534" t="str">
        <f>IFERROR(__xludf.DUMMYFUNCTION("""COMPUTED_VALUE"""),"Manipulacion ")</f>
        <v>Manipulacion </v>
      </c>
      <c r="E157" s="627" t="str">
        <f>IFERROR(__xludf.DUMMYFUNCTION("""COMPUTED_VALUE"""),"Despeje de recto ")</f>
        <v>Despeje de recto </v>
      </c>
    </row>
    <row r="158">
      <c r="A158" s="627" t="s">
        <v>359</v>
      </c>
      <c r="B158" s="627" t="str">
        <f>IFERROR(__xludf.DUMMYFUNCTION("TRANSPOSE(unique(FILTER($K$17:$K$28,$J$17:$J$28=A158)))"),"Rayado de pecho ")</f>
        <v>Rayado de pecho </v>
      </c>
      <c r="C158" s="443" t="str">
        <f>IFERROR(__xludf.DUMMYFUNCTION("""COMPUTED_VALUE"""),"Desuello de manos ")</f>
        <v>Desuello de manos </v>
      </c>
      <c r="D158" s="534" t="str">
        <f>IFERROR(__xludf.DUMMYFUNCTION("""COMPUTED_VALUE"""),"Eviscerado de Blanca")</f>
        <v>Eviscerado de Blanca</v>
      </c>
      <c r="E158" s="627" t="str">
        <f>IFERROR(__xludf.DUMMYFUNCTION("""COMPUTED_VALUE"""),"Desolladora (cogote ")</f>
        <v>Desolladora (cogote </v>
      </c>
      <c r="F158" s="627" t="str">
        <f>IFERROR(__xludf.DUMMYFUNCTION("""COMPUTED_VALUE"""),"Leche visible ")</f>
        <v>Leche visible </v>
      </c>
      <c r="G158" s="627" t="str">
        <f>IFERROR(__xludf.DUMMYFUNCTION("""COMPUTED_VALUE"""),"Clipado de esofago ")</f>
        <v>Clipado de esofago </v>
      </c>
      <c r="H158" s="627" t="str">
        <f>IFERROR(__xludf.DUMMYFUNCTION("""COMPUTED_VALUE"""),"Corte de esternon ")</f>
        <v>Corte de esternon </v>
      </c>
    </row>
    <row r="159">
      <c r="A159" s="627" t="s">
        <v>380</v>
      </c>
      <c r="B159" s="627" t="str">
        <f>IFERROR(__xludf.DUMMYFUNCTION("TRANSPOSE(unique(FILTER($K$17:$K$28,$J$17:$J$28=A159)))"),"Corte de patas ")</f>
        <v>Corte de patas </v>
      </c>
      <c r="C159" s="443" t="str">
        <f>IFERROR(__xludf.DUMMYFUNCTION("""COMPUTED_VALUE"""),"Choque de canales ")</f>
        <v>Choque de canales </v>
      </c>
      <c r="D159" s="534" t="str">
        <f>IFERROR(__xludf.DUMMYFUNCTION("""COMPUTED_VALUE"""),"Manipulacion ")</f>
        <v>Manipulacion </v>
      </c>
      <c r="E159" s="627" t="str">
        <f>IFERROR(__xludf.DUMMYFUNCTION("""COMPUTED_VALUE"""),"Despeje de recto ")</f>
        <v>Despeje de recto </v>
      </c>
    </row>
    <row r="160">
      <c r="A160" s="627" t="s">
        <v>359</v>
      </c>
      <c r="B160" s="627" t="str">
        <f>IFERROR(__xludf.DUMMYFUNCTION("TRANSPOSE(unique(FILTER($K$17:$K$28,$J$17:$J$28=A160)))"),"Rayado de pecho ")</f>
        <v>Rayado de pecho </v>
      </c>
      <c r="C160" s="443" t="str">
        <f>IFERROR(__xludf.DUMMYFUNCTION("""COMPUTED_VALUE"""),"Desuello de manos ")</f>
        <v>Desuello de manos </v>
      </c>
      <c r="D160" s="534" t="str">
        <f>IFERROR(__xludf.DUMMYFUNCTION("""COMPUTED_VALUE"""),"Eviscerado de Blanca")</f>
        <v>Eviscerado de Blanca</v>
      </c>
      <c r="E160" s="627" t="str">
        <f>IFERROR(__xludf.DUMMYFUNCTION("""COMPUTED_VALUE"""),"Desolladora (cogote ")</f>
        <v>Desolladora (cogote </v>
      </c>
      <c r="F160" s="627" t="str">
        <f>IFERROR(__xludf.DUMMYFUNCTION("""COMPUTED_VALUE"""),"Leche visible ")</f>
        <v>Leche visible </v>
      </c>
      <c r="G160" s="627" t="str">
        <f>IFERROR(__xludf.DUMMYFUNCTION("""COMPUTED_VALUE"""),"Clipado de esofago ")</f>
        <v>Clipado de esofago </v>
      </c>
      <c r="H160" s="627" t="str">
        <f>IFERROR(__xludf.DUMMYFUNCTION("""COMPUTED_VALUE"""),"Corte de esternon ")</f>
        <v>Corte de esternon </v>
      </c>
    </row>
    <row r="161">
      <c r="A161" s="627" t="s">
        <v>380</v>
      </c>
      <c r="B161" s="627" t="str">
        <f>IFERROR(__xludf.DUMMYFUNCTION("TRANSPOSE(unique(FILTER($K$17:$K$28,$J$17:$J$28=A161)))"),"Corte de patas ")</f>
        <v>Corte de patas </v>
      </c>
      <c r="C161" s="443" t="str">
        <f>IFERROR(__xludf.DUMMYFUNCTION("""COMPUTED_VALUE"""),"Choque de canales ")</f>
        <v>Choque de canales </v>
      </c>
      <c r="D161" s="534" t="str">
        <f>IFERROR(__xludf.DUMMYFUNCTION("""COMPUTED_VALUE"""),"Manipulacion ")</f>
        <v>Manipulacion </v>
      </c>
      <c r="E161" s="627" t="str">
        <f>IFERROR(__xludf.DUMMYFUNCTION("""COMPUTED_VALUE"""),"Despeje de recto ")</f>
        <v>Despeje de recto </v>
      </c>
    </row>
    <row r="162">
      <c r="A162" s="627" t="s">
        <v>359</v>
      </c>
      <c r="B162" s="627" t="str">
        <f>IFERROR(__xludf.DUMMYFUNCTION("TRANSPOSE(unique(FILTER($K$17:$K$28,$J$17:$J$28=A162)))"),"Rayado de pecho ")</f>
        <v>Rayado de pecho </v>
      </c>
      <c r="C162" s="443" t="str">
        <f>IFERROR(__xludf.DUMMYFUNCTION("""COMPUTED_VALUE"""),"Desuello de manos ")</f>
        <v>Desuello de manos </v>
      </c>
      <c r="D162" s="534" t="str">
        <f>IFERROR(__xludf.DUMMYFUNCTION("""COMPUTED_VALUE"""),"Eviscerado de Blanca")</f>
        <v>Eviscerado de Blanca</v>
      </c>
      <c r="E162" s="627" t="str">
        <f>IFERROR(__xludf.DUMMYFUNCTION("""COMPUTED_VALUE"""),"Desolladora (cogote ")</f>
        <v>Desolladora (cogote </v>
      </c>
      <c r="F162" s="627" t="str">
        <f>IFERROR(__xludf.DUMMYFUNCTION("""COMPUTED_VALUE"""),"Leche visible ")</f>
        <v>Leche visible </v>
      </c>
      <c r="G162" s="627" t="str">
        <f>IFERROR(__xludf.DUMMYFUNCTION("""COMPUTED_VALUE"""),"Clipado de esofago ")</f>
        <v>Clipado de esofago </v>
      </c>
      <c r="H162" s="627" t="str">
        <f>IFERROR(__xludf.DUMMYFUNCTION("""COMPUTED_VALUE"""),"Corte de esternon ")</f>
        <v>Corte de esternon </v>
      </c>
    </row>
    <row r="163">
      <c r="A163" s="627" t="s">
        <v>359</v>
      </c>
      <c r="B163" s="627" t="str">
        <f>IFERROR(__xludf.DUMMYFUNCTION("TRANSPOSE(unique(FILTER($K$17:$K$28,$J$17:$J$28=A163)))"),"Rayado de pecho ")</f>
        <v>Rayado de pecho </v>
      </c>
      <c r="C163" s="443" t="str">
        <f>IFERROR(__xludf.DUMMYFUNCTION("""COMPUTED_VALUE"""),"Desuello de manos ")</f>
        <v>Desuello de manos </v>
      </c>
      <c r="D163" s="534" t="str">
        <f>IFERROR(__xludf.DUMMYFUNCTION("""COMPUTED_VALUE"""),"Eviscerado de Blanca")</f>
        <v>Eviscerado de Blanca</v>
      </c>
      <c r="E163" s="627" t="str">
        <f>IFERROR(__xludf.DUMMYFUNCTION("""COMPUTED_VALUE"""),"Desolladora (cogote ")</f>
        <v>Desolladora (cogote </v>
      </c>
      <c r="F163" s="627" t="str">
        <f>IFERROR(__xludf.DUMMYFUNCTION("""COMPUTED_VALUE"""),"Leche visible ")</f>
        <v>Leche visible </v>
      </c>
      <c r="G163" s="627" t="str">
        <f>IFERROR(__xludf.DUMMYFUNCTION("""COMPUTED_VALUE"""),"Clipado de esofago ")</f>
        <v>Clipado de esofago </v>
      </c>
      <c r="H163" s="627" t="str">
        <f>IFERROR(__xludf.DUMMYFUNCTION("""COMPUTED_VALUE"""),"Corte de esternon ")</f>
        <v>Corte de esternon </v>
      </c>
    </row>
    <row r="164">
      <c r="A164" s="627" t="s">
        <v>380</v>
      </c>
      <c r="B164" s="627" t="str">
        <f>IFERROR(__xludf.DUMMYFUNCTION("TRANSPOSE(unique(FILTER($K$17:$K$28,$J$17:$J$28=A164)))"),"Corte de patas ")</f>
        <v>Corte de patas </v>
      </c>
      <c r="C164" s="443" t="str">
        <f>IFERROR(__xludf.DUMMYFUNCTION("""COMPUTED_VALUE"""),"Choque de canales ")</f>
        <v>Choque de canales </v>
      </c>
      <c r="D164" s="534" t="str">
        <f>IFERROR(__xludf.DUMMYFUNCTION("""COMPUTED_VALUE"""),"Manipulacion ")</f>
        <v>Manipulacion </v>
      </c>
      <c r="E164" s="627" t="str">
        <f>IFERROR(__xludf.DUMMYFUNCTION("""COMPUTED_VALUE"""),"Despeje de recto ")</f>
        <v>Despeje de recto </v>
      </c>
    </row>
    <row r="165">
      <c r="A165" s="627" t="s">
        <v>380</v>
      </c>
      <c r="B165" s="627" t="str">
        <f>IFERROR(__xludf.DUMMYFUNCTION("TRANSPOSE(unique(FILTER($K$17:$K$28,$J$17:$J$28=A165)))"),"Corte de patas ")</f>
        <v>Corte de patas </v>
      </c>
      <c r="C165" s="443" t="str">
        <f>IFERROR(__xludf.DUMMYFUNCTION("""COMPUTED_VALUE"""),"Choque de canales ")</f>
        <v>Choque de canales </v>
      </c>
      <c r="D165" s="534" t="str">
        <f>IFERROR(__xludf.DUMMYFUNCTION("""COMPUTED_VALUE"""),"Manipulacion ")</f>
        <v>Manipulacion </v>
      </c>
      <c r="E165" s="627" t="str">
        <f>IFERROR(__xludf.DUMMYFUNCTION("""COMPUTED_VALUE"""),"Despeje de recto ")</f>
        <v>Despeje de recto </v>
      </c>
    </row>
    <row r="166">
      <c r="A166" s="627" t="s">
        <v>359</v>
      </c>
      <c r="B166" s="627" t="str">
        <f>IFERROR(__xludf.DUMMYFUNCTION("TRANSPOSE(unique(FILTER($K$17:$K$28,$J$17:$J$28=A166)))"),"Rayado de pecho ")</f>
        <v>Rayado de pecho </v>
      </c>
      <c r="C166" s="443" t="str">
        <f>IFERROR(__xludf.DUMMYFUNCTION("""COMPUTED_VALUE"""),"Desuello de manos ")</f>
        <v>Desuello de manos </v>
      </c>
      <c r="D166" s="534" t="str">
        <f>IFERROR(__xludf.DUMMYFUNCTION("""COMPUTED_VALUE"""),"Eviscerado de Blanca")</f>
        <v>Eviscerado de Blanca</v>
      </c>
      <c r="E166" s="627" t="str">
        <f>IFERROR(__xludf.DUMMYFUNCTION("""COMPUTED_VALUE"""),"Desolladora (cogote ")</f>
        <v>Desolladora (cogote </v>
      </c>
      <c r="F166" s="627" t="str">
        <f>IFERROR(__xludf.DUMMYFUNCTION("""COMPUTED_VALUE"""),"Leche visible ")</f>
        <v>Leche visible </v>
      </c>
      <c r="G166" s="627" t="str">
        <f>IFERROR(__xludf.DUMMYFUNCTION("""COMPUTED_VALUE"""),"Clipado de esofago ")</f>
        <v>Clipado de esofago </v>
      </c>
      <c r="H166" s="627" t="str">
        <f>IFERROR(__xludf.DUMMYFUNCTION("""COMPUTED_VALUE"""),"Corte de esternon ")</f>
        <v>Corte de esternon </v>
      </c>
    </row>
    <row r="167">
      <c r="A167" s="627" t="s">
        <v>359</v>
      </c>
      <c r="B167" s="627" t="str">
        <f>IFERROR(__xludf.DUMMYFUNCTION("TRANSPOSE(unique(FILTER($K$17:$K$28,$J$17:$J$28=A167)))"),"Rayado de pecho ")</f>
        <v>Rayado de pecho </v>
      </c>
      <c r="C167" s="443" t="str">
        <f>IFERROR(__xludf.DUMMYFUNCTION("""COMPUTED_VALUE"""),"Desuello de manos ")</f>
        <v>Desuello de manos </v>
      </c>
      <c r="D167" s="534" t="str">
        <f>IFERROR(__xludf.DUMMYFUNCTION("""COMPUTED_VALUE"""),"Eviscerado de Blanca")</f>
        <v>Eviscerado de Blanca</v>
      </c>
      <c r="E167" s="627" t="str">
        <f>IFERROR(__xludf.DUMMYFUNCTION("""COMPUTED_VALUE"""),"Desolladora (cogote ")</f>
        <v>Desolladora (cogote </v>
      </c>
      <c r="F167" s="627" t="str">
        <f>IFERROR(__xludf.DUMMYFUNCTION("""COMPUTED_VALUE"""),"Leche visible ")</f>
        <v>Leche visible </v>
      </c>
      <c r="G167" s="627" t="str">
        <f>IFERROR(__xludf.DUMMYFUNCTION("""COMPUTED_VALUE"""),"Clipado de esofago ")</f>
        <v>Clipado de esofago </v>
      </c>
      <c r="H167" s="627" t="str">
        <f>IFERROR(__xludf.DUMMYFUNCTION("""COMPUTED_VALUE"""),"Corte de esternon ")</f>
        <v>Corte de esternon </v>
      </c>
    </row>
    <row r="168">
      <c r="A168" s="627" t="s">
        <v>380</v>
      </c>
      <c r="B168" s="627" t="str">
        <f>IFERROR(__xludf.DUMMYFUNCTION("TRANSPOSE(unique(FILTER($K$17:$K$28,$J$17:$J$28=A168)))"),"Corte de patas ")</f>
        <v>Corte de patas </v>
      </c>
      <c r="C168" s="443" t="str">
        <f>IFERROR(__xludf.DUMMYFUNCTION("""COMPUTED_VALUE"""),"Choque de canales ")</f>
        <v>Choque de canales </v>
      </c>
      <c r="D168" s="534" t="str">
        <f>IFERROR(__xludf.DUMMYFUNCTION("""COMPUTED_VALUE"""),"Manipulacion ")</f>
        <v>Manipulacion </v>
      </c>
      <c r="E168" s="627" t="str">
        <f>IFERROR(__xludf.DUMMYFUNCTION("""COMPUTED_VALUE"""),"Despeje de recto ")</f>
        <v>Despeje de recto </v>
      </c>
    </row>
    <row r="169">
      <c r="A169" s="627" t="s">
        <v>380</v>
      </c>
      <c r="B169" s="627" t="str">
        <f>IFERROR(__xludf.DUMMYFUNCTION("TRANSPOSE(unique(FILTER($K$17:$K$28,$J$17:$J$28=A169)))"),"Corte de patas ")</f>
        <v>Corte de patas </v>
      </c>
      <c r="C169" s="443" t="str">
        <f>IFERROR(__xludf.DUMMYFUNCTION("""COMPUTED_VALUE"""),"Choque de canales ")</f>
        <v>Choque de canales </v>
      </c>
      <c r="D169" s="534" t="str">
        <f>IFERROR(__xludf.DUMMYFUNCTION("""COMPUTED_VALUE"""),"Manipulacion ")</f>
        <v>Manipulacion </v>
      </c>
      <c r="E169" s="627" t="str">
        <f>IFERROR(__xludf.DUMMYFUNCTION("""COMPUTED_VALUE"""),"Despeje de recto ")</f>
        <v>Despeje de recto </v>
      </c>
    </row>
    <row r="170">
      <c r="A170" s="627" t="s">
        <v>380</v>
      </c>
      <c r="B170" s="627" t="str">
        <f>IFERROR(__xludf.DUMMYFUNCTION("TRANSPOSE(unique(FILTER($K$17:$K$28,$J$17:$J$28=A170)))"),"Corte de patas ")</f>
        <v>Corte de patas </v>
      </c>
      <c r="C170" s="443" t="str">
        <f>IFERROR(__xludf.DUMMYFUNCTION("""COMPUTED_VALUE"""),"Choque de canales ")</f>
        <v>Choque de canales </v>
      </c>
      <c r="D170" s="534" t="str">
        <f>IFERROR(__xludf.DUMMYFUNCTION("""COMPUTED_VALUE"""),"Manipulacion ")</f>
        <v>Manipulacion </v>
      </c>
      <c r="E170" s="627" t="str">
        <f>IFERROR(__xludf.DUMMYFUNCTION("""COMPUTED_VALUE"""),"Despeje de recto ")</f>
        <v>Despeje de recto </v>
      </c>
    </row>
    <row r="171">
      <c r="A171" s="627" t="s">
        <v>359</v>
      </c>
      <c r="B171" s="627" t="str">
        <f>IFERROR(__xludf.DUMMYFUNCTION("TRANSPOSE(unique(FILTER($K$17:$K$28,$J$17:$J$28=A171)))"),"Rayado de pecho ")</f>
        <v>Rayado de pecho </v>
      </c>
      <c r="C171" s="443" t="str">
        <f>IFERROR(__xludf.DUMMYFUNCTION("""COMPUTED_VALUE"""),"Desuello de manos ")</f>
        <v>Desuello de manos </v>
      </c>
      <c r="D171" s="534" t="str">
        <f>IFERROR(__xludf.DUMMYFUNCTION("""COMPUTED_VALUE"""),"Eviscerado de Blanca")</f>
        <v>Eviscerado de Blanca</v>
      </c>
      <c r="E171" s="627" t="str">
        <f>IFERROR(__xludf.DUMMYFUNCTION("""COMPUTED_VALUE"""),"Desolladora (cogote ")</f>
        <v>Desolladora (cogote </v>
      </c>
      <c r="F171" s="627" t="str">
        <f>IFERROR(__xludf.DUMMYFUNCTION("""COMPUTED_VALUE"""),"Leche visible ")</f>
        <v>Leche visible </v>
      </c>
      <c r="G171" s="627" t="str">
        <f>IFERROR(__xludf.DUMMYFUNCTION("""COMPUTED_VALUE"""),"Clipado de esofago ")</f>
        <v>Clipado de esofago </v>
      </c>
      <c r="H171" s="627" t="str">
        <f>IFERROR(__xludf.DUMMYFUNCTION("""COMPUTED_VALUE"""),"Corte de esternon ")</f>
        <v>Corte de esternon </v>
      </c>
    </row>
    <row r="172">
      <c r="A172" s="627" t="s">
        <v>359</v>
      </c>
      <c r="B172" s="627" t="str">
        <f>IFERROR(__xludf.DUMMYFUNCTION("TRANSPOSE(unique(FILTER($K$17:$K$28,$J$17:$J$28=A172)))"),"Rayado de pecho ")</f>
        <v>Rayado de pecho </v>
      </c>
      <c r="C172" s="443" t="str">
        <f>IFERROR(__xludf.DUMMYFUNCTION("""COMPUTED_VALUE"""),"Desuello de manos ")</f>
        <v>Desuello de manos </v>
      </c>
      <c r="D172" s="534" t="str">
        <f>IFERROR(__xludf.DUMMYFUNCTION("""COMPUTED_VALUE"""),"Eviscerado de Blanca")</f>
        <v>Eviscerado de Blanca</v>
      </c>
      <c r="E172" s="627" t="str">
        <f>IFERROR(__xludf.DUMMYFUNCTION("""COMPUTED_VALUE"""),"Desolladora (cogote ")</f>
        <v>Desolladora (cogote </v>
      </c>
      <c r="F172" s="627" t="str">
        <f>IFERROR(__xludf.DUMMYFUNCTION("""COMPUTED_VALUE"""),"Leche visible ")</f>
        <v>Leche visible </v>
      </c>
      <c r="G172" s="627" t="str">
        <f>IFERROR(__xludf.DUMMYFUNCTION("""COMPUTED_VALUE"""),"Clipado de esofago ")</f>
        <v>Clipado de esofago </v>
      </c>
      <c r="H172" s="627" t="str">
        <f>IFERROR(__xludf.DUMMYFUNCTION("""COMPUTED_VALUE"""),"Corte de esternon ")</f>
        <v>Corte de esternon </v>
      </c>
    </row>
    <row r="173">
      <c r="A173" s="627" t="s">
        <v>380</v>
      </c>
      <c r="B173" s="627" t="str">
        <f>IFERROR(__xludf.DUMMYFUNCTION("TRANSPOSE(unique(FILTER($K$17:$K$28,$J$17:$J$28=A173)))"),"Corte de patas ")</f>
        <v>Corte de patas </v>
      </c>
      <c r="C173" s="443" t="str">
        <f>IFERROR(__xludf.DUMMYFUNCTION("""COMPUTED_VALUE"""),"Choque de canales ")</f>
        <v>Choque de canales </v>
      </c>
      <c r="D173" s="534" t="str">
        <f>IFERROR(__xludf.DUMMYFUNCTION("""COMPUTED_VALUE"""),"Manipulacion ")</f>
        <v>Manipulacion </v>
      </c>
      <c r="E173" s="627" t="str">
        <f>IFERROR(__xludf.DUMMYFUNCTION("""COMPUTED_VALUE"""),"Despeje de recto ")</f>
        <v>Despeje de recto </v>
      </c>
    </row>
    <row r="174">
      <c r="A174" s="627" t="s">
        <v>359</v>
      </c>
      <c r="B174" s="627" t="str">
        <f>IFERROR(__xludf.DUMMYFUNCTION("TRANSPOSE(unique(FILTER($K$17:$K$28,$J$17:$J$28=A174)))"),"Rayado de pecho ")</f>
        <v>Rayado de pecho </v>
      </c>
      <c r="C174" s="443" t="str">
        <f>IFERROR(__xludf.DUMMYFUNCTION("""COMPUTED_VALUE"""),"Desuello de manos ")</f>
        <v>Desuello de manos </v>
      </c>
      <c r="D174" s="534" t="str">
        <f>IFERROR(__xludf.DUMMYFUNCTION("""COMPUTED_VALUE"""),"Eviscerado de Blanca")</f>
        <v>Eviscerado de Blanca</v>
      </c>
      <c r="E174" s="627" t="str">
        <f>IFERROR(__xludf.DUMMYFUNCTION("""COMPUTED_VALUE"""),"Desolladora (cogote ")</f>
        <v>Desolladora (cogote </v>
      </c>
      <c r="F174" s="627" t="str">
        <f>IFERROR(__xludf.DUMMYFUNCTION("""COMPUTED_VALUE"""),"Leche visible ")</f>
        <v>Leche visible </v>
      </c>
      <c r="G174" s="627" t="str">
        <f>IFERROR(__xludf.DUMMYFUNCTION("""COMPUTED_VALUE"""),"Clipado de esofago ")</f>
        <v>Clipado de esofago </v>
      </c>
      <c r="H174" s="627" t="str">
        <f>IFERROR(__xludf.DUMMYFUNCTION("""COMPUTED_VALUE"""),"Corte de esternon ")</f>
        <v>Corte de esternon </v>
      </c>
    </row>
    <row r="175">
      <c r="A175" s="627" t="s">
        <v>380</v>
      </c>
      <c r="B175" s="627" t="str">
        <f>IFERROR(__xludf.DUMMYFUNCTION("TRANSPOSE(unique(FILTER($K$17:$K$28,$J$17:$J$28=A175)))"),"Corte de patas ")</f>
        <v>Corte de patas </v>
      </c>
      <c r="C175" s="443" t="str">
        <f>IFERROR(__xludf.DUMMYFUNCTION("""COMPUTED_VALUE"""),"Choque de canales ")</f>
        <v>Choque de canales </v>
      </c>
      <c r="D175" s="534" t="str">
        <f>IFERROR(__xludf.DUMMYFUNCTION("""COMPUTED_VALUE"""),"Manipulacion ")</f>
        <v>Manipulacion </v>
      </c>
      <c r="E175" s="627" t="str">
        <f>IFERROR(__xludf.DUMMYFUNCTION("""COMPUTED_VALUE"""),"Despeje de recto ")</f>
        <v>Despeje de recto </v>
      </c>
    </row>
    <row r="176">
      <c r="A176" s="627" t="s">
        <v>380</v>
      </c>
      <c r="B176" s="627" t="str">
        <f>IFERROR(__xludf.DUMMYFUNCTION("TRANSPOSE(unique(FILTER($K$17:$K$28,$J$17:$J$28=A176)))"),"Corte de patas ")</f>
        <v>Corte de patas </v>
      </c>
      <c r="C176" s="443" t="str">
        <f>IFERROR(__xludf.DUMMYFUNCTION("""COMPUTED_VALUE"""),"Choque de canales ")</f>
        <v>Choque de canales </v>
      </c>
      <c r="D176" s="534" t="str">
        <f>IFERROR(__xludf.DUMMYFUNCTION("""COMPUTED_VALUE"""),"Manipulacion ")</f>
        <v>Manipulacion </v>
      </c>
      <c r="E176" s="627" t="str">
        <f>IFERROR(__xludf.DUMMYFUNCTION("""COMPUTED_VALUE"""),"Despeje de recto ")</f>
        <v>Despeje de recto </v>
      </c>
    </row>
    <row r="177">
      <c r="A177" s="627" t="s">
        <v>359</v>
      </c>
      <c r="B177" s="627" t="str">
        <f>IFERROR(__xludf.DUMMYFUNCTION("TRANSPOSE(unique(FILTER($K$17:$K$28,$J$17:$J$28=A177)))"),"Rayado de pecho ")</f>
        <v>Rayado de pecho </v>
      </c>
      <c r="C177" s="443" t="str">
        <f>IFERROR(__xludf.DUMMYFUNCTION("""COMPUTED_VALUE"""),"Desuello de manos ")</f>
        <v>Desuello de manos </v>
      </c>
      <c r="D177" s="534" t="str">
        <f>IFERROR(__xludf.DUMMYFUNCTION("""COMPUTED_VALUE"""),"Eviscerado de Blanca")</f>
        <v>Eviscerado de Blanca</v>
      </c>
      <c r="E177" s="627" t="str">
        <f>IFERROR(__xludf.DUMMYFUNCTION("""COMPUTED_VALUE"""),"Desolladora (cogote ")</f>
        <v>Desolladora (cogote </v>
      </c>
      <c r="F177" s="627" t="str">
        <f>IFERROR(__xludf.DUMMYFUNCTION("""COMPUTED_VALUE"""),"Leche visible ")</f>
        <v>Leche visible </v>
      </c>
      <c r="G177" s="627" t="str">
        <f>IFERROR(__xludf.DUMMYFUNCTION("""COMPUTED_VALUE"""),"Clipado de esofago ")</f>
        <v>Clipado de esofago </v>
      </c>
      <c r="H177" s="627" t="str">
        <f>IFERROR(__xludf.DUMMYFUNCTION("""COMPUTED_VALUE"""),"Corte de esternon ")</f>
        <v>Corte de esternon </v>
      </c>
    </row>
    <row r="178">
      <c r="A178" s="627" t="s">
        <v>380</v>
      </c>
      <c r="B178" s="627" t="str">
        <f>IFERROR(__xludf.DUMMYFUNCTION("TRANSPOSE(unique(FILTER($K$17:$K$28,$J$17:$J$28=A178)))"),"Corte de patas ")</f>
        <v>Corte de patas </v>
      </c>
      <c r="C178" s="443" t="str">
        <f>IFERROR(__xludf.DUMMYFUNCTION("""COMPUTED_VALUE"""),"Choque de canales ")</f>
        <v>Choque de canales </v>
      </c>
      <c r="D178" s="534" t="str">
        <f>IFERROR(__xludf.DUMMYFUNCTION("""COMPUTED_VALUE"""),"Manipulacion ")</f>
        <v>Manipulacion </v>
      </c>
      <c r="E178" s="627" t="str">
        <f>IFERROR(__xludf.DUMMYFUNCTION("""COMPUTED_VALUE"""),"Despeje de recto ")</f>
        <v>Despeje de recto </v>
      </c>
    </row>
    <row r="179">
      <c r="A179" s="627" t="s">
        <v>380</v>
      </c>
      <c r="B179" s="627" t="str">
        <f>IFERROR(__xludf.DUMMYFUNCTION("TRANSPOSE(unique(FILTER($K$17:$K$28,$J$17:$J$28=A179)))"),"Corte de patas ")</f>
        <v>Corte de patas </v>
      </c>
      <c r="C179" s="443" t="str">
        <f>IFERROR(__xludf.DUMMYFUNCTION("""COMPUTED_VALUE"""),"Choque de canales ")</f>
        <v>Choque de canales </v>
      </c>
      <c r="D179" s="534" t="str">
        <f>IFERROR(__xludf.DUMMYFUNCTION("""COMPUTED_VALUE"""),"Manipulacion ")</f>
        <v>Manipulacion </v>
      </c>
      <c r="E179" s="627" t="str">
        <f>IFERROR(__xludf.DUMMYFUNCTION("""COMPUTED_VALUE"""),"Despeje de recto ")</f>
        <v>Despeje de recto </v>
      </c>
    </row>
    <row r="180">
      <c r="A180" s="627" t="s">
        <v>359</v>
      </c>
      <c r="B180" s="627" t="str">
        <f>IFERROR(__xludf.DUMMYFUNCTION("TRANSPOSE(unique(FILTER($K$17:$K$28,$J$17:$J$28=A180)))"),"Rayado de pecho ")</f>
        <v>Rayado de pecho </v>
      </c>
      <c r="C180" s="443" t="str">
        <f>IFERROR(__xludf.DUMMYFUNCTION("""COMPUTED_VALUE"""),"Desuello de manos ")</f>
        <v>Desuello de manos </v>
      </c>
      <c r="D180" s="534" t="str">
        <f>IFERROR(__xludf.DUMMYFUNCTION("""COMPUTED_VALUE"""),"Eviscerado de Blanca")</f>
        <v>Eviscerado de Blanca</v>
      </c>
      <c r="E180" s="627" t="str">
        <f>IFERROR(__xludf.DUMMYFUNCTION("""COMPUTED_VALUE"""),"Desolladora (cogote ")</f>
        <v>Desolladora (cogote </v>
      </c>
      <c r="F180" s="627" t="str">
        <f>IFERROR(__xludf.DUMMYFUNCTION("""COMPUTED_VALUE"""),"Leche visible ")</f>
        <v>Leche visible </v>
      </c>
      <c r="G180" s="627" t="str">
        <f>IFERROR(__xludf.DUMMYFUNCTION("""COMPUTED_VALUE"""),"Clipado de esofago ")</f>
        <v>Clipado de esofago </v>
      </c>
      <c r="H180" s="627" t="str">
        <f>IFERROR(__xludf.DUMMYFUNCTION("""COMPUTED_VALUE"""),"Corte de esternon ")</f>
        <v>Corte de esternon </v>
      </c>
    </row>
    <row r="181">
      <c r="A181" s="627" t="s">
        <v>380</v>
      </c>
      <c r="B181" s="627" t="str">
        <f>IFERROR(__xludf.DUMMYFUNCTION("TRANSPOSE(unique(FILTER($K$17:$K$28,$J$17:$J$28=A181)))"),"Corte de patas ")</f>
        <v>Corte de patas </v>
      </c>
      <c r="C181" s="443" t="str">
        <f>IFERROR(__xludf.DUMMYFUNCTION("""COMPUTED_VALUE"""),"Choque de canales ")</f>
        <v>Choque de canales </v>
      </c>
      <c r="D181" s="534" t="str">
        <f>IFERROR(__xludf.DUMMYFUNCTION("""COMPUTED_VALUE"""),"Manipulacion ")</f>
        <v>Manipulacion </v>
      </c>
      <c r="E181" s="627" t="str">
        <f>IFERROR(__xludf.DUMMYFUNCTION("""COMPUTED_VALUE"""),"Despeje de recto ")</f>
        <v>Despeje de recto </v>
      </c>
    </row>
    <row r="182">
      <c r="A182" s="627" t="s">
        <v>380</v>
      </c>
      <c r="B182" s="627" t="str">
        <f>IFERROR(__xludf.DUMMYFUNCTION("TRANSPOSE(unique(FILTER($K$17:$K$28,$J$17:$J$28=A182)))"),"Corte de patas ")</f>
        <v>Corte de patas </v>
      </c>
      <c r="C182" s="443" t="str">
        <f>IFERROR(__xludf.DUMMYFUNCTION("""COMPUTED_VALUE"""),"Choque de canales ")</f>
        <v>Choque de canales </v>
      </c>
      <c r="D182" s="534" t="str">
        <f>IFERROR(__xludf.DUMMYFUNCTION("""COMPUTED_VALUE"""),"Manipulacion ")</f>
        <v>Manipulacion </v>
      </c>
      <c r="E182" s="627" t="str">
        <f>IFERROR(__xludf.DUMMYFUNCTION("""COMPUTED_VALUE"""),"Despeje de recto ")</f>
        <v>Despeje de recto </v>
      </c>
    </row>
    <row r="183">
      <c r="A183" s="627" t="s">
        <v>359</v>
      </c>
      <c r="B183" s="627" t="str">
        <f>IFERROR(__xludf.DUMMYFUNCTION("TRANSPOSE(unique(FILTER($K$17:$K$28,$J$17:$J$28=A183)))"),"Rayado de pecho ")</f>
        <v>Rayado de pecho </v>
      </c>
      <c r="C183" s="443" t="str">
        <f>IFERROR(__xludf.DUMMYFUNCTION("""COMPUTED_VALUE"""),"Desuello de manos ")</f>
        <v>Desuello de manos </v>
      </c>
      <c r="D183" s="534" t="str">
        <f>IFERROR(__xludf.DUMMYFUNCTION("""COMPUTED_VALUE"""),"Eviscerado de Blanca")</f>
        <v>Eviscerado de Blanca</v>
      </c>
      <c r="E183" s="627" t="str">
        <f>IFERROR(__xludf.DUMMYFUNCTION("""COMPUTED_VALUE"""),"Desolladora (cogote ")</f>
        <v>Desolladora (cogote </v>
      </c>
      <c r="F183" s="627" t="str">
        <f>IFERROR(__xludf.DUMMYFUNCTION("""COMPUTED_VALUE"""),"Leche visible ")</f>
        <v>Leche visible </v>
      </c>
      <c r="G183" s="627" t="str">
        <f>IFERROR(__xludf.DUMMYFUNCTION("""COMPUTED_VALUE"""),"Clipado de esofago ")</f>
        <v>Clipado de esofago </v>
      </c>
      <c r="H183" s="627" t="str">
        <f>IFERROR(__xludf.DUMMYFUNCTION("""COMPUTED_VALUE"""),"Corte de esternon ")</f>
        <v>Corte de esternon </v>
      </c>
    </row>
    <row r="184">
      <c r="A184" s="627" t="s">
        <v>359</v>
      </c>
      <c r="B184" s="627" t="str">
        <f>IFERROR(__xludf.DUMMYFUNCTION("TRANSPOSE(unique(FILTER($K$17:$K$28,$J$17:$J$28=A184)))"),"Rayado de pecho ")</f>
        <v>Rayado de pecho </v>
      </c>
      <c r="C184" s="443" t="str">
        <f>IFERROR(__xludf.DUMMYFUNCTION("""COMPUTED_VALUE"""),"Desuello de manos ")</f>
        <v>Desuello de manos </v>
      </c>
      <c r="D184" s="534" t="str">
        <f>IFERROR(__xludf.DUMMYFUNCTION("""COMPUTED_VALUE"""),"Eviscerado de Blanca")</f>
        <v>Eviscerado de Blanca</v>
      </c>
      <c r="E184" s="627" t="str">
        <f>IFERROR(__xludf.DUMMYFUNCTION("""COMPUTED_VALUE"""),"Desolladora (cogote ")</f>
        <v>Desolladora (cogote </v>
      </c>
      <c r="F184" s="627" t="str">
        <f>IFERROR(__xludf.DUMMYFUNCTION("""COMPUTED_VALUE"""),"Leche visible ")</f>
        <v>Leche visible </v>
      </c>
      <c r="G184" s="627" t="str">
        <f>IFERROR(__xludf.DUMMYFUNCTION("""COMPUTED_VALUE"""),"Clipado de esofago ")</f>
        <v>Clipado de esofago </v>
      </c>
      <c r="H184" s="627" t="str">
        <f>IFERROR(__xludf.DUMMYFUNCTION("""COMPUTED_VALUE"""),"Corte de esternon ")</f>
        <v>Corte de esternon </v>
      </c>
    </row>
    <row r="185">
      <c r="A185" s="627" t="s">
        <v>380</v>
      </c>
      <c r="B185" s="627" t="str">
        <f>IFERROR(__xludf.DUMMYFUNCTION("TRANSPOSE(unique(FILTER($K$17:$K$28,$J$17:$J$28=A185)))"),"Corte de patas ")</f>
        <v>Corte de patas </v>
      </c>
      <c r="C185" s="443" t="str">
        <f>IFERROR(__xludf.DUMMYFUNCTION("""COMPUTED_VALUE"""),"Choque de canales ")</f>
        <v>Choque de canales </v>
      </c>
      <c r="D185" s="534" t="str">
        <f>IFERROR(__xludf.DUMMYFUNCTION("""COMPUTED_VALUE"""),"Manipulacion ")</f>
        <v>Manipulacion </v>
      </c>
      <c r="E185" s="627" t="str">
        <f>IFERROR(__xludf.DUMMYFUNCTION("""COMPUTED_VALUE"""),"Despeje de recto ")</f>
        <v>Despeje de recto </v>
      </c>
    </row>
    <row r="186">
      <c r="A186" s="627" t="s">
        <v>380</v>
      </c>
      <c r="B186" s="627" t="str">
        <f>IFERROR(__xludf.DUMMYFUNCTION("TRANSPOSE(unique(FILTER($K$17:$K$28,$J$17:$J$28=A186)))"),"Corte de patas ")</f>
        <v>Corte de patas </v>
      </c>
      <c r="C186" s="443" t="str">
        <f>IFERROR(__xludf.DUMMYFUNCTION("""COMPUTED_VALUE"""),"Choque de canales ")</f>
        <v>Choque de canales </v>
      </c>
      <c r="D186" s="534" t="str">
        <f>IFERROR(__xludf.DUMMYFUNCTION("""COMPUTED_VALUE"""),"Manipulacion ")</f>
        <v>Manipulacion </v>
      </c>
      <c r="E186" s="627" t="str">
        <f>IFERROR(__xludf.DUMMYFUNCTION("""COMPUTED_VALUE"""),"Despeje de recto ")</f>
        <v>Despeje de recto </v>
      </c>
    </row>
    <row r="187">
      <c r="A187" s="627" t="s">
        <v>359</v>
      </c>
      <c r="B187" s="627" t="str">
        <f>IFERROR(__xludf.DUMMYFUNCTION("TRANSPOSE(unique(FILTER($K$17:$K$28,$J$17:$J$28=A187)))"),"Rayado de pecho ")</f>
        <v>Rayado de pecho </v>
      </c>
      <c r="C187" s="443" t="str">
        <f>IFERROR(__xludf.DUMMYFUNCTION("""COMPUTED_VALUE"""),"Desuello de manos ")</f>
        <v>Desuello de manos </v>
      </c>
      <c r="D187" s="534" t="str">
        <f>IFERROR(__xludf.DUMMYFUNCTION("""COMPUTED_VALUE"""),"Eviscerado de Blanca")</f>
        <v>Eviscerado de Blanca</v>
      </c>
      <c r="E187" s="627" t="str">
        <f>IFERROR(__xludf.DUMMYFUNCTION("""COMPUTED_VALUE"""),"Desolladora (cogote ")</f>
        <v>Desolladora (cogote </v>
      </c>
      <c r="F187" s="627" t="str">
        <f>IFERROR(__xludf.DUMMYFUNCTION("""COMPUTED_VALUE"""),"Leche visible ")</f>
        <v>Leche visible </v>
      </c>
      <c r="G187" s="627" t="str">
        <f>IFERROR(__xludf.DUMMYFUNCTION("""COMPUTED_VALUE"""),"Clipado de esofago ")</f>
        <v>Clipado de esofago </v>
      </c>
      <c r="H187" s="627" t="str">
        <f>IFERROR(__xludf.DUMMYFUNCTION("""COMPUTED_VALUE"""),"Corte de esternon ")</f>
        <v>Corte de esternon </v>
      </c>
    </row>
    <row r="188">
      <c r="A188" s="627" t="s">
        <v>380</v>
      </c>
      <c r="B188" s="627" t="str">
        <f>IFERROR(__xludf.DUMMYFUNCTION("TRANSPOSE(unique(FILTER($K$17:$K$28,$J$17:$J$28=A188)))"),"Corte de patas ")</f>
        <v>Corte de patas </v>
      </c>
      <c r="C188" s="443" t="str">
        <f>IFERROR(__xludf.DUMMYFUNCTION("""COMPUTED_VALUE"""),"Choque de canales ")</f>
        <v>Choque de canales </v>
      </c>
      <c r="D188" s="534" t="str">
        <f>IFERROR(__xludf.DUMMYFUNCTION("""COMPUTED_VALUE"""),"Manipulacion ")</f>
        <v>Manipulacion </v>
      </c>
      <c r="E188" s="627" t="str">
        <f>IFERROR(__xludf.DUMMYFUNCTION("""COMPUTED_VALUE"""),"Despeje de recto ")</f>
        <v>Despeje de recto </v>
      </c>
    </row>
    <row r="189">
      <c r="A189" s="627" t="s">
        <v>380</v>
      </c>
      <c r="B189" s="627" t="str">
        <f>IFERROR(__xludf.DUMMYFUNCTION("TRANSPOSE(unique(FILTER($K$17:$K$28,$J$17:$J$28=A189)))"),"Corte de patas ")</f>
        <v>Corte de patas </v>
      </c>
      <c r="C189" s="443" t="str">
        <f>IFERROR(__xludf.DUMMYFUNCTION("""COMPUTED_VALUE"""),"Choque de canales ")</f>
        <v>Choque de canales </v>
      </c>
      <c r="D189" s="534" t="str">
        <f>IFERROR(__xludf.DUMMYFUNCTION("""COMPUTED_VALUE"""),"Manipulacion ")</f>
        <v>Manipulacion </v>
      </c>
      <c r="E189" s="627" t="str">
        <f>IFERROR(__xludf.DUMMYFUNCTION("""COMPUTED_VALUE"""),"Despeje de recto ")</f>
        <v>Despeje de recto </v>
      </c>
    </row>
    <row r="190">
      <c r="A190" s="627" t="s">
        <v>380</v>
      </c>
      <c r="B190" s="627" t="str">
        <f>IFERROR(__xludf.DUMMYFUNCTION("TRANSPOSE(unique(FILTER($K$17:$K$28,$J$17:$J$28=A190)))"),"Corte de patas ")</f>
        <v>Corte de patas </v>
      </c>
      <c r="C190" s="443" t="str">
        <f>IFERROR(__xludf.DUMMYFUNCTION("""COMPUTED_VALUE"""),"Choque de canales ")</f>
        <v>Choque de canales </v>
      </c>
      <c r="D190" s="534" t="str">
        <f>IFERROR(__xludf.DUMMYFUNCTION("""COMPUTED_VALUE"""),"Manipulacion ")</f>
        <v>Manipulacion </v>
      </c>
      <c r="E190" s="627" t="str">
        <f>IFERROR(__xludf.DUMMYFUNCTION("""COMPUTED_VALUE"""),"Despeje de recto ")</f>
        <v>Despeje de recto </v>
      </c>
    </row>
    <row r="191">
      <c r="A191" s="627" t="s">
        <v>380</v>
      </c>
      <c r="B191" s="627" t="str">
        <f>IFERROR(__xludf.DUMMYFUNCTION("TRANSPOSE(unique(FILTER($K$17:$K$28,$J$17:$J$28=A191)))"),"Corte de patas ")</f>
        <v>Corte de patas </v>
      </c>
      <c r="C191" s="443" t="str">
        <f>IFERROR(__xludf.DUMMYFUNCTION("""COMPUTED_VALUE"""),"Choque de canales ")</f>
        <v>Choque de canales </v>
      </c>
      <c r="D191" s="534" t="str">
        <f>IFERROR(__xludf.DUMMYFUNCTION("""COMPUTED_VALUE"""),"Manipulacion ")</f>
        <v>Manipulacion </v>
      </c>
      <c r="E191" s="627" t="str">
        <f>IFERROR(__xludf.DUMMYFUNCTION("""COMPUTED_VALUE"""),"Despeje de recto ")</f>
        <v>Despeje de recto </v>
      </c>
    </row>
    <row r="192">
      <c r="A192" s="627" t="s">
        <v>359</v>
      </c>
      <c r="B192" s="627" t="str">
        <f>IFERROR(__xludf.DUMMYFUNCTION("TRANSPOSE(unique(FILTER($K$17:$K$28,$J$17:$J$28=A192)))"),"Rayado de pecho ")</f>
        <v>Rayado de pecho </v>
      </c>
      <c r="C192" s="443" t="str">
        <f>IFERROR(__xludf.DUMMYFUNCTION("""COMPUTED_VALUE"""),"Desuello de manos ")</f>
        <v>Desuello de manos </v>
      </c>
      <c r="D192" s="534" t="str">
        <f>IFERROR(__xludf.DUMMYFUNCTION("""COMPUTED_VALUE"""),"Eviscerado de Blanca")</f>
        <v>Eviscerado de Blanca</v>
      </c>
      <c r="E192" s="627" t="str">
        <f>IFERROR(__xludf.DUMMYFUNCTION("""COMPUTED_VALUE"""),"Desolladora (cogote ")</f>
        <v>Desolladora (cogote </v>
      </c>
      <c r="F192" s="627" t="str">
        <f>IFERROR(__xludf.DUMMYFUNCTION("""COMPUTED_VALUE"""),"Leche visible ")</f>
        <v>Leche visible </v>
      </c>
      <c r="G192" s="627" t="str">
        <f>IFERROR(__xludf.DUMMYFUNCTION("""COMPUTED_VALUE"""),"Clipado de esofago ")</f>
        <v>Clipado de esofago </v>
      </c>
      <c r="H192" s="627" t="str">
        <f>IFERROR(__xludf.DUMMYFUNCTION("""COMPUTED_VALUE"""),"Corte de esternon ")</f>
        <v>Corte de esternon </v>
      </c>
    </row>
    <row r="193">
      <c r="A193" s="627" t="s">
        <v>359</v>
      </c>
      <c r="B193" s="627" t="str">
        <f>IFERROR(__xludf.DUMMYFUNCTION("TRANSPOSE(unique(FILTER($K$17:$K$28,$J$17:$J$28=A193)))"),"Rayado de pecho ")</f>
        <v>Rayado de pecho </v>
      </c>
      <c r="C193" s="443" t="str">
        <f>IFERROR(__xludf.DUMMYFUNCTION("""COMPUTED_VALUE"""),"Desuello de manos ")</f>
        <v>Desuello de manos </v>
      </c>
      <c r="D193" s="534" t="str">
        <f>IFERROR(__xludf.DUMMYFUNCTION("""COMPUTED_VALUE"""),"Eviscerado de Blanca")</f>
        <v>Eviscerado de Blanca</v>
      </c>
      <c r="E193" s="627" t="str">
        <f>IFERROR(__xludf.DUMMYFUNCTION("""COMPUTED_VALUE"""),"Desolladora (cogote ")</f>
        <v>Desolladora (cogote </v>
      </c>
      <c r="F193" s="627" t="str">
        <f>IFERROR(__xludf.DUMMYFUNCTION("""COMPUTED_VALUE"""),"Leche visible ")</f>
        <v>Leche visible </v>
      </c>
      <c r="G193" s="627" t="str">
        <f>IFERROR(__xludf.DUMMYFUNCTION("""COMPUTED_VALUE"""),"Clipado de esofago ")</f>
        <v>Clipado de esofago </v>
      </c>
      <c r="H193" s="627" t="str">
        <f>IFERROR(__xludf.DUMMYFUNCTION("""COMPUTED_VALUE"""),"Corte de esternon ")</f>
        <v>Corte de esternon </v>
      </c>
    </row>
    <row r="194">
      <c r="A194" s="627" t="s">
        <v>359</v>
      </c>
      <c r="B194" s="627" t="str">
        <f>IFERROR(__xludf.DUMMYFUNCTION("TRANSPOSE(unique(FILTER($K$17:$K$28,$J$17:$J$28=A194)))"),"Rayado de pecho ")</f>
        <v>Rayado de pecho </v>
      </c>
      <c r="C194" s="443" t="str">
        <f>IFERROR(__xludf.DUMMYFUNCTION("""COMPUTED_VALUE"""),"Desuello de manos ")</f>
        <v>Desuello de manos </v>
      </c>
      <c r="D194" s="534" t="str">
        <f>IFERROR(__xludf.DUMMYFUNCTION("""COMPUTED_VALUE"""),"Eviscerado de Blanca")</f>
        <v>Eviscerado de Blanca</v>
      </c>
      <c r="E194" s="627" t="str">
        <f>IFERROR(__xludf.DUMMYFUNCTION("""COMPUTED_VALUE"""),"Desolladora (cogote ")</f>
        <v>Desolladora (cogote </v>
      </c>
      <c r="F194" s="627" t="str">
        <f>IFERROR(__xludf.DUMMYFUNCTION("""COMPUTED_VALUE"""),"Leche visible ")</f>
        <v>Leche visible </v>
      </c>
      <c r="G194" s="627" t="str">
        <f>IFERROR(__xludf.DUMMYFUNCTION("""COMPUTED_VALUE"""),"Clipado de esofago ")</f>
        <v>Clipado de esofago </v>
      </c>
      <c r="H194" s="627" t="str">
        <f>IFERROR(__xludf.DUMMYFUNCTION("""COMPUTED_VALUE"""),"Corte de esternon ")</f>
        <v>Corte de esternon </v>
      </c>
    </row>
    <row r="195">
      <c r="A195" s="627" t="s">
        <v>359</v>
      </c>
      <c r="B195" s="627" t="str">
        <f>IFERROR(__xludf.DUMMYFUNCTION("TRANSPOSE(unique(FILTER($K$17:$K$28,$J$17:$J$28=A195)))"),"Rayado de pecho ")</f>
        <v>Rayado de pecho </v>
      </c>
      <c r="C195" s="443" t="str">
        <f>IFERROR(__xludf.DUMMYFUNCTION("""COMPUTED_VALUE"""),"Desuello de manos ")</f>
        <v>Desuello de manos </v>
      </c>
      <c r="D195" s="534" t="str">
        <f>IFERROR(__xludf.DUMMYFUNCTION("""COMPUTED_VALUE"""),"Eviscerado de Blanca")</f>
        <v>Eviscerado de Blanca</v>
      </c>
      <c r="E195" s="627" t="str">
        <f>IFERROR(__xludf.DUMMYFUNCTION("""COMPUTED_VALUE"""),"Desolladora (cogote ")</f>
        <v>Desolladora (cogote </v>
      </c>
      <c r="F195" s="627" t="str">
        <f>IFERROR(__xludf.DUMMYFUNCTION("""COMPUTED_VALUE"""),"Leche visible ")</f>
        <v>Leche visible </v>
      </c>
      <c r="G195" s="627" t="str">
        <f>IFERROR(__xludf.DUMMYFUNCTION("""COMPUTED_VALUE"""),"Clipado de esofago ")</f>
        <v>Clipado de esofago </v>
      </c>
      <c r="H195" s="627" t="str">
        <f>IFERROR(__xludf.DUMMYFUNCTION("""COMPUTED_VALUE"""),"Corte de esternon ")</f>
        <v>Corte de esternon </v>
      </c>
    </row>
    <row r="196">
      <c r="A196" s="627" t="s">
        <v>359</v>
      </c>
      <c r="B196" s="627" t="str">
        <f>IFERROR(__xludf.DUMMYFUNCTION("TRANSPOSE(unique(FILTER($K$17:$K$28,$J$17:$J$28=A196)))"),"Rayado de pecho ")</f>
        <v>Rayado de pecho </v>
      </c>
      <c r="C196" s="443" t="str">
        <f>IFERROR(__xludf.DUMMYFUNCTION("""COMPUTED_VALUE"""),"Desuello de manos ")</f>
        <v>Desuello de manos </v>
      </c>
      <c r="D196" s="534" t="str">
        <f>IFERROR(__xludf.DUMMYFUNCTION("""COMPUTED_VALUE"""),"Eviscerado de Blanca")</f>
        <v>Eviscerado de Blanca</v>
      </c>
      <c r="E196" s="627" t="str">
        <f>IFERROR(__xludf.DUMMYFUNCTION("""COMPUTED_VALUE"""),"Desolladora (cogote ")</f>
        <v>Desolladora (cogote </v>
      </c>
      <c r="F196" s="627" t="str">
        <f>IFERROR(__xludf.DUMMYFUNCTION("""COMPUTED_VALUE"""),"Leche visible ")</f>
        <v>Leche visible </v>
      </c>
      <c r="G196" s="627" t="str">
        <f>IFERROR(__xludf.DUMMYFUNCTION("""COMPUTED_VALUE"""),"Clipado de esofago ")</f>
        <v>Clipado de esofago </v>
      </c>
      <c r="H196" s="627" t="str">
        <f>IFERROR(__xludf.DUMMYFUNCTION("""COMPUTED_VALUE"""),"Corte de esternon ")</f>
        <v>Corte de esternon </v>
      </c>
    </row>
    <row r="197">
      <c r="A197" s="627" t="s">
        <v>380</v>
      </c>
      <c r="B197" s="627" t="str">
        <f>IFERROR(__xludf.DUMMYFUNCTION("TRANSPOSE(unique(FILTER($K$17:$K$28,$J$17:$J$28=A197)))"),"Corte de patas ")</f>
        <v>Corte de patas </v>
      </c>
      <c r="C197" s="443" t="str">
        <f>IFERROR(__xludf.DUMMYFUNCTION("""COMPUTED_VALUE"""),"Choque de canales ")</f>
        <v>Choque de canales </v>
      </c>
      <c r="D197" s="534" t="str">
        <f>IFERROR(__xludf.DUMMYFUNCTION("""COMPUTED_VALUE"""),"Manipulacion ")</f>
        <v>Manipulacion </v>
      </c>
      <c r="E197" s="627" t="str">
        <f>IFERROR(__xludf.DUMMYFUNCTION("""COMPUTED_VALUE"""),"Despeje de recto ")</f>
        <v>Despeje de recto </v>
      </c>
    </row>
    <row r="198">
      <c r="A198" s="627" t="s">
        <v>359</v>
      </c>
      <c r="B198" s="627" t="str">
        <f>IFERROR(__xludf.DUMMYFUNCTION("TRANSPOSE(unique(FILTER($K$17:$K$28,$J$17:$J$28=A198)))"),"Rayado de pecho ")</f>
        <v>Rayado de pecho </v>
      </c>
      <c r="C198" s="443" t="str">
        <f>IFERROR(__xludf.DUMMYFUNCTION("""COMPUTED_VALUE"""),"Desuello de manos ")</f>
        <v>Desuello de manos </v>
      </c>
      <c r="D198" s="534" t="str">
        <f>IFERROR(__xludf.DUMMYFUNCTION("""COMPUTED_VALUE"""),"Eviscerado de Blanca")</f>
        <v>Eviscerado de Blanca</v>
      </c>
      <c r="E198" s="627" t="str">
        <f>IFERROR(__xludf.DUMMYFUNCTION("""COMPUTED_VALUE"""),"Desolladora (cogote ")</f>
        <v>Desolladora (cogote </v>
      </c>
      <c r="F198" s="627" t="str">
        <f>IFERROR(__xludf.DUMMYFUNCTION("""COMPUTED_VALUE"""),"Leche visible ")</f>
        <v>Leche visible </v>
      </c>
      <c r="G198" s="627" t="str">
        <f>IFERROR(__xludf.DUMMYFUNCTION("""COMPUTED_VALUE"""),"Clipado de esofago ")</f>
        <v>Clipado de esofago </v>
      </c>
      <c r="H198" s="627" t="str">
        <f>IFERROR(__xludf.DUMMYFUNCTION("""COMPUTED_VALUE"""),"Corte de esternon ")</f>
        <v>Corte de esternon </v>
      </c>
    </row>
    <row r="199">
      <c r="A199" s="627"/>
      <c r="B199" s="627" t="str">
        <f>IFERROR(__xludf.DUMMYFUNCTION("TRANSPOSE(unique(FILTER($K$17:$K$28,$J$17:$J$28=A199)))"),"")</f>
        <v/>
      </c>
      <c r="C199" s="443"/>
      <c r="D199" s="534"/>
    </row>
    <row r="200">
      <c r="A200" s="627"/>
      <c r="B200" s="627" t="str">
        <f>IFERROR(__xludf.DUMMYFUNCTION("TRANSPOSE(unique(FILTER($K$17:$K$28,$J$17:$J$28=A200)))"),"")</f>
        <v/>
      </c>
      <c r="C200" s="443"/>
      <c r="D200" s="534"/>
    </row>
    <row r="201">
      <c r="A201" s="627"/>
      <c r="B201" s="627" t="str">
        <f>IFERROR(__xludf.DUMMYFUNCTION("TRANSPOSE(unique(FILTER($K$17:$K$28,$J$17:$J$28=A201)))"),"")</f>
        <v/>
      </c>
      <c r="C201" s="443"/>
      <c r="D201" s="534"/>
    </row>
    <row r="202">
      <c r="A202" s="627"/>
      <c r="B202" s="627" t="str">
        <f>IFERROR(__xludf.DUMMYFUNCTION("TRANSPOSE(unique(FILTER($K$17:$K$28,$J$17:$J$28=A202)))"),"")</f>
        <v/>
      </c>
      <c r="C202" s="443"/>
      <c r="D202" s="534"/>
    </row>
    <row r="203">
      <c r="A203" s="627"/>
      <c r="B203" s="627" t="str">
        <f>IFERROR(__xludf.DUMMYFUNCTION("TRANSPOSE(unique(FILTER($K$17:$K$28,$J$17:$J$28=A203)))"),"")</f>
        <v/>
      </c>
      <c r="C203" s="443"/>
      <c r="D203" s="534"/>
    </row>
    <row r="204">
      <c r="A204" s="627"/>
      <c r="B204" s="627" t="str">
        <f>IFERROR(__xludf.DUMMYFUNCTION("TRANSPOSE(unique(FILTER($K$17:$K$28,$J$17:$J$28=A204)))"),"")</f>
        <v/>
      </c>
      <c r="C204" s="443"/>
      <c r="D204" s="534"/>
    </row>
    <row r="205">
      <c r="A205" s="627"/>
      <c r="B205" s="627" t="str">
        <f>IFERROR(__xludf.DUMMYFUNCTION("TRANSPOSE(unique(FILTER($K$17:$K$28,$J$17:$J$28=A205)))"),"")</f>
        <v/>
      </c>
      <c r="C205" s="443"/>
      <c r="D205" s="534"/>
    </row>
    <row r="206">
      <c r="A206" s="627"/>
      <c r="B206" s="627" t="str">
        <f>IFERROR(__xludf.DUMMYFUNCTION("TRANSPOSE(unique(FILTER($K$17:$K$28,$J$17:$J$28=A206)))"),"")</f>
        <v/>
      </c>
      <c r="C206" s="443"/>
      <c r="D206" s="534"/>
    </row>
    <row r="207">
      <c r="A207" s="627"/>
      <c r="B207" s="627" t="str">
        <f>IFERROR(__xludf.DUMMYFUNCTION("TRANSPOSE(unique(FILTER($K$17:$K$28,$J$17:$J$28=A207)))"),"")</f>
        <v/>
      </c>
      <c r="C207" s="443"/>
      <c r="D207" s="534"/>
    </row>
    <row r="208">
      <c r="A208" s="627"/>
      <c r="B208" s="627" t="str">
        <f>IFERROR(__xludf.DUMMYFUNCTION("TRANSPOSE(unique(FILTER($K$17:$K$28,$J$17:$J$28=A208)))"),"")</f>
        <v/>
      </c>
      <c r="C208" s="443"/>
      <c r="D208" s="534"/>
    </row>
    <row r="209">
      <c r="A209" s="627"/>
      <c r="B209" s="627" t="str">
        <f>IFERROR(__xludf.DUMMYFUNCTION("TRANSPOSE(unique(FILTER($K$17:$K$28,$J$17:$J$28=A209)))"),"")</f>
        <v/>
      </c>
      <c r="C209" s="443"/>
      <c r="D209" s="534"/>
    </row>
    <row r="210">
      <c r="A210" s="627"/>
      <c r="B210" s="627" t="str">
        <f>IFERROR(__xludf.DUMMYFUNCTION("TRANSPOSE(unique(FILTER($K$17:$K$28,$J$17:$J$28=A210)))"),"")</f>
        <v/>
      </c>
      <c r="C210" s="443"/>
      <c r="D210" s="534"/>
    </row>
    <row r="211">
      <c r="A211" s="627"/>
      <c r="B211" s="627" t="str">
        <f>IFERROR(__xludf.DUMMYFUNCTION("TRANSPOSE(unique(FILTER($K$17:$K$28,$J$17:$J$28=A211)))"),"")</f>
        <v/>
      </c>
      <c r="C211" s="443"/>
      <c r="D211" s="534"/>
    </row>
    <row r="212">
      <c r="A212" s="627"/>
      <c r="B212" s="627" t="str">
        <f>IFERROR(__xludf.DUMMYFUNCTION("TRANSPOSE(unique(FILTER($K$17:$K$28,$J$17:$J$28=A212)))"),"")</f>
        <v/>
      </c>
      <c r="C212" s="443"/>
      <c r="D212" s="534"/>
    </row>
    <row r="213">
      <c r="A213" s="627"/>
      <c r="B213" s="627" t="str">
        <f>IFERROR(__xludf.DUMMYFUNCTION("TRANSPOSE(unique(FILTER($K$17:$K$28,$J$17:$J$28=A213)))"),"")</f>
        <v/>
      </c>
      <c r="C213" s="443"/>
      <c r="D213" s="534"/>
    </row>
    <row r="214">
      <c r="A214" s="627"/>
      <c r="B214" s="627" t="str">
        <f>IFERROR(__xludf.DUMMYFUNCTION("TRANSPOSE(unique(FILTER($K$17:$K$28,$J$17:$J$28=A214)))"),"")</f>
        <v/>
      </c>
      <c r="C214" s="443"/>
      <c r="D214" s="534"/>
    </row>
    <row r="215">
      <c r="A215" s="627"/>
      <c r="B215" s="627" t="str">
        <f>IFERROR(__xludf.DUMMYFUNCTION("TRANSPOSE(unique(FILTER($K$17:$K$28,$J$17:$J$28=A215)))"),"")</f>
        <v/>
      </c>
      <c r="C215" s="443"/>
      <c r="D215" s="534"/>
    </row>
    <row r="216">
      <c r="A216" s="627"/>
      <c r="B216" s="627" t="str">
        <f>IFERROR(__xludf.DUMMYFUNCTION("TRANSPOSE(unique(FILTER($K$17:$K$28,$J$17:$J$28=A216)))"),"")</f>
        <v/>
      </c>
      <c r="C216" s="443"/>
      <c r="D216" s="534"/>
    </row>
    <row r="217">
      <c r="A217" s="627"/>
      <c r="B217" s="627" t="str">
        <f>IFERROR(__xludf.DUMMYFUNCTION("TRANSPOSE(unique(FILTER($K$17:$K$28,$J$17:$J$28=A217)))"),"")</f>
        <v/>
      </c>
      <c r="C217" s="443"/>
      <c r="D217" s="534"/>
    </row>
    <row r="218">
      <c r="A218" s="627"/>
      <c r="B218" s="627" t="str">
        <f>IFERROR(__xludf.DUMMYFUNCTION("TRANSPOSE(unique(FILTER($K$17:$K$28,$J$17:$J$28=A218)))"),"")</f>
        <v/>
      </c>
      <c r="C218" s="443"/>
      <c r="D218" s="534"/>
    </row>
    <row r="219">
      <c r="A219" s="627"/>
      <c r="B219" s="627" t="str">
        <f>IFERROR(__xludf.DUMMYFUNCTION("TRANSPOSE(unique(FILTER($K$17:$K$28,$J$17:$J$28=A219)))"),"")</f>
        <v/>
      </c>
      <c r="C219" s="443"/>
      <c r="D219" s="534"/>
    </row>
    <row r="220">
      <c r="A220" s="627"/>
      <c r="B220" s="627" t="str">
        <f>IFERROR(__xludf.DUMMYFUNCTION("TRANSPOSE(unique(FILTER($K$17:$K$28,$J$17:$J$28=A220)))"),"")</f>
        <v/>
      </c>
      <c r="C220" s="443"/>
      <c r="D220" s="534"/>
    </row>
    <row r="221">
      <c r="A221" s="627"/>
      <c r="B221" s="627" t="str">
        <f>IFERROR(__xludf.DUMMYFUNCTION("TRANSPOSE(unique(FILTER($K$17:$K$28,$J$17:$J$28=A221)))"),"")</f>
        <v/>
      </c>
      <c r="C221" s="443"/>
      <c r="D221" s="534"/>
    </row>
    <row r="222">
      <c r="A222" s="627"/>
      <c r="B222" s="627" t="str">
        <f>IFERROR(__xludf.DUMMYFUNCTION("TRANSPOSE(unique(FILTER($K$17:$K$28,$J$17:$J$28=A222)))"),"")</f>
        <v/>
      </c>
      <c r="C222" s="443"/>
      <c r="D222" s="534"/>
    </row>
    <row r="223">
      <c r="A223" s="627"/>
      <c r="B223" s="627" t="str">
        <f>IFERROR(__xludf.DUMMYFUNCTION("TRANSPOSE(unique(FILTER($K$17:$K$28,$J$17:$J$28=A223)))"),"")</f>
        <v/>
      </c>
      <c r="C223" s="443"/>
      <c r="D223" s="534"/>
    </row>
    <row r="224">
      <c r="A224" s="627"/>
      <c r="B224" s="627" t="str">
        <f>IFERROR(__xludf.DUMMYFUNCTION("TRANSPOSE(unique(FILTER($K$17:$K$28,$J$17:$J$28=A224)))"),"")</f>
        <v/>
      </c>
      <c r="C224" s="443"/>
      <c r="D224" s="534"/>
    </row>
    <row r="225">
      <c r="A225" s="627"/>
      <c r="B225" s="627" t="str">
        <f>IFERROR(__xludf.DUMMYFUNCTION("TRANSPOSE(unique(FILTER($K$17:$K$28,$J$17:$J$28=A225)))"),"")</f>
        <v/>
      </c>
      <c r="C225" s="443"/>
      <c r="D225" s="534"/>
    </row>
    <row r="226">
      <c r="A226" s="627"/>
      <c r="B226" s="627" t="str">
        <f>IFERROR(__xludf.DUMMYFUNCTION("TRANSPOSE(unique(FILTER($K$17:$K$28,$J$17:$J$28=A226)))"),"")</f>
        <v/>
      </c>
      <c r="C226" s="443"/>
      <c r="D226" s="534"/>
    </row>
    <row r="227">
      <c r="A227" s="627"/>
      <c r="B227" s="627" t="str">
        <f>IFERROR(__xludf.DUMMYFUNCTION("TRANSPOSE(unique(FILTER($K$17:$K$28,$J$17:$J$28=A227)))"),"")</f>
        <v/>
      </c>
      <c r="C227" s="443"/>
      <c r="D227" s="534"/>
    </row>
    <row r="228">
      <c r="A228" s="627"/>
      <c r="B228" s="627" t="str">
        <f>IFERROR(__xludf.DUMMYFUNCTION("TRANSPOSE(unique(FILTER($K$17:$K$28,$J$17:$J$28=A228)))"),"")</f>
        <v/>
      </c>
      <c r="C228" s="443"/>
      <c r="D228" s="534"/>
    </row>
    <row r="229">
      <c r="A229" s="627"/>
      <c r="B229" s="627" t="str">
        <f>IFERROR(__xludf.DUMMYFUNCTION("TRANSPOSE(unique(FILTER($K$17:$K$28,$J$17:$J$28=A229)))"),"")</f>
        <v/>
      </c>
      <c r="C229" s="443"/>
      <c r="D229" s="534"/>
    </row>
    <row r="230">
      <c r="A230" s="627"/>
      <c r="B230" s="627" t="str">
        <f>IFERROR(__xludf.DUMMYFUNCTION("TRANSPOSE(unique(FILTER($K$17:$K$28,$J$17:$J$28=A230)))"),"")</f>
        <v/>
      </c>
      <c r="C230" s="443"/>
      <c r="D230" s="534"/>
    </row>
    <row r="231">
      <c r="A231" s="627"/>
      <c r="B231" s="627" t="str">
        <f>IFERROR(__xludf.DUMMYFUNCTION("TRANSPOSE(unique(FILTER($K$17:$K$28,$J$17:$J$28=A231)))"),"")</f>
        <v/>
      </c>
      <c r="C231" s="443"/>
      <c r="D231" s="534"/>
    </row>
    <row r="232">
      <c r="A232" s="627"/>
      <c r="B232" s="627" t="str">
        <f>IFERROR(__xludf.DUMMYFUNCTION("TRANSPOSE(unique(FILTER($K$17:$K$28,$J$17:$J$28=A232)))"),"")</f>
        <v/>
      </c>
      <c r="C232" s="443"/>
      <c r="D232" s="534"/>
    </row>
    <row r="233">
      <c r="A233" s="627"/>
      <c r="B233" s="627" t="str">
        <f>IFERROR(__xludf.DUMMYFUNCTION("TRANSPOSE(unique(FILTER($K$17:$K$28,$J$17:$J$28=A233)))"),"")</f>
        <v/>
      </c>
      <c r="C233" s="443"/>
      <c r="D233" s="534"/>
    </row>
    <row r="234">
      <c r="A234" s="627"/>
      <c r="B234" s="627" t="str">
        <f>IFERROR(__xludf.DUMMYFUNCTION("TRANSPOSE(unique(FILTER($K$17:$K$28,$J$17:$J$28=A234)))"),"")</f>
        <v/>
      </c>
      <c r="C234" s="443"/>
      <c r="D234" s="534"/>
    </row>
    <row r="235">
      <c r="A235" s="627"/>
      <c r="B235" s="627" t="str">
        <f>IFERROR(__xludf.DUMMYFUNCTION("TRANSPOSE(unique(FILTER($K$17:$K$28,$J$17:$J$28=A235)))"),"")</f>
        <v/>
      </c>
      <c r="C235" s="443"/>
      <c r="D235" s="534"/>
    </row>
    <row r="236">
      <c r="A236" s="627"/>
      <c r="B236" s="627" t="str">
        <f>IFERROR(__xludf.DUMMYFUNCTION("TRANSPOSE(unique(FILTER($K$17:$K$28,$J$17:$J$28=A236)))"),"")</f>
        <v/>
      </c>
      <c r="C236" s="443"/>
      <c r="D236" s="534"/>
    </row>
    <row r="237">
      <c r="A237" s="627"/>
      <c r="B237" s="627" t="str">
        <f>IFERROR(__xludf.DUMMYFUNCTION("TRANSPOSE(unique(FILTER($K$17:$K$28,$J$17:$J$28=A237)))"),"")</f>
        <v/>
      </c>
      <c r="C237" s="443"/>
      <c r="D237" s="534"/>
    </row>
    <row r="238">
      <c r="A238" s="627"/>
      <c r="B238" s="627" t="str">
        <f>IFERROR(__xludf.DUMMYFUNCTION("TRANSPOSE(unique(FILTER($K$17:$K$28,$J$17:$J$28=A238)))"),"")</f>
        <v/>
      </c>
      <c r="C238" s="443"/>
      <c r="D238" s="534"/>
    </row>
    <row r="239">
      <c r="A239" s="627"/>
      <c r="B239" s="627" t="str">
        <f>IFERROR(__xludf.DUMMYFUNCTION("TRANSPOSE(unique(FILTER($K$17:$K$28,$J$17:$J$28=A239)))"),"")</f>
        <v/>
      </c>
      <c r="C239" s="443"/>
      <c r="D239" s="534"/>
    </row>
    <row r="240">
      <c r="A240" s="627"/>
      <c r="B240" s="627" t="str">
        <f>IFERROR(__xludf.DUMMYFUNCTION("TRANSPOSE(unique(FILTER($K$17:$K$28,$J$17:$J$28=A240)))"),"")</f>
        <v/>
      </c>
      <c r="C240" s="443"/>
      <c r="D240" s="534"/>
    </row>
    <row r="241">
      <c r="A241" s="627"/>
      <c r="B241" s="627" t="str">
        <f>IFERROR(__xludf.DUMMYFUNCTION("TRANSPOSE(unique(FILTER($K$17:$K$28,$J$17:$J$28=A241)))"),"")</f>
        <v/>
      </c>
      <c r="C241" s="443"/>
      <c r="D241" s="534"/>
    </row>
    <row r="242">
      <c r="A242" s="627"/>
      <c r="B242" s="627" t="str">
        <f>IFERROR(__xludf.DUMMYFUNCTION("TRANSPOSE(unique(FILTER($K$17:$K$28,$J$17:$J$28=A242)))"),"")</f>
        <v/>
      </c>
      <c r="C242" s="443"/>
      <c r="D242" s="534"/>
    </row>
    <row r="243">
      <c r="A243" s="627"/>
      <c r="B243" s="627" t="str">
        <f>IFERROR(__xludf.DUMMYFUNCTION("TRANSPOSE(unique(FILTER($K$17:$K$28,$J$17:$J$28=A243)))"),"")</f>
        <v/>
      </c>
      <c r="C243" s="443"/>
      <c r="D243" s="534"/>
    </row>
    <row r="244">
      <c r="A244" s="627"/>
      <c r="B244" s="627" t="str">
        <f>IFERROR(__xludf.DUMMYFUNCTION("TRANSPOSE(unique(FILTER($K$17:$K$28,$J$17:$J$28=A244)))"),"")</f>
        <v/>
      </c>
      <c r="C244" s="443"/>
      <c r="D244" s="534"/>
    </row>
    <row r="245">
      <c r="A245" s="627"/>
      <c r="B245" s="627" t="str">
        <f>IFERROR(__xludf.DUMMYFUNCTION("TRANSPOSE(unique(FILTER($K$17:$K$28,$J$17:$J$28=A245)))"),"")</f>
        <v/>
      </c>
      <c r="C245" s="443"/>
      <c r="D245" s="534"/>
    </row>
    <row r="246">
      <c r="A246" s="627"/>
      <c r="B246" s="627" t="str">
        <f>IFERROR(__xludf.DUMMYFUNCTION("TRANSPOSE(unique(FILTER($K$17:$K$28,$J$17:$J$28=A246)))"),"")</f>
        <v/>
      </c>
      <c r="C246" s="443"/>
      <c r="D246" s="534"/>
    </row>
    <row r="247">
      <c r="A247" s="627"/>
      <c r="B247" s="627" t="str">
        <f>IFERROR(__xludf.DUMMYFUNCTION("TRANSPOSE(unique(FILTER($K$17:$K$28,$J$17:$J$28=A247)))"),"")</f>
        <v/>
      </c>
      <c r="C247" s="443"/>
      <c r="D247" s="534"/>
    </row>
    <row r="248">
      <c r="A248" s="627"/>
      <c r="B248" s="627" t="str">
        <f>IFERROR(__xludf.DUMMYFUNCTION("TRANSPOSE(unique(FILTER($K$17:$K$28,$J$17:$J$28=A248)))"),"")</f>
        <v/>
      </c>
      <c r="C248" s="443"/>
      <c r="D248" s="534"/>
    </row>
    <row r="249">
      <c r="A249" s="627"/>
      <c r="B249" s="627" t="str">
        <f>IFERROR(__xludf.DUMMYFUNCTION("TRANSPOSE(unique(FILTER($K$17:$K$28,$J$17:$J$28=A249)))"),"")</f>
        <v/>
      </c>
      <c r="C249" s="443"/>
      <c r="D249" s="534"/>
    </row>
    <row r="250">
      <c r="A250" s="627"/>
      <c r="B250" s="627" t="str">
        <f>IFERROR(__xludf.DUMMYFUNCTION("TRANSPOSE(unique(FILTER($K$17:$K$28,$J$17:$J$28=A250)))"),"")</f>
        <v/>
      </c>
      <c r="C250" s="443"/>
      <c r="D250" s="534"/>
    </row>
    <row r="251">
      <c r="A251" s="627"/>
      <c r="B251" s="627" t="str">
        <f>IFERROR(__xludf.DUMMYFUNCTION("TRANSPOSE(unique(FILTER($K$17:$K$28,$J$17:$J$28=A251)))"),"")</f>
        <v/>
      </c>
      <c r="C251" s="443"/>
      <c r="D251" s="534"/>
    </row>
    <row r="252">
      <c r="A252" s="627"/>
      <c r="B252" s="627" t="str">
        <f>IFERROR(__xludf.DUMMYFUNCTION("TRANSPOSE(unique(FILTER($K$17:$K$28,$J$17:$J$28=A252)))"),"")</f>
        <v/>
      </c>
      <c r="C252" s="443"/>
      <c r="D252" s="534"/>
    </row>
    <row r="253">
      <c r="A253" s="627"/>
      <c r="B253" s="627" t="str">
        <f>IFERROR(__xludf.DUMMYFUNCTION("TRANSPOSE(unique(FILTER($K$17:$K$28,$J$17:$J$28=A253)))"),"")</f>
        <v/>
      </c>
      <c r="C253" s="443"/>
      <c r="D253" s="534"/>
    </row>
    <row r="254">
      <c r="A254" s="627"/>
      <c r="B254" s="627" t="str">
        <f>IFERROR(__xludf.DUMMYFUNCTION("TRANSPOSE(unique(FILTER($K$17:$K$28,$J$17:$J$28=A254)))"),"")</f>
        <v/>
      </c>
      <c r="C254" s="443"/>
      <c r="D254" s="534"/>
    </row>
    <row r="255">
      <c r="A255" s="627"/>
      <c r="B255" s="627" t="str">
        <f>IFERROR(__xludf.DUMMYFUNCTION("TRANSPOSE(unique(FILTER($K$17:$K$28,$J$17:$J$28=A255)))"),"")</f>
        <v/>
      </c>
      <c r="C255" s="443"/>
      <c r="D255" s="534"/>
    </row>
    <row r="256">
      <c r="A256" s="627"/>
      <c r="B256" s="627" t="str">
        <f>IFERROR(__xludf.DUMMYFUNCTION("TRANSPOSE(unique(FILTER($K$17:$K$28,$J$17:$J$28=A256)))"),"")</f>
        <v/>
      </c>
      <c r="C256" s="443"/>
      <c r="D256" s="534"/>
    </row>
    <row r="257">
      <c r="A257" s="627"/>
      <c r="B257" s="627" t="str">
        <f>IFERROR(__xludf.DUMMYFUNCTION("TRANSPOSE(unique(FILTER($K$17:$K$28,$J$17:$J$28=A257)))"),"")</f>
        <v/>
      </c>
      <c r="C257" s="443"/>
      <c r="D257" s="534"/>
    </row>
    <row r="258">
      <c r="A258" s="627"/>
      <c r="B258" s="627" t="str">
        <f>IFERROR(__xludf.DUMMYFUNCTION("TRANSPOSE(unique(FILTER($K$17:$K$28,$J$17:$J$28=A258)))"),"")</f>
        <v/>
      </c>
      <c r="C258" s="443"/>
      <c r="D258" s="534"/>
    </row>
    <row r="259">
      <c r="A259" s="627"/>
      <c r="B259" s="627" t="str">
        <f>IFERROR(__xludf.DUMMYFUNCTION("TRANSPOSE(unique(FILTER($K$17:$K$28,$J$17:$J$28=A259)))"),"")</f>
        <v/>
      </c>
      <c r="C259" s="443"/>
      <c r="D259" s="534"/>
    </row>
    <row r="260">
      <c r="A260" s="627"/>
      <c r="B260" s="627" t="str">
        <f>IFERROR(__xludf.DUMMYFUNCTION("TRANSPOSE(unique(FILTER($K$17:$K$28,$J$17:$J$28=A260)))"),"")</f>
        <v/>
      </c>
      <c r="C260" s="443"/>
      <c r="D260" s="534"/>
    </row>
    <row r="261">
      <c r="A261" s="627"/>
      <c r="B261" s="627" t="str">
        <f>IFERROR(__xludf.DUMMYFUNCTION("TRANSPOSE(unique(FILTER($K$17:$K$28,$J$17:$J$28=A261)))"),"")</f>
        <v/>
      </c>
      <c r="C261" s="443"/>
      <c r="D261" s="534"/>
    </row>
    <row r="262">
      <c r="A262" s="627"/>
      <c r="B262" s="627" t="str">
        <f>IFERROR(__xludf.DUMMYFUNCTION("TRANSPOSE(unique(FILTER($K$17:$K$28,$J$17:$J$28=A262)))"),"")</f>
        <v/>
      </c>
      <c r="C262" s="443"/>
      <c r="D262" s="534"/>
    </row>
    <row r="263">
      <c r="A263" s="627"/>
      <c r="B263" s="627" t="str">
        <f>IFERROR(__xludf.DUMMYFUNCTION("TRANSPOSE(unique(FILTER($K$17:$K$28,$J$17:$J$28=A263)))"),"")</f>
        <v/>
      </c>
      <c r="C263" s="443"/>
      <c r="D263" s="534"/>
    </row>
    <row r="264">
      <c r="A264" s="627"/>
      <c r="B264" s="627" t="str">
        <f>IFERROR(__xludf.DUMMYFUNCTION("TRANSPOSE(unique(FILTER($K$17:$K$28,$J$17:$J$28=A264)))"),"")</f>
        <v/>
      </c>
      <c r="C264" s="443"/>
      <c r="D264" s="534"/>
    </row>
    <row r="265">
      <c r="A265" s="627"/>
      <c r="B265" s="627" t="str">
        <f>IFERROR(__xludf.DUMMYFUNCTION("TRANSPOSE(unique(FILTER($K$17:$K$28,$J$17:$J$28=A265)))"),"")</f>
        <v/>
      </c>
      <c r="C265" s="443"/>
      <c r="D265" s="534"/>
    </row>
    <row r="266">
      <c r="A266" s="627"/>
      <c r="B266" s="627" t="str">
        <f>IFERROR(__xludf.DUMMYFUNCTION("TRANSPOSE(unique(FILTER($K$17:$K$28,$J$17:$J$28=A266)))"),"")</f>
        <v/>
      </c>
      <c r="C266" s="443"/>
      <c r="D266" s="534"/>
    </row>
    <row r="267">
      <c r="A267" s="627"/>
      <c r="B267" s="627" t="str">
        <f>IFERROR(__xludf.DUMMYFUNCTION("TRANSPOSE(unique(FILTER($K$17:$K$28,$J$17:$J$28=A267)))"),"")</f>
        <v/>
      </c>
      <c r="C267" s="443"/>
      <c r="D267" s="534"/>
    </row>
    <row r="268">
      <c r="A268" s="627"/>
      <c r="B268" s="627" t="str">
        <f>IFERROR(__xludf.DUMMYFUNCTION("TRANSPOSE(unique(FILTER($K$17:$K$28,$J$17:$J$28=A268)))"),"")</f>
        <v/>
      </c>
      <c r="C268" s="443"/>
      <c r="D268" s="534"/>
    </row>
    <row r="269">
      <c r="A269" s="627"/>
      <c r="B269" s="627" t="str">
        <f>IFERROR(__xludf.DUMMYFUNCTION("TRANSPOSE(unique(FILTER($K$17:$K$28,$J$17:$J$28=A269)))"),"")</f>
        <v/>
      </c>
      <c r="C269" s="443"/>
      <c r="D269" s="534"/>
    </row>
    <row r="270">
      <c r="A270" s="627"/>
      <c r="B270" s="627" t="str">
        <f>IFERROR(__xludf.DUMMYFUNCTION("TRANSPOSE(unique(FILTER($K$17:$K$28,$J$17:$J$28=A270)))"),"")</f>
        <v/>
      </c>
      <c r="C270" s="443"/>
      <c r="D270" s="534"/>
    </row>
    <row r="271">
      <c r="A271" s="627"/>
      <c r="B271" s="627" t="str">
        <f>IFERROR(__xludf.DUMMYFUNCTION("TRANSPOSE(unique(FILTER($K$17:$K$28,$J$17:$J$28=A271)))"),"")</f>
        <v/>
      </c>
      <c r="C271" s="443"/>
      <c r="D271" s="534"/>
    </row>
    <row r="272">
      <c r="A272" s="627"/>
      <c r="B272" s="627" t="str">
        <f>IFERROR(__xludf.DUMMYFUNCTION("TRANSPOSE(unique(FILTER($K$17:$K$28,$J$17:$J$28=A272)))"),"")</f>
        <v/>
      </c>
      <c r="C272" s="443"/>
      <c r="D272" s="534"/>
    </row>
    <row r="273">
      <c r="A273" s="627"/>
      <c r="B273" s="627" t="str">
        <f>IFERROR(__xludf.DUMMYFUNCTION("TRANSPOSE(unique(FILTER($K$17:$K$28,$J$17:$J$28=A273)))"),"")</f>
        <v/>
      </c>
      <c r="C273" s="443"/>
      <c r="D273" s="534"/>
    </row>
    <row r="274">
      <c r="A274" s="627"/>
      <c r="B274" s="627" t="str">
        <f>IFERROR(__xludf.DUMMYFUNCTION("TRANSPOSE(unique(FILTER($K$17:$K$28,$J$17:$J$28=A274)))"),"")</f>
        <v/>
      </c>
      <c r="C274" s="443"/>
      <c r="D274" s="534"/>
    </row>
    <row r="275">
      <c r="A275" s="627"/>
      <c r="B275" s="627" t="str">
        <f>IFERROR(__xludf.DUMMYFUNCTION("TRANSPOSE(unique(FILTER($K$17:$K$28,$J$17:$J$28=A275)))"),"")</f>
        <v/>
      </c>
      <c r="C275" s="443"/>
      <c r="D275" s="534"/>
    </row>
    <row r="276">
      <c r="A276" s="627"/>
      <c r="B276" s="627" t="str">
        <f>IFERROR(__xludf.DUMMYFUNCTION("TRANSPOSE(unique(FILTER($K$17:$K$28,$J$17:$J$28=A276)))"),"")</f>
        <v/>
      </c>
      <c r="C276" s="443"/>
      <c r="D276" s="534"/>
    </row>
    <row r="277">
      <c r="A277" s="627"/>
      <c r="B277" s="627" t="str">
        <f>IFERROR(__xludf.DUMMYFUNCTION("TRANSPOSE(unique(FILTER($K$17:$K$28,$J$17:$J$28=A277)))"),"")</f>
        <v/>
      </c>
      <c r="C277" s="443"/>
      <c r="D277" s="534"/>
    </row>
    <row r="278">
      <c r="A278" s="627"/>
      <c r="B278" s="627" t="str">
        <f>IFERROR(__xludf.DUMMYFUNCTION("TRANSPOSE(unique(FILTER($K$17:$K$28,$J$17:$J$28=A278)))"),"")</f>
        <v/>
      </c>
      <c r="C278" s="443"/>
      <c r="D278" s="534"/>
    </row>
    <row r="279">
      <c r="A279" s="627"/>
      <c r="B279" s="627" t="str">
        <f>IFERROR(__xludf.DUMMYFUNCTION("TRANSPOSE(unique(FILTER($K$17:$K$28,$J$17:$J$28=A279)))"),"")</f>
        <v/>
      </c>
      <c r="C279" s="443"/>
      <c r="D279" s="534"/>
    </row>
    <row r="280">
      <c r="A280" s="627"/>
      <c r="B280" s="627" t="str">
        <f>IFERROR(__xludf.DUMMYFUNCTION("TRANSPOSE(unique(FILTER($K$17:$K$28,$J$17:$J$28=A280)))"),"")</f>
        <v/>
      </c>
      <c r="C280" s="443"/>
      <c r="D280" s="534"/>
    </row>
    <row r="281">
      <c r="A281" s="627"/>
      <c r="B281" s="627" t="str">
        <f>IFERROR(__xludf.DUMMYFUNCTION("TRANSPOSE(unique(FILTER($K$17:$K$28,$J$17:$J$28=A281)))"),"")</f>
        <v/>
      </c>
      <c r="C281" s="443"/>
      <c r="D281" s="534"/>
    </row>
    <row r="282">
      <c r="A282" s="627"/>
      <c r="B282" s="627" t="str">
        <f>IFERROR(__xludf.DUMMYFUNCTION("TRANSPOSE(unique(FILTER($K$17:$K$28,$J$17:$J$28=A282)))"),"")</f>
        <v/>
      </c>
      <c r="C282" s="443"/>
      <c r="D282" s="534"/>
    </row>
    <row r="283">
      <c r="A283" s="627"/>
      <c r="B283" s="627" t="str">
        <f>IFERROR(__xludf.DUMMYFUNCTION("TRANSPOSE(unique(FILTER($K$17:$K$28,$J$17:$J$28=A283)))"),"")</f>
        <v/>
      </c>
      <c r="C283" s="443"/>
      <c r="D283" s="534"/>
    </row>
    <row r="284">
      <c r="A284" s="627"/>
      <c r="B284" s="627" t="str">
        <f>IFERROR(__xludf.DUMMYFUNCTION("TRANSPOSE(unique(FILTER($K$17:$K$28,$J$17:$J$28=A284)))"),"")</f>
        <v/>
      </c>
      <c r="C284" s="443"/>
      <c r="D284" s="534" t="str">
        <f>IFERROR(__xludf.DUMMYFUNCTION("TRANSPOSE(unique(FILTER($K$17:$K$28,$J$17:$J$28=B284)))"),"")</f>
        <v/>
      </c>
    </row>
    <row r="285">
      <c r="A285" s="627"/>
      <c r="B285" s="627" t="str">
        <f>IFERROR(__xludf.DUMMYFUNCTION("TRANSPOSE(unique(FILTER($K$17:$K$28,$J$17:$J$28=A285)))"),"")</f>
        <v/>
      </c>
      <c r="C285" s="443"/>
      <c r="D285" s="534" t="str">
        <f>IFERROR(__xludf.DUMMYFUNCTION("TRANSPOSE(unique(FILTER($K$17:$K$28,$J$17:$J$28=B285)))"),"")</f>
        <v/>
      </c>
    </row>
    <row r="286">
      <c r="A286" s="627"/>
      <c r="B286" s="627" t="str">
        <f>IFERROR(__xludf.DUMMYFUNCTION("TRANSPOSE(unique(FILTER($K$17:$K$28,$J$17:$J$28=A286)))"),"")</f>
        <v/>
      </c>
      <c r="C286" s="443"/>
      <c r="D286" s="534" t="str">
        <f>IFERROR(__xludf.DUMMYFUNCTION("TRANSPOSE(unique(FILTER($K$17:$K$28,$J$17:$J$28=B286)))"),"")</f>
        <v/>
      </c>
    </row>
    <row r="287">
      <c r="A287" s="627"/>
      <c r="B287" s="627" t="str">
        <f>IFERROR(__xludf.DUMMYFUNCTION("TRANSPOSE(unique(FILTER($K$17:$K$28,$J$17:$J$28=A287)))"),"")</f>
        <v/>
      </c>
      <c r="C287" s="443"/>
      <c r="D287" s="534" t="str">
        <f>IFERROR(__xludf.DUMMYFUNCTION("TRANSPOSE(unique(FILTER($K$17:$K$28,$J$17:$J$28=B287)))"),"")</f>
        <v/>
      </c>
    </row>
    <row r="288">
      <c r="A288" s="627"/>
      <c r="B288" s="627" t="str">
        <f>IFERROR(__xludf.DUMMYFUNCTION("TRANSPOSE(unique(FILTER($K$17:$K$28,$J$17:$J$28=A288)))"),"")</f>
        <v/>
      </c>
      <c r="C288" s="443"/>
      <c r="D288" s="534" t="str">
        <f>IFERROR(__xludf.DUMMYFUNCTION("TRANSPOSE(unique(FILTER($K$17:$K$28,$J$17:$J$28=B288)))"),"")</f>
        <v/>
      </c>
    </row>
    <row r="289">
      <c r="A289" s="627"/>
      <c r="B289" s="627" t="str">
        <f>IFERROR(__xludf.DUMMYFUNCTION("TRANSPOSE(unique(FILTER($K$17:$K$28,$J$17:$J$28=A289)))"),"")</f>
        <v/>
      </c>
      <c r="C289" s="443"/>
      <c r="D289" s="534" t="str">
        <f>IFERROR(__xludf.DUMMYFUNCTION("TRANSPOSE(unique(FILTER($K$17:$K$28,$J$17:$J$28=B289)))"),"")</f>
        <v/>
      </c>
    </row>
    <row r="290">
      <c r="A290" s="627"/>
      <c r="B290" s="627" t="str">
        <f>IFERROR(__xludf.DUMMYFUNCTION("TRANSPOSE(unique(FILTER($K$17:$K$28,$J$17:$J$28=A290)))"),"")</f>
        <v/>
      </c>
      <c r="C290" s="443"/>
      <c r="D290" s="534" t="str">
        <f>IFERROR(__xludf.DUMMYFUNCTION("TRANSPOSE(unique(FILTER($K$17:$K$28,$J$17:$J$28=B290)))"),"")</f>
        <v/>
      </c>
    </row>
    <row r="291">
      <c r="A291" s="627"/>
      <c r="B291" s="627" t="str">
        <f>IFERROR(__xludf.DUMMYFUNCTION("TRANSPOSE(unique(FILTER($K$17:$K$28,$J$17:$J$28=A291)))"),"")</f>
        <v/>
      </c>
      <c r="C291" s="443"/>
      <c r="D291" s="534" t="str">
        <f>IFERROR(__xludf.DUMMYFUNCTION("TRANSPOSE(unique(FILTER($K$17:$K$28,$J$17:$J$28=B291)))"),"")</f>
        <v/>
      </c>
    </row>
    <row r="292">
      <c r="A292" s="627"/>
      <c r="B292" s="627" t="str">
        <f>IFERROR(__xludf.DUMMYFUNCTION("TRANSPOSE(unique(FILTER($K$17:$K$28,$J$17:$J$28=A292)))"),"")</f>
        <v/>
      </c>
      <c r="C292" s="443"/>
      <c r="D292" s="534" t="str">
        <f>IFERROR(__xludf.DUMMYFUNCTION("TRANSPOSE(unique(FILTER($K$17:$K$28,$J$17:$J$28=B292)))"),"")</f>
        <v/>
      </c>
    </row>
    <row r="293">
      <c r="A293" s="627"/>
      <c r="B293" s="627" t="str">
        <f>IFERROR(__xludf.DUMMYFUNCTION("TRANSPOSE(unique(FILTER($K$17:$K$28,$J$17:$J$28=A293)))"),"")</f>
        <v/>
      </c>
      <c r="C293" s="443"/>
      <c r="D293" s="534" t="str">
        <f>IFERROR(__xludf.DUMMYFUNCTION("TRANSPOSE(unique(FILTER($K$17:$K$28,$J$17:$J$28=B293)))"),"")</f>
        <v/>
      </c>
    </row>
    <row r="294">
      <c r="A294" s="627"/>
      <c r="B294" s="627" t="str">
        <f>IFERROR(__xludf.DUMMYFUNCTION("TRANSPOSE(unique(FILTER($K$17:$K$28,$J$17:$J$28=A294)))"),"")</f>
        <v/>
      </c>
      <c r="C294" s="443"/>
      <c r="D294" s="534" t="str">
        <f>IFERROR(__xludf.DUMMYFUNCTION("TRANSPOSE(unique(FILTER($K$17:$K$28,$J$17:$J$28=B294)))"),"")</f>
        <v/>
      </c>
    </row>
    <row r="295">
      <c r="A295" s="627"/>
      <c r="B295" s="627" t="str">
        <f>IFERROR(__xludf.DUMMYFUNCTION("TRANSPOSE(unique(FILTER($K$17:$K$28,$J$17:$J$28=A295)))"),"")</f>
        <v/>
      </c>
      <c r="C295" s="443"/>
      <c r="D295" s="534" t="str">
        <f>IFERROR(__xludf.DUMMYFUNCTION("TRANSPOSE(unique(FILTER($K$17:$K$28,$J$17:$J$28=B295)))"),"")</f>
        <v/>
      </c>
    </row>
    <row r="296">
      <c r="A296" s="627"/>
      <c r="B296" s="627" t="str">
        <f>IFERROR(__xludf.DUMMYFUNCTION("TRANSPOSE(unique(FILTER($K$17:$K$28,$J$17:$J$28=A296)))"),"")</f>
        <v/>
      </c>
      <c r="C296" s="443"/>
      <c r="D296" s="534" t="str">
        <f>IFERROR(__xludf.DUMMYFUNCTION("TRANSPOSE(unique(FILTER($K$17:$K$28,$J$17:$J$28=B296)))"),"")</f>
        <v/>
      </c>
    </row>
    <row r="297">
      <c r="A297" s="627"/>
      <c r="B297" s="627" t="str">
        <f>IFERROR(__xludf.DUMMYFUNCTION("TRANSPOSE(unique(FILTER($K$17:$K$28,$J$17:$J$28=A297)))"),"")</f>
        <v/>
      </c>
      <c r="C297" s="443"/>
      <c r="D297" s="534" t="str">
        <f>IFERROR(__xludf.DUMMYFUNCTION("TRANSPOSE(unique(FILTER($K$17:$K$28,$J$17:$J$28=B297)))"),"")</f>
        <v/>
      </c>
    </row>
    <row r="298">
      <c r="A298" s="627"/>
      <c r="B298" s="627" t="str">
        <f>IFERROR(__xludf.DUMMYFUNCTION("TRANSPOSE(unique(FILTER($K$17:$K$28,$J$17:$J$28=A298)))"),"")</f>
        <v/>
      </c>
      <c r="C298" s="443"/>
      <c r="D298" s="534" t="str">
        <f>IFERROR(__xludf.DUMMYFUNCTION("TRANSPOSE(unique(FILTER($K$17:$K$28,$J$17:$J$28=B298)))"),"")</f>
        <v/>
      </c>
    </row>
    <row r="299">
      <c r="A299" s="627"/>
      <c r="B299" s="627" t="str">
        <f>IFERROR(__xludf.DUMMYFUNCTION("TRANSPOSE(unique(FILTER($K$17:$K$28,$J$17:$J$28=A299)))"),"")</f>
        <v/>
      </c>
      <c r="C299" s="443"/>
      <c r="D299" s="534" t="str">
        <f>IFERROR(__xludf.DUMMYFUNCTION("TRANSPOSE(unique(FILTER($K$17:$K$28,$J$17:$J$28=B299)))"),"")</f>
        <v/>
      </c>
    </row>
    <row r="300">
      <c r="A300" s="627"/>
      <c r="B300" s="627" t="str">
        <f>IFERROR(__xludf.DUMMYFUNCTION("TRANSPOSE(unique(FILTER($K$17:$K$28,$J$17:$J$28=A300)))"),"")</f>
        <v/>
      </c>
      <c r="C300" s="443"/>
      <c r="D300" s="534" t="str">
        <f>IFERROR(__xludf.DUMMYFUNCTION("TRANSPOSE(unique(FILTER($K$17:$K$28,$J$17:$J$28=B300)))"),"")</f>
        <v/>
      </c>
    </row>
    <row r="301">
      <c r="A301" s="627"/>
      <c r="B301" s="627" t="str">
        <f>IFERROR(__xludf.DUMMYFUNCTION("TRANSPOSE(unique(FILTER($K$17:$K$28,$J$17:$J$28=A301)))"),"")</f>
        <v/>
      </c>
      <c r="C301" s="443"/>
      <c r="D301" s="534" t="str">
        <f>IFERROR(__xludf.DUMMYFUNCTION("TRANSPOSE(unique(FILTER($K$17:$K$28,$J$17:$J$28=B301)))"),"")</f>
        <v/>
      </c>
    </row>
    <row r="302">
      <c r="A302" s="627"/>
      <c r="B302" s="627" t="str">
        <f>IFERROR(__xludf.DUMMYFUNCTION("TRANSPOSE(unique(FILTER($K$17:$K$28,$J$17:$J$28=A302)))"),"")</f>
        <v/>
      </c>
      <c r="C302" s="443"/>
      <c r="D302" s="534" t="str">
        <f>IFERROR(__xludf.DUMMYFUNCTION("TRANSPOSE(unique(FILTER($K$17:$K$28,$J$17:$J$28=B302)))"),"")</f>
        <v/>
      </c>
    </row>
    <row r="303">
      <c r="A303" s="627"/>
      <c r="B303" s="627" t="str">
        <f>IFERROR(__xludf.DUMMYFUNCTION("TRANSPOSE(unique(FILTER($K$17:$K$28,$J$17:$J$28=A303)))"),"")</f>
        <v/>
      </c>
      <c r="C303" s="443"/>
      <c r="D303" s="534" t="str">
        <f>IFERROR(__xludf.DUMMYFUNCTION("TRANSPOSE(unique(FILTER($K$17:$K$28,$J$17:$J$28=B303)))"),"")</f>
        <v/>
      </c>
    </row>
    <row r="304">
      <c r="A304" s="627"/>
      <c r="B304" s="627" t="str">
        <f>IFERROR(__xludf.DUMMYFUNCTION("TRANSPOSE(unique(FILTER($K$17:$K$28,$J$17:$J$28=A304)))"),"")</f>
        <v/>
      </c>
      <c r="C304" s="443"/>
      <c r="D304" s="534" t="str">
        <f>IFERROR(__xludf.DUMMYFUNCTION("TRANSPOSE(unique(FILTER($K$17:$K$28,$J$17:$J$28=B304)))"),"")</f>
        <v/>
      </c>
    </row>
    <row r="305">
      <c r="A305" s="627"/>
      <c r="B305" s="627" t="str">
        <f>IFERROR(__xludf.DUMMYFUNCTION("TRANSPOSE(unique(FILTER($K$17:$K$28,$J$17:$J$28=A305)))"),"")</f>
        <v/>
      </c>
      <c r="C305" s="443"/>
      <c r="D305" s="534" t="str">
        <f>IFERROR(__xludf.DUMMYFUNCTION("TRANSPOSE(unique(FILTER($K$17:$K$28,$J$17:$J$28=B305)))"),"")</f>
        <v/>
      </c>
    </row>
    <row r="306">
      <c r="A306" s="627"/>
      <c r="B306" s="627" t="str">
        <f>IFERROR(__xludf.DUMMYFUNCTION("TRANSPOSE(unique(FILTER($K$17:$K$28,$J$17:$J$28=A306)))"),"")</f>
        <v/>
      </c>
      <c r="C306" s="443"/>
      <c r="D306" s="534" t="str">
        <f>IFERROR(__xludf.DUMMYFUNCTION("TRANSPOSE(unique(FILTER($K$17:$K$28,$J$17:$J$28=B306)))"),"")</f>
        <v/>
      </c>
    </row>
    <row r="307">
      <c r="A307" s="627"/>
      <c r="B307" s="627" t="str">
        <f>IFERROR(__xludf.DUMMYFUNCTION("TRANSPOSE(unique(FILTER($K$17:$K$28,$J$17:$J$28=A307)))"),"")</f>
        <v/>
      </c>
      <c r="C307" s="443"/>
      <c r="D307" s="534" t="str">
        <f>IFERROR(__xludf.DUMMYFUNCTION("TRANSPOSE(unique(FILTER($K$17:$K$28,$J$17:$J$28=B307)))"),"")</f>
        <v/>
      </c>
    </row>
    <row r="308">
      <c r="A308" s="627"/>
      <c r="B308" s="627" t="str">
        <f>IFERROR(__xludf.DUMMYFUNCTION("TRANSPOSE(unique(FILTER($K$17:$K$28,$J$17:$J$28=A308)))"),"")</f>
        <v/>
      </c>
      <c r="C308" s="443"/>
      <c r="D308" s="534" t="str">
        <f>IFERROR(__xludf.DUMMYFUNCTION("TRANSPOSE(unique(FILTER($K$17:$K$28,$J$17:$J$28=B308)))"),"")</f>
        <v/>
      </c>
    </row>
    <row r="309">
      <c r="A309" s="627"/>
      <c r="B309" s="627" t="str">
        <f>IFERROR(__xludf.DUMMYFUNCTION("TRANSPOSE(unique(FILTER($K$17:$K$28,$J$17:$J$28=A309)))"),"")</f>
        <v/>
      </c>
      <c r="C309" s="443"/>
      <c r="D309" s="534" t="str">
        <f>IFERROR(__xludf.DUMMYFUNCTION("TRANSPOSE(unique(FILTER($K$17:$K$28,$J$17:$J$28=B309)))"),"")</f>
        <v/>
      </c>
    </row>
    <row r="310">
      <c r="A310" s="627"/>
      <c r="B310" s="627" t="str">
        <f>IFERROR(__xludf.DUMMYFUNCTION("TRANSPOSE(unique(FILTER($K$17:$K$28,$J$17:$J$28=A310)))"),"")</f>
        <v/>
      </c>
      <c r="C310" s="443"/>
      <c r="D310" s="534" t="str">
        <f>IFERROR(__xludf.DUMMYFUNCTION("TRANSPOSE(unique(FILTER($K$17:$K$28,$J$17:$J$28=B310)))"),"")</f>
        <v/>
      </c>
    </row>
    <row r="311">
      <c r="A311" s="627"/>
      <c r="B311" s="627" t="str">
        <f>IFERROR(__xludf.DUMMYFUNCTION("TRANSPOSE(unique(FILTER($K$17:$K$28,$J$17:$J$28=A311)))"),"")</f>
        <v/>
      </c>
      <c r="C311" s="443"/>
      <c r="D311" s="534" t="str">
        <f>IFERROR(__xludf.DUMMYFUNCTION("TRANSPOSE(unique(FILTER($K$17:$K$28,$J$17:$J$28=B311)))"),"")</f>
        <v/>
      </c>
    </row>
    <row r="312">
      <c r="A312" s="627"/>
      <c r="B312" s="627" t="str">
        <f>IFERROR(__xludf.DUMMYFUNCTION("TRANSPOSE(unique(FILTER($K$17:$K$28,$J$17:$J$28=A312)))"),"")</f>
        <v/>
      </c>
      <c r="C312" s="443"/>
      <c r="D312" s="534" t="str">
        <f>IFERROR(__xludf.DUMMYFUNCTION("TRANSPOSE(unique(FILTER($K$17:$K$28,$J$17:$J$28=B312)))"),"")</f>
        <v/>
      </c>
    </row>
    <row r="313">
      <c r="A313" s="627"/>
      <c r="B313" s="627" t="str">
        <f>IFERROR(__xludf.DUMMYFUNCTION("TRANSPOSE(unique(FILTER($K$17:$K$28,$J$17:$J$28=A313)))"),"")</f>
        <v/>
      </c>
      <c r="C313" s="443"/>
      <c r="D313" s="534" t="str">
        <f>IFERROR(__xludf.DUMMYFUNCTION("TRANSPOSE(unique(FILTER($K$17:$K$28,$J$17:$J$28=B313)))"),"")</f>
        <v/>
      </c>
    </row>
    <row r="314">
      <c r="A314" s="627"/>
      <c r="B314" s="627" t="str">
        <f>IFERROR(__xludf.DUMMYFUNCTION("TRANSPOSE(unique(FILTER($K$17:$K$28,$J$17:$J$28=A314)))"),"")</f>
        <v/>
      </c>
      <c r="C314" s="443"/>
      <c r="D314" s="534" t="str">
        <f>IFERROR(__xludf.DUMMYFUNCTION("TRANSPOSE(unique(FILTER($K$17:$K$28,$J$17:$J$28=B314)))"),"")</f>
        <v/>
      </c>
    </row>
    <row r="315">
      <c r="A315" s="627"/>
      <c r="B315" s="627" t="str">
        <f>IFERROR(__xludf.DUMMYFUNCTION("TRANSPOSE(unique(FILTER($K$17:$K$28,$J$17:$J$28=A315)))"),"")</f>
        <v/>
      </c>
      <c r="C315" s="443"/>
      <c r="D315" s="534" t="str">
        <f>IFERROR(__xludf.DUMMYFUNCTION("TRANSPOSE(unique(FILTER($K$17:$K$28,$J$17:$J$28=B315)))"),"")</f>
        <v/>
      </c>
    </row>
    <row r="316">
      <c r="A316" s="627"/>
      <c r="B316" s="627" t="str">
        <f>IFERROR(__xludf.DUMMYFUNCTION("TRANSPOSE(unique(FILTER($K$17:$K$28,$J$17:$J$28=A316)))"),"")</f>
        <v/>
      </c>
      <c r="C316" s="443"/>
      <c r="D316" s="534" t="str">
        <f>IFERROR(__xludf.DUMMYFUNCTION("TRANSPOSE(unique(FILTER($K$17:$K$28,$J$17:$J$28=B316)))"),"")</f>
        <v/>
      </c>
    </row>
    <row r="317">
      <c r="A317" s="627"/>
      <c r="B317" s="627" t="str">
        <f>IFERROR(__xludf.DUMMYFUNCTION("TRANSPOSE(unique(FILTER($K$17:$K$28,$J$17:$J$28=A317)))"),"")</f>
        <v/>
      </c>
      <c r="C317" s="443"/>
      <c r="D317" s="534" t="str">
        <f>IFERROR(__xludf.DUMMYFUNCTION("TRANSPOSE(unique(FILTER($K$17:$K$28,$J$17:$J$28=B317)))"),"")</f>
        <v/>
      </c>
    </row>
    <row r="318">
      <c r="A318" s="627"/>
      <c r="B318" s="627" t="str">
        <f>IFERROR(__xludf.DUMMYFUNCTION("TRANSPOSE(unique(FILTER($K$17:$K$28,$J$17:$J$28=A318)))"),"")</f>
        <v/>
      </c>
      <c r="C318" s="443"/>
      <c r="D318" s="534" t="str">
        <f>IFERROR(__xludf.DUMMYFUNCTION("TRANSPOSE(unique(FILTER($K$17:$K$28,$J$17:$J$28=B318)))"),"")</f>
        <v/>
      </c>
    </row>
    <row r="319">
      <c r="A319" s="627"/>
      <c r="B319" s="627" t="str">
        <f>IFERROR(__xludf.DUMMYFUNCTION("TRANSPOSE(unique(FILTER($K$17:$K$28,$J$17:$J$28=A319)))"),"")</f>
        <v/>
      </c>
      <c r="C319" s="443"/>
      <c r="D319" s="534" t="str">
        <f>IFERROR(__xludf.DUMMYFUNCTION("TRANSPOSE(unique(FILTER($K$17:$K$28,$J$17:$J$28=B319)))"),"")</f>
        <v/>
      </c>
    </row>
    <row r="320">
      <c r="A320" s="627"/>
      <c r="B320" s="627" t="str">
        <f>IFERROR(__xludf.DUMMYFUNCTION("TRANSPOSE(unique(FILTER($K$17:$K$28,$J$17:$J$28=A320)))"),"")</f>
        <v/>
      </c>
      <c r="C320" s="443"/>
      <c r="D320" s="534" t="str">
        <f>IFERROR(__xludf.DUMMYFUNCTION("TRANSPOSE(unique(FILTER($K$17:$K$28,$J$17:$J$28=B320)))"),"")</f>
        <v/>
      </c>
    </row>
    <row r="321">
      <c r="A321" s="627"/>
      <c r="B321" s="627" t="str">
        <f>IFERROR(__xludf.DUMMYFUNCTION("TRANSPOSE(unique(FILTER($K$17:$K$28,$J$17:$J$28=A321)))"),"")</f>
        <v/>
      </c>
      <c r="C321" s="443"/>
      <c r="D321" s="534" t="str">
        <f>IFERROR(__xludf.DUMMYFUNCTION("TRANSPOSE(unique(FILTER($K$17:$K$28,$J$17:$J$28=B321)))"),"")</f>
        <v/>
      </c>
    </row>
    <row r="322">
      <c r="A322" s="627"/>
      <c r="B322" s="627" t="str">
        <f>IFERROR(__xludf.DUMMYFUNCTION("TRANSPOSE(unique(FILTER($K$17:$K$28,$J$17:$J$28=A322)))"),"")</f>
        <v/>
      </c>
      <c r="C322" s="443"/>
      <c r="D322" s="534" t="str">
        <f>IFERROR(__xludf.DUMMYFUNCTION("TRANSPOSE(unique(FILTER($K$17:$K$28,$J$17:$J$28=B322)))"),"")</f>
        <v/>
      </c>
    </row>
    <row r="323">
      <c r="A323" s="627"/>
      <c r="B323" s="627" t="str">
        <f>IFERROR(__xludf.DUMMYFUNCTION("TRANSPOSE(unique(FILTER($K$17:$K$28,$J$17:$J$28=A323)))"),"")</f>
        <v/>
      </c>
      <c r="C323" s="443"/>
      <c r="D323" s="534" t="str">
        <f>IFERROR(__xludf.DUMMYFUNCTION("TRANSPOSE(unique(FILTER($K$17:$K$28,$J$17:$J$28=B323)))"),"")</f>
        <v/>
      </c>
    </row>
    <row r="324">
      <c r="A324" s="627"/>
      <c r="B324" s="627" t="str">
        <f>IFERROR(__xludf.DUMMYFUNCTION("TRANSPOSE(unique(FILTER($K$17:$K$28,$J$17:$J$28=A324)))"),"")</f>
        <v/>
      </c>
      <c r="C324" s="443"/>
      <c r="D324" s="534" t="str">
        <f>IFERROR(__xludf.DUMMYFUNCTION("TRANSPOSE(unique(FILTER($K$17:$K$28,$J$17:$J$28=B324)))"),"")</f>
        <v/>
      </c>
    </row>
    <row r="325">
      <c r="A325" s="627"/>
      <c r="B325" s="627" t="str">
        <f>IFERROR(__xludf.DUMMYFUNCTION("TRANSPOSE(unique(FILTER($K$17:$K$28,$J$17:$J$28=A325)))"),"")</f>
        <v/>
      </c>
      <c r="C325" s="443"/>
      <c r="D325" s="534" t="str">
        <f>IFERROR(__xludf.DUMMYFUNCTION("TRANSPOSE(unique(FILTER($K$17:$K$28,$J$17:$J$28=B325)))"),"")</f>
        <v/>
      </c>
    </row>
    <row r="326">
      <c r="A326" s="627"/>
      <c r="B326" s="627" t="str">
        <f>IFERROR(__xludf.DUMMYFUNCTION("TRANSPOSE(unique(FILTER($K$17:$K$28,$J$17:$J$28=A326)))"),"")</f>
        <v/>
      </c>
      <c r="C326" s="443"/>
      <c r="D326" s="534" t="str">
        <f>IFERROR(__xludf.DUMMYFUNCTION("TRANSPOSE(unique(FILTER($K$17:$K$28,$J$17:$J$28=B326)))"),"")</f>
        <v/>
      </c>
    </row>
    <row r="327">
      <c r="A327" s="627"/>
      <c r="B327" s="627" t="str">
        <f>IFERROR(__xludf.DUMMYFUNCTION("TRANSPOSE(unique(FILTER($K$17:$K$28,$J$17:$J$28=A327)))"),"")</f>
        <v/>
      </c>
      <c r="C327" s="443"/>
      <c r="D327" s="534" t="str">
        <f>IFERROR(__xludf.DUMMYFUNCTION("TRANSPOSE(unique(FILTER($K$17:$K$28,$J$17:$J$28=B327)))"),"")</f>
        <v/>
      </c>
    </row>
    <row r="328">
      <c r="A328" s="627"/>
      <c r="B328" s="627" t="str">
        <f>IFERROR(__xludf.DUMMYFUNCTION("TRANSPOSE(unique(FILTER($K$17:$K$28,$J$17:$J$28=A328)))"),"")</f>
        <v/>
      </c>
      <c r="C328" s="443"/>
      <c r="D328" s="534" t="str">
        <f>IFERROR(__xludf.DUMMYFUNCTION("TRANSPOSE(unique(FILTER($K$17:$K$28,$J$17:$J$28=B328)))"),"")</f>
        <v/>
      </c>
    </row>
    <row r="329">
      <c r="A329" s="627"/>
      <c r="B329" s="627" t="str">
        <f>IFERROR(__xludf.DUMMYFUNCTION("TRANSPOSE(unique(FILTER($K$17:$K$28,$J$17:$J$28=A329)))"),"")</f>
        <v/>
      </c>
      <c r="C329" s="443"/>
      <c r="D329" s="534" t="str">
        <f>IFERROR(__xludf.DUMMYFUNCTION("TRANSPOSE(unique(FILTER($K$17:$K$28,$J$17:$J$28=B329)))"),"")</f>
        <v/>
      </c>
    </row>
    <row r="330">
      <c r="A330" s="627"/>
      <c r="B330" s="627" t="str">
        <f>IFERROR(__xludf.DUMMYFUNCTION("TRANSPOSE(unique(FILTER($K$17:$K$28,$J$17:$J$28=A330)))"),"")</f>
        <v/>
      </c>
      <c r="C330" s="443"/>
      <c r="D330" s="534" t="str">
        <f>IFERROR(__xludf.DUMMYFUNCTION("TRANSPOSE(unique(FILTER($K$17:$K$28,$J$17:$J$28=B330)))"),"")</f>
        <v/>
      </c>
    </row>
    <row r="331">
      <c r="A331" s="627"/>
      <c r="B331" s="627" t="str">
        <f>IFERROR(__xludf.DUMMYFUNCTION("TRANSPOSE(unique(FILTER($K$17:$K$28,$J$17:$J$28=A331)))"),"")</f>
        <v/>
      </c>
      <c r="C331" s="443"/>
      <c r="D331" s="534" t="str">
        <f>IFERROR(__xludf.DUMMYFUNCTION("TRANSPOSE(unique(FILTER($K$17:$K$28,$J$17:$J$28=B331)))"),"")</f>
        <v/>
      </c>
    </row>
    <row r="332">
      <c r="A332" s="627"/>
      <c r="B332" s="627" t="str">
        <f>IFERROR(__xludf.DUMMYFUNCTION("TRANSPOSE(unique(FILTER($K$17:$K$28,$J$17:$J$28=A332)))"),"")</f>
        <v/>
      </c>
      <c r="C332" s="443"/>
      <c r="D332" s="534" t="str">
        <f>IFERROR(__xludf.DUMMYFUNCTION("TRANSPOSE(unique(FILTER($K$17:$K$28,$J$17:$J$28=B332)))"),"")</f>
        <v/>
      </c>
    </row>
    <row r="333">
      <c r="A333" s="627"/>
      <c r="B333" s="627" t="str">
        <f>IFERROR(__xludf.DUMMYFUNCTION("TRANSPOSE(unique(FILTER($K$17:$K$28,$J$17:$J$28=A333)))"),"")</f>
        <v/>
      </c>
      <c r="C333" s="443"/>
      <c r="D333" s="534" t="str">
        <f>IFERROR(__xludf.DUMMYFUNCTION("TRANSPOSE(unique(FILTER($K$17:$K$28,$J$17:$J$28=B333)))"),"")</f>
        <v/>
      </c>
    </row>
    <row r="334">
      <c r="A334" s="627"/>
      <c r="B334" s="627" t="str">
        <f>IFERROR(__xludf.DUMMYFUNCTION("TRANSPOSE(unique(FILTER($K$17:$K$28,$J$17:$J$28=A334)))"),"")</f>
        <v/>
      </c>
      <c r="C334" s="443"/>
      <c r="D334" s="534" t="str">
        <f>IFERROR(__xludf.DUMMYFUNCTION("TRANSPOSE(unique(FILTER($K$17:$K$28,$J$17:$J$28=B334)))"),"")</f>
        <v/>
      </c>
    </row>
    <row r="335">
      <c r="A335" s="627"/>
      <c r="B335" s="627" t="str">
        <f>IFERROR(__xludf.DUMMYFUNCTION("TRANSPOSE(unique(FILTER($K$17:$K$28,$J$17:$J$28=A335)))"),"")</f>
        <v/>
      </c>
      <c r="C335" s="443"/>
      <c r="D335" s="534" t="str">
        <f>IFERROR(__xludf.DUMMYFUNCTION("TRANSPOSE(unique(FILTER($K$17:$K$28,$J$17:$J$28=B335)))"),"")</f>
        <v/>
      </c>
    </row>
    <row r="336">
      <c r="A336" s="627"/>
      <c r="B336" s="627" t="str">
        <f>IFERROR(__xludf.DUMMYFUNCTION("TRANSPOSE(unique(FILTER($K$17:$K$28,$J$17:$J$28=A336)))"),"")</f>
        <v/>
      </c>
      <c r="C336" s="443"/>
      <c r="D336" s="534" t="str">
        <f>IFERROR(__xludf.DUMMYFUNCTION("TRANSPOSE(unique(FILTER($K$17:$K$28,$J$17:$J$28=B336)))"),"")</f>
        <v/>
      </c>
    </row>
    <row r="337">
      <c r="A337" s="627"/>
      <c r="B337" s="627" t="str">
        <f>IFERROR(__xludf.DUMMYFUNCTION("TRANSPOSE(unique(FILTER($K$17:$K$28,$J$17:$J$28=A337)))"),"")</f>
        <v/>
      </c>
      <c r="C337" s="443"/>
      <c r="D337" s="534" t="str">
        <f>IFERROR(__xludf.DUMMYFUNCTION("TRANSPOSE(unique(FILTER($K$17:$K$28,$J$17:$J$28=B337)))"),"")</f>
        <v/>
      </c>
    </row>
    <row r="338">
      <c r="A338" s="627"/>
      <c r="B338" s="627" t="str">
        <f>IFERROR(__xludf.DUMMYFUNCTION("TRANSPOSE(unique(FILTER($K$17:$K$28,$J$17:$J$28=A338)))"),"")</f>
        <v/>
      </c>
      <c r="C338" s="443"/>
      <c r="D338" s="534" t="str">
        <f>IFERROR(__xludf.DUMMYFUNCTION("TRANSPOSE(unique(FILTER($K$17:$K$28,$J$17:$J$28=B338)))"),"")</f>
        <v/>
      </c>
    </row>
    <row r="339">
      <c r="A339" s="627"/>
      <c r="B339" s="627" t="str">
        <f>IFERROR(__xludf.DUMMYFUNCTION("TRANSPOSE(unique(FILTER($K$17:$K$28,$J$17:$J$28=A339)))"),"")</f>
        <v/>
      </c>
      <c r="C339" s="443"/>
      <c r="D339" s="534" t="str">
        <f>IFERROR(__xludf.DUMMYFUNCTION("TRANSPOSE(unique(FILTER($K$17:$K$28,$J$17:$J$28=B339)))"),"")</f>
        <v/>
      </c>
    </row>
    <row r="340">
      <c r="A340" s="627"/>
      <c r="B340" s="627" t="str">
        <f>IFERROR(__xludf.DUMMYFUNCTION("TRANSPOSE(unique(FILTER($K$17:$K$28,$J$17:$J$28=A340)))"),"")</f>
        <v/>
      </c>
      <c r="C340" s="443"/>
      <c r="D340" s="534" t="str">
        <f>IFERROR(__xludf.DUMMYFUNCTION("TRANSPOSE(unique(FILTER($K$17:$K$28,$J$17:$J$28=B340)))"),"")</f>
        <v/>
      </c>
    </row>
    <row r="341">
      <c r="A341" s="627"/>
      <c r="B341" s="627" t="str">
        <f>IFERROR(__xludf.DUMMYFUNCTION("TRANSPOSE(unique(FILTER($K$17:$K$28,$J$17:$J$28=A341)))"),"")</f>
        <v/>
      </c>
      <c r="C341" s="443"/>
      <c r="D341" s="534" t="str">
        <f>IFERROR(__xludf.DUMMYFUNCTION("TRANSPOSE(unique(FILTER($K$17:$K$28,$J$17:$J$28=B341)))"),"")</f>
        <v/>
      </c>
    </row>
    <row r="342">
      <c r="A342" s="627"/>
      <c r="B342" s="627" t="str">
        <f>IFERROR(__xludf.DUMMYFUNCTION("TRANSPOSE(unique(FILTER($K$17:$K$28,$J$17:$J$28=A342)))"),"")</f>
        <v/>
      </c>
      <c r="C342" s="443"/>
      <c r="D342" s="534" t="str">
        <f>IFERROR(__xludf.DUMMYFUNCTION("TRANSPOSE(unique(FILTER($K$17:$K$28,$J$17:$J$28=B342)))"),"")</f>
        <v/>
      </c>
    </row>
    <row r="343">
      <c r="A343" s="627"/>
      <c r="B343" s="627" t="str">
        <f>IFERROR(__xludf.DUMMYFUNCTION("TRANSPOSE(unique(FILTER($K$17:$K$28,$J$17:$J$28=A343)))"),"")</f>
        <v/>
      </c>
      <c r="C343" s="443"/>
      <c r="D343" s="534" t="str">
        <f>IFERROR(__xludf.DUMMYFUNCTION("TRANSPOSE(unique(FILTER($K$17:$K$28,$J$17:$J$28=B343)))"),"")</f>
        <v/>
      </c>
    </row>
    <row r="344">
      <c r="A344" s="627"/>
      <c r="B344" s="627" t="str">
        <f>IFERROR(__xludf.DUMMYFUNCTION("TRANSPOSE(unique(FILTER($K$17:$K$28,$J$17:$J$28=A344)))"),"")</f>
        <v/>
      </c>
      <c r="C344" s="443"/>
      <c r="D344" s="534" t="str">
        <f>IFERROR(__xludf.DUMMYFUNCTION("TRANSPOSE(unique(FILTER($K$17:$K$28,$J$17:$J$28=B344)))"),"")</f>
        <v/>
      </c>
    </row>
    <row r="345">
      <c r="A345" s="627"/>
      <c r="B345" s="627" t="str">
        <f>IFERROR(__xludf.DUMMYFUNCTION("TRANSPOSE(unique(FILTER($K$17:$K$28,$J$17:$J$28=A345)))"),"")</f>
        <v/>
      </c>
      <c r="C345" s="443"/>
      <c r="D345" s="534" t="str">
        <f>IFERROR(__xludf.DUMMYFUNCTION("TRANSPOSE(unique(FILTER($K$17:$K$28,$J$17:$J$28=B345)))"),"")</f>
        <v/>
      </c>
    </row>
    <row r="346">
      <c r="A346" s="627"/>
      <c r="B346" s="627" t="str">
        <f>IFERROR(__xludf.DUMMYFUNCTION("TRANSPOSE(unique(FILTER($K$17:$K$28,$J$17:$J$28=A346)))"),"")</f>
        <v/>
      </c>
      <c r="C346" s="443"/>
      <c r="D346" s="534" t="str">
        <f>IFERROR(__xludf.DUMMYFUNCTION("TRANSPOSE(unique(FILTER($K$17:$K$28,$J$17:$J$28=B346)))"),"")</f>
        <v/>
      </c>
    </row>
    <row r="347">
      <c r="A347" s="627"/>
      <c r="B347" s="627" t="str">
        <f>IFERROR(__xludf.DUMMYFUNCTION("TRANSPOSE(unique(FILTER($K$17:$K$28,$J$17:$J$28=A347)))"),"")</f>
        <v/>
      </c>
      <c r="C347" s="443"/>
      <c r="D347" s="534" t="str">
        <f>IFERROR(__xludf.DUMMYFUNCTION("TRANSPOSE(unique(FILTER($K$17:$K$28,$J$17:$J$28=B347)))"),"")</f>
        <v/>
      </c>
    </row>
    <row r="348">
      <c r="A348" s="627"/>
      <c r="B348" s="627" t="str">
        <f>IFERROR(__xludf.DUMMYFUNCTION("TRANSPOSE(unique(FILTER($K$17:$K$28,$J$17:$J$28=A348)))"),"")</f>
        <v/>
      </c>
      <c r="C348" s="443"/>
      <c r="D348" s="534" t="str">
        <f>IFERROR(__xludf.DUMMYFUNCTION("TRANSPOSE(unique(FILTER($K$17:$K$28,$J$17:$J$28=B348)))"),"")</f>
        <v/>
      </c>
    </row>
    <row r="349">
      <c r="A349" s="627"/>
      <c r="B349" s="627" t="str">
        <f>IFERROR(__xludf.DUMMYFUNCTION("TRANSPOSE(unique(FILTER($K$17:$K$28,$J$17:$J$28=A349)))"),"")</f>
        <v/>
      </c>
      <c r="C349" s="443"/>
      <c r="D349" s="534" t="str">
        <f>IFERROR(__xludf.DUMMYFUNCTION("TRANSPOSE(unique(FILTER($K$17:$K$28,$J$17:$J$28=B349)))"),"")</f>
        <v/>
      </c>
    </row>
    <row r="350">
      <c r="A350" s="627"/>
      <c r="B350" s="627" t="str">
        <f>IFERROR(__xludf.DUMMYFUNCTION("TRANSPOSE(unique(FILTER($K$17:$K$28,$J$17:$J$28=A350)))"),"")</f>
        <v/>
      </c>
      <c r="C350" s="443"/>
      <c r="D350" s="534" t="str">
        <f>IFERROR(__xludf.DUMMYFUNCTION("TRANSPOSE(unique(FILTER($K$17:$K$28,$J$17:$J$28=B350)))"),"")</f>
        <v/>
      </c>
    </row>
    <row r="351">
      <c r="A351" s="627"/>
      <c r="B351" s="627" t="str">
        <f>IFERROR(__xludf.DUMMYFUNCTION("TRANSPOSE(unique(FILTER($K$17:$K$28,$J$17:$J$28=A351)))"),"")</f>
        <v/>
      </c>
      <c r="C351" s="443"/>
      <c r="D351" s="534" t="str">
        <f>IFERROR(__xludf.DUMMYFUNCTION("TRANSPOSE(unique(FILTER($K$17:$K$28,$J$17:$J$28=B351)))"),"")</f>
        <v/>
      </c>
    </row>
    <row r="352">
      <c r="A352" s="627"/>
      <c r="B352" s="627" t="str">
        <f>IFERROR(__xludf.DUMMYFUNCTION("TRANSPOSE(unique(FILTER($K$17:$K$28,$J$17:$J$28=A352)))"),"")</f>
        <v/>
      </c>
      <c r="C352" s="443"/>
      <c r="D352" s="534" t="str">
        <f>IFERROR(__xludf.DUMMYFUNCTION("TRANSPOSE(unique(FILTER($K$17:$K$28,$J$17:$J$28=B352)))"),"")</f>
        <v/>
      </c>
    </row>
    <row r="353">
      <c r="A353" s="627"/>
      <c r="B353" s="627" t="str">
        <f>IFERROR(__xludf.DUMMYFUNCTION("TRANSPOSE(unique(FILTER($K$17:$K$28,$J$17:$J$28=A353)))"),"")</f>
        <v/>
      </c>
      <c r="C353" s="443"/>
      <c r="D353" s="534" t="str">
        <f>IFERROR(__xludf.DUMMYFUNCTION("TRANSPOSE(unique(FILTER($K$17:$K$28,$J$17:$J$28=B353)))"),"")</f>
        <v/>
      </c>
    </row>
    <row r="354">
      <c r="A354" s="627"/>
      <c r="B354" s="627" t="str">
        <f>IFERROR(__xludf.DUMMYFUNCTION("TRANSPOSE(unique(FILTER($K$17:$K$28,$J$17:$J$28=A354)))"),"")</f>
        <v/>
      </c>
      <c r="C354" s="443"/>
      <c r="D354" s="534" t="str">
        <f>IFERROR(__xludf.DUMMYFUNCTION("TRANSPOSE(unique(FILTER($K$17:$K$28,$J$17:$J$28=B354)))"),"")</f>
        <v/>
      </c>
    </row>
    <row r="355">
      <c r="A355" s="627"/>
      <c r="B355" s="627" t="str">
        <f>IFERROR(__xludf.DUMMYFUNCTION("TRANSPOSE(unique(FILTER($K$17:$K$28,$J$17:$J$28=A355)))"),"")</f>
        <v/>
      </c>
      <c r="C355" s="443"/>
      <c r="D355" s="534" t="str">
        <f>IFERROR(__xludf.DUMMYFUNCTION("TRANSPOSE(unique(FILTER($K$17:$K$28,$J$17:$J$28=B355)))"),"")</f>
        <v/>
      </c>
    </row>
    <row r="356">
      <c r="A356" s="627"/>
      <c r="B356" s="627" t="str">
        <f>IFERROR(__xludf.DUMMYFUNCTION("TRANSPOSE(unique(FILTER($K$17:$K$28,$J$17:$J$28=A356)))"),"")</f>
        <v/>
      </c>
      <c r="C356" s="443"/>
      <c r="D356" s="534" t="str">
        <f>IFERROR(__xludf.DUMMYFUNCTION("TRANSPOSE(unique(FILTER($K$17:$K$28,$J$17:$J$28=B356)))"),"")</f>
        <v/>
      </c>
    </row>
    <row r="357">
      <c r="A357" s="627"/>
      <c r="B357" s="627" t="str">
        <f>IFERROR(__xludf.DUMMYFUNCTION("TRANSPOSE(unique(FILTER($K$17:$K$28,$J$17:$J$28=A357)))"),"")</f>
        <v/>
      </c>
      <c r="C357" s="443"/>
      <c r="D357" s="534" t="str">
        <f>IFERROR(__xludf.DUMMYFUNCTION("TRANSPOSE(unique(FILTER($K$17:$K$28,$J$17:$J$28=B357)))"),"")</f>
        <v/>
      </c>
    </row>
    <row r="358">
      <c r="A358" s="627"/>
      <c r="B358" s="627" t="str">
        <f>IFERROR(__xludf.DUMMYFUNCTION("TRANSPOSE(unique(FILTER($K$17:$K$28,$J$17:$J$28=A358)))"),"")</f>
        <v/>
      </c>
      <c r="C358" s="443"/>
      <c r="D358" s="534" t="str">
        <f>IFERROR(__xludf.DUMMYFUNCTION("TRANSPOSE(unique(FILTER($K$17:$K$28,$J$17:$J$28=B358)))"),"")</f>
        <v/>
      </c>
    </row>
    <row r="359">
      <c r="A359" s="627"/>
      <c r="B359" s="627" t="str">
        <f>IFERROR(__xludf.DUMMYFUNCTION("TRANSPOSE(unique(FILTER($K$17:$K$28,$J$17:$J$28=A359)))"),"")</f>
        <v/>
      </c>
      <c r="C359" s="443"/>
      <c r="D359" s="534" t="str">
        <f>IFERROR(__xludf.DUMMYFUNCTION("TRANSPOSE(unique(FILTER($K$17:$K$28,$J$17:$J$28=B359)))"),"")</f>
        <v/>
      </c>
    </row>
    <row r="360">
      <c r="A360" s="627"/>
      <c r="B360" s="627" t="str">
        <f>IFERROR(__xludf.DUMMYFUNCTION("TRANSPOSE(unique(FILTER($K$17:$K$28,$J$17:$J$28=A360)))"),"")</f>
        <v/>
      </c>
      <c r="C360" s="443"/>
      <c r="D360" s="534" t="str">
        <f>IFERROR(__xludf.DUMMYFUNCTION("TRANSPOSE(unique(FILTER($K$17:$K$28,$J$17:$J$28=B360)))"),"")</f>
        <v/>
      </c>
    </row>
    <row r="361">
      <c r="A361" s="627"/>
      <c r="B361" s="627" t="str">
        <f>IFERROR(__xludf.DUMMYFUNCTION("TRANSPOSE(unique(FILTER($K$17:$K$28,$J$17:$J$28=A361)))"),"")</f>
        <v/>
      </c>
      <c r="C361" s="443"/>
      <c r="D361" s="534" t="str">
        <f>IFERROR(__xludf.DUMMYFUNCTION("TRANSPOSE(unique(FILTER($K$17:$K$28,$J$17:$J$28=B361)))"),"")</f>
        <v/>
      </c>
    </row>
    <row r="362">
      <c r="A362" s="627"/>
      <c r="B362" s="627" t="str">
        <f>IFERROR(__xludf.DUMMYFUNCTION("TRANSPOSE(unique(FILTER($K$17:$K$28,$J$17:$J$28=A362)))"),"")</f>
        <v/>
      </c>
      <c r="C362" s="443"/>
      <c r="D362" s="534" t="str">
        <f>IFERROR(__xludf.DUMMYFUNCTION("TRANSPOSE(unique(FILTER($K$17:$K$28,$J$17:$J$28=B362)))"),"")</f>
        <v/>
      </c>
    </row>
    <row r="363">
      <c r="A363" s="627"/>
      <c r="B363" s="627" t="str">
        <f>IFERROR(__xludf.DUMMYFUNCTION("TRANSPOSE(unique(FILTER($K$17:$K$28,$J$17:$J$28=A363)))"),"")</f>
        <v/>
      </c>
      <c r="C363" s="443"/>
      <c r="D363" s="534" t="str">
        <f>IFERROR(__xludf.DUMMYFUNCTION("TRANSPOSE(unique(FILTER($K$17:$K$28,$J$17:$J$28=B363)))"),"")</f>
        <v/>
      </c>
    </row>
    <row r="364">
      <c r="A364" s="627"/>
      <c r="B364" s="627" t="str">
        <f>IFERROR(__xludf.DUMMYFUNCTION("TRANSPOSE(unique(FILTER($K$17:$K$28,$J$17:$J$28=A364)))"),"")</f>
        <v/>
      </c>
      <c r="C364" s="443"/>
      <c r="D364" s="534" t="str">
        <f>IFERROR(__xludf.DUMMYFUNCTION("TRANSPOSE(unique(FILTER($K$17:$K$28,$J$17:$J$28=B364)))"),"")</f>
        <v/>
      </c>
    </row>
    <row r="365">
      <c r="A365" s="627"/>
      <c r="B365" s="627" t="str">
        <f>IFERROR(__xludf.DUMMYFUNCTION("TRANSPOSE(unique(FILTER($K$17:$K$28,$J$17:$J$28=A365)))"),"")</f>
        <v/>
      </c>
      <c r="C365" s="443"/>
      <c r="D365" s="534" t="str">
        <f>IFERROR(__xludf.DUMMYFUNCTION("TRANSPOSE(unique(FILTER($K$17:$K$28,$J$17:$J$28=B365)))"),"")</f>
        <v/>
      </c>
    </row>
    <row r="366">
      <c r="A366" s="627"/>
      <c r="B366" s="627" t="str">
        <f>IFERROR(__xludf.DUMMYFUNCTION("TRANSPOSE(unique(FILTER($K$17:$K$28,$J$17:$J$28=A366)))"),"")</f>
        <v/>
      </c>
      <c r="C366" s="443"/>
      <c r="D366" s="534" t="str">
        <f>IFERROR(__xludf.DUMMYFUNCTION("TRANSPOSE(unique(FILTER($K$17:$K$28,$J$17:$J$28=B366)))"),"")</f>
        <v/>
      </c>
    </row>
    <row r="367">
      <c r="A367" s="627"/>
      <c r="B367" s="627" t="str">
        <f>IFERROR(__xludf.DUMMYFUNCTION("TRANSPOSE(unique(FILTER($K$17:$K$28,$J$17:$J$28=A367)))"),"")</f>
        <v/>
      </c>
      <c r="C367" s="443"/>
      <c r="D367" s="534" t="str">
        <f>IFERROR(__xludf.DUMMYFUNCTION("TRANSPOSE(unique(FILTER($K$17:$K$28,$J$17:$J$28=B367)))"),"")</f>
        <v/>
      </c>
    </row>
    <row r="368">
      <c r="A368" s="627"/>
      <c r="B368" s="627" t="str">
        <f>IFERROR(__xludf.DUMMYFUNCTION("TRANSPOSE(unique(FILTER($K$17:$K$28,$J$17:$J$28=A368)))"),"")</f>
        <v/>
      </c>
      <c r="C368" s="443"/>
      <c r="D368" s="534" t="str">
        <f>IFERROR(__xludf.DUMMYFUNCTION("TRANSPOSE(unique(FILTER($K$17:$K$28,$J$17:$J$28=B368)))"),"")</f>
        <v/>
      </c>
    </row>
    <row r="369">
      <c r="A369" s="627"/>
      <c r="B369" s="627" t="str">
        <f>IFERROR(__xludf.DUMMYFUNCTION("TRANSPOSE(unique(FILTER($K$17:$K$28,$J$17:$J$28=A369)))"),"")</f>
        <v/>
      </c>
      <c r="C369" s="443"/>
      <c r="D369" s="534" t="str">
        <f>IFERROR(__xludf.DUMMYFUNCTION("TRANSPOSE(unique(FILTER($K$17:$K$28,$J$17:$J$28=B369)))"),"")</f>
        <v/>
      </c>
    </row>
    <row r="370">
      <c r="A370" s="627"/>
      <c r="B370" s="627" t="str">
        <f>IFERROR(__xludf.DUMMYFUNCTION("TRANSPOSE(unique(FILTER($K$17:$K$28,$J$17:$J$28=A370)))"),"")</f>
        <v/>
      </c>
      <c r="C370" s="443"/>
      <c r="D370" s="534" t="str">
        <f>IFERROR(__xludf.DUMMYFUNCTION("TRANSPOSE(unique(FILTER($K$17:$K$28,$J$17:$J$28=B370)))"),"")</f>
        <v/>
      </c>
    </row>
    <row r="371">
      <c r="A371" s="627"/>
      <c r="B371" s="627" t="str">
        <f>IFERROR(__xludf.DUMMYFUNCTION("TRANSPOSE(unique(FILTER($K$17:$K$28,$J$17:$J$28=A371)))"),"")</f>
        <v/>
      </c>
      <c r="C371" s="443"/>
      <c r="D371" s="534" t="str">
        <f>IFERROR(__xludf.DUMMYFUNCTION("TRANSPOSE(unique(FILTER($K$17:$K$28,$J$17:$J$28=B371)))"),"")</f>
        <v/>
      </c>
    </row>
    <row r="372">
      <c r="A372" s="627"/>
      <c r="B372" s="627" t="str">
        <f>IFERROR(__xludf.DUMMYFUNCTION("TRANSPOSE(unique(FILTER($K$17:$K$28,$J$17:$J$28=A372)))"),"")</f>
        <v/>
      </c>
      <c r="C372" s="443"/>
      <c r="D372" s="534" t="str">
        <f>IFERROR(__xludf.DUMMYFUNCTION("TRANSPOSE(unique(FILTER($K$17:$K$28,$J$17:$J$28=B372)))"),"")</f>
        <v/>
      </c>
    </row>
    <row r="373">
      <c r="A373" s="627"/>
      <c r="B373" s="627" t="str">
        <f>IFERROR(__xludf.DUMMYFUNCTION("TRANSPOSE(unique(FILTER($K$17:$K$28,$J$17:$J$28=A373)))"),"")</f>
        <v/>
      </c>
      <c r="C373" s="443"/>
      <c r="D373" s="534" t="str">
        <f>IFERROR(__xludf.DUMMYFUNCTION("TRANSPOSE(unique(FILTER($K$17:$K$28,$J$17:$J$28=B373)))"),"")</f>
        <v/>
      </c>
    </row>
    <row r="374">
      <c r="A374" s="627"/>
      <c r="B374" s="627" t="str">
        <f>IFERROR(__xludf.DUMMYFUNCTION("TRANSPOSE(unique(FILTER($K$17:$K$28,$J$17:$J$28=A374)))"),"")</f>
        <v/>
      </c>
      <c r="C374" s="443"/>
      <c r="D374" s="534" t="str">
        <f>IFERROR(__xludf.DUMMYFUNCTION("TRANSPOSE(unique(FILTER($K$17:$K$28,$J$17:$J$28=B374)))"),"")</f>
        <v/>
      </c>
    </row>
    <row r="375">
      <c r="A375" s="627"/>
      <c r="B375" s="627" t="str">
        <f>IFERROR(__xludf.DUMMYFUNCTION("TRANSPOSE(unique(FILTER($K$17:$K$28,$J$17:$J$28=A375)))"),"")</f>
        <v/>
      </c>
      <c r="C375" s="443"/>
      <c r="D375" s="534" t="str">
        <f>IFERROR(__xludf.DUMMYFUNCTION("TRANSPOSE(unique(FILTER($K$17:$K$28,$J$17:$J$28=B375)))"),"")</f>
        <v/>
      </c>
    </row>
    <row r="376">
      <c r="A376" s="627"/>
      <c r="B376" s="627" t="str">
        <f>IFERROR(__xludf.DUMMYFUNCTION("TRANSPOSE(unique(FILTER($K$17:$K$28,$J$17:$J$28=A376)))"),"")</f>
        <v/>
      </c>
      <c r="C376" s="443"/>
      <c r="D376" s="534" t="str">
        <f>IFERROR(__xludf.DUMMYFUNCTION("TRANSPOSE(unique(FILTER($K$17:$K$28,$J$17:$J$28=B376)))"),"")</f>
        <v/>
      </c>
    </row>
    <row r="377">
      <c r="A377" s="627"/>
      <c r="B377" s="627" t="str">
        <f>IFERROR(__xludf.DUMMYFUNCTION("TRANSPOSE(unique(FILTER($K$17:$K$28,$J$17:$J$28=A377)))"),"")</f>
        <v/>
      </c>
      <c r="C377" s="443"/>
      <c r="D377" s="534" t="str">
        <f>IFERROR(__xludf.DUMMYFUNCTION("TRANSPOSE(unique(FILTER($K$17:$K$28,$J$17:$J$28=B377)))"),"")</f>
        <v/>
      </c>
    </row>
    <row r="378">
      <c r="A378" s="627"/>
      <c r="B378" s="627" t="str">
        <f>IFERROR(__xludf.DUMMYFUNCTION("TRANSPOSE(unique(FILTER($K$17:$K$28,$J$17:$J$28=A378)))"),"")</f>
        <v/>
      </c>
      <c r="C378" s="443"/>
      <c r="D378" s="534" t="str">
        <f>IFERROR(__xludf.DUMMYFUNCTION("TRANSPOSE(unique(FILTER($K$17:$K$28,$J$17:$J$28=B378)))"),"")</f>
        <v/>
      </c>
    </row>
    <row r="379">
      <c r="A379" s="627"/>
      <c r="B379" s="627" t="str">
        <f>IFERROR(__xludf.DUMMYFUNCTION("TRANSPOSE(unique(FILTER($K$17:$K$28,$J$17:$J$28=A379)))"),"")</f>
        <v/>
      </c>
      <c r="C379" s="443"/>
      <c r="D379" s="534" t="str">
        <f>IFERROR(__xludf.DUMMYFUNCTION("TRANSPOSE(unique(FILTER($K$17:$K$28,$J$17:$J$28=B379)))"),"")</f>
        <v/>
      </c>
    </row>
    <row r="380">
      <c r="A380" s="627"/>
      <c r="B380" s="627" t="str">
        <f>IFERROR(__xludf.DUMMYFUNCTION("TRANSPOSE(unique(FILTER($K$17:$K$28,$J$17:$J$28=A380)))"),"")</f>
        <v/>
      </c>
      <c r="C380" s="443"/>
      <c r="D380" s="534" t="str">
        <f>IFERROR(__xludf.DUMMYFUNCTION("TRANSPOSE(unique(FILTER($K$17:$K$28,$J$17:$J$28=B380)))"),"")</f>
        <v/>
      </c>
    </row>
    <row r="381">
      <c r="A381" s="627"/>
      <c r="B381" s="627" t="str">
        <f>IFERROR(__xludf.DUMMYFUNCTION("TRANSPOSE(unique(FILTER($K$17:$K$28,$J$17:$J$28=A381)))"),"")</f>
        <v/>
      </c>
      <c r="C381" s="443"/>
      <c r="D381" s="534" t="str">
        <f>IFERROR(__xludf.DUMMYFUNCTION("TRANSPOSE(unique(FILTER($K$17:$K$28,$J$17:$J$28=B381)))"),"")</f>
        <v/>
      </c>
    </row>
    <row r="382">
      <c r="A382" s="627"/>
      <c r="B382" s="627" t="str">
        <f>IFERROR(__xludf.DUMMYFUNCTION("TRANSPOSE(unique(FILTER($K$17:$K$28,$J$17:$J$28=A382)))"),"")</f>
        <v/>
      </c>
      <c r="C382" s="443"/>
      <c r="D382" s="534" t="str">
        <f>IFERROR(__xludf.DUMMYFUNCTION("TRANSPOSE(unique(FILTER($K$17:$K$28,$J$17:$J$28=B382)))"),"")</f>
        <v/>
      </c>
    </row>
    <row r="383">
      <c r="A383" s="627"/>
      <c r="B383" s="627" t="str">
        <f>IFERROR(__xludf.DUMMYFUNCTION("TRANSPOSE(unique(FILTER($K$17:$K$28,$J$17:$J$28=A383)))"),"")</f>
        <v/>
      </c>
      <c r="C383" s="443"/>
      <c r="D383" s="534" t="str">
        <f>IFERROR(__xludf.DUMMYFUNCTION("TRANSPOSE(unique(FILTER($K$17:$K$28,$J$17:$J$28=B383)))"),"")</f>
        <v/>
      </c>
    </row>
    <row r="384">
      <c r="A384" s="627"/>
      <c r="B384" s="627" t="str">
        <f>IFERROR(__xludf.DUMMYFUNCTION("TRANSPOSE(unique(FILTER($K$17:$K$28,$J$17:$J$28=A384)))"),"")</f>
        <v/>
      </c>
      <c r="C384" s="443"/>
      <c r="D384" s="534" t="str">
        <f>IFERROR(__xludf.DUMMYFUNCTION("TRANSPOSE(unique(FILTER($K$17:$K$28,$J$17:$J$28=B384)))"),"")</f>
        <v/>
      </c>
    </row>
    <row r="385">
      <c r="A385" s="627"/>
      <c r="B385" s="627" t="str">
        <f>IFERROR(__xludf.DUMMYFUNCTION("TRANSPOSE(unique(FILTER($K$17:$K$28,$J$17:$J$28=A385)))"),"")</f>
        <v/>
      </c>
      <c r="C385" s="443"/>
      <c r="D385" s="534" t="str">
        <f>IFERROR(__xludf.DUMMYFUNCTION("TRANSPOSE(unique(FILTER($K$17:$K$28,$J$17:$J$28=B385)))"),"")</f>
        <v/>
      </c>
    </row>
    <row r="386">
      <c r="A386" s="627"/>
      <c r="B386" s="627" t="str">
        <f>IFERROR(__xludf.DUMMYFUNCTION("TRANSPOSE(unique(FILTER($K$17:$K$28,$J$17:$J$28=A386)))"),"")</f>
        <v/>
      </c>
      <c r="C386" s="443"/>
      <c r="D386" s="534" t="str">
        <f>IFERROR(__xludf.DUMMYFUNCTION("TRANSPOSE(unique(FILTER($K$17:$K$28,$J$17:$J$28=B386)))"),"")</f>
        <v/>
      </c>
    </row>
    <row r="387">
      <c r="A387" s="627"/>
      <c r="B387" s="627" t="str">
        <f>IFERROR(__xludf.DUMMYFUNCTION("TRANSPOSE(unique(FILTER($K$17:$K$28,$J$17:$J$28=A387)))"),"")</f>
        <v/>
      </c>
      <c r="C387" s="443"/>
      <c r="D387" s="534" t="str">
        <f>IFERROR(__xludf.DUMMYFUNCTION("TRANSPOSE(unique(FILTER($K$17:$K$28,$J$17:$J$28=B387)))"),"")</f>
        <v/>
      </c>
    </row>
    <row r="388">
      <c r="A388" s="627"/>
      <c r="B388" s="627" t="str">
        <f>IFERROR(__xludf.DUMMYFUNCTION("TRANSPOSE(unique(FILTER($K$17:$K$28,$J$17:$J$28=A388)))"),"")</f>
        <v/>
      </c>
      <c r="C388" s="443"/>
      <c r="D388" s="534" t="str">
        <f>IFERROR(__xludf.DUMMYFUNCTION("TRANSPOSE(unique(FILTER($K$17:$K$28,$J$17:$J$28=B388)))"),"")</f>
        <v/>
      </c>
    </row>
    <row r="389">
      <c r="A389" s="627"/>
      <c r="B389" s="627" t="str">
        <f>IFERROR(__xludf.DUMMYFUNCTION("TRANSPOSE(unique(FILTER($K$17:$K$28,$J$17:$J$28=A389)))"),"")</f>
        <v/>
      </c>
      <c r="C389" s="443"/>
      <c r="D389" s="534" t="str">
        <f>IFERROR(__xludf.DUMMYFUNCTION("TRANSPOSE(unique(FILTER($K$17:$K$28,$J$17:$J$28=B389)))"),"")</f>
        <v/>
      </c>
    </row>
    <row r="390">
      <c r="A390" s="627"/>
      <c r="B390" s="627" t="str">
        <f>IFERROR(__xludf.DUMMYFUNCTION("TRANSPOSE(unique(FILTER($K$17:$K$28,$J$17:$J$28=A390)))"),"")</f>
        <v/>
      </c>
      <c r="C390" s="443"/>
      <c r="D390" s="534" t="str">
        <f>IFERROR(__xludf.DUMMYFUNCTION("TRANSPOSE(unique(FILTER($K$17:$K$28,$J$17:$J$28=B390)))"),"")</f>
        <v/>
      </c>
    </row>
    <row r="391">
      <c r="A391" s="627"/>
      <c r="B391" s="627" t="str">
        <f>IFERROR(__xludf.DUMMYFUNCTION("TRANSPOSE(unique(FILTER($K$17:$K$28,$J$17:$J$28=A391)))"),"")</f>
        <v/>
      </c>
      <c r="C391" s="443"/>
      <c r="D391" s="534" t="str">
        <f>IFERROR(__xludf.DUMMYFUNCTION("TRANSPOSE(unique(FILTER($K$17:$K$28,$J$17:$J$28=B391)))"),"")</f>
        <v/>
      </c>
    </row>
    <row r="392">
      <c r="A392" s="627"/>
      <c r="B392" s="627" t="str">
        <f>IFERROR(__xludf.DUMMYFUNCTION("TRANSPOSE(unique(FILTER($K$17:$K$28,$J$17:$J$28=A392)))"),"")</f>
        <v/>
      </c>
      <c r="C392" s="443"/>
      <c r="D392" s="534" t="str">
        <f>IFERROR(__xludf.DUMMYFUNCTION("TRANSPOSE(unique(FILTER($K$17:$K$28,$J$17:$J$28=B392)))"),"")</f>
        <v/>
      </c>
    </row>
    <row r="393">
      <c r="A393" s="627"/>
      <c r="B393" s="627" t="str">
        <f>IFERROR(__xludf.DUMMYFUNCTION("TRANSPOSE(unique(FILTER($K$17:$K$28,$J$17:$J$28=A393)))"),"")</f>
        <v/>
      </c>
      <c r="C393" s="443"/>
      <c r="D393" s="534" t="str">
        <f>IFERROR(__xludf.DUMMYFUNCTION("TRANSPOSE(unique(FILTER($K$17:$K$28,$J$17:$J$28=B393)))"),"")</f>
        <v/>
      </c>
    </row>
    <row r="394">
      <c r="A394" s="627"/>
      <c r="B394" s="627" t="str">
        <f>IFERROR(__xludf.DUMMYFUNCTION("TRANSPOSE(unique(FILTER($K$17:$K$28,$J$17:$J$28=A394)))"),"")</f>
        <v/>
      </c>
      <c r="C394" s="443"/>
      <c r="D394" s="534" t="str">
        <f>IFERROR(__xludf.DUMMYFUNCTION("TRANSPOSE(unique(FILTER($K$17:$K$28,$J$17:$J$28=B394)))"),"")</f>
        <v/>
      </c>
    </row>
    <row r="395">
      <c r="A395" s="627"/>
      <c r="B395" s="627" t="str">
        <f>IFERROR(__xludf.DUMMYFUNCTION("TRANSPOSE(unique(FILTER($K$17:$K$28,$J$17:$J$28=A395)))"),"")</f>
        <v/>
      </c>
      <c r="C395" s="443"/>
      <c r="D395" s="534" t="str">
        <f>IFERROR(__xludf.DUMMYFUNCTION("TRANSPOSE(unique(FILTER($K$17:$K$28,$J$17:$J$28=B395)))"),"")</f>
        <v/>
      </c>
    </row>
    <row r="396">
      <c r="A396" s="627"/>
      <c r="B396" s="627" t="str">
        <f>IFERROR(__xludf.DUMMYFUNCTION("TRANSPOSE(unique(FILTER($K$17:$K$28,$J$17:$J$28=A396)))"),"")</f>
        <v/>
      </c>
      <c r="C396" s="443"/>
      <c r="D396" s="534" t="str">
        <f>IFERROR(__xludf.DUMMYFUNCTION("TRANSPOSE(unique(FILTER($K$17:$K$28,$J$17:$J$28=B396)))"),"")</f>
        <v/>
      </c>
    </row>
    <row r="397">
      <c r="A397" s="627"/>
      <c r="B397" s="627" t="str">
        <f>IFERROR(__xludf.DUMMYFUNCTION("TRANSPOSE(unique(FILTER($K$17:$K$28,$J$17:$J$28=A397)))"),"")</f>
        <v/>
      </c>
      <c r="C397" s="443"/>
      <c r="D397" s="534" t="str">
        <f>IFERROR(__xludf.DUMMYFUNCTION("TRANSPOSE(unique(FILTER($K$17:$K$28,$J$17:$J$28=B397)))"),"")</f>
        <v/>
      </c>
    </row>
    <row r="398">
      <c r="A398" s="627"/>
      <c r="B398" s="627" t="str">
        <f>IFERROR(__xludf.DUMMYFUNCTION("TRANSPOSE(unique(FILTER($K$17:$K$28,$J$17:$J$28=A398)))"),"")</f>
        <v/>
      </c>
      <c r="C398" s="443"/>
      <c r="D398" s="534" t="str">
        <f>IFERROR(__xludf.DUMMYFUNCTION("TRANSPOSE(unique(FILTER($K$17:$K$28,$J$17:$J$28=B398)))"),"")</f>
        <v/>
      </c>
    </row>
    <row r="399">
      <c r="A399" s="627"/>
      <c r="B399" s="627" t="str">
        <f>IFERROR(__xludf.DUMMYFUNCTION("TRANSPOSE(unique(FILTER($K$17:$K$28,$J$17:$J$28=A399)))"),"")</f>
        <v/>
      </c>
      <c r="C399" s="443"/>
      <c r="D399" s="534" t="str">
        <f>IFERROR(__xludf.DUMMYFUNCTION("TRANSPOSE(unique(FILTER($K$17:$K$28,$J$17:$J$28=B399)))"),"")</f>
        <v/>
      </c>
    </row>
    <row r="400">
      <c r="A400" s="627"/>
      <c r="B400" s="627" t="str">
        <f>IFERROR(__xludf.DUMMYFUNCTION("TRANSPOSE(unique(FILTER($K$17:$K$28,$J$17:$J$28=A400)))"),"")</f>
        <v/>
      </c>
      <c r="C400" s="443"/>
      <c r="D400" s="534" t="str">
        <f>IFERROR(__xludf.DUMMYFUNCTION("TRANSPOSE(unique(FILTER($K$17:$K$28,$J$17:$J$28=B400)))"),"")</f>
        <v/>
      </c>
    </row>
    <row r="401">
      <c r="A401" s="627"/>
      <c r="B401" s="627" t="str">
        <f>IFERROR(__xludf.DUMMYFUNCTION("TRANSPOSE(unique(FILTER($K$17:$K$28,$J$17:$J$28=A401)))"),"")</f>
        <v/>
      </c>
      <c r="C401" s="443"/>
      <c r="D401" s="534" t="str">
        <f>IFERROR(__xludf.DUMMYFUNCTION("TRANSPOSE(unique(FILTER($K$17:$K$28,$J$17:$J$28=B401)))"),"")</f>
        <v/>
      </c>
    </row>
    <row r="402">
      <c r="A402" s="627"/>
      <c r="B402" s="627" t="str">
        <f>IFERROR(__xludf.DUMMYFUNCTION("TRANSPOSE(unique(FILTER($K$17:$K$28,$J$17:$J$28=A402)))"),"")</f>
        <v/>
      </c>
      <c r="C402" s="443"/>
      <c r="D402" s="534" t="str">
        <f>IFERROR(__xludf.DUMMYFUNCTION("TRANSPOSE(unique(FILTER($K$17:$K$28,$J$17:$J$28=B402)))"),"")</f>
        <v/>
      </c>
    </row>
    <row r="403">
      <c r="A403" s="627"/>
      <c r="B403" s="627" t="str">
        <f>IFERROR(__xludf.DUMMYFUNCTION("TRANSPOSE(unique(FILTER($K$17:$K$28,$J$17:$J$28=A403)))"),"")</f>
        <v/>
      </c>
      <c r="C403" s="443"/>
      <c r="D403" s="534" t="str">
        <f>IFERROR(__xludf.DUMMYFUNCTION("TRANSPOSE(unique(FILTER($K$17:$K$28,$J$17:$J$28=B403)))"),"")</f>
        <v/>
      </c>
    </row>
    <row r="404">
      <c r="A404" s="627"/>
      <c r="B404" s="627" t="str">
        <f>IFERROR(__xludf.DUMMYFUNCTION("TRANSPOSE(unique(FILTER($K$17:$K$28,$J$17:$J$28=A404)))"),"")</f>
        <v/>
      </c>
      <c r="C404" s="443"/>
      <c r="D404" s="534" t="str">
        <f>IFERROR(__xludf.DUMMYFUNCTION("TRANSPOSE(unique(FILTER($K$17:$K$28,$J$17:$J$28=B404)))"),"")</f>
        <v/>
      </c>
    </row>
    <row r="405">
      <c r="A405" s="627"/>
      <c r="B405" s="627" t="str">
        <f>IFERROR(__xludf.DUMMYFUNCTION("TRANSPOSE(unique(FILTER($K$17:$K$28,$J$17:$J$28=A405)))"),"")</f>
        <v/>
      </c>
      <c r="C405" s="443"/>
      <c r="D405" s="534" t="str">
        <f>IFERROR(__xludf.DUMMYFUNCTION("TRANSPOSE(unique(FILTER($K$17:$K$28,$J$17:$J$28=B405)))"),"")</f>
        <v/>
      </c>
    </row>
    <row r="406">
      <c r="A406" s="627"/>
      <c r="B406" s="627" t="str">
        <f>IFERROR(__xludf.DUMMYFUNCTION("TRANSPOSE(unique(FILTER($K$17:$K$28,$J$17:$J$28=A406)))"),"")</f>
        <v/>
      </c>
      <c r="C406" s="443"/>
      <c r="D406" s="534" t="str">
        <f>IFERROR(__xludf.DUMMYFUNCTION("TRANSPOSE(unique(FILTER($K$17:$K$28,$J$17:$J$28=B406)))"),"")</f>
        <v/>
      </c>
    </row>
    <row r="407">
      <c r="A407" s="627"/>
      <c r="B407" s="627" t="str">
        <f>IFERROR(__xludf.DUMMYFUNCTION("TRANSPOSE(unique(FILTER($K$17:$K$28,$J$17:$J$28=A407)))"),"")</f>
        <v/>
      </c>
      <c r="C407" s="443"/>
      <c r="D407" s="534" t="str">
        <f>IFERROR(__xludf.DUMMYFUNCTION("TRANSPOSE(unique(FILTER($K$17:$K$28,$J$17:$J$28=B407)))"),"")</f>
        <v/>
      </c>
    </row>
    <row r="408">
      <c r="A408" s="627"/>
      <c r="B408" s="627" t="str">
        <f>IFERROR(__xludf.DUMMYFUNCTION("TRANSPOSE(unique(FILTER($K$17:$K$28,$J$17:$J$28=A408)))"),"")</f>
        <v/>
      </c>
      <c r="C408" s="443"/>
      <c r="D408" s="534" t="str">
        <f>IFERROR(__xludf.DUMMYFUNCTION("TRANSPOSE(unique(FILTER($K$17:$K$28,$J$17:$J$28=B408)))"),"")</f>
        <v/>
      </c>
    </row>
    <row r="409">
      <c r="A409" s="627"/>
      <c r="B409" s="627" t="str">
        <f>IFERROR(__xludf.DUMMYFUNCTION("TRANSPOSE(unique(FILTER($K$17:$K$28,$J$17:$J$28=A409)))"),"")</f>
        <v/>
      </c>
      <c r="C409" s="443"/>
      <c r="D409" s="534" t="str">
        <f>IFERROR(__xludf.DUMMYFUNCTION("TRANSPOSE(unique(FILTER($K$17:$K$28,$J$17:$J$28=B409)))"),"")</f>
        <v/>
      </c>
    </row>
    <row r="410">
      <c r="A410" s="627"/>
      <c r="B410" s="627" t="str">
        <f>IFERROR(__xludf.DUMMYFUNCTION("TRANSPOSE(unique(FILTER($K$17:$K$28,$J$17:$J$28=A410)))"),"")</f>
        <v/>
      </c>
      <c r="C410" s="443"/>
      <c r="D410" s="534" t="str">
        <f>IFERROR(__xludf.DUMMYFUNCTION("TRANSPOSE(unique(FILTER($K$17:$K$28,$J$17:$J$28=B410)))"),"")</f>
        <v/>
      </c>
    </row>
    <row r="411">
      <c r="A411" s="627"/>
      <c r="B411" s="627" t="str">
        <f>IFERROR(__xludf.DUMMYFUNCTION("TRANSPOSE(unique(FILTER($K$17:$K$28,$J$17:$J$28=A411)))"),"")</f>
        <v/>
      </c>
      <c r="C411" s="443"/>
      <c r="D411" s="534" t="str">
        <f>IFERROR(__xludf.DUMMYFUNCTION("TRANSPOSE(unique(FILTER($K$17:$K$28,$J$17:$J$28=B411)))"),"")</f>
        <v/>
      </c>
    </row>
    <row r="412">
      <c r="A412" s="627"/>
      <c r="B412" s="627" t="str">
        <f>IFERROR(__xludf.DUMMYFUNCTION("TRANSPOSE(unique(FILTER($K$17:$K$28,$J$17:$J$28=A412)))"),"")</f>
        <v/>
      </c>
      <c r="C412" s="443"/>
      <c r="D412" s="534" t="str">
        <f>IFERROR(__xludf.DUMMYFUNCTION("TRANSPOSE(unique(FILTER($K$17:$K$28,$J$17:$J$28=B412)))"),"")</f>
        <v/>
      </c>
    </row>
    <row r="413">
      <c r="A413" s="627"/>
      <c r="B413" s="627" t="str">
        <f>IFERROR(__xludf.DUMMYFUNCTION("TRANSPOSE(unique(FILTER($K$17:$K$28,$J$17:$J$28=A413)))"),"")</f>
        <v/>
      </c>
      <c r="C413" s="443"/>
      <c r="D413" s="534" t="str">
        <f>IFERROR(__xludf.DUMMYFUNCTION("TRANSPOSE(unique(FILTER($K$17:$K$28,$J$17:$J$28=B413)))"),"")</f>
        <v/>
      </c>
    </row>
    <row r="414">
      <c r="A414" s="627"/>
      <c r="B414" s="627" t="str">
        <f>IFERROR(__xludf.DUMMYFUNCTION("TRANSPOSE(unique(FILTER($K$17:$K$28,$J$17:$J$28=A414)))"),"")</f>
        <v/>
      </c>
      <c r="C414" s="443"/>
      <c r="D414" s="534" t="str">
        <f>IFERROR(__xludf.DUMMYFUNCTION("TRANSPOSE(unique(FILTER($K$17:$K$28,$J$17:$J$28=B414)))"),"")</f>
        <v/>
      </c>
    </row>
    <row r="415">
      <c r="A415" s="627"/>
      <c r="B415" s="627" t="str">
        <f>IFERROR(__xludf.DUMMYFUNCTION("TRANSPOSE(unique(FILTER($K$17:$K$28,$J$17:$J$28=A415)))"),"")</f>
        <v/>
      </c>
      <c r="C415" s="443"/>
      <c r="D415" s="534" t="str">
        <f>IFERROR(__xludf.DUMMYFUNCTION("TRANSPOSE(unique(FILTER($K$17:$K$28,$J$17:$J$28=B415)))"),"")</f>
        <v/>
      </c>
    </row>
    <row r="416">
      <c r="A416" s="627"/>
      <c r="B416" s="627" t="str">
        <f>IFERROR(__xludf.DUMMYFUNCTION("TRANSPOSE(unique(FILTER($K$17:$K$28,$J$17:$J$28=A416)))"),"")</f>
        <v/>
      </c>
      <c r="C416" s="443"/>
      <c r="D416" s="534" t="str">
        <f>IFERROR(__xludf.DUMMYFUNCTION("TRANSPOSE(unique(FILTER($K$17:$K$28,$J$17:$J$28=B416)))"),"")</f>
        <v/>
      </c>
    </row>
    <row r="417">
      <c r="A417" s="627"/>
      <c r="B417" s="627" t="str">
        <f>IFERROR(__xludf.DUMMYFUNCTION("TRANSPOSE(unique(FILTER($K$17:$K$28,$J$17:$J$28=A417)))"),"")</f>
        <v/>
      </c>
      <c r="C417" s="443"/>
      <c r="D417" s="534" t="str">
        <f>IFERROR(__xludf.DUMMYFUNCTION("TRANSPOSE(unique(FILTER($K$17:$K$28,$J$17:$J$28=B417)))"),"")</f>
        <v/>
      </c>
    </row>
    <row r="418">
      <c r="A418" s="627"/>
      <c r="B418" s="627" t="str">
        <f>IFERROR(__xludf.DUMMYFUNCTION("TRANSPOSE(unique(FILTER($K$17:$K$28,$J$17:$J$28=A418)))"),"")</f>
        <v/>
      </c>
      <c r="C418" s="443"/>
      <c r="D418" s="534" t="str">
        <f>IFERROR(__xludf.DUMMYFUNCTION("TRANSPOSE(unique(FILTER($K$17:$K$28,$J$17:$J$28=B418)))"),"")</f>
        <v/>
      </c>
    </row>
    <row r="419">
      <c r="A419" s="627"/>
      <c r="B419" s="627" t="str">
        <f>IFERROR(__xludf.DUMMYFUNCTION("TRANSPOSE(unique(FILTER($K$17:$K$28,$J$17:$J$28=A419)))"),"")</f>
        <v/>
      </c>
      <c r="C419" s="443"/>
      <c r="D419" s="534" t="str">
        <f>IFERROR(__xludf.DUMMYFUNCTION("TRANSPOSE(unique(FILTER($K$17:$K$28,$J$17:$J$28=B419)))"),"")</f>
        <v/>
      </c>
    </row>
    <row r="420">
      <c r="A420" s="627"/>
      <c r="B420" s="627" t="str">
        <f>IFERROR(__xludf.DUMMYFUNCTION("TRANSPOSE(unique(FILTER($K$17:$K$28,$J$17:$J$28=A420)))"),"")</f>
        <v/>
      </c>
      <c r="C420" s="443"/>
      <c r="D420" s="534" t="str">
        <f>IFERROR(__xludf.DUMMYFUNCTION("TRANSPOSE(unique(FILTER($K$17:$K$28,$J$17:$J$28=B420)))"),"")</f>
        <v/>
      </c>
    </row>
    <row r="421">
      <c r="A421" s="627"/>
      <c r="B421" s="627" t="str">
        <f>IFERROR(__xludf.DUMMYFUNCTION("TRANSPOSE(unique(FILTER($K$17:$K$28,$J$17:$J$28=A421)))"),"")</f>
        <v/>
      </c>
      <c r="C421" s="443"/>
      <c r="D421" s="534" t="str">
        <f>IFERROR(__xludf.DUMMYFUNCTION("TRANSPOSE(unique(FILTER($K$17:$K$28,$J$17:$J$28=B421)))"),"")</f>
        <v/>
      </c>
    </row>
    <row r="422">
      <c r="A422" s="627"/>
      <c r="B422" s="627" t="str">
        <f>IFERROR(__xludf.DUMMYFUNCTION("TRANSPOSE(unique(FILTER($K$17:$K$28,$J$17:$J$28=A422)))"),"")</f>
        <v/>
      </c>
      <c r="C422" s="443"/>
      <c r="D422" s="534" t="str">
        <f>IFERROR(__xludf.DUMMYFUNCTION("TRANSPOSE(unique(FILTER($K$17:$K$28,$J$17:$J$28=B422)))"),"")</f>
        <v/>
      </c>
    </row>
    <row r="423">
      <c r="A423" s="627"/>
      <c r="B423" s="627" t="str">
        <f>IFERROR(__xludf.DUMMYFUNCTION("TRANSPOSE(unique(FILTER($K$17:$K$28,$J$17:$J$28=A423)))"),"")</f>
        <v/>
      </c>
      <c r="C423" s="443"/>
      <c r="D423" s="534" t="str">
        <f>IFERROR(__xludf.DUMMYFUNCTION("TRANSPOSE(unique(FILTER($K$17:$K$28,$J$17:$J$28=B423)))"),"")</f>
        <v/>
      </c>
    </row>
    <row r="424">
      <c r="A424" s="627"/>
      <c r="B424" s="627" t="str">
        <f>IFERROR(__xludf.DUMMYFUNCTION("TRANSPOSE(unique(FILTER($K$17:$K$28,$J$17:$J$28=A424)))"),"")</f>
        <v/>
      </c>
      <c r="C424" s="443"/>
      <c r="D424" s="534" t="str">
        <f>IFERROR(__xludf.DUMMYFUNCTION("TRANSPOSE(unique(FILTER($K$17:$K$28,$J$17:$J$28=B424)))"),"")</f>
        <v/>
      </c>
    </row>
    <row r="425">
      <c r="A425" s="627"/>
      <c r="B425" s="627" t="str">
        <f>IFERROR(__xludf.DUMMYFUNCTION("TRANSPOSE(unique(FILTER($K$17:$K$28,$J$17:$J$28=A425)))"),"")</f>
        <v/>
      </c>
      <c r="C425" s="443"/>
      <c r="D425" s="534" t="str">
        <f>IFERROR(__xludf.DUMMYFUNCTION("TRANSPOSE(unique(FILTER($K$17:$K$28,$J$17:$J$28=B425)))"),"")</f>
        <v/>
      </c>
    </row>
    <row r="426">
      <c r="A426" s="627"/>
      <c r="B426" s="627" t="str">
        <f>IFERROR(__xludf.DUMMYFUNCTION("TRANSPOSE(unique(FILTER($K$17:$K$28,$J$17:$J$28=A426)))"),"")</f>
        <v/>
      </c>
      <c r="C426" s="443"/>
      <c r="D426" s="534" t="str">
        <f>IFERROR(__xludf.DUMMYFUNCTION("TRANSPOSE(unique(FILTER($K$17:$K$28,$J$17:$J$28=B426)))"),"")</f>
        <v/>
      </c>
    </row>
    <row r="427">
      <c r="A427" s="627"/>
      <c r="B427" s="627" t="str">
        <f>IFERROR(__xludf.DUMMYFUNCTION("TRANSPOSE(unique(FILTER($K$17:$K$28,$J$17:$J$28=A427)))"),"")</f>
        <v/>
      </c>
      <c r="C427" s="443"/>
      <c r="D427" s="534" t="str">
        <f>IFERROR(__xludf.DUMMYFUNCTION("TRANSPOSE(unique(FILTER($K$17:$K$28,$J$17:$J$28=B427)))"),"")</f>
        <v/>
      </c>
    </row>
    <row r="428">
      <c r="A428" s="627"/>
      <c r="B428" s="627" t="str">
        <f>IFERROR(__xludf.DUMMYFUNCTION("TRANSPOSE(unique(FILTER($K$17:$K$28,$J$17:$J$28=A428)))"),"")</f>
        <v/>
      </c>
      <c r="C428" s="443"/>
      <c r="D428" s="534" t="str">
        <f>IFERROR(__xludf.DUMMYFUNCTION("TRANSPOSE(unique(FILTER($K$17:$K$28,$J$17:$J$28=B428)))"),"")</f>
        <v/>
      </c>
    </row>
    <row r="429">
      <c r="A429" s="627"/>
      <c r="B429" s="627" t="str">
        <f>IFERROR(__xludf.DUMMYFUNCTION("TRANSPOSE(unique(FILTER($K$17:$K$28,$J$17:$J$28=A429)))"),"")</f>
        <v/>
      </c>
      <c r="C429" s="443"/>
      <c r="D429" s="534" t="str">
        <f>IFERROR(__xludf.DUMMYFUNCTION("TRANSPOSE(unique(FILTER($K$17:$K$28,$J$17:$J$28=B429)))"),"")</f>
        <v/>
      </c>
    </row>
    <row r="430">
      <c r="A430" s="627"/>
      <c r="B430" s="627" t="str">
        <f>IFERROR(__xludf.DUMMYFUNCTION("TRANSPOSE(unique(FILTER($K$17:$K$28,$J$17:$J$28=A430)))"),"")</f>
        <v/>
      </c>
      <c r="C430" s="443"/>
      <c r="D430" s="534" t="str">
        <f>IFERROR(__xludf.DUMMYFUNCTION("TRANSPOSE(unique(FILTER($K$17:$K$28,$J$17:$J$28=B430)))"),"")</f>
        <v/>
      </c>
    </row>
    <row r="431">
      <c r="A431" s="627"/>
      <c r="B431" s="627" t="str">
        <f>IFERROR(__xludf.DUMMYFUNCTION("TRANSPOSE(unique(FILTER($K$17:$K$28,$J$17:$J$28=A431)))"),"")</f>
        <v/>
      </c>
      <c r="C431" s="443"/>
      <c r="D431" s="534" t="str">
        <f>IFERROR(__xludf.DUMMYFUNCTION("TRANSPOSE(unique(FILTER($K$17:$K$28,$J$17:$J$28=B431)))"),"")</f>
        <v/>
      </c>
    </row>
    <row r="432">
      <c r="A432" s="627"/>
      <c r="B432" s="627" t="str">
        <f>IFERROR(__xludf.DUMMYFUNCTION("TRANSPOSE(unique(FILTER($K$17:$K$28,$J$17:$J$28=A432)))"),"")</f>
        <v/>
      </c>
      <c r="C432" s="443"/>
      <c r="D432" s="534" t="str">
        <f>IFERROR(__xludf.DUMMYFUNCTION("TRANSPOSE(unique(FILTER($K$17:$K$28,$J$17:$J$28=B432)))"),"")</f>
        <v/>
      </c>
    </row>
    <row r="433">
      <c r="A433" s="627"/>
      <c r="B433" s="627" t="str">
        <f>IFERROR(__xludf.DUMMYFUNCTION("TRANSPOSE(unique(FILTER($K$17:$K$28,$J$17:$J$28=A433)))"),"")</f>
        <v/>
      </c>
      <c r="C433" s="443"/>
      <c r="D433" s="534" t="str">
        <f>IFERROR(__xludf.DUMMYFUNCTION("TRANSPOSE(unique(FILTER($K$17:$K$28,$J$17:$J$28=B433)))"),"")</f>
        <v/>
      </c>
    </row>
    <row r="434">
      <c r="A434" s="627"/>
      <c r="B434" s="627" t="str">
        <f>IFERROR(__xludf.DUMMYFUNCTION("TRANSPOSE(unique(FILTER($K$17:$K$28,$J$17:$J$28=A434)))"),"")</f>
        <v/>
      </c>
      <c r="C434" s="443"/>
      <c r="D434" s="534" t="str">
        <f>IFERROR(__xludf.DUMMYFUNCTION("TRANSPOSE(unique(FILTER($K$17:$K$28,$J$17:$J$28=B434)))"),"")</f>
        <v/>
      </c>
    </row>
    <row r="435">
      <c r="A435" s="627"/>
      <c r="B435" s="627" t="str">
        <f>IFERROR(__xludf.DUMMYFUNCTION("TRANSPOSE(unique(FILTER($K$17:$K$28,$J$17:$J$28=A435)))"),"")</f>
        <v/>
      </c>
      <c r="C435" s="443"/>
      <c r="D435" s="534" t="str">
        <f>IFERROR(__xludf.DUMMYFUNCTION("TRANSPOSE(unique(FILTER($K$17:$K$28,$J$17:$J$28=B435)))"),"")</f>
        <v/>
      </c>
    </row>
    <row r="436">
      <c r="A436" s="627"/>
      <c r="B436" s="627" t="str">
        <f>IFERROR(__xludf.DUMMYFUNCTION("TRANSPOSE(unique(FILTER($K$17:$K$28,$J$17:$J$28=A436)))"),"")</f>
        <v/>
      </c>
      <c r="C436" s="443"/>
      <c r="D436" s="534" t="str">
        <f>IFERROR(__xludf.DUMMYFUNCTION("TRANSPOSE(unique(FILTER($K$17:$K$28,$J$17:$J$28=B436)))"),"")</f>
        <v/>
      </c>
    </row>
    <row r="437">
      <c r="A437" s="627"/>
      <c r="B437" s="627" t="str">
        <f>IFERROR(__xludf.DUMMYFUNCTION("TRANSPOSE(unique(FILTER($K$17:$K$28,$J$17:$J$28=A437)))"),"")</f>
        <v/>
      </c>
      <c r="C437" s="443"/>
      <c r="D437" s="534" t="str">
        <f>IFERROR(__xludf.DUMMYFUNCTION("TRANSPOSE(unique(FILTER($K$17:$K$28,$J$17:$J$28=B437)))"),"")</f>
        <v/>
      </c>
    </row>
    <row r="438">
      <c r="A438" s="627"/>
      <c r="B438" s="627" t="str">
        <f>IFERROR(__xludf.DUMMYFUNCTION("TRANSPOSE(unique(FILTER($K$17:$K$28,$J$17:$J$28=A438)))"),"")</f>
        <v/>
      </c>
      <c r="C438" s="443"/>
      <c r="D438" s="534" t="str">
        <f>IFERROR(__xludf.DUMMYFUNCTION("TRANSPOSE(unique(FILTER($K$17:$K$28,$J$17:$J$28=B438)))"),"")</f>
        <v/>
      </c>
    </row>
    <row r="439">
      <c r="A439" s="627"/>
      <c r="B439" s="627" t="str">
        <f>IFERROR(__xludf.DUMMYFUNCTION("TRANSPOSE(unique(FILTER($K$17:$K$28,$J$17:$J$28=A439)))"),"")</f>
        <v/>
      </c>
      <c r="C439" s="443"/>
      <c r="D439" s="534" t="str">
        <f>IFERROR(__xludf.DUMMYFUNCTION("TRANSPOSE(unique(FILTER($K$17:$K$28,$J$17:$J$28=B439)))"),"")</f>
        <v/>
      </c>
    </row>
    <row r="440">
      <c r="A440" s="627"/>
      <c r="B440" s="627" t="str">
        <f>IFERROR(__xludf.DUMMYFUNCTION("TRANSPOSE(unique(FILTER($K$17:$K$28,$J$17:$J$28=A440)))"),"")</f>
        <v/>
      </c>
      <c r="C440" s="443"/>
      <c r="D440" s="534" t="str">
        <f>IFERROR(__xludf.DUMMYFUNCTION("TRANSPOSE(unique(FILTER($K$17:$K$28,$J$17:$J$28=B440)))"),"")</f>
        <v/>
      </c>
    </row>
    <row r="441">
      <c r="A441" s="627"/>
      <c r="B441" s="627" t="str">
        <f>IFERROR(__xludf.DUMMYFUNCTION("TRANSPOSE(unique(FILTER($K$17:$K$28,$J$17:$J$28=A441)))"),"")</f>
        <v/>
      </c>
      <c r="C441" s="443"/>
      <c r="D441" s="534" t="str">
        <f>IFERROR(__xludf.DUMMYFUNCTION("TRANSPOSE(unique(FILTER($K$17:$K$28,$J$17:$J$28=B441)))"),"")</f>
        <v/>
      </c>
    </row>
    <row r="442">
      <c r="A442" s="627"/>
      <c r="B442" s="627" t="str">
        <f>IFERROR(__xludf.DUMMYFUNCTION("TRANSPOSE(unique(FILTER($K$17:$K$28,$J$17:$J$28=A442)))"),"")</f>
        <v/>
      </c>
      <c r="C442" s="443"/>
      <c r="D442" s="534" t="str">
        <f>IFERROR(__xludf.DUMMYFUNCTION("TRANSPOSE(unique(FILTER($K$17:$K$28,$J$17:$J$28=B442)))"),"")</f>
        <v/>
      </c>
    </row>
    <row r="443">
      <c r="A443" s="627"/>
      <c r="B443" s="627" t="str">
        <f>IFERROR(__xludf.DUMMYFUNCTION("TRANSPOSE(unique(FILTER($K$17:$K$28,$J$17:$J$28=A443)))"),"")</f>
        <v/>
      </c>
      <c r="C443" s="443"/>
      <c r="D443" s="534" t="str">
        <f>IFERROR(__xludf.DUMMYFUNCTION("TRANSPOSE(unique(FILTER($K$17:$K$28,$J$17:$J$28=B443)))"),"")</f>
        <v/>
      </c>
    </row>
    <row r="444">
      <c r="A444" s="627"/>
      <c r="B444" s="627" t="str">
        <f>IFERROR(__xludf.DUMMYFUNCTION("TRANSPOSE(unique(FILTER($K$17:$K$28,$J$17:$J$28=A444)))"),"")</f>
        <v/>
      </c>
      <c r="C444" s="443"/>
      <c r="D444" s="534" t="str">
        <f>IFERROR(__xludf.DUMMYFUNCTION("TRANSPOSE(unique(FILTER($K$17:$K$28,$J$17:$J$28=B444)))"),"")</f>
        <v/>
      </c>
    </row>
    <row r="445">
      <c r="A445" s="627"/>
      <c r="B445" s="627" t="str">
        <f>IFERROR(__xludf.DUMMYFUNCTION("TRANSPOSE(unique(FILTER($K$17:$K$28,$J$17:$J$28=A445)))"),"")</f>
        <v/>
      </c>
      <c r="C445" s="443"/>
      <c r="D445" s="534" t="str">
        <f>IFERROR(__xludf.DUMMYFUNCTION("TRANSPOSE(unique(FILTER($K$17:$K$28,$J$17:$J$28=B445)))"),"")</f>
        <v/>
      </c>
    </row>
    <row r="446">
      <c r="A446" s="627"/>
      <c r="B446" s="627" t="str">
        <f>IFERROR(__xludf.DUMMYFUNCTION("TRANSPOSE(unique(FILTER($K$17:$K$28,$J$17:$J$28=A446)))"),"")</f>
        <v/>
      </c>
      <c r="C446" s="443"/>
      <c r="D446" s="534" t="str">
        <f>IFERROR(__xludf.DUMMYFUNCTION("TRANSPOSE(unique(FILTER($K$17:$K$28,$J$17:$J$28=B446)))"),"")</f>
        <v/>
      </c>
    </row>
    <row r="447">
      <c r="A447" s="627"/>
      <c r="B447" s="627" t="str">
        <f>IFERROR(__xludf.DUMMYFUNCTION("TRANSPOSE(unique(FILTER($K$17:$K$28,$J$17:$J$28=A447)))"),"")</f>
        <v/>
      </c>
      <c r="C447" s="443"/>
      <c r="D447" s="534" t="str">
        <f>IFERROR(__xludf.DUMMYFUNCTION("TRANSPOSE(unique(FILTER($K$17:$K$28,$J$17:$J$28=B447)))"),"")</f>
        <v/>
      </c>
    </row>
    <row r="448">
      <c r="A448" s="627"/>
      <c r="B448" s="627" t="str">
        <f>IFERROR(__xludf.DUMMYFUNCTION("TRANSPOSE(unique(FILTER($K$17:$K$28,$J$17:$J$28=A448)))"),"")</f>
        <v/>
      </c>
      <c r="C448" s="443"/>
      <c r="D448" s="534" t="str">
        <f>IFERROR(__xludf.DUMMYFUNCTION("TRANSPOSE(unique(FILTER($K$17:$K$28,$J$17:$J$28=B448)))"),"")</f>
        <v/>
      </c>
    </row>
    <row r="449">
      <c r="A449" s="627"/>
      <c r="B449" s="627" t="str">
        <f>IFERROR(__xludf.DUMMYFUNCTION("TRANSPOSE(unique(FILTER($K$17:$K$28,$J$17:$J$28=A449)))"),"")</f>
        <v/>
      </c>
      <c r="C449" s="443"/>
      <c r="D449" s="534" t="str">
        <f>IFERROR(__xludf.DUMMYFUNCTION("TRANSPOSE(unique(FILTER($K$17:$K$28,$J$17:$J$28=B449)))"),"")</f>
        <v/>
      </c>
    </row>
    <row r="450">
      <c r="A450" s="627"/>
      <c r="B450" s="627" t="str">
        <f>IFERROR(__xludf.DUMMYFUNCTION("TRANSPOSE(unique(FILTER($K$17:$K$28,$J$17:$J$28=A450)))"),"")</f>
        <v/>
      </c>
      <c r="C450" s="443"/>
      <c r="D450" s="534" t="str">
        <f>IFERROR(__xludf.DUMMYFUNCTION("TRANSPOSE(unique(FILTER($K$17:$K$28,$J$17:$J$28=B450)))"),"")</f>
        <v/>
      </c>
    </row>
    <row r="451">
      <c r="A451" s="627"/>
      <c r="B451" s="627" t="str">
        <f>IFERROR(__xludf.DUMMYFUNCTION("TRANSPOSE(unique(FILTER($K$17:$K$28,$J$17:$J$28=A451)))"),"")</f>
        <v/>
      </c>
      <c r="C451" s="443"/>
      <c r="D451" s="534" t="str">
        <f>IFERROR(__xludf.DUMMYFUNCTION("TRANSPOSE(unique(FILTER($K$17:$K$28,$J$17:$J$28=B451)))"),"")</f>
        <v/>
      </c>
    </row>
    <row r="452">
      <c r="A452" s="627"/>
      <c r="B452" s="627" t="str">
        <f>IFERROR(__xludf.DUMMYFUNCTION("TRANSPOSE(unique(FILTER($K$17:$K$28,$J$17:$J$28=A452)))"),"")</f>
        <v/>
      </c>
      <c r="C452" s="443"/>
      <c r="D452" s="534" t="str">
        <f>IFERROR(__xludf.DUMMYFUNCTION("TRANSPOSE(unique(FILTER($K$17:$K$28,$J$17:$J$28=B452)))"),"")</f>
        <v/>
      </c>
    </row>
    <row r="453">
      <c r="A453" s="627"/>
      <c r="B453" s="627" t="str">
        <f>IFERROR(__xludf.DUMMYFUNCTION("TRANSPOSE(unique(FILTER($K$17:$K$28,$J$17:$J$28=A453)))"),"")</f>
        <v/>
      </c>
      <c r="C453" s="443"/>
      <c r="D453" s="534" t="str">
        <f>IFERROR(__xludf.DUMMYFUNCTION("TRANSPOSE(unique(FILTER($K$17:$K$28,$J$17:$J$28=B453)))"),"")</f>
        <v/>
      </c>
    </row>
    <row r="454">
      <c r="A454" s="627"/>
      <c r="B454" s="627" t="str">
        <f>IFERROR(__xludf.DUMMYFUNCTION("TRANSPOSE(unique(FILTER($K$17:$K$28,$J$17:$J$28=A454)))"),"")</f>
        <v/>
      </c>
      <c r="C454" s="443"/>
      <c r="D454" s="534" t="str">
        <f>IFERROR(__xludf.DUMMYFUNCTION("TRANSPOSE(unique(FILTER($K$17:$K$28,$J$17:$J$28=B454)))"),"")</f>
        <v/>
      </c>
    </row>
    <row r="455">
      <c r="A455" s="627"/>
      <c r="B455" s="627" t="str">
        <f>IFERROR(__xludf.DUMMYFUNCTION("TRANSPOSE(unique(FILTER($K$17:$K$28,$J$17:$J$28=A455)))"),"")</f>
        <v/>
      </c>
      <c r="C455" s="443"/>
      <c r="D455" s="534" t="str">
        <f>IFERROR(__xludf.DUMMYFUNCTION("TRANSPOSE(unique(FILTER($K$17:$K$28,$J$17:$J$28=B455)))"),"")</f>
        <v/>
      </c>
    </row>
    <row r="456">
      <c r="A456" s="627"/>
      <c r="B456" s="627" t="str">
        <f>IFERROR(__xludf.DUMMYFUNCTION("TRANSPOSE(unique(FILTER($K$17:$K$28,$J$17:$J$28=A456)))"),"")</f>
        <v/>
      </c>
      <c r="C456" s="443"/>
      <c r="D456" s="534" t="str">
        <f>IFERROR(__xludf.DUMMYFUNCTION("TRANSPOSE(unique(FILTER($K$17:$K$28,$J$17:$J$28=B456)))"),"")</f>
        <v/>
      </c>
    </row>
    <row r="457">
      <c r="A457" s="627"/>
      <c r="B457" s="627" t="str">
        <f>IFERROR(__xludf.DUMMYFUNCTION("TRANSPOSE(unique(FILTER($K$17:$K$28,$J$17:$J$28=A457)))"),"")</f>
        <v/>
      </c>
      <c r="C457" s="443"/>
      <c r="D457" s="534" t="str">
        <f>IFERROR(__xludf.DUMMYFUNCTION("TRANSPOSE(unique(FILTER($K$17:$K$28,$J$17:$J$28=B457)))"),"")</f>
        <v/>
      </c>
    </row>
    <row r="458">
      <c r="A458" s="627"/>
      <c r="B458" s="627" t="str">
        <f>IFERROR(__xludf.DUMMYFUNCTION("TRANSPOSE(unique(FILTER($K$17:$K$28,$J$17:$J$28=A458)))"),"")</f>
        <v/>
      </c>
      <c r="C458" s="443"/>
      <c r="D458" s="534" t="str">
        <f>IFERROR(__xludf.DUMMYFUNCTION("TRANSPOSE(unique(FILTER($K$17:$K$28,$J$17:$J$28=B458)))"),"")</f>
        <v/>
      </c>
    </row>
    <row r="459">
      <c r="A459" s="627"/>
      <c r="B459" s="627" t="str">
        <f>IFERROR(__xludf.DUMMYFUNCTION("TRANSPOSE(unique(FILTER($K$17:$K$28,$J$17:$J$28=A459)))"),"")</f>
        <v/>
      </c>
      <c r="C459" s="443"/>
      <c r="D459" s="534" t="str">
        <f>IFERROR(__xludf.DUMMYFUNCTION("TRANSPOSE(unique(FILTER($K$17:$K$28,$J$17:$J$28=B459)))"),"")</f>
        <v/>
      </c>
    </row>
    <row r="460">
      <c r="A460" s="627"/>
      <c r="B460" s="627" t="str">
        <f>IFERROR(__xludf.DUMMYFUNCTION("TRANSPOSE(unique(FILTER($K$17:$K$28,$J$17:$J$28=A460)))"),"")</f>
        <v/>
      </c>
      <c r="C460" s="443"/>
      <c r="D460" s="534" t="str">
        <f>IFERROR(__xludf.DUMMYFUNCTION("TRANSPOSE(unique(FILTER($K$17:$K$28,$J$17:$J$28=B460)))"),"")</f>
        <v/>
      </c>
    </row>
    <row r="461">
      <c r="A461" s="627"/>
      <c r="B461" s="627" t="str">
        <f>IFERROR(__xludf.DUMMYFUNCTION("TRANSPOSE(unique(FILTER($K$17:$K$28,$J$17:$J$28=A461)))"),"")</f>
        <v/>
      </c>
      <c r="C461" s="443"/>
      <c r="D461" s="534" t="str">
        <f>IFERROR(__xludf.DUMMYFUNCTION("TRANSPOSE(unique(FILTER($K$17:$K$28,$J$17:$J$28=B461)))"),"")</f>
        <v/>
      </c>
    </row>
    <row r="462">
      <c r="A462" s="627"/>
      <c r="B462" s="627" t="str">
        <f>IFERROR(__xludf.DUMMYFUNCTION("TRANSPOSE(unique(FILTER($K$17:$K$28,$J$17:$J$28=A462)))"),"")</f>
        <v/>
      </c>
      <c r="C462" s="443"/>
      <c r="D462" s="534" t="str">
        <f>IFERROR(__xludf.DUMMYFUNCTION("TRANSPOSE(unique(FILTER($K$17:$K$28,$J$17:$J$28=B462)))"),"")</f>
        <v/>
      </c>
    </row>
    <row r="463">
      <c r="A463" s="627"/>
      <c r="B463" s="627" t="str">
        <f>IFERROR(__xludf.DUMMYFUNCTION("TRANSPOSE(unique(FILTER($K$17:$K$28,$J$17:$J$28=A463)))"),"")</f>
        <v/>
      </c>
      <c r="C463" s="443"/>
      <c r="D463" s="534" t="str">
        <f>IFERROR(__xludf.DUMMYFUNCTION("TRANSPOSE(unique(FILTER($K$17:$K$28,$J$17:$J$28=B463)))"),"")</f>
        <v/>
      </c>
    </row>
    <row r="464">
      <c r="A464" s="627"/>
      <c r="B464" s="627" t="str">
        <f>IFERROR(__xludf.DUMMYFUNCTION("TRANSPOSE(unique(FILTER($K$17:$K$28,$J$17:$J$28=A464)))"),"")</f>
        <v/>
      </c>
      <c r="C464" s="443"/>
      <c r="D464" s="534" t="str">
        <f>IFERROR(__xludf.DUMMYFUNCTION("TRANSPOSE(unique(FILTER($K$17:$K$28,$J$17:$J$28=B464)))"),"")</f>
        <v/>
      </c>
    </row>
    <row r="465">
      <c r="A465" s="627"/>
      <c r="B465" s="627" t="str">
        <f>IFERROR(__xludf.DUMMYFUNCTION("TRANSPOSE(unique(FILTER($K$17:$K$28,$J$17:$J$28=A465)))"),"")</f>
        <v/>
      </c>
      <c r="C465" s="443"/>
      <c r="D465" s="534" t="str">
        <f>IFERROR(__xludf.DUMMYFUNCTION("TRANSPOSE(unique(FILTER($K$17:$K$28,$J$17:$J$28=B465)))"),"")</f>
        <v/>
      </c>
    </row>
    <row r="466">
      <c r="A466" s="627"/>
      <c r="B466" s="627" t="str">
        <f>IFERROR(__xludf.DUMMYFUNCTION("TRANSPOSE(unique(FILTER($K$17:$K$28,$J$17:$J$28=A466)))"),"")</f>
        <v/>
      </c>
      <c r="C466" s="443"/>
      <c r="D466" s="534" t="str">
        <f>IFERROR(__xludf.DUMMYFUNCTION("TRANSPOSE(unique(FILTER($K$17:$K$28,$J$17:$J$28=B466)))"),"")</f>
        <v/>
      </c>
    </row>
    <row r="467">
      <c r="A467" s="627"/>
      <c r="B467" s="627" t="str">
        <f>IFERROR(__xludf.DUMMYFUNCTION("TRANSPOSE(unique(FILTER($K$17:$K$28,$J$17:$J$28=A467)))"),"")</f>
        <v/>
      </c>
      <c r="C467" s="443"/>
      <c r="D467" s="534" t="str">
        <f>IFERROR(__xludf.DUMMYFUNCTION("TRANSPOSE(unique(FILTER($K$17:$K$28,$J$17:$J$28=B467)))"),"")</f>
        <v/>
      </c>
    </row>
    <row r="468">
      <c r="A468" s="627"/>
      <c r="B468" s="627" t="str">
        <f>IFERROR(__xludf.DUMMYFUNCTION("TRANSPOSE(unique(FILTER($K$17:$K$28,$J$17:$J$28=A468)))"),"")</f>
        <v/>
      </c>
      <c r="C468" s="443"/>
      <c r="D468" s="534" t="str">
        <f>IFERROR(__xludf.DUMMYFUNCTION("TRANSPOSE(unique(FILTER($K$17:$K$28,$J$17:$J$28=B468)))"),"")</f>
        <v/>
      </c>
    </row>
    <row r="469">
      <c r="A469" s="627"/>
      <c r="B469" s="627" t="str">
        <f>IFERROR(__xludf.DUMMYFUNCTION("TRANSPOSE(unique(FILTER($K$17:$K$28,$J$17:$J$28=A469)))"),"")</f>
        <v/>
      </c>
      <c r="C469" s="443"/>
      <c r="D469" s="534" t="str">
        <f>IFERROR(__xludf.DUMMYFUNCTION("TRANSPOSE(unique(FILTER($K$17:$K$28,$J$17:$J$28=B469)))"),"")</f>
        <v/>
      </c>
    </row>
    <row r="470">
      <c r="A470" s="627"/>
      <c r="B470" s="627" t="str">
        <f>IFERROR(__xludf.DUMMYFUNCTION("TRANSPOSE(unique(FILTER($K$17:$K$28,$J$17:$J$28=A470)))"),"")</f>
        <v/>
      </c>
      <c r="C470" s="443"/>
      <c r="D470" s="534" t="str">
        <f>IFERROR(__xludf.DUMMYFUNCTION("TRANSPOSE(unique(FILTER($K$17:$K$28,$J$17:$J$28=B470)))"),"")</f>
        <v/>
      </c>
    </row>
    <row r="471">
      <c r="A471" s="627"/>
      <c r="B471" s="627" t="str">
        <f>IFERROR(__xludf.DUMMYFUNCTION("TRANSPOSE(unique(FILTER($K$17:$K$28,$J$17:$J$28=A471)))"),"")</f>
        <v/>
      </c>
      <c r="C471" s="443"/>
      <c r="D471" s="534" t="str">
        <f>IFERROR(__xludf.DUMMYFUNCTION("TRANSPOSE(unique(FILTER($K$17:$K$28,$J$17:$J$28=B471)))"),"")</f>
        <v/>
      </c>
    </row>
    <row r="472">
      <c r="A472" s="627"/>
      <c r="B472" s="627" t="str">
        <f>IFERROR(__xludf.DUMMYFUNCTION("TRANSPOSE(unique(FILTER($K$17:$K$28,$J$17:$J$28=A472)))"),"")</f>
        <v/>
      </c>
      <c r="C472" s="443"/>
      <c r="D472" s="534" t="str">
        <f>IFERROR(__xludf.DUMMYFUNCTION("TRANSPOSE(unique(FILTER($K$17:$K$28,$J$17:$J$28=B472)))"),"")</f>
        <v/>
      </c>
    </row>
    <row r="473">
      <c r="A473" s="627"/>
      <c r="B473" s="627" t="str">
        <f>IFERROR(__xludf.DUMMYFUNCTION("TRANSPOSE(unique(FILTER($K$17:$K$28,$J$17:$J$28=A473)))"),"")</f>
        <v/>
      </c>
      <c r="C473" s="443"/>
      <c r="D473" s="534" t="str">
        <f>IFERROR(__xludf.DUMMYFUNCTION("TRANSPOSE(unique(FILTER($K$17:$K$28,$J$17:$J$28=B473)))"),"")</f>
        <v/>
      </c>
    </row>
    <row r="474">
      <c r="A474" s="627"/>
      <c r="B474" s="627" t="str">
        <f>IFERROR(__xludf.DUMMYFUNCTION("TRANSPOSE(unique(FILTER($K$17:$K$28,$J$17:$J$28=A474)))"),"")</f>
        <v/>
      </c>
      <c r="C474" s="443"/>
      <c r="D474" s="534" t="str">
        <f>IFERROR(__xludf.DUMMYFUNCTION("TRANSPOSE(unique(FILTER($K$17:$K$28,$J$17:$J$28=B474)))"),"")</f>
        <v/>
      </c>
    </row>
    <row r="475">
      <c r="A475" s="627"/>
      <c r="B475" s="627" t="str">
        <f>IFERROR(__xludf.DUMMYFUNCTION("TRANSPOSE(unique(FILTER($K$17:$K$28,$J$17:$J$28=A475)))"),"")</f>
        <v/>
      </c>
      <c r="C475" s="443"/>
      <c r="D475" s="534" t="str">
        <f>IFERROR(__xludf.DUMMYFUNCTION("TRANSPOSE(unique(FILTER($K$17:$K$28,$J$17:$J$28=B475)))"),"")</f>
        <v/>
      </c>
    </row>
    <row r="476">
      <c r="A476" s="627"/>
      <c r="B476" s="627" t="str">
        <f>IFERROR(__xludf.DUMMYFUNCTION("TRANSPOSE(unique(FILTER($K$17:$K$28,$J$17:$J$28=A476)))"),"")</f>
        <v/>
      </c>
      <c r="C476" s="443"/>
      <c r="D476" s="534" t="str">
        <f>IFERROR(__xludf.DUMMYFUNCTION("TRANSPOSE(unique(FILTER($K$17:$K$28,$J$17:$J$28=B476)))"),"")</f>
        <v/>
      </c>
    </row>
    <row r="477">
      <c r="A477" s="627"/>
      <c r="B477" s="627" t="str">
        <f>IFERROR(__xludf.DUMMYFUNCTION("TRANSPOSE(unique(FILTER($K$17:$K$28,$J$17:$J$28=A477)))"),"")</f>
        <v/>
      </c>
      <c r="C477" s="443"/>
      <c r="D477" s="534" t="str">
        <f>IFERROR(__xludf.DUMMYFUNCTION("TRANSPOSE(unique(FILTER($K$17:$K$28,$J$17:$J$28=B477)))"),"")</f>
        <v/>
      </c>
    </row>
    <row r="478">
      <c r="A478" s="627"/>
      <c r="B478" s="627" t="str">
        <f>IFERROR(__xludf.DUMMYFUNCTION("TRANSPOSE(unique(FILTER($K$17:$K$28,$J$17:$J$28=A478)))"),"")</f>
        <v/>
      </c>
      <c r="C478" s="443"/>
      <c r="D478" s="534" t="str">
        <f>IFERROR(__xludf.DUMMYFUNCTION("TRANSPOSE(unique(FILTER($K$17:$K$28,$J$17:$J$28=B478)))"),"")</f>
        <v/>
      </c>
    </row>
    <row r="479">
      <c r="A479" s="627"/>
      <c r="B479" s="627" t="str">
        <f>IFERROR(__xludf.DUMMYFUNCTION("TRANSPOSE(unique(FILTER($K$17:$K$28,$J$17:$J$28=A479)))"),"")</f>
        <v/>
      </c>
      <c r="C479" s="443"/>
      <c r="D479" s="534" t="str">
        <f>IFERROR(__xludf.DUMMYFUNCTION("TRANSPOSE(unique(FILTER($K$17:$K$28,$J$17:$J$28=B479)))"),"")</f>
        <v/>
      </c>
    </row>
    <row r="480">
      <c r="A480" s="627"/>
      <c r="B480" s="627" t="str">
        <f>IFERROR(__xludf.DUMMYFUNCTION("TRANSPOSE(unique(FILTER($K$17:$K$28,$J$17:$J$28=A480)))"),"")</f>
        <v/>
      </c>
      <c r="C480" s="443"/>
      <c r="D480" s="534" t="str">
        <f>IFERROR(__xludf.DUMMYFUNCTION("TRANSPOSE(unique(FILTER($K$17:$K$28,$J$17:$J$28=B480)))"),"")</f>
        <v/>
      </c>
    </row>
    <row r="481">
      <c r="A481" s="627"/>
      <c r="B481" s="627" t="str">
        <f>IFERROR(__xludf.DUMMYFUNCTION("TRANSPOSE(unique(FILTER($K$17:$K$28,$J$17:$J$28=A481)))"),"")</f>
        <v/>
      </c>
      <c r="C481" s="443"/>
      <c r="D481" s="534" t="str">
        <f>IFERROR(__xludf.DUMMYFUNCTION("TRANSPOSE(unique(FILTER($K$17:$K$28,$J$17:$J$28=B481)))"),"")</f>
        <v/>
      </c>
    </row>
    <row r="482">
      <c r="A482" s="627"/>
      <c r="B482" s="627" t="str">
        <f>IFERROR(__xludf.DUMMYFUNCTION("TRANSPOSE(unique(FILTER($K$17:$K$28,$J$17:$J$28=A482)))"),"")</f>
        <v/>
      </c>
      <c r="C482" s="443"/>
      <c r="D482" s="534" t="str">
        <f>IFERROR(__xludf.DUMMYFUNCTION("TRANSPOSE(unique(FILTER($K$17:$K$28,$J$17:$J$28=B482)))"),"")</f>
        <v/>
      </c>
    </row>
    <row r="483">
      <c r="A483" s="627"/>
      <c r="B483" s="627" t="str">
        <f>IFERROR(__xludf.DUMMYFUNCTION("TRANSPOSE(unique(FILTER($K$17:$K$28,$J$17:$J$28=A483)))"),"")</f>
        <v/>
      </c>
      <c r="C483" s="443"/>
      <c r="D483" s="534" t="str">
        <f>IFERROR(__xludf.DUMMYFUNCTION("TRANSPOSE(unique(FILTER($K$17:$K$28,$J$17:$J$28=B483)))"),"")</f>
        <v/>
      </c>
    </row>
    <row r="484">
      <c r="A484" s="627"/>
      <c r="B484" s="627" t="str">
        <f>IFERROR(__xludf.DUMMYFUNCTION("TRANSPOSE(unique(FILTER($K$17:$K$28,$J$17:$J$28=A484)))"),"")</f>
        <v/>
      </c>
      <c r="C484" s="443"/>
      <c r="D484" s="534" t="str">
        <f>IFERROR(__xludf.DUMMYFUNCTION("TRANSPOSE(unique(FILTER($K$17:$K$28,$J$17:$J$28=B484)))"),"")</f>
        <v/>
      </c>
    </row>
    <row r="485">
      <c r="A485" s="627"/>
      <c r="B485" s="627" t="str">
        <f>IFERROR(__xludf.DUMMYFUNCTION("TRANSPOSE(unique(FILTER($K$17:$K$28,$J$17:$J$28=A485)))"),"")</f>
        <v/>
      </c>
      <c r="C485" s="443"/>
      <c r="D485" s="534" t="str">
        <f>IFERROR(__xludf.DUMMYFUNCTION("TRANSPOSE(unique(FILTER($K$17:$K$28,$J$17:$J$28=B485)))"),"")</f>
        <v/>
      </c>
    </row>
    <row r="486">
      <c r="A486" s="627"/>
      <c r="B486" s="627" t="str">
        <f>IFERROR(__xludf.DUMMYFUNCTION("TRANSPOSE(unique(FILTER($K$17:$K$28,$J$17:$J$28=A486)))"),"")</f>
        <v/>
      </c>
      <c r="C486" s="443"/>
      <c r="D486" s="534" t="str">
        <f>IFERROR(__xludf.DUMMYFUNCTION("TRANSPOSE(unique(FILTER($K$17:$K$28,$J$17:$J$28=B486)))"),"")</f>
        <v/>
      </c>
    </row>
    <row r="487">
      <c r="A487" s="627"/>
      <c r="B487" s="627" t="str">
        <f>IFERROR(__xludf.DUMMYFUNCTION("TRANSPOSE(unique(FILTER($K$17:$K$28,$J$17:$J$28=A487)))"),"")</f>
        <v/>
      </c>
      <c r="C487" s="443"/>
      <c r="D487" s="534" t="str">
        <f>IFERROR(__xludf.DUMMYFUNCTION("TRANSPOSE(unique(FILTER($K$17:$K$28,$J$17:$J$28=B487)))"),"")</f>
        <v/>
      </c>
    </row>
    <row r="488">
      <c r="A488" s="627"/>
      <c r="B488" s="627" t="str">
        <f>IFERROR(__xludf.DUMMYFUNCTION("TRANSPOSE(unique(FILTER($K$17:$K$28,$J$17:$J$28=A488)))"),"")</f>
        <v/>
      </c>
      <c r="C488" s="443"/>
      <c r="D488" s="534" t="str">
        <f>IFERROR(__xludf.DUMMYFUNCTION("TRANSPOSE(unique(FILTER($K$17:$K$28,$J$17:$J$28=B488)))"),"")</f>
        <v/>
      </c>
    </row>
    <row r="489">
      <c r="A489" s="627"/>
      <c r="B489" s="627" t="str">
        <f>IFERROR(__xludf.DUMMYFUNCTION("TRANSPOSE(unique(FILTER($K$17:$K$28,$J$17:$J$28=A489)))"),"")</f>
        <v/>
      </c>
      <c r="C489" s="443"/>
      <c r="D489" s="534" t="str">
        <f>IFERROR(__xludf.DUMMYFUNCTION("TRANSPOSE(unique(FILTER($K$17:$K$28,$J$17:$J$28=B489)))"),"")</f>
        <v/>
      </c>
    </row>
    <row r="490">
      <c r="A490" s="627"/>
      <c r="B490" s="627" t="str">
        <f>IFERROR(__xludf.DUMMYFUNCTION("TRANSPOSE(unique(FILTER($K$17:$K$28,$J$17:$J$28=A490)))"),"")</f>
        <v/>
      </c>
      <c r="C490" s="443"/>
      <c r="D490" s="534" t="str">
        <f>IFERROR(__xludf.DUMMYFUNCTION("TRANSPOSE(unique(FILTER($K$17:$K$28,$J$17:$J$28=B490)))"),"")</f>
        <v/>
      </c>
    </row>
    <row r="491">
      <c r="A491" s="627"/>
      <c r="B491" s="627" t="str">
        <f>IFERROR(__xludf.DUMMYFUNCTION("TRANSPOSE(unique(FILTER($K$17:$K$28,$J$17:$J$28=A491)))"),"")</f>
        <v/>
      </c>
      <c r="C491" s="443"/>
      <c r="D491" s="534" t="str">
        <f>IFERROR(__xludf.DUMMYFUNCTION("TRANSPOSE(unique(FILTER($K$17:$K$28,$J$17:$J$28=B491)))"),"")</f>
        <v/>
      </c>
    </row>
    <row r="492">
      <c r="A492" s="627"/>
      <c r="B492" s="627" t="str">
        <f>IFERROR(__xludf.DUMMYFUNCTION("TRANSPOSE(unique(FILTER($K$17:$K$28,$J$17:$J$28=A492)))"),"")</f>
        <v/>
      </c>
      <c r="C492" s="443"/>
      <c r="D492" s="534" t="str">
        <f>IFERROR(__xludf.DUMMYFUNCTION("TRANSPOSE(unique(FILTER($K$17:$K$28,$J$17:$J$28=B492)))"),"")</f>
        <v/>
      </c>
    </row>
    <row r="493">
      <c r="A493" s="627"/>
      <c r="B493" s="627" t="str">
        <f>IFERROR(__xludf.DUMMYFUNCTION("TRANSPOSE(unique(FILTER($K$17:$K$28,$J$17:$J$28=A493)))"),"")</f>
        <v/>
      </c>
      <c r="C493" s="443"/>
      <c r="D493" s="534" t="str">
        <f>IFERROR(__xludf.DUMMYFUNCTION("TRANSPOSE(unique(FILTER($K$17:$K$28,$J$17:$J$28=B493)))"),"")</f>
        <v/>
      </c>
    </row>
    <row r="494">
      <c r="A494" s="627"/>
      <c r="B494" s="627" t="str">
        <f>IFERROR(__xludf.DUMMYFUNCTION("TRANSPOSE(unique(FILTER($K$17:$K$28,$J$17:$J$28=A494)))"),"")</f>
        <v/>
      </c>
      <c r="C494" s="443"/>
      <c r="D494" s="534" t="str">
        <f>IFERROR(__xludf.DUMMYFUNCTION("TRANSPOSE(unique(FILTER($K$17:$K$28,$J$17:$J$28=B494)))"),"")</f>
        <v/>
      </c>
    </row>
    <row r="495">
      <c r="A495" s="627"/>
      <c r="B495" s="627" t="str">
        <f>IFERROR(__xludf.DUMMYFUNCTION("TRANSPOSE(unique(FILTER($K$17:$K$28,$J$17:$J$28=A495)))"),"")</f>
        <v/>
      </c>
      <c r="C495" s="443"/>
      <c r="D495" s="534" t="str">
        <f>IFERROR(__xludf.DUMMYFUNCTION("TRANSPOSE(unique(FILTER($K$17:$K$28,$J$17:$J$28=B495)))"),"")</f>
        <v/>
      </c>
    </row>
    <row r="496">
      <c r="A496" s="627"/>
      <c r="B496" s="627" t="str">
        <f>IFERROR(__xludf.DUMMYFUNCTION("TRANSPOSE(unique(FILTER($K$17:$K$28,$J$17:$J$28=A496)))"),"")</f>
        <v/>
      </c>
      <c r="C496" s="443"/>
      <c r="D496" s="534" t="str">
        <f>IFERROR(__xludf.DUMMYFUNCTION("TRANSPOSE(unique(FILTER($K$17:$K$28,$J$17:$J$28=B496)))"),"")</f>
        <v/>
      </c>
    </row>
    <row r="497">
      <c r="A497" s="627"/>
      <c r="B497" s="627" t="str">
        <f>IFERROR(__xludf.DUMMYFUNCTION("TRANSPOSE(unique(FILTER($K$17:$K$28,$J$17:$J$28=A497)))"),"")</f>
        <v/>
      </c>
      <c r="C497" s="443"/>
      <c r="D497" s="534" t="str">
        <f>IFERROR(__xludf.DUMMYFUNCTION("TRANSPOSE(unique(FILTER($K$17:$K$28,$J$17:$J$28=B497)))"),"")</f>
        <v/>
      </c>
    </row>
    <row r="498">
      <c r="A498" s="627"/>
      <c r="B498" s="627" t="str">
        <f>IFERROR(__xludf.DUMMYFUNCTION("TRANSPOSE(unique(FILTER($K$17:$K$28,$J$17:$J$28=A498)))"),"")</f>
        <v/>
      </c>
      <c r="C498" s="443"/>
      <c r="D498" s="534" t="str">
        <f>IFERROR(__xludf.DUMMYFUNCTION("TRANSPOSE(unique(FILTER($K$17:$K$28,$J$17:$J$28=B498)))"),"")</f>
        <v/>
      </c>
    </row>
    <row r="499">
      <c r="A499" s="627"/>
      <c r="B499" s="627" t="str">
        <f>IFERROR(__xludf.DUMMYFUNCTION("TRANSPOSE(unique(FILTER($K$17:$K$28,$J$17:$J$28=A499)))"),"")</f>
        <v/>
      </c>
      <c r="C499" s="443"/>
      <c r="D499" s="534" t="str">
        <f>IFERROR(__xludf.DUMMYFUNCTION("TRANSPOSE(unique(FILTER($K$17:$K$28,$J$17:$J$28=B499)))"),"")</f>
        <v/>
      </c>
    </row>
    <row r="500">
      <c r="A500" s="627"/>
      <c r="B500" s="627" t="str">
        <f>IFERROR(__xludf.DUMMYFUNCTION("TRANSPOSE(unique(FILTER($K$17:$K$28,$J$17:$J$28=A500)))"),"")</f>
        <v/>
      </c>
      <c r="C500" s="443"/>
      <c r="D500" s="534" t="str">
        <f>IFERROR(__xludf.DUMMYFUNCTION("TRANSPOSE(unique(FILTER($K$17:$K$28,$J$17:$J$28=B500)))"),"")</f>
        <v/>
      </c>
    </row>
    <row r="501">
      <c r="A501" s="627"/>
      <c r="B501" s="627" t="str">
        <f>IFERROR(__xludf.DUMMYFUNCTION("TRANSPOSE(unique(FILTER($K$17:$K$28,$J$17:$J$28=A501)))"),"")</f>
        <v/>
      </c>
      <c r="C501" s="443"/>
      <c r="D501" s="534" t="str">
        <f>IFERROR(__xludf.DUMMYFUNCTION("TRANSPOSE(unique(FILTER($K$17:$K$28,$J$17:$J$28=B501)))"),"")</f>
        <v/>
      </c>
    </row>
    <row r="502">
      <c r="A502" s="627"/>
      <c r="B502" s="627" t="str">
        <f>IFERROR(__xludf.DUMMYFUNCTION("TRANSPOSE(unique(FILTER($K$17:$K$28,$J$17:$J$28=A502)))"),"")</f>
        <v/>
      </c>
      <c r="C502" s="443"/>
      <c r="D502" s="534" t="str">
        <f>IFERROR(__xludf.DUMMYFUNCTION("TRANSPOSE(unique(FILTER($K$17:$K$28,$J$17:$J$28=B502)))"),"")</f>
        <v/>
      </c>
    </row>
    <row r="503">
      <c r="A503" s="627"/>
      <c r="B503" s="627" t="str">
        <f>IFERROR(__xludf.DUMMYFUNCTION("TRANSPOSE(unique(FILTER($K$17:$K$28,$J$17:$J$28=A503)))"),"")</f>
        <v/>
      </c>
      <c r="C503" s="443"/>
      <c r="D503" s="534" t="str">
        <f>IFERROR(__xludf.DUMMYFUNCTION("TRANSPOSE(unique(FILTER($K$17:$K$28,$J$17:$J$28=B503)))"),"")</f>
        <v/>
      </c>
    </row>
    <row r="504">
      <c r="A504" s="627"/>
      <c r="B504" s="627" t="str">
        <f>IFERROR(__xludf.DUMMYFUNCTION("TRANSPOSE(unique(FILTER($K$17:$K$28,$J$17:$J$28=A504)))"),"")</f>
        <v/>
      </c>
      <c r="C504" s="443"/>
      <c r="D504" s="534" t="str">
        <f>IFERROR(__xludf.DUMMYFUNCTION("TRANSPOSE(unique(FILTER($K$17:$K$28,$J$17:$J$28=B504)))"),"")</f>
        <v/>
      </c>
    </row>
    <row r="505">
      <c r="A505" s="627"/>
      <c r="B505" s="627" t="str">
        <f>IFERROR(__xludf.DUMMYFUNCTION("TRANSPOSE(unique(FILTER($K$17:$K$28,$J$17:$J$28=A505)))"),"")</f>
        <v/>
      </c>
      <c r="C505" s="443"/>
      <c r="D505" s="534" t="str">
        <f>IFERROR(__xludf.DUMMYFUNCTION("TRANSPOSE(unique(FILTER($K$17:$K$28,$J$17:$J$28=B505)))"),"")</f>
        <v/>
      </c>
    </row>
    <row r="506">
      <c r="A506" s="627"/>
      <c r="B506" s="627" t="str">
        <f>IFERROR(__xludf.DUMMYFUNCTION("TRANSPOSE(unique(FILTER($K$17:$K$28,$J$17:$J$28=A506)))"),"")</f>
        <v/>
      </c>
      <c r="C506" s="443"/>
      <c r="D506" s="534" t="str">
        <f>IFERROR(__xludf.DUMMYFUNCTION("TRANSPOSE(unique(FILTER($K$17:$K$28,$J$17:$J$28=B506)))"),"")</f>
        <v/>
      </c>
    </row>
    <row r="507">
      <c r="A507" s="627"/>
      <c r="B507" s="627" t="str">
        <f>IFERROR(__xludf.DUMMYFUNCTION("TRANSPOSE(unique(FILTER($K$17:$K$28,$J$17:$J$28=A507)))"),"")</f>
        <v/>
      </c>
      <c r="C507" s="443"/>
      <c r="D507" s="534" t="str">
        <f>IFERROR(__xludf.DUMMYFUNCTION("TRANSPOSE(unique(FILTER($K$17:$K$28,$J$17:$J$28=B507)))"),"")</f>
        <v/>
      </c>
    </row>
    <row r="508">
      <c r="A508" s="627"/>
      <c r="B508" s="627" t="str">
        <f>IFERROR(__xludf.DUMMYFUNCTION("TRANSPOSE(unique(FILTER($K$17:$K$28,$J$17:$J$28=A508)))"),"")</f>
        <v/>
      </c>
      <c r="C508" s="443"/>
      <c r="D508" s="534" t="str">
        <f>IFERROR(__xludf.DUMMYFUNCTION("TRANSPOSE(unique(FILTER($K$17:$K$28,$J$17:$J$28=B508)))"),"")</f>
        <v/>
      </c>
    </row>
    <row r="509">
      <c r="A509" s="627"/>
      <c r="B509" s="627" t="str">
        <f>IFERROR(__xludf.DUMMYFUNCTION("TRANSPOSE(unique(FILTER($K$17:$K$28,$J$17:$J$28=A509)))"),"")</f>
        <v/>
      </c>
      <c r="C509" s="443"/>
      <c r="D509" s="534" t="str">
        <f>IFERROR(__xludf.DUMMYFUNCTION("TRANSPOSE(unique(FILTER($K$17:$K$28,$J$17:$J$28=B509)))"),"")</f>
        <v/>
      </c>
    </row>
    <row r="510">
      <c r="A510" s="627"/>
      <c r="B510" s="627" t="str">
        <f>IFERROR(__xludf.DUMMYFUNCTION("TRANSPOSE(unique(FILTER($K$17:$K$28,$J$17:$J$28=A510)))"),"")</f>
        <v/>
      </c>
      <c r="C510" s="443"/>
      <c r="D510" s="534" t="str">
        <f>IFERROR(__xludf.DUMMYFUNCTION("TRANSPOSE(unique(FILTER($K$17:$K$28,$J$17:$J$28=B510)))"),"")</f>
        <v/>
      </c>
    </row>
    <row r="511">
      <c r="A511" s="627"/>
      <c r="B511" s="627" t="str">
        <f>IFERROR(__xludf.DUMMYFUNCTION("TRANSPOSE(unique(FILTER($K$17:$K$28,$J$17:$J$28=A511)))"),"")</f>
        <v/>
      </c>
      <c r="C511" s="443"/>
      <c r="D511" s="534" t="str">
        <f>IFERROR(__xludf.DUMMYFUNCTION("TRANSPOSE(unique(FILTER($K$17:$K$28,$J$17:$J$28=B511)))"),"")</f>
        <v/>
      </c>
    </row>
    <row r="512">
      <c r="A512" s="627"/>
      <c r="B512" s="627" t="str">
        <f>IFERROR(__xludf.DUMMYFUNCTION("TRANSPOSE(unique(FILTER($K$17:$K$28,$J$17:$J$28=A512)))"),"")</f>
        <v/>
      </c>
      <c r="C512" s="443"/>
      <c r="D512" s="534" t="str">
        <f>IFERROR(__xludf.DUMMYFUNCTION("TRANSPOSE(unique(FILTER($K$17:$K$28,$J$17:$J$28=B512)))"),"")</f>
        <v/>
      </c>
    </row>
    <row r="513">
      <c r="A513" s="627"/>
      <c r="B513" s="627" t="str">
        <f>IFERROR(__xludf.DUMMYFUNCTION("TRANSPOSE(unique(FILTER($K$17:$K$28,$J$17:$J$28=A513)))"),"")</f>
        <v/>
      </c>
      <c r="C513" s="443"/>
      <c r="D513" s="534" t="str">
        <f>IFERROR(__xludf.DUMMYFUNCTION("TRANSPOSE(unique(FILTER($K$17:$K$28,$J$17:$J$28=B513)))"),"")</f>
        <v/>
      </c>
    </row>
    <row r="514">
      <c r="A514" s="627"/>
      <c r="B514" s="627" t="str">
        <f>IFERROR(__xludf.DUMMYFUNCTION("TRANSPOSE(unique(FILTER($K$17:$K$28,$J$17:$J$28=A514)))"),"")</f>
        <v/>
      </c>
      <c r="C514" s="443"/>
      <c r="D514" s="534" t="str">
        <f>IFERROR(__xludf.DUMMYFUNCTION("TRANSPOSE(unique(FILTER($K$17:$K$28,$J$17:$J$28=B514)))"),"")</f>
        <v/>
      </c>
    </row>
    <row r="515">
      <c r="A515" s="627"/>
      <c r="B515" s="627" t="str">
        <f>IFERROR(__xludf.DUMMYFUNCTION("TRANSPOSE(unique(FILTER($K$17:$K$28,$J$17:$J$28=A515)))"),"")</f>
        <v/>
      </c>
      <c r="C515" s="443"/>
      <c r="D515" s="534" t="str">
        <f>IFERROR(__xludf.DUMMYFUNCTION("TRANSPOSE(unique(FILTER($K$17:$K$28,$J$17:$J$28=B515)))"),"")</f>
        <v/>
      </c>
    </row>
    <row r="516">
      <c r="A516" s="627"/>
      <c r="B516" s="627" t="str">
        <f>IFERROR(__xludf.DUMMYFUNCTION("TRANSPOSE(unique(FILTER($K$17:$K$28,$J$17:$J$28=A516)))"),"")</f>
        <v/>
      </c>
      <c r="C516" s="443"/>
      <c r="D516" s="534" t="str">
        <f>IFERROR(__xludf.DUMMYFUNCTION("TRANSPOSE(unique(FILTER($K$17:$K$28,$J$17:$J$28=B516)))"),"")</f>
        <v/>
      </c>
    </row>
    <row r="517">
      <c r="A517" s="627"/>
      <c r="B517" s="627" t="str">
        <f>IFERROR(__xludf.DUMMYFUNCTION("TRANSPOSE(unique(FILTER($K$17:$K$28,$J$17:$J$28=A517)))"),"")</f>
        <v/>
      </c>
      <c r="C517" s="443"/>
      <c r="D517" s="534" t="str">
        <f>IFERROR(__xludf.DUMMYFUNCTION("TRANSPOSE(unique(FILTER($K$17:$K$28,$J$17:$J$28=B517)))"),"")</f>
        <v/>
      </c>
    </row>
    <row r="518">
      <c r="A518" s="627"/>
      <c r="B518" s="627" t="str">
        <f>IFERROR(__xludf.DUMMYFUNCTION("TRANSPOSE(unique(FILTER($K$17:$K$28,$J$17:$J$28=A518)))"),"")</f>
        <v/>
      </c>
      <c r="C518" s="443"/>
      <c r="D518" s="534" t="str">
        <f>IFERROR(__xludf.DUMMYFUNCTION("TRANSPOSE(unique(FILTER($K$17:$K$28,$J$17:$J$28=B518)))"),"")</f>
        <v/>
      </c>
    </row>
    <row r="519">
      <c r="A519" s="627"/>
      <c r="B519" s="627" t="str">
        <f>IFERROR(__xludf.DUMMYFUNCTION("TRANSPOSE(unique(FILTER($K$17:$K$28,$J$17:$J$28=A519)))"),"")</f>
        <v/>
      </c>
      <c r="C519" s="443"/>
      <c r="D519" s="534" t="str">
        <f>IFERROR(__xludf.DUMMYFUNCTION("TRANSPOSE(unique(FILTER($K$17:$K$28,$J$17:$J$28=B519)))"),"")</f>
        <v/>
      </c>
    </row>
    <row r="520">
      <c r="A520" s="627"/>
      <c r="B520" s="627" t="str">
        <f>IFERROR(__xludf.DUMMYFUNCTION("TRANSPOSE(unique(FILTER($K$17:$K$28,$J$17:$J$28=A520)))"),"")</f>
        <v/>
      </c>
      <c r="C520" s="443"/>
      <c r="D520" s="534" t="str">
        <f>IFERROR(__xludf.DUMMYFUNCTION("TRANSPOSE(unique(FILTER($K$17:$K$28,$J$17:$J$28=B520)))"),"")</f>
        <v/>
      </c>
    </row>
    <row r="521">
      <c r="A521" s="627"/>
      <c r="B521" s="627" t="str">
        <f>IFERROR(__xludf.DUMMYFUNCTION("TRANSPOSE(unique(FILTER($K$17:$K$28,$J$17:$J$28=A521)))"),"")</f>
        <v/>
      </c>
      <c r="C521" s="443"/>
      <c r="D521" s="534" t="str">
        <f>IFERROR(__xludf.DUMMYFUNCTION("TRANSPOSE(unique(FILTER($K$17:$K$28,$J$17:$J$28=B521)))"),"")</f>
        <v/>
      </c>
    </row>
    <row r="522">
      <c r="A522" s="627"/>
      <c r="B522" s="627" t="str">
        <f>IFERROR(__xludf.DUMMYFUNCTION("TRANSPOSE(unique(FILTER($K$17:$K$28,$J$17:$J$28=A522)))"),"")</f>
        <v/>
      </c>
      <c r="C522" s="443"/>
      <c r="D522" s="534" t="str">
        <f>IFERROR(__xludf.DUMMYFUNCTION("TRANSPOSE(unique(FILTER($K$17:$K$28,$J$17:$J$28=B522)))"),"")</f>
        <v/>
      </c>
    </row>
    <row r="523">
      <c r="A523" s="627"/>
      <c r="B523" s="627" t="str">
        <f>IFERROR(__xludf.DUMMYFUNCTION("TRANSPOSE(unique(FILTER($K$17:$K$28,$J$17:$J$28=A523)))"),"")</f>
        <v/>
      </c>
      <c r="C523" s="443"/>
      <c r="D523" s="534" t="str">
        <f>IFERROR(__xludf.DUMMYFUNCTION("TRANSPOSE(unique(FILTER($K$17:$K$28,$J$17:$J$28=B523)))"),"")</f>
        <v/>
      </c>
    </row>
    <row r="524">
      <c r="A524" s="627"/>
      <c r="B524" s="627" t="str">
        <f>IFERROR(__xludf.DUMMYFUNCTION("TRANSPOSE(unique(FILTER($K$17:$K$28,$J$17:$J$28=A524)))"),"")</f>
        <v/>
      </c>
      <c r="C524" s="443"/>
      <c r="D524" s="534" t="str">
        <f>IFERROR(__xludf.DUMMYFUNCTION("TRANSPOSE(unique(FILTER($K$17:$K$28,$J$17:$J$28=B524)))"),"")</f>
        <v/>
      </c>
    </row>
    <row r="525">
      <c r="A525" s="627"/>
      <c r="B525" s="627" t="str">
        <f>IFERROR(__xludf.DUMMYFUNCTION("TRANSPOSE(unique(FILTER($K$17:$K$28,$J$17:$J$28=A525)))"),"")</f>
        <v/>
      </c>
      <c r="C525" s="443"/>
      <c r="D525" s="534" t="str">
        <f>IFERROR(__xludf.DUMMYFUNCTION("TRANSPOSE(unique(FILTER($K$17:$K$28,$J$17:$J$28=B525)))"),"")</f>
        <v/>
      </c>
    </row>
    <row r="526">
      <c r="A526" s="627"/>
      <c r="B526" s="627" t="str">
        <f>IFERROR(__xludf.DUMMYFUNCTION("TRANSPOSE(unique(FILTER($K$17:$K$28,$J$17:$J$28=A526)))"),"")</f>
        <v/>
      </c>
      <c r="C526" s="443"/>
      <c r="D526" s="534" t="str">
        <f>IFERROR(__xludf.DUMMYFUNCTION("TRANSPOSE(unique(FILTER($K$17:$K$28,$J$17:$J$28=B526)))"),"")</f>
        <v/>
      </c>
    </row>
    <row r="527">
      <c r="A527" s="627"/>
      <c r="B527" s="627" t="str">
        <f>IFERROR(__xludf.DUMMYFUNCTION("TRANSPOSE(unique(FILTER($K$17:$K$28,$J$17:$J$28=A527)))"),"")</f>
        <v/>
      </c>
      <c r="C527" s="443"/>
      <c r="D527" s="534" t="str">
        <f>IFERROR(__xludf.DUMMYFUNCTION("TRANSPOSE(unique(FILTER($K$17:$K$28,$J$17:$J$28=B527)))"),"")</f>
        <v/>
      </c>
    </row>
    <row r="528">
      <c r="A528" s="627"/>
      <c r="B528" s="627" t="str">
        <f>IFERROR(__xludf.DUMMYFUNCTION("TRANSPOSE(unique(FILTER($K$17:$K$28,$J$17:$J$28=A528)))"),"")</f>
        <v/>
      </c>
      <c r="C528" s="443"/>
      <c r="D528" s="534" t="str">
        <f>IFERROR(__xludf.DUMMYFUNCTION("TRANSPOSE(unique(FILTER($K$17:$K$28,$J$17:$J$28=B528)))"),"")</f>
        <v/>
      </c>
    </row>
    <row r="529">
      <c r="A529" s="627"/>
      <c r="B529" s="627" t="str">
        <f>IFERROR(__xludf.DUMMYFUNCTION("TRANSPOSE(unique(FILTER($K$17:$K$28,$J$17:$J$28=A529)))"),"")</f>
        <v/>
      </c>
      <c r="C529" s="443"/>
      <c r="D529" s="534" t="str">
        <f>IFERROR(__xludf.DUMMYFUNCTION("TRANSPOSE(unique(FILTER($K$17:$K$28,$J$17:$J$28=B529)))"),"")</f>
        <v/>
      </c>
    </row>
    <row r="530">
      <c r="A530" s="627"/>
      <c r="B530" s="627" t="str">
        <f>IFERROR(__xludf.DUMMYFUNCTION("TRANSPOSE(unique(FILTER($K$17:$K$28,$J$17:$J$28=A530)))"),"")</f>
        <v/>
      </c>
      <c r="C530" s="443"/>
      <c r="D530" s="534" t="str">
        <f>IFERROR(__xludf.DUMMYFUNCTION("TRANSPOSE(unique(FILTER($K$17:$K$28,$J$17:$J$28=B530)))"),"")</f>
        <v/>
      </c>
    </row>
    <row r="531">
      <c r="A531" s="627"/>
      <c r="B531" s="627" t="str">
        <f>IFERROR(__xludf.DUMMYFUNCTION("TRANSPOSE(unique(FILTER($K$17:$K$28,$J$17:$J$28=A531)))"),"")</f>
        <v/>
      </c>
      <c r="C531" s="443"/>
      <c r="D531" s="534" t="str">
        <f>IFERROR(__xludf.DUMMYFUNCTION("TRANSPOSE(unique(FILTER($K$17:$K$28,$J$17:$J$28=B531)))"),"")</f>
        <v/>
      </c>
    </row>
    <row r="532">
      <c r="A532" s="627"/>
      <c r="B532" s="627" t="str">
        <f>IFERROR(__xludf.DUMMYFUNCTION("TRANSPOSE(unique(FILTER($K$17:$K$28,$J$17:$J$28=A532)))"),"")</f>
        <v/>
      </c>
      <c r="C532" s="443"/>
      <c r="D532" s="534" t="str">
        <f>IFERROR(__xludf.DUMMYFUNCTION("TRANSPOSE(unique(FILTER($K$17:$K$28,$J$17:$J$28=B532)))"),"")</f>
        <v/>
      </c>
    </row>
    <row r="533">
      <c r="A533" s="627"/>
      <c r="B533" s="627" t="str">
        <f>IFERROR(__xludf.DUMMYFUNCTION("TRANSPOSE(unique(FILTER($K$17:$K$28,$J$17:$J$28=A533)))"),"")</f>
        <v/>
      </c>
      <c r="C533" s="443"/>
      <c r="D533" s="534" t="str">
        <f>IFERROR(__xludf.DUMMYFUNCTION("TRANSPOSE(unique(FILTER($K$17:$K$28,$J$17:$J$28=B533)))"),"")</f>
        <v/>
      </c>
    </row>
    <row r="534">
      <c r="A534" s="627"/>
      <c r="B534" s="627" t="str">
        <f>IFERROR(__xludf.DUMMYFUNCTION("TRANSPOSE(unique(FILTER($K$17:$K$28,$J$17:$J$28=A534)))"),"")</f>
        <v/>
      </c>
      <c r="C534" s="443"/>
      <c r="D534" s="534" t="str">
        <f>IFERROR(__xludf.DUMMYFUNCTION("TRANSPOSE(unique(FILTER($K$17:$K$28,$J$17:$J$28=B534)))"),"")</f>
        <v/>
      </c>
    </row>
    <row r="535">
      <c r="A535" s="627"/>
      <c r="B535" s="627" t="str">
        <f>IFERROR(__xludf.DUMMYFUNCTION("TRANSPOSE(unique(FILTER($K$17:$K$28,$J$17:$J$28=A535)))"),"")</f>
        <v/>
      </c>
      <c r="C535" s="443"/>
      <c r="D535" s="534" t="str">
        <f>IFERROR(__xludf.DUMMYFUNCTION("TRANSPOSE(unique(FILTER($K$17:$K$28,$J$17:$J$28=B535)))"),"")</f>
        <v/>
      </c>
    </row>
    <row r="536">
      <c r="A536" s="627"/>
      <c r="B536" s="627" t="str">
        <f>IFERROR(__xludf.DUMMYFUNCTION("TRANSPOSE(unique(FILTER($K$17:$K$28,$J$17:$J$28=A536)))"),"")</f>
        <v/>
      </c>
      <c r="C536" s="443"/>
      <c r="D536" s="534" t="str">
        <f>IFERROR(__xludf.DUMMYFUNCTION("TRANSPOSE(unique(FILTER($K$17:$K$28,$J$17:$J$28=B536)))"),"")</f>
        <v/>
      </c>
    </row>
    <row r="537">
      <c r="A537" s="627"/>
      <c r="B537" s="627" t="str">
        <f>IFERROR(__xludf.DUMMYFUNCTION("TRANSPOSE(unique(FILTER($K$17:$K$28,$J$17:$J$28=A537)))"),"")</f>
        <v/>
      </c>
      <c r="C537" s="443"/>
      <c r="D537" s="534" t="str">
        <f>IFERROR(__xludf.DUMMYFUNCTION("TRANSPOSE(unique(FILTER($K$17:$K$28,$J$17:$J$28=B537)))"),"")</f>
        <v/>
      </c>
    </row>
    <row r="538">
      <c r="A538" s="627"/>
      <c r="B538" s="627" t="str">
        <f>IFERROR(__xludf.DUMMYFUNCTION("TRANSPOSE(unique(FILTER($K$17:$K$28,$J$17:$J$28=A538)))"),"")</f>
        <v/>
      </c>
      <c r="C538" s="443"/>
      <c r="D538" s="534" t="str">
        <f>IFERROR(__xludf.DUMMYFUNCTION("TRANSPOSE(unique(FILTER($K$17:$K$28,$J$17:$J$28=B538)))"),"")</f>
        <v/>
      </c>
    </row>
    <row r="539">
      <c r="A539" s="627"/>
      <c r="B539" s="627" t="str">
        <f>IFERROR(__xludf.DUMMYFUNCTION("TRANSPOSE(unique(FILTER($K$17:$K$28,$J$17:$J$28=A539)))"),"")</f>
        <v/>
      </c>
      <c r="C539" s="443"/>
      <c r="D539" s="534" t="str">
        <f>IFERROR(__xludf.DUMMYFUNCTION("TRANSPOSE(unique(FILTER($K$17:$K$28,$J$17:$J$28=B539)))"),"")</f>
        <v/>
      </c>
    </row>
    <row r="540">
      <c r="A540" s="627"/>
      <c r="B540" s="627" t="str">
        <f>IFERROR(__xludf.DUMMYFUNCTION("TRANSPOSE(unique(FILTER($K$17:$K$28,$J$17:$J$28=A540)))"),"")</f>
        <v/>
      </c>
      <c r="C540" s="443"/>
      <c r="D540" s="534" t="str">
        <f>IFERROR(__xludf.DUMMYFUNCTION("TRANSPOSE(unique(FILTER($K$17:$K$28,$J$17:$J$28=B540)))"),"")</f>
        <v/>
      </c>
    </row>
    <row r="541">
      <c r="A541" s="627"/>
      <c r="B541" s="627" t="str">
        <f>IFERROR(__xludf.DUMMYFUNCTION("TRANSPOSE(unique(FILTER($K$17:$K$28,$J$17:$J$28=A541)))"),"")</f>
        <v/>
      </c>
      <c r="C541" s="443"/>
      <c r="D541" s="534" t="str">
        <f>IFERROR(__xludf.DUMMYFUNCTION("TRANSPOSE(unique(FILTER($K$17:$K$28,$J$17:$J$28=B541)))"),"")</f>
        <v/>
      </c>
    </row>
    <row r="542">
      <c r="A542" s="627"/>
      <c r="B542" s="627" t="str">
        <f>IFERROR(__xludf.DUMMYFUNCTION("TRANSPOSE(unique(FILTER($K$17:$K$28,$J$17:$J$28=A542)))"),"")</f>
        <v/>
      </c>
      <c r="C542" s="443"/>
      <c r="D542" s="534" t="str">
        <f>IFERROR(__xludf.DUMMYFUNCTION("TRANSPOSE(unique(FILTER($K$17:$K$28,$J$17:$J$28=B542)))"),"")</f>
        <v/>
      </c>
    </row>
    <row r="543">
      <c r="A543" s="627"/>
      <c r="B543" s="627" t="str">
        <f>IFERROR(__xludf.DUMMYFUNCTION("TRANSPOSE(unique(FILTER($K$17:$K$28,$J$17:$J$28=A543)))"),"")</f>
        <v/>
      </c>
      <c r="C543" s="443"/>
      <c r="D543" s="534" t="str">
        <f>IFERROR(__xludf.DUMMYFUNCTION("TRANSPOSE(unique(FILTER($K$17:$K$28,$J$17:$J$28=B543)))"),"")</f>
        <v/>
      </c>
    </row>
    <row r="544">
      <c r="A544" s="627"/>
      <c r="B544" s="627" t="str">
        <f>IFERROR(__xludf.DUMMYFUNCTION("TRANSPOSE(unique(FILTER($K$17:$K$28,$J$17:$J$28=A544)))"),"")</f>
        <v/>
      </c>
      <c r="C544" s="443"/>
      <c r="D544" s="534" t="str">
        <f>IFERROR(__xludf.DUMMYFUNCTION("TRANSPOSE(unique(FILTER($K$17:$K$28,$J$17:$J$28=B544)))"),"")</f>
        <v/>
      </c>
    </row>
    <row r="545">
      <c r="A545" s="627"/>
      <c r="B545" s="627" t="str">
        <f>IFERROR(__xludf.DUMMYFUNCTION("TRANSPOSE(unique(FILTER($K$17:$K$28,$J$17:$J$28=A545)))"),"")</f>
        <v/>
      </c>
      <c r="C545" s="443"/>
      <c r="D545" s="534" t="str">
        <f>IFERROR(__xludf.DUMMYFUNCTION("TRANSPOSE(unique(FILTER($K$17:$K$28,$J$17:$J$28=B545)))"),"")</f>
        <v/>
      </c>
    </row>
    <row r="546">
      <c r="A546" s="627"/>
      <c r="B546" s="627" t="str">
        <f>IFERROR(__xludf.DUMMYFUNCTION("TRANSPOSE(unique(FILTER($K$17:$K$28,$J$17:$J$28=A546)))"),"")</f>
        <v/>
      </c>
      <c r="C546" s="443"/>
      <c r="D546" s="534" t="str">
        <f>IFERROR(__xludf.DUMMYFUNCTION("TRANSPOSE(unique(FILTER($K$17:$K$28,$J$17:$J$28=B546)))"),"")</f>
        <v/>
      </c>
    </row>
    <row r="547">
      <c r="A547" s="627"/>
      <c r="B547" s="627" t="str">
        <f>IFERROR(__xludf.DUMMYFUNCTION("TRANSPOSE(unique(FILTER($K$17:$K$28,$J$17:$J$28=A547)))"),"")</f>
        <v/>
      </c>
      <c r="C547" s="443"/>
      <c r="D547" s="534" t="str">
        <f>IFERROR(__xludf.DUMMYFUNCTION("TRANSPOSE(unique(FILTER($K$17:$K$28,$J$17:$J$28=B547)))"),"")</f>
        <v/>
      </c>
    </row>
    <row r="548">
      <c r="A548" s="627"/>
      <c r="B548" s="627" t="str">
        <f>IFERROR(__xludf.DUMMYFUNCTION("TRANSPOSE(unique(FILTER($K$17:$K$28,$J$17:$J$28=A548)))"),"")</f>
        <v/>
      </c>
      <c r="C548" s="443"/>
      <c r="D548" s="534" t="str">
        <f>IFERROR(__xludf.DUMMYFUNCTION("TRANSPOSE(unique(FILTER($K$17:$K$28,$J$17:$J$28=B548)))"),"")</f>
        <v/>
      </c>
    </row>
    <row r="549">
      <c r="A549" s="627"/>
      <c r="B549" s="627" t="str">
        <f>IFERROR(__xludf.DUMMYFUNCTION("TRANSPOSE(unique(FILTER($K$17:$K$28,$J$17:$J$28=A549)))"),"")</f>
        <v/>
      </c>
      <c r="C549" s="443"/>
      <c r="D549" s="534" t="str">
        <f>IFERROR(__xludf.DUMMYFUNCTION("TRANSPOSE(unique(FILTER($K$17:$K$28,$J$17:$J$28=B549)))"),"")</f>
        <v/>
      </c>
    </row>
    <row r="550">
      <c r="A550" s="627"/>
      <c r="B550" s="627" t="str">
        <f>IFERROR(__xludf.DUMMYFUNCTION("TRANSPOSE(unique(FILTER($K$17:$K$28,$J$17:$J$28=A550)))"),"")</f>
        <v/>
      </c>
      <c r="C550" s="443"/>
      <c r="D550" s="534" t="str">
        <f>IFERROR(__xludf.DUMMYFUNCTION("TRANSPOSE(unique(FILTER($K$17:$K$28,$J$17:$J$28=B550)))"),"")</f>
        <v/>
      </c>
    </row>
    <row r="551">
      <c r="A551" s="627"/>
      <c r="B551" s="627" t="str">
        <f>IFERROR(__xludf.DUMMYFUNCTION("TRANSPOSE(unique(FILTER($K$17:$K$28,$J$17:$J$28=A551)))"),"")</f>
        <v/>
      </c>
      <c r="C551" s="443"/>
      <c r="D551" s="534" t="str">
        <f>IFERROR(__xludf.DUMMYFUNCTION("TRANSPOSE(unique(FILTER($K$17:$K$28,$J$17:$J$28=B551)))"),"")</f>
        <v/>
      </c>
    </row>
    <row r="552">
      <c r="A552" s="627"/>
      <c r="B552" s="627" t="str">
        <f>IFERROR(__xludf.DUMMYFUNCTION("TRANSPOSE(unique(FILTER($K$17:$K$28,$J$17:$J$28=A552)))"),"")</f>
        <v/>
      </c>
      <c r="C552" s="443"/>
      <c r="D552" s="534" t="str">
        <f>IFERROR(__xludf.DUMMYFUNCTION("TRANSPOSE(unique(FILTER($K$17:$K$28,$J$17:$J$28=B552)))"),"")</f>
        <v/>
      </c>
    </row>
    <row r="553">
      <c r="A553" s="627"/>
      <c r="B553" s="627" t="str">
        <f>IFERROR(__xludf.DUMMYFUNCTION("TRANSPOSE(unique(FILTER($K$17:$K$28,$J$17:$J$28=A553)))"),"")</f>
        <v/>
      </c>
      <c r="C553" s="443"/>
      <c r="D553" s="534" t="str">
        <f>IFERROR(__xludf.DUMMYFUNCTION("TRANSPOSE(unique(FILTER($K$17:$K$28,$J$17:$J$28=B553)))"),"")</f>
        <v/>
      </c>
    </row>
    <row r="554">
      <c r="A554" s="627"/>
      <c r="B554" s="627" t="str">
        <f>IFERROR(__xludf.DUMMYFUNCTION("TRANSPOSE(unique(FILTER($K$17:$K$28,$J$17:$J$28=A554)))"),"")</f>
        <v/>
      </c>
      <c r="C554" s="443"/>
      <c r="D554" s="534" t="str">
        <f>IFERROR(__xludf.DUMMYFUNCTION("TRANSPOSE(unique(FILTER($K$17:$K$28,$J$17:$J$28=B554)))"),"")</f>
        <v/>
      </c>
    </row>
    <row r="555">
      <c r="A555" s="627"/>
      <c r="B555" s="627" t="str">
        <f>IFERROR(__xludf.DUMMYFUNCTION("TRANSPOSE(unique(FILTER($K$17:$K$28,$J$17:$J$28=A555)))"),"")</f>
        <v/>
      </c>
      <c r="C555" s="443"/>
      <c r="D555" s="534" t="str">
        <f>IFERROR(__xludf.DUMMYFUNCTION("TRANSPOSE(unique(FILTER($K$17:$K$28,$J$17:$J$28=B555)))"),"")</f>
        <v/>
      </c>
    </row>
    <row r="556">
      <c r="A556" s="627"/>
      <c r="B556" s="627" t="str">
        <f>IFERROR(__xludf.DUMMYFUNCTION("TRANSPOSE(unique(FILTER($K$17:$K$28,$J$17:$J$28=A556)))"),"")</f>
        <v/>
      </c>
      <c r="C556" s="443"/>
      <c r="D556" s="534" t="str">
        <f>IFERROR(__xludf.DUMMYFUNCTION("TRANSPOSE(unique(FILTER($K$17:$K$28,$J$17:$J$28=B556)))"),"")</f>
        <v/>
      </c>
    </row>
    <row r="557">
      <c r="A557" s="627"/>
      <c r="B557" s="627" t="str">
        <f>IFERROR(__xludf.DUMMYFUNCTION("TRANSPOSE(unique(FILTER($K$17:$K$28,$J$17:$J$28=A557)))"),"")</f>
        <v/>
      </c>
      <c r="C557" s="443"/>
      <c r="D557" s="534" t="str">
        <f>IFERROR(__xludf.DUMMYFUNCTION("TRANSPOSE(unique(FILTER($K$17:$K$28,$J$17:$J$28=B557)))"),"")</f>
        <v/>
      </c>
    </row>
    <row r="558">
      <c r="A558" s="627"/>
      <c r="B558" s="627" t="str">
        <f>IFERROR(__xludf.DUMMYFUNCTION("TRANSPOSE(unique(FILTER($K$17:$K$28,$J$17:$J$28=A558)))"),"")</f>
        <v/>
      </c>
      <c r="C558" s="443"/>
      <c r="D558" s="534" t="str">
        <f>IFERROR(__xludf.DUMMYFUNCTION("TRANSPOSE(unique(FILTER($K$17:$K$28,$J$17:$J$28=B558)))"),"")</f>
        <v/>
      </c>
    </row>
    <row r="559">
      <c r="A559" s="627"/>
      <c r="B559" s="627" t="str">
        <f>IFERROR(__xludf.DUMMYFUNCTION("TRANSPOSE(unique(FILTER($K$17:$K$28,$J$17:$J$28=A559)))"),"")</f>
        <v/>
      </c>
      <c r="C559" s="443"/>
      <c r="D559" s="534" t="str">
        <f>IFERROR(__xludf.DUMMYFUNCTION("TRANSPOSE(unique(FILTER($K$17:$K$28,$J$17:$J$28=B559)))"),"")</f>
        <v/>
      </c>
    </row>
    <row r="560">
      <c r="A560" s="627"/>
      <c r="B560" s="627" t="str">
        <f>IFERROR(__xludf.DUMMYFUNCTION("TRANSPOSE(unique(FILTER($K$17:$K$28,$J$17:$J$28=A560)))"),"")</f>
        <v/>
      </c>
      <c r="C560" s="443"/>
      <c r="D560" s="534" t="str">
        <f>IFERROR(__xludf.DUMMYFUNCTION("TRANSPOSE(unique(FILTER($K$17:$K$28,$J$17:$J$28=B560)))"),"")</f>
        <v/>
      </c>
    </row>
    <row r="561">
      <c r="A561" s="627"/>
      <c r="B561" s="627" t="str">
        <f>IFERROR(__xludf.DUMMYFUNCTION("TRANSPOSE(unique(FILTER($K$17:$K$28,$J$17:$J$28=A561)))"),"")</f>
        <v/>
      </c>
      <c r="C561" s="443"/>
      <c r="D561" s="534" t="str">
        <f>IFERROR(__xludf.DUMMYFUNCTION("TRANSPOSE(unique(FILTER($K$17:$K$28,$J$17:$J$28=B561)))"),"")</f>
        <v/>
      </c>
    </row>
    <row r="562">
      <c r="A562" s="627"/>
      <c r="B562" s="627" t="str">
        <f>IFERROR(__xludf.DUMMYFUNCTION("TRANSPOSE(unique(FILTER($K$17:$K$28,$J$17:$J$28=A562)))"),"")</f>
        <v/>
      </c>
      <c r="C562" s="443"/>
      <c r="D562" s="534" t="str">
        <f>IFERROR(__xludf.DUMMYFUNCTION("TRANSPOSE(unique(FILTER($K$17:$K$28,$J$17:$J$28=B562)))"),"")</f>
        <v/>
      </c>
    </row>
    <row r="563">
      <c r="A563" s="627"/>
      <c r="B563" s="627" t="str">
        <f>IFERROR(__xludf.DUMMYFUNCTION("TRANSPOSE(unique(FILTER($K$17:$K$28,$J$17:$J$28=A563)))"),"")</f>
        <v/>
      </c>
      <c r="C563" s="443"/>
      <c r="D563" s="534" t="str">
        <f>IFERROR(__xludf.DUMMYFUNCTION("TRANSPOSE(unique(FILTER($K$17:$K$28,$J$17:$J$28=B563)))"),"")</f>
        <v/>
      </c>
    </row>
    <row r="564">
      <c r="A564" s="627"/>
      <c r="B564" s="627" t="str">
        <f>IFERROR(__xludf.DUMMYFUNCTION("TRANSPOSE(unique(FILTER($K$17:$K$28,$J$17:$J$28=A564)))"),"")</f>
        <v/>
      </c>
      <c r="C564" s="443"/>
      <c r="D564" s="534" t="str">
        <f>IFERROR(__xludf.DUMMYFUNCTION("TRANSPOSE(unique(FILTER($K$17:$K$28,$J$17:$J$28=B564)))"),"")</f>
        <v/>
      </c>
    </row>
    <row r="565">
      <c r="A565" s="627"/>
      <c r="B565" s="627" t="str">
        <f>IFERROR(__xludf.DUMMYFUNCTION("TRANSPOSE(unique(FILTER($K$17:$K$28,$J$17:$J$28=A565)))"),"")</f>
        <v/>
      </c>
      <c r="C565" s="443"/>
      <c r="D565" s="534" t="str">
        <f>IFERROR(__xludf.DUMMYFUNCTION("TRANSPOSE(unique(FILTER($K$17:$K$28,$J$17:$J$28=B565)))"),"")</f>
        <v/>
      </c>
    </row>
    <row r="566">
      <c r="A566" s="627"/>
      <c r="B566" s="627" t="str">
        <f>IFERROR(__xludf.DUMMYFUNCTION("TRANSPOSE(unique(FILTER($K$17:$K$28,$J$17:$J$28=A566)))"),"")</f>
        <v/>
      </c>
      <c r="C566" s="443"/>
      <c r="D566" s="534" t="str">
        <f>IFERROR(__xludf.DUMMYFUNCTION("TRANSPOSE(unique(FILTER($K$17:$K$28,$J$17:$J$28=B566)))"),"")</f>
        <v/>
      </c>
    </row>
    <row r="567">
      <c r="A567" s="627"/>
      <c r="B567" s="627" t="str">
        <f>IFERROR(__xludf.DUMMYFUNCTION("TRANSPOSE(unique(FILTER($K$17:$K$28,$J$17:$J$28=A567)))"),"")</f>
        <v/>
      </c>
      <c r="C567" s="443"/>
      <c r="D567" s="534" t="str">
        <f>IFERROR(__xludf.DUMMYFUNCTION("TRANSPOSE(unique(FILTER($K$17:$K$28,$J$17:$J$28=B567)))"),"")</f>
        <v/>
      </c>
    </row>
    <row r="568">
      <c r="A568" s="627"/>
      <c r="B568" s="627" t="str">
        <f>IFERROR(__xludf.DUMMYFUNCTION("TRANSPOSE(unique(FILTER($K$17:$K$28,$J$17:$J$28=A568)))"),"")</f>
        <v/>
      </c>
      <c r="C568" s="443"/>
      <c r="D568" s="534" t="str">
        <f>IFERROR(__xludf.DUMMYFUNCTION("TRANSPOSE(unique(FILTER($K$17:$K$28,$J$17:$J$28=B568)))"),"")</f>
        <v/>
      </c>
    </row>
    <row r="569">
      <c r="A569" s="627"/>
      <c r="B569" s="627" t="str">
        <f>IFERROR(__xludf.DUMMYFUNCTION("TRANSPOSE(unique(FILTER($K$17:$K$28,$J$17:$J$28=A569)))"),"")</f>
        <v/>
      </c>
      <c r="C569" s="443"/>
      <c r="D569" s="534" t="str">
        <f>IFERROR(__xludf.DUMMYFUNCTION("TRANSPOSE(unique(FILTER($K$17:$K$28,$J$17:$J$28=B569)))"),"")</f>
        <v/>
      </c>
    </row>
    <row r="570">
      <c r="A570" s="627"/>
      <c r="B570" s="627" t="str">
        <f>IFERROR(__xludf.DUMMYFUNCTION("TRANSPOSE(unique(FILTER($K$17:$K$28,$J$17:$J$28=A570)))"),"")</f>
        <v/>
      </c>
      <c r="C570" s="443"/>
      <c r="D570" s="534" t="str">
        <f>IFERROR(__xludf.DUMMYFUNCTION("TRANSPOSE(unique(FILTER($K$17:$K$28,$J$17:$J$28=B570)))"),"")</f>
        <v/>
      </c>
    </row>
    <row r="571">
      <c r="A571" s="627"/>
      <c r="B571" s="627" t="str">
        <f>IFERROR(__xludf.DUMMYFUNCTION("TRANSPOSE(unique(FILTER($K$17:$K$28,$J$17:$J$28=A571)))"),"")</f>
        <v/>
      </c>
      <c r="C571" s="443"/>
      <c r="D571" s="534" t="str">
        <f>IFERROR(__xludf.DUMMYFUNCTION("TRANSPOSE(unique(FILTER($K$17:$K$28,$J$17:$J$28=B571)))"),"")</f>
        <v/>
      </c>
    </row>
    <row r="572">
      <c r="A572" s="627"/>
      <c r="B572" s="627" t="str">
        <f>IFERROR(__xludf.DUMMYFUNCTION("TRANSPOSE(unique(FILTER($K$17:$K$28,$J$17:$J$28=A572)))"),"")</f>
        <v/>
      </c>
      <c r="C572" s="443"/>
      <c r="D572" s="534" t="str">
        <f>IFERROR(__xludf.DUMMYFUNCTION("TRANSPOSE(unique(FILTER($K$17:$K$28,$J$17:$J$28=B572)))"),"")</f>
        <v/>
      </c>
    </row>
    <row r="573">
      <c r="A573" s="627"/>
      <c r="B573" s="627" t="str">
        <f>IFERROR(__xludf.DUMMYFUNCTION("TRANSPOSE(unique(FILTER($K$17:$K$28,$J$17:$J$28=A573)))"),"")</f>
        <v/>
      </c>
      <c r="C573" s="443"/>
      <c r="D573" s="534" t="str">
        <f>IFERROR(__xludf.DUMMYFUNCTION("TRANSPOSE(unique(FILTER($K$17:$K$28,$J$17:$J$28=B573)))"),"")</f>
        <v/>
      </c>
    </row>
    <row r="574">
      <c r="A574" s="627"/>
      <c r="B574" s="627" t="str">
        <f>IFERROR(__xludf.DUMMYFUNCTION("TRANSPOSE(unique(FILTER($K$17:$K$28,$J$17:$J$28=A574)))"),"")</f>
        <v/>
      </c>
      <c r="C574" s="443"/>
      <c r="D574" s="534" t="str">
        <f>IFERROR(__xludf.DUMMYFUNCTION("TRANSPOSE(unique(FILTER($K$17:$K$28,$J$17:$J$28=B574)))"),"")</f>
        <v/>
      </c>
    </row>
    <row r="575">
      <c r="A575" s="627"/>
      <c r="B575" s="627" t="str">
        <f>IFERROR(__xludf.DUMMYFUNCTION("TRANSPOSE(unique(FILTER($K$17:$K$28,$J$17:$J$28=A575)))"),"")</f>
        <v/>
      </c>
      <c r="C575" s="443"/>
      <c r="D575" s="534" t="str">
        <f>IFERROR(__xludf.DUMMYFUNCTION("TRANSPOSE(unique(FILTER($K$17:$K$28,$J$17:$J$28=B575)))"),"")</f>
        <v/>
      </c>
    </row>
    <row r="576">
      <c r="A576" s="627"/>
      <c r="B576" s="627" t="str">
        <f>IFERROR(__xludf.DUMMYFUNCTION("TRANSPOSE(unique(FILTER($K$17:$K$28,$J$17:$J$28=A576)))"),"")</f>
        <v/>
      </c>
      <c r="C576" s="443"/>
      <c r="D576" s="534" t="str">
        <f>IFERROR(__xludf.DUMMYFUNCTION("TRANSPOSE(unique(FILTER($K$17:$K$28,$J$17:$J$28=B576)))"),"")</f>
        <v/>
      </c>
    </row>
    <row r="577">
      <c r="A577" s="627"/>
      <c r="B577" s="627" t="str">
        <f>IFERROR(__xludf.DUMMYFUNCTION("TRANSPOSE(unique(FILTER($K$17:$K$28,$J$17:$J$28=A577)))"),"")</f>
        <v/>
      </c>
      <c r="C577" s="443"/>
      <c r="D577" s="534" t="str">
        <f>IFERROR(__xludf.DUMMYFUNCTION("TRANSPOSE(unique(FILTER($K$17:$K$28,$J$17:$J$28=B577)))"),"")</f>
        <v/>
      </c>
    </row>
    <row r="578">
      <c r="A578" s="627"/>
      <c r="B578" s="627" t="str">
        <f>IFERROR(__xludf.DUMMYFUNCTION("TRANSPOSE(unique(FILTER($K$17:$K$28,$J$17:$J$28=A578)))"),"")</f>
        <v/>
      </c>
      <c r="C578" s="443"/>
      <c r="D578" s="534" t="str">
        <f>IFERROR(__xludf.DUMMYFUNCTION("TRANSPOSE(unique(FILTER($K$17:$K$28,$J$17:$J$28=B578)))"),"")</f>
        <v/>
      </c>
    </row>
    <row r="579">
      <c r="A579" s="627"/>
      <c r="B579" s="627" t="str">
        <f>IFERROR(__xludf.DUMMYFUNCTION("TRANSPOSE(unique(FILTER($K$17:$K$28,$J$17:$J$28=A579)))"),"")</f>
        <v/>
      </c>
      <c r="C579" s="443"/>
      <c r="D579" s="534" t="str">
        <f>IFERROR(__xludf.DUMMYFUNCTION("TRANSPOSE(unique(FILTER($K$17:$K$28,$J$17:$J$28=B579)))"),"")</f>
        <v/>
      </c>
    </row>
    <row r="580">
      <c r="A580" s="627"/>
      <c r="B580" s="627" t="str">
        <f>IFERROR(__xludf.DUMMYFUNCTION("TRANSPOSE(unique(FILTER($K$17:$K$28,$J$17:$J$28=A580)))"),"")</f>
        <v/>
      </c>
      <c r="C580" s="443"/>
      <c r="D580" s="534" t="str">
        <f>IFERROR(__xludf.DUMMYFUNCTION("TRANSPOSE(unique(FILTER($K$17:$K$28,$J$17:$J$28=B580)))"),"")</f>
        <v/>
      </c>
    </row>
    <row r="581">
      <c r="A581" s="627"/>
      <c r="B581" s="627" t="str">
        <f>IFERROR(__xludf.DUMMYFUNCTION("TRANSPOSE(unique(FILTER($K$17:$K$28,$J$17:$J$28=A581)))"),"")</f>
        <v/>
      </c>
      <c r="C581" s="443"/>
      <c r="D581" s="534" t="str">
        <f>IFERROR(__xludf.DUMMYFUNCTION("TRANSPOSE(unique(FILTER($K$17:$K$28,$J$17:$J$28=B581)))"),"")</f>
        <v/>
      </c>
    </row>
    <row r="582">
      <c r="A582" s="627"/>
      <c r="B582" s="627" t="str">
        <f>IFERROR(__xludf.DUMMYFUNCTION("TRANSPOSE(unique(FILTER($K$17:$K$28,$J$17:$J$28=A582)))"),"")</f>
        <v/>
      </c>
      <c r="C582" s="443"/>
      <c r="D582" s="534" t="str">
        <f>IFERROR(__xludf.DUMMYFUNCTION("TRANSPOSE(unique(FILTER($K$17:$K$28,$J$17:$J$28=B582)))"),"")</f>
        <v/>
      </c>
    </row>
    <row r="583">
      <c r="A583" s="627"/>
      <c r="B583" s="627" t="str">
        <f>IFERROR(__xludf.DUMMYFUNCTION("TRANSPOSE(unique(FILTER($K$17:$K$28,$J$17:$J$28=A583)))"),"")</f>
        <v/>
      </c>
      <c r="C583" s="443"/>
      <c r="D583" s="534" t="str">
        <f>IFERROR(__xludf.DUMMYFUNCTION("TRANSPOSE(unique(FILTER($K$17:$K$28,$J$17:$J$28=B583)))"),"")</f>
        <v/>
      </c>
    </row>
    <row r="584">
      <c r="A584" s="627"/>
      <c r="B584" s="627" t="str">
        <f>IFERROR(__xludf.DUMMYFUNCTION("TRANSPOSE(unique(FILTER($K$17:$K$28,$J$17:$J$28=A584)))"),"")</f>
        <v/>
      </c>
      <c r="C584" s="443"/>
      <c r="D584" s="534" t="str">
        <f>IFERROR(__xludf.DUMMYFUNCTION("TRANSPOSE(unique(FILTER($K$17:$K$28,$J$17:$J$28=B584)))"),"")</f>
        <v/>
      </c>
    </row>
    <row r="585">
      <c r="A585" s="627"/>
      <c r="B585" s="627" t="str">
        <f>IFERROR(__xludf.DUMMYFUNCTION("TRANSPOSE(unique(FILTER($K$17:$K$28,$J$17:$J$28=A585)))"),"")</f>
        <v/>
      </c>
      <c r="C585" s="443"/>
      <c r="D585" s="534" t="str">
        <f>IFERROR(__xludf.DUMMYFUNCTION("TRANSPOSE(unique(FILTER($K$17:$K$28,$J$17:$J$28=B585)))"),"")</f>
        <v/>
      </c>
    </row>
    <row r="586">
      <c r="A586" s="627"/>
      <c r="B586" s="627" t="str">
        <f>IFERROR(__xludf.DUMMYFUNCTION("TRANSPOSE(unique(FILTER($K$17:$K$28,$J$17:$J$28=A586)))"),"")</f>
        <v/>
      </c>
      <c r="C586" s="443"/>
      <c r="D586" s="534" t="str">
        <f>IFERROR(__xludf.DUMMYFUNCTION("TRANSPOSE(unique(FILTER($K$17:$K$28,$J$17:$J$28=B586)))"),"")</f>
        <v/>
      </c>
    </row>
    <row r="587">
      <c r="A587" s="627"/>
      <c r="B587" s="627" t="str">
        <f>IFERROR(__xludf.DUMMYFUNCTION("TRANSPOSE(unique(FILTER($K$17:$K$28,$J$17:$J$28=A587)))"),"")</f>
        <v/>
      </c>
      <c r="C587" s="443"/>
      <c r="D587" s="534" t="str">
        <f>IFERROR(__xludf.DUMMYFUNCTION("TRANSPOSE(unique(FILTER($K$17:$K$28,$J$17:$J$28=B587)))"),"")</f>
        <v/>
      </c>
    </row>
    <row r="588">
      <c r="A588" s="627"/>
      <c r="B588" s="627" t="str">
        <f>IFERROR(__xludf.DUMMYFUNCTION("TRANSPOSE(unique(FILTER($K$17:$K$28,$J$17:$J$28=A588)))"),"")</f>
        <v/>
      </c>
      <c r="C588" s="443"/>
      <c r="D588" s="534" t="str">
        <f>IFERROR(__xludf.DUMMYFUNCTION("TRANSPOSE(unique(FILTER($K$17:$K$28,$J$17:$J$28=B588)))"),"")</f>
        <v/>
      </c>
    </row>
    <row r="589">
      <c r="A589" s="627"/>
      <c r="B589" s="627" t="str">
        <f>IFERROR(__xludf.DUMMYFUNCTION("TRANSPOSE(unique(FILTER($K$17:$K$28,$J$17:$J$28=A589)))"),"")</f>
        <v/>
      </c>
      <c r="C589" s="443"/>
      <c r="D589" s="534" t="str">
        <f>IFERROR(__xludf.DUMMYFUNCTION("TRANSPOSE(unique(FILTER($K$17:$K$28,$J$17:$J$28=B589)))"),"")</f>
        <v/>
      </c>
    </row>
    <row r="590">
      <c r="A590" s="627"/>
      <c r="B590" s="627" t="str">
        <f>IFERROR(__xludf.DUMMYFUNCTION("TRANSPOSE(unique(FILTER($K$17:$K$28,$J$17:$J$28=A590)))"),"")</f>
        <v/>
      </c>
      <c r="C590" s="443"/>
      <c r="D590" s="534" t="str">
        <f>IFERROR(__xludf.DUMMYFUNCTION("TRANSPOSE(unique(FILTER($K$17:$K$28,$J$17:$J$28=B590)))"),"")</f>
        <v/>
      </c>
    </row>
    <row r="591">
      <c r="A591" s="627"/>
      <c r="B591" s="627" t="str">
        <f>IFERROR(__xludf.DUMMYFUNCTION("TRANSPOSE(unique(FILTER($K$17:$K$28,$J$17:$J$28=A591)))"),"")</f>
        <v/>
      </c>
      <c r="C591" s="443"/>
      <c r="D591" s="534" t="str">
        <f>IFERROR(__xludf.DUMMYFUNCTION("TRANSPOSE(unique(FILTER($K$17:$K$28,$J$17:$J$28=B591)))"),"")</f>
        <v/>
      </c>
    </row>
    <row r="592">
      <c r="A592" s="627"/>
      <c r="B592" s="627" t="str">
        <f>IFERROR(__xludf.DUMMYFUNCTION("TRANSPOSE(unique(FILTER($K$17:$K$28,$J$17:$J$28=A592)))"),"")</f>
        <v/>
      </c>
      <c r="C592" s="443"/>
      <c r="D592" s="534" t="str">
        <f>IFERROR(__xludf.DUMMYFUNCTION("TRANSPOSE(unique(FILTER($K$17:$K$28,$J$17:$J$28=B592)))"),"")</f>
        <v/>
      </c>
    </row>
    <row r="593">
      <c r="A593" s="627"/>
      <c r="B593" s="627" t="str">
        <f>IFERROR(__xludf.DUMMYFUNCTION("TRANSPOSE(unique(FILTER($K$17:$K$28,$J$17:$J$28=A593)))"),"")</f>
        <v/>
      </c>
      <c r="C593" s="443"/>
      <c r="D593" s="534" t="str">
        <f>IFERROR(__xludf.DUMMYFUNCTION("TRANSPOSE(unique(FILTER($K$17:$K$28,$J$17:$J$28=B593)))"),"")</f>
        <v/>
      </c>
    </row>
    <row r="594">
      <c r="A594" s="627"/>
      <c r="B594" s="627" t="str">
        <f>IFERROR(__xludf.DUMMYFUNCTION("TRANSPOSE(unique(FILTER($K$17:$K$28,$J$17:$J$28=A594)))"),"")</f>
        <v/>
      </c>
      <c r="C594" s="443"/>
      <c r="D594" s="534" t="str">
        <f>IFERROR(__xludf.DUMMYFUNCTION("TRANSPOSE(unique(FILTER($K$17:$K$28,$J$17:$J$28=B594)))"),"")</f>
        <v/>
      </c>
    </row>
    <row r="595">
      <c r="A595" s="627"/>
      <c r="B595" s="627" t="str">
        <f>IFERROR(__xludf.DUMMYFUNCTION("TRANSPOSE(unique(FILTER($K$17:$K$28,$J$17:$J$28=A595)))"),"")</f>
        <v/>
      </c>
      <c r="C595" s="443"/>
      <c r="D595" s="534" t="str">
        <f>IFERROR(__xludf.DUMMYFUNCTION("TRANSPOSE(unique(FILTER($K$17:$K$28,$J$17:$J$28=B595)))"),"")</f>
        <v/>
      </c>
    </row>
    <row r="596">
      <c r="A596" s="627"/>
      <c r="B596" s="627" t="str">
        <f>IFERROR(__xludf.DUMMYFUNCTION("TRANSPOSE(unique(FILTER($K$17:$K$28,$J$17:$J$28=A596)))"),"")</f>
        <v/>
      </c>
      <c r="C596" s="443"/>
      <c r="D596" s="534" t="str">
        <f>IFERROR(__xludf.DUMMYFUNCTION("TRANSPOSE(unique(FILTER($K$17:$K$28,$J$17:$J$28=B596)))"),"")</f>
        <v/>
      </c>
    </row>
    <row r="597">
      <c r="A597" s="627"/>
      <c r="B597" s="627" t="str">
        <f>IFERROR(__xludf.DUMMYFUNCTION("TRANSPOSE(unique(FILTER($K$17:$K$28,$J$17:$J$28=A597)))"),"")</f>
        <v/>
      </c>
      <c r="C597" s="443"/>
      <c r="D597" s="534" t="str">
        <f>IFERROR(__xludf.DUMMYFUNCTION("TRANSPOSE(unique(FILTER($K$17:$K$28,$J$17:$J$28=B597)))"),"")</f>
        <v/>
      </c>
    </row>
    <row r="598">
      <c r="A598" s="627"/>
      <c r="B598" s="627" t="str">
        <f>IFERROR(__xludf.DUMMYFUNCTION("TRANSPOSE(unique(FILTER($K$17:$K$28,$J$17:$J$28=A598)))"),"")</f>
        <v/>
      </c>
      <c r="C598" s="443"/>
      <c r="D598" s="534" t="str">
        <f>IFERROR(__xludf.DUMMYFUNCTION("TRANSPOSE(unique(FILTER($K$17:$K$28,$J$17:$J$28=B598)))"),"")</f>
        <v/>
      </c>
    </row>
    <row r="599">
      <c r="A599" s="627"/>
      <c r="B599" s="627" t="str">
        <f>IFERROR(__xludf.DUMMYFUNCTION("TRANSPOSE(unique(FILTER($K$17:$K$28,$J$17:$J$28=A599)))"),"")</f>
        <v/>
      </c>
      <c r="C599" s="443"/>
      <c r="D599" s="534" t="str">
        <f>IFERROR(__xludf.DUMMYFUNCTION("TRANSPOSE(unique(FILTER($K$17:$K$28,$J$17:$J$28=B599)))"),"")</f>
        <v/>
      </c>
    </row>
    <row r="600">
      <c r="A600" s="627"/>
      <c r="B600" s="627" t="str">
        <f>IFERROR(__xludf.DUMMYFUNCTION("TRANSPOSE(unique(FILTER($K$17:$K$28,$J$17:$J$28=A600)))"),"")</f>
        <v/>
      </c>
      <c r="C600" s="443"/>
      <c r="D600" s="534" t="str">
        <f>IFERROR(__xludf.DUMMYFUNCTION("TRANSPOSE(unique(FILTER($K$17:$K$28,$J$17:$J$28=B600)))"),"")</f>
        <v/>
      </c>
    </row>
    <row r="601">
      <c r="A601" s="627"/>
      <c r="B601" s="627" t="str">
        <f>IFERROR(__xludf.DUMMYFUNCTION("TRANSPOSE(unique(FILTER($K$17:$K$28,$J$17:$J$28=A601)))"),"")</f>
        <v/>
      </c>
      <c r="C601" s="443"/>
      <c r="D601" s="534" t="str">
        <f>IFERROR(__xludf.DUMMYFUNCTION("TRANSPOSE(unique(FILTER($K$17:$K$28,$J$17:$J$28=B601)))"),"")</f>
        <v/>
      </c>
    </row>
    <row r="602">
      <c r="A602" s="627"/>
      <c r="B602" s="627" t="str">
        <f>IFERROR(__xludf.DUMMYFUNCTION("TRANSPOSE(unique(FILTER($K$17:$K$28,$J$17:$J$28=A602)))"),"")</f>
        <v/>
      </c>
      <c r="C602" s="443"/>
      <c r="D602" s="534" t="str">
        <f>IFERROR(__xludf.DUMMYFUNCTION("TRANSPOSE(unique(FILTER($K$17:$K$28,$J$17:$J$28=B602)))"),"")</f>
        <v/>
      </c>
    </row>
    <row r="603">
      <c r="A603" s="627"/>
      <c r="B603" s="627" t="str">
        <f>IFERROR(__xludf.DUMMYFUNCTION("TRANSPOSE(unique(FILTER($K$17:$K$28,$J$17:$J$28=A603)))"),"")</f>
        <v/>
      </c>
      <c r="C603" s="443"/>
      <c r="D603" s="534" t="str">
        <f>IFERROR(__xludf.DUMMYFUNCTION("TRANSPOSE(unique(FILTER($K$17:$K$28,$J$17:$J$28=B603)))"),"")</f>
        <v/>
      </c>
    </row>
    <row r="604">
      <c r="A604" s="627"/>
      <c r="B604" s="627" t="str">
        <f>IFERROR(__xludf.DUMMYFUNCTION("TRANSPOSE(unique(FILTER($K$17:$K$28,$J$17:$J$28=A604)))"),"")</f>
        <v/>
      </c>
      <c r="C604" s="443"/>
      <c r="D604" s="534" t="str">
        <f>IFERROR(__xludf.DUMMYFUNCTION("TRANSPOSE(unique(FILTER($K$17:$K$28,$J$17:$J$28=B604)))"),"")</f>
        <v/>
      </c>
    </row>
    <row r="605">
      <c r="A605" s="627"/>
      <c r="B605" s="627" t="str">
        <f>IFERROR(__xludf.DUMMYFUNCTION("TRANSPOSE(unique(FILTER($K$17:$K$28,$J$17:$J$28=A605)))"),"")</f>
        <v/>
      </c>
      <c r="C605" s="443"/>
      <c r="D605" s="534" t="str">
        <f>IFERROR(__xludf.DUMMYFUNCTION("TRANSPOSE(unique(FILTER($K$17:$K$28,$J$17:$J$28=B605)))"),"")</f>
        <v/>
      </c>
    </row>
    <row r="606">
      <c r="A606" s="627"/>
      <c r="B606" s="627" t="str">
        <f>IFERROR(__xludf.DUMMYFUNCTION("TRANSPOSE(unique(FILTER($K$17:$K$28,$J$17:$J$28=A606)))"),"")</f>
        <v/>
      </c>
      <c r="C606" s="443"/>
      <c r="D606" s="534" t="str">
        <f>IFERROR(__xludf.DUMMYFUNCTION("TRANSPOSE(unique(FILTER($K$17:$K$28,$J$17:$J$28=B606)))"),"")</f>
        <v/>
      </c>
    </row>
    <row r="607">
      <c r="A607" s="627"/>
      <c r="B607" s="627" t="str">
        <f>IFERROR(__xludf.DUMMYFUNCTION("TRANSPOSE(unique(FILTER($K$17:$K$28,$J$17:$J$28=A607)))"),"")</f>
        <v/>
      </c>
      <c r="C607" s="443"/>
      <c r="D607" s="534" t="str">
        <f>IFERROR(__xludf.DUMMYFUNCTION("TRANSPOSE(unique(FILTER($K$17:$K$28,$J$17:$J$28=B607)))"),"")</f>
        <v/>
      </c>
    </row>
    <row r="608">
      <c r="A608" s="627"/>
      <c r="B608" s="627" t="str">
        <f>IFERROR(__xludf.DUMMYFUNCTION("TRANSPOSE(unique(FILTER($K$17:$K$28,$J$17:$J$28=A608)))"),"")</f>
        <v/>
      </c>
      <c r="C608" s="443"/>
      <c r="D608" s="534" t="str">
        <f>IFERROR(__xludf.DUMMYFUNCTION("TRANSPOSE(unique(FILTER($K$17:$K$28,$J$17:$J$28=B608)))"),"")</f>
        <v/>
      </c>
    </row>
    <row r="609">
      <c r="A609" s="627"/>
      <c r="B609" s="627" t="str">
        <f>IFERROR(__xludf.DUMMYFUNCTION("TRANSPOSE(unique(FILTER($K$17:$K$28,$J$17:$J$28=A609)))"),"")</f>
        <v/>
      </c>
      <c r="C609" s="443"/>
      <c r="D609" s="534" t="str">
        <f>IFERROR(__xludf.DUMMYFUNCTION("TRANSPOSE(unique(FILTER($K$17:$K$28,$J$17:$J$28=B609)))"),"")</f>
        <v/>
      </c>
    </row>
    <row r="610">
      <c r="A610" s="627"/>
      <c r="B610" s="627" t="str">
        <f>IFERROR(__xludf.DUMMYFUNCTION("TRANSPOSE(unique(FILTER($K$17:$K$28,$J$17:$J$28=A610)))"),"")</f>
        <v/>
      </c>
      <c r="C610" s="443"/>
      <c r="D610" s="534" t="str">
        <f>IFERROR(__xludf.DUMMYFUNCTION("TRANSPOSE(unique(FILTER($K$17:$K$28,$J$17:$J$28=B610)))"),"")</f>
        <v/>
      </c>
    </row>
    <row r="611">
      <c r="A611" s="627"/>
      <c r="B611" s="627" t="str">
        <f>IFERROR(__xludf.DUMMYFUNCTION("TRANSPOSE(unique(FILTER($K$17:$K$28,$J$17:$J$28=A611)))"),"")</f>
        <v/>
      </c>
      <c r="C611" s="443"/>
      <c r="D611" s="534" t="str">
        <f>IFERROR(__xludf.DUMMYFUNCTION("TRANSPOSE(unique(FILTER($K$17:$K$28,$J$17:$J$28=B611)))"),"")</f>
        <v/>
      </c>
    </row>
    <row r="612">
      <c r="A612" s="627"/>
      <c r="B612" s="627" t="str">
        <f>IFERROR(__xludf.DUMMYFUNCTION("TRANSPOSE(unique(FILTER($K$17:$K$28,$J$17:$J$28=A612)))"),"")</f>
        <v/>
      </c>
      <c r="C612" s="443"/>
      <c r="D612" s="534" t="str">
        <f>IFERROR(__xludf.DUMMYFUNCTION("TRANSPOSE(unique(FILTER($K$17:$K$28,$J$17:$J$28=B612)))"),"")</f>
        <v/>
      </c>
    </row>
    <row r="613">
      <c r="A613" s="627"/>
      <c r="B613" s="627" t="str">
        <f>IFERROR(__xludf.DUMMYFUNCTION("TRANSPOSE(unique(FILTER($K$17:$K$28,$J$17:$J$28=A613)))"),"")</f>
        <v/>
      </c>
      <c r="C613" s="443"/>
      <c r="D613" s="534" t="str">
        <f>IFERROR(__xludf.DUMMYFUNCTION("TRANSPOSE(unique(FILTER($K$17:$K$28,$J$17:$J$28=B613)))"),"")</f>
        <v/>
      </c>
    </row>
    <row r="614">
      <c r="A614" s="627"/>
      <c r="B614" s="627" t="str">
        <f>IFERROR(__xludf.DUMMYFUNCTION("TRANSPOSE(unique(FILTER($K$17:$K$28,$J$17:$J$28=A614)))"),"")</f>
        <v/>
      </c>
      <c r="C614" s="443"/>
      <c r="D614" s="534" t="str">
        <f>IFERROR(__xludf.DUMMYFUNCTION("TRANSPOSE(unique(FILTER($K$17:$K$28,$J$17:$J$28=B614)))"),"")</f>
        <v/>
      </c>
    </row>
    <row r="615">
      <c r="A615" s="627"/>
      <c r="B615" s="627" t="str">
        <f>IFERROR(__xludf.DUMMYFUNCTION("TRANSPOSE(unique(FILTER($K$17:$K$28,$J$17:$J$28=A615)))"),"")</f>
        <v/>
      </c>
      <c r="C615" s="443"/>
      <c r="D615" s="534" t="str">
        <f>IFERROR(__xludf.DUMMYFUNCTION("TRANSPOSE(unique(FILTER($K$17:$K$28,$J$17:$J$28=B615)))"),"")</f>
        <v/>
      </c>
    </row>
    <row r="616">
      <c r="A616" s="627"/>
      <c r="B616" s="627" t="str">
        <f>IFERROR(__xludf.DUMMYFUNCTION("TRANSPOSE(unique(FILTER($K$17:$K$28,$J$17:$J$28=A616)))"),"")</f>
        <v/>
      </c>
      <c r="C616" s="443"/>
      <c r="D616" s="534" t="str">
        <f>IFERROR(__xludf.DUMMYFUNCTION("TRANSPOSE(unique(FILTER($K$17:$K$28,$J$17:$J$28=B616)))"),"")</f>
        <v/>
      </c>
    </row>
    <row r="617">
      <c r="A617" s="627"/>
      <c r="B617" s="627" t="str">
        <f>IFERROR(__xludf.DUMMYFUNCTION("TRANSPOSE(unique(FILTER($K$17:$K$28,$J$17:$J$28=A617)))"),"")</f>
        <v/>
      </c>
      <c r="C617" s="443"/>
      <c r="D617" s="534" t="str">
        <f>IFERROR(__xludf.DUMMYFUNCTION("TRANSPOSE(unique(FILTER($K$17:$K$28,$J$17:$J$28=B617)))"),"")</f>
        <v/>
      </c>
    </row>
    <row r="618">
      <c r="A618" s="627"/>
      <c r="B618" s="627" t="str">
        <f>IFERROR(__xludf.DUMMYFUNCTION("TRANSPOSE(unique(FILTER($K$17:$K$28,$J$17:$J$28=A618)))"),"")</f>
        <v/>
      </c>
      <c r="C618" s="443"/>
      <c r="D618" s="534" t="str">
        <f>IFERROR(__xludf.DUMMYFUNCTION("TRANSPOSE(unique(FILTER($K$17:$K$28,$J$17:$J$28=B618)))"),"")</f>
        <v/>
      </c>
    </row>
    <row r="619">
      <c r="A619" s="627"/>
      <c r="B619" s="627" t="str">
        <f>IFERROR(__xludf.DUMMYFUNCTION("TRANSPOSE(unique(FILTER($K$17:$K$28,$J$17:$J$28=A619)))"),"")</f>
        <v/>
      </c>
      <c r="C619" s="443"/>
      <c r="D619" s="534" t="str">
        <f>IFERROR(__xludf.DUMMYFUNCTION("TRANSPOSE(unique(FILTER($K$17:$K$28,$J$17:$J$28=B619)))"),"")</f>
        <v/>
      </c>
    </row>
    <row r="620">
      <c r="A620" s="627"/>
      <c r="B620" s="627" t="str">
        <f>IFERROR(__xludf.DUMMYFUNCTION("TRANSPOSE(unique(FILTER($K$17:$K$28,$J$17:$J$28=A620)))"),"")</f>
        <v/>
      </c>
      <c r="C620" s="443"/>
      <c r="D620" s="534" t="str">
        <f>IFERROR(__xludf.DUMMYFUNCTION("TRANSPOSE(unique(FILTER($K$17:$K$28,$J$17:$J$28=B620)))"),"")</f>
        <v/>
      </c>
    </row>
    <row r="621">
      <c r="A621" s="627"/>
      <c r="B621" s="627" t="str">
        <f>IFERROR(__xludf.DUMMYFUNCTION("TRANSPOSE(unique(FILTER($K$17:$K$28,$J$17:$J$28=A621)))"),"")</f>
        <v/>
      </c>
      <c r="C621" s="443"/>
      <c r="D621" s="534" t="str">
        <f>IFERROR(__xludf.DUMMYFUNCTION("TRANSPOSE(unique(FILTER($K$17:$K$28,$J$17:$J$28=B621)))"),"")</f>
        <v/>
      </c>
    </row>
    <row r="622">
      <c r="A622" s="627"/>
      <c r="B622" s="627" t="str">
        <f>IFERROR(__xludf.DUMMYFUNCTION("TRANSPOSE(unique(FILTER($K$17:$K$28,$J$17:$J$28=A622)))"),"")</f>
        <v/>
      </c>
      <c r="C622" s="443"/>
      <c r="D622" s="534" t="str">
        <f>IFERROR(__xludf.DUMMYFUNCTION("TRANSPOSE(unique(FILTER($K$17:$K$28,$J$17:$J$28=B622)))"),"")</f>
        <v/>
      </c>
    </row>
    <row r="623">
      <c r="A623" s="627"/>
      <c r="B623" s="627" t="str">
        <f>IFERROR(__xludf.DUMMYFUNCTION("TRANSPOSE(unique(FILTER($K$17:$K$28,$J$17:$J$28=A623)))"),"")</f>
        <v/>
      </c>
      <c r="C623" s="443"/>
      <c r="D623" s="534" t="str">
        <f>IFERROR(__xludf.DUMMYFUNCTION("TRANSPOSE(unique(FILTER($K$17:$K$28,$J$17:$J$28=B623)))"),"")</f>
        <v/>
      </c>
    </row>
    <row r="624">
      <c r="A624" s="627"/>
      <c r="B624" s="627" t="str">
        <f>IFERROR(__xludf.DUMMYFUNCTION("TRANSPOSE(unique(FILTER($K$17:$K$28,$J$17:$J$28=A624)))"),"")</f>
        <v/>
      </c>
      <c r="C624" s="443"/>
      <c r="D624" s="534" t="str">
        <f>IFERROR(__xludf.DUMMYFUNCTION("TRANSPOSE(unique(FILTER($K$17:$K$28,$J$17:$J$28=B624)))"),"")</f>
        <v/>
      </c>
    </row>
    <row r="625">
      <c r="A625" s="627"/>
      <c r="B625" s="627" t="str">
        <f>IFERROR(__xludf.DUMMYFUNCTION("TRANSPOSE(unique(FILTER($K$17:$K$28,$J$17:$J$28=A625)))"),"")</f>
        <v/>
      </c>
      <c r="C625" s="443"/>
      <c r="D625" s="534" t="str">
        <f>IFERROR(__xludf.DUMMYFUNCTION("TRANSPOSE(unique(FILTER($K$17:$K$28,$J$17:$J$28=B625)))"),"")</f>
        <v/>
      </c>
    </row>
    <row r="626">
      <c r="A626" s="627"/>
      <c r="B626" s="627" t="str">
        <f>IFERROR(__xludf.DUMMYFUNCTION("TRANSPOSE(unique(FILTER($K$17:$K$28,$J$17:$J$28=A626)))"),"")</f>
        <v/>
      </c>
      <c r="C626" s="443"/>
      <c r="D626" s="534" t="str">
        <f>IFERROR(__xludf.DUMMYFUNCTION("TRANSPOSE(unique(FILTER($K$17:$K$28,$J$17:$J$28=B626)))"),"")</f>
        <v/>
      </c>
    </row>
    <row r="627">
      <c r="A627" s="627"/>
      <c r="B627" s="627" t="str">
        <f>IFERROR(__xludf.DUMMYFUNCTION("TRANSPOSE(unique(FILTER($K$17:$K$28,$J$17:$J$28=A627)))"),"")</f>
        <v/>
      </c>
      <c r="C627" s="443"/>
      <c r="D627" s="534" t="str">
        <f>IFERROR(__xludf.DUMMYFUNCTION("TRANSPOSE(unique(FILTER($K$17:$K$28,$J$17:$J$28=B627)))"),"")</f>
        <v/>
      </c>
    </row>
    <row r="628">
      <c r="A628" s="627"/>
      <c r="B628" s="627" t="str">
        <f>IFERROR(__xludf.DUMMYFUNCTION("TRANSPOSE(unique(FILTER($K$17:$K$28,$J$17:$J$28=A628)))"),"")</f>
        <v/>
      </c>
      <c r="C628" s="443"/>
      <c r="D628" s="534" t="str">
        <f>IFERROR(__xludf.DUMMYFUNCTION("TRANSPOSE(unique(FILTER($K$17:$K$28,$J$17:$J$28=B628)))"),"")</f>
        <v/>
      </c>
    </row>
    <row r="629">
      <c r="A629" s="627"/>
      <c r="B629" s="627" t="str">
        <f>IFERROR(__xludf.DUMMYFUNCTION("TRANSPOSE(unique(FILTER($K$17:$K$28,$J$17:$J$28=A629)))"),"")</f>
        <v/>
      </c>
      <c r="C629" s="443"/>
      <c r="D629" s="534" t="str">
        <f>IFERROR(__xludf.DUMMYFUNCTION("TRANSPOSE(unique(FILTER($K$17:$K$28,$J$17:$J$28=B629)))"),"")</f>
        <v/>
      </c>
    </row>
    <row r="630">
      <c r="A630" s="627"/>
      <c r="B630" s="627" t="str">
        <f>IFERROR(__xludf.DUMMYFUNCTION("TRANSPOSE(unique(FILTER($K$17:$K$28,$J$17:$J$28=A630)))"),"")</f>
        <v/>
      </c>
      <c r="C630" s="443"/>
      <c r="D630" s="534" t="str">
        <f>IFERROR(__xludf.DUMMYFUNCTION("TRANSPOSE(unique(FILTER($K$17:$K$28,$J$17:$J$28=B630)))"),"")</f>
        <v/>
      </c>
    </row>
    <row r="631">
      <c r="A631" s="627"/>
      <c r="B631" s="627" t="str">
        <f>IFERROR(__xludf.DUMMYFUNCTION("TRANSPOSE(unique(FILTER($K$17:$K$28,$J$17:$J$28=A631)))"),"")</f>
        <v/>
      </c>
      <c r="C631" s="443"/>
      <c r="D631" s="534" t="str">
        <f>IFERROR(__xludf.DUMMYFUNCTION("TRANSPOSE(unique(FILTER($K$17:$K$28,$J$17:$J$28=B631)))"),"")</f>
        <v/>
      </c>
    </row>
    <row r="632">
      <c r="A632" s="627"/>
      <c r="B632" s="627" t="str">
        <f>IFERROR(__xludf.DUMMYFUNCTION("TRANSPOSE(unique(FILTER($K$17:$K$28,$J$17:$J$28=A632)))"),"")</f>
        <v/>
      </c>
      <c r="C632" s="443"/>
      <c r="D632" s="534" t="str">
        <f>IFERROR(__xludf.DUMMYFUNCTION("TRANSPOSE(unique(FILTER($K$17:$K$28,$J$17:$J$28=B632)))"),"")</f>
        <v/>
      </c>
    </row>
    <row r="633">
      <c r="A633" s="627"/>
      <c r="B633" s="627" t="str">
        <f>IFERROR(__xludf.DUMMYFUNCTION("TRANSPOSE(unique(FILTER($K$17:$K$28,$J$17:$J$28=A633)))"),"")</f>
        <v/>
      </c>
      <c r="C633" s="443"/>
      <c r="D633" s="534" t="str">
        <f>IFERROR(__xludf.DUMMYFUNCTION("TRANSPOSE(unique(FILTER($K$17:$K$28,$J$17:$J$28=B633)))"),"")</f>
        <v/>
      </c>
    </row>
    <row r="634">
      <c r="A634" s="627"/>
      <c r="B634" s="627" t="str">
        <f>IFERROR(__xludf.DUMMYFUNCTION("TRANSPOSE(unique(FILTER($K$17:$K$28,$J$17:$J$28=A634)))"),"")</f>
        <v/>
      </c>
      <c r="C634" s="443"/>
      <c r="D634" s="534" t="str">
        <f>IFERROR(__xludf.DUMMYFUNCTION("TRANSPOSE(unique(FILTER($K$17:$K$28,$J$17:$J$28=B634)))"),"")</f>
        <v/>
      </c>
    </row>
    <row r="635">
      <c r="A635" s="627"/>
      <c r="B635" s="627" t="str">
        <f>IFERROR(__xludf.DUMMYFUNCTION("TRANSPOSE(unique(FILTER($K$17:$K$28,$J$17:$J$28=A635)))"),"")</f>
        <v/>
      </c>
      <c r="C635" s="443"/>
      <c r="D635" s="534" t="str">
        <f>IFERROR(__xludf.DUMMYFUNCTION("TRANSPOSE(unique(FILTER($K$17:$K$28,$J$17:$J$28=B635)))"),"")</f>
        <v/>
      </c>
    </row>
    <row r="636">
      <c r="A636" s="627"/>
      <c r="B636" s="627" t="str">
        <f>IFERROR(__xludf.DUMMYFUNCTION("TRANSPOSE(unique(FILTER($K$17:$K$28,$J$17:$J$28=A636)))"),"")</f>
        <v/>
      </c>
      <c r="C636" s="443"/>
      <c r="D636" s="534" t="str">
        <f>IFERROR(__xludf.DUMMYFUNCTION("TRANSPOSE(unique(FILTER($K$17:$K$28,$J$17:$J$28=B636)))"),"")</f>
        <v/>
      </c>
    </row>
    <row r="637">
      <c r="A637" s="627"/>
      <c r="B637" s="627" t="str">
        <f>IFERROR(__xludf.DUMMYFUNCTION("TRANSPOSE(unique(FILTER($K$17:$K$28,$J$17:$J$28=A637)))"),"")</f>
        <v/>
      </c>
      <c r="C637" s="443"/>
      <c r="D637" s="534" t="str">
        <f>IFERROR(__xludf.DUMMYFUNCTION("TRANSPOSE(unique(FILTER($K$17:$K$28,$J$17:$J$28=B637)))"),"")</f>
        <v/>
      </c>
    </row>
    <row r="638">
      <c r="A638" s="627"/>
      <c r="B638" s="627" t="str">
        <f>IFERROR(__xludf.DUMMYFUNCTION("TRANSPOSE(unique(FILTER($K$17:$K$28,$J$17:$J$28=A638)))"),"")</f>
        <v/>
      </c>
      <c r="C638" s="443"/>
      <c r="D638" s="534" t="str">
        <f>IFERROR(__xludf.DUMMYFUNCTION("TRANSPOSE(unique(FILTER($K$17:$K$28,$J$17:$J$28=B638)))"),"")</f>
        <v/>
      </c>
    </row>
    <row r="639">
      <c r="A639" s="627"/>
      <c r="B639" s="627" t="str">
        <f>IFERROR(__xludf.DUMMYFUNCTION("TRANSPOSE(unique(FILTER($K$17:$K$28,$J$17:$J$28=A639)))"),"")</f>
        <v/>
      </c>
      <c r="C639" s="443"/>
      <c r="D639" s="534" t="str">
        <f>IFERROR(__xludf.DUMMYFUNCTION("TRANSPOSE(unique(FILTER($K$17:$K$28,$J$17:$J$28=B639)))"),"")</f>
        <v/>
      </c>
    </row>
    <row r="640">
      <c r="A640" s="627"/>
      <c r="B640" s="627" t="str">
        <f>IFERROR(__xludf.DUMMYFUNCTION("TRANSPOSE(unique(FILTER($K$17:$K$28,$J$17:$J$28=A640)))"),"")</f>
        <v/>
      </c>
      <c r="C640" s="443"/>
      <c r="D640" s="534" t="str">
        <f>IFERROR(__xludf.DUMMYFUNCTION("TRANSPOSE(unique(FILTER($K$17:$K$28,$J$17:$J$28=B640)))"),"")</f>
        <v/>
      </c>
    </row>
    <row r="641">
      <c r="A641" s="627"/>
      <c r="B641" s="627" t="str">
        <f>IFERROR(__xludf.DUMMYFUNCTION("TRANSPOSE(unique(FILTER($K$17:$K$28,$J$17:$J$28=A641)))"),"")</f>
        <v/>
      </c>
      <c r="C641" s="443"/>
      <c r="D641" s="534" t="str">
        <f>IFERROR(__xludf.DUMMYFUNCTION("TRANSPOSE(unique(FILTER($K$17:$K$28,$J$17:$J$28=B641)))"),"")</f>
        <v/>
      </c>
    </row>
    <row r="642">
      <c r="A642" s="627"/>
      <c r="B642" s="627" t="str">
        <f>IFERROR(__xludf.DUMMYFUNCTION("TRANSPOSE(unique(FILTER($K$17:$K$28,$J$17:$J$28=A642)))"),"")</f>
        <v/>
      </c>
      <c r="C642" s="443"/>
      <c r="D642" s="534" t="str">
        <f>IFERROR(__xludf.DUMMYFUNCTION("TRANSPOSE(unique(FILTER($K$17:$K$28,$J$17:$J$28=B642)))"),"")</f>
        <v/>
      </c>
    </row>
    <row r="643">
      <c r="A643" s="627"/>
      <c r="B643" s="627" t="str">
        <f>IFERROR(__xludf.DUMMYFUNCTION("TRANSPOSE(unique(FILTER($K$17:$K$28,$J$17:$J$28=A643)))"),"")</f>
        <v/>
      </c>
      <c r="C643" s="443"/>
      <c r="D643" s="534" t="str">
        <f>IFERROR(__xludf.DUMMYFUNCTION("TRANSPOSE(unique(FILTER($K$17:$K$28,$J$17:$J$28=B643)))"),"")</f>
        <v/>
      </c>
    </row>
    <row r="644">
      <c r="A644" s="627"/>
      <c r="B644" s="627" t="str">
        <f>IFERROR(__xludf.DUMMYFUNCTION("TRANSPOSE(unique(FILTER($K$17:$K$28,$J$17:$J$28=A644)))"),"")</f>
        <v/>
      </c>
      <c r="C644" s="443"/>
      <c r="D644" s="534" t="str">
        <f>IFERROR(__xludf.DUMMYFUNCTION("TRANSPOSE(unique(FILTER($K$17:$K$28,$J$17:$J$28=B644)))"),"")</f>
        <v/>
      </c>
    </row>
    <row r="645">
      <c r="A645" s="627"/>
      <c r="B645" s="627" t="str">
        <f>IFERROR(__xludf.DUMMYFUNCTION("TRANSPOSE(unique(FILTER($K$17:$K$28,$J$17:$J$28=A645)))"),"")</f>
        <v/>
      </c>
      <c r="C645" s="443"/>
      <c r="D645" s="534" t="str">
        <f>IFERROR(__xludf.DUMMYFUNCTION("TRANSPOSE(unique(FILTER($K$17:$K$28,$J$17:$J$28=B645)))"),"")</f>
        <v/>
      </c>
    </row>
    <row r="646">
      <c r="A646" s="627"/>
      <c r="B646" s="627" t="str">
        <f>IFERROR(__xludf.DUMMYFUNCTION("TRANSPOSE(unique(FILTER($K$17:$K$28,$J$17:$J$28=A646)))"),"")</f>
        <v/>
      </c>
      <c r="C646" s="443"/>
      <c r="D646" s="534" t="str">
        <f>IFERROR(__xludf.DUMMYFUNCTION("TRANSPOSE(unique(FILTER($K$17:$K$28,$J$17:$J$28=B646)))"),"")</f>
        <v/>
      </c>
    </row>
    <row r="647">
      <c r="A647" s="627"/>
      <c r="B647" s="627" t="str">
        <f>IFERROR(__xludf.DUMMYFUNCTION("TRANSPOSE(unique(FILTER($K$17:$K$28,$J$17:$J$28=A647)))"),"")</f>
        <v/>
      </c>
      <c r="C647" s="443"/>
      <c r="D647" s="534" t="str">
        <f>IFERROR(__xludf.DUMMYFUNCTION("TRANSPOSE(unique(FILTER($K$17:$K$28,$J$17:$J$28=B647)))"),"")</f>
        <v/>
      </c>
    </row>
    <row r="648">
      <c r="A648" s="627"/>
      <c r="B648" s="627" t="str">
        <f>IFERROR(__xludf.DUMMYFUNCTION("TRANSPOSE(unique(FILTER($K$17:$K$28,$J$17:$J$28=A648)))"),"")</f>
        <v/>
      </c>
      <c r="C648" s="443"/>
      <c r="D648" s="534" t="str">
        <f>IFERROR(__xludf.DUMMYFUNCTION("TRANSPOSE(unique(FILTER($K$17:$K$28,$J$17:$J$28=B648)))"),"")</f>
        <v/>
      </c>
    </row>
    <row r="649">
      <c r="A649" s="627"/>
      <c r="B649" s="627" t="str">
        <f>IFERROR(__xludf.DUMMYFUNCTION("TRANSPOSE(unique(FILTER($K$17:$K$28,$J$17:$J$28=A649)))"),"")</f>
        <v/>
      </c>
      <c r="C649" s="443"/>
      <c r="D649" s="534" t="str">
        <f>IFERROR(__xludf.DUMMYFUNCTION("TRANSPOSE(unique(FILTER($K$17:$K$28,$J$17:$J$28=B649)))"),"")</f>
        <v/>
      </c>
    </row>
    <row r="650">
      <c r="A650" s="627"/>
      <c r="B650" s="627" t="str">
        <f>IFERROR(__xludf.DUMMYFUNCTION("TRANSPOSE(unique(FILTER($K$17:$K$28,$J$17:$J$28=A650)))"),"")</f>
        <v/>
      </c>
      <c r="C650" s="443"/>
      <c r="D650" s="534" t="str">
        <f>IFERROR(__xludf.DUMMYFUNCTION("TRANSPOSE(unique(FILTER($K$17:$K$28,$J$17:$J$28=B650)))"),"")</f>
        <v/>
      </c>
    </row>
    <row r="651">
      <c r="A651" s="627"/>
      <c r="B651" s="627" t="str">
        <f>IFERROR(__xludf.DUMMYFUNCTION("TRANSPOSE(unique(FILTER($K$17:$K$28,$J$17:$J$28=A651)))"),"")</f>
        <v/>
      </c>
      <c r="C651" s="443"/>
      <c r="D651" s="534" t="str">
        <f>IFERROR(__xludf.DUMMYFUNCTION("TRANSPOSE(unique(FILTER($K$17:$K$28,$J$17:$J$28=B651)))"),"")</f>
        <v/>
      </c>
    </row>
    <row r="652">
      <c r="A652" s="627"/>
      <c r="B652" s="627" t="str">
        <f>IFERROR(__xludf.DUMMYFUNCTION("TRANSPOSE(unique(FILTER($K$17:$K$28,$J$17:$J$28=A652)))"),"")</f>
        <v/>
      </c>
      <c r="C652" s="443"/>
      <c r="D652" s="534" t="str">
        <f>IFERROR(__xludf.DUMMYFUNCTION("TRANSPOSE(unique(FILTER($K$17:$K$28,$J$17:$J$28=B652)))"),"")</f>
        <v/>
      </c>
    </row>
    <row r="653">
      <c r="A653" s="627"/>
      <c r="B653" s="627" t="str">
        <f>IFERROR(__xludf.DUMMYFUNCTION("TRANSPOSE(unique(FILTER($K$17:$K$28,$J$17:$J$28=A653)))"),"")</f>
        <v/>
      </c>
      <c r="C653" s="443"/>
      <c r="D653" s="534" t="str">
        <f>IFERROR(__xludf.DUMMYFUNCTION("TRANSPOSE(unique(FILTER($K$17:$K$28,$J$17:$J$28=B653)))"),"")</f>
        <v/>
      </c>
    </row>
    <row r="654">
      <c r="A654" s="627"/>
      <c r="B654" s="627" t="str">
        <f>IFERROR(__xludf.DUMMYFUNCTION("TRANSPOSE(unique(FILTER($K$17:$K$28,$J$17:$J$28=A654)))"),"")</f>
        <v/>
      </c>
      <c r="C654" s="443"/>
      <c r="D654" s="534" t="str">
        <f>IFERROR(__xludf.DUMMYFUNCTION("TRANSPOSE(unique(FILTER($K$17:$K$28,$J$17:$J$28=B654)))"),"")</f>
        <v/>
      </c>
    </row>
    <row r="655">
      <c r="A655" s="627"/>
      <c r="B655" s="627" t="str">
        <f>IFERROR(__xludf.DUMMYFUNCTION("TRANSPOSE(unique(FILTER($K$17:$K$28,$J$17:$J$28=A655)))"),"")</f>
        <v/>
      </c>
      <c r="C655" s="443"/>
      <c r="D655" s="534" t="str">
        <f>IFERROR(__xludf.DUMMYFUNCTION("TRANSPOSE(unique(FILTER($K$17:$K$28,$J$17:$J$28=B655)))"),"")</f>
        <v/>
      </c>
    </row>
    <row r="656">
      <c r="A656" s="627"/>
      <c r="B656" s="627" t="str">
        <f>IFERROR(__xludf.DUMMYFUNCTION("TRANSPOSE(unique(FILTER($K$17:$K$28,$J$17:$J$28=A656)))"),"")</f>
        <v/>
      </c>
      <c r="C656" s="443"/>
      <c r="D656" s="534" t="str">
        <f>IFERROR(__xludf.DUMMYFUNCTION("TRANSPOSE(unique(FILTER($K$17:$K$28,$J$17:$J$28=B656)))"),"")</f>
        <v/>
      </c>
    </row>
    <row r="657">
      <c r="A657" s="627"/>
      <c r="B657" s="627" t="str">
        <f>IFERROR(__xludf.DUMMYFUNCTION("TRANSPOSE(unique(FILTER($K$17:$K$28,$J$17:$J$28=A657)))"),"")</f>
        <v/>
      </c>
      <c r="C657" s="443"/>
      <c r="D657" s="534" t="str">
        <f>IFERROR(__xludf.DUMMYFUNCTION("TRANSPOSE(unique(FILTER($K$17:$K$28,$J$17:$J$28=B657)))"),"")</f>
        <v/>
      </c>
    </row>
    <row r="658">
      <c r="A658" s="627"/>
      <c r="B658" s="627" t="str">
        <f>IFERROR(__xludf.DUMMYFUNCTION("TRANSPOSE(unique(FILTER($K$17:$K$28,$J$17:$J$28=A658)))"),"")</f>
        <v/>
      </c>
      <c r="C658" s="443"/>
      <c r="D658" s="534" t="str">
        <f>IFERROR(__xludf.DUMMYFUNCTION("TRANSPOSE(unique(FILTER($K$17:$K$28,$J$17:$J$28=B658)))"),"")</f>
        <v/>
      </c>
    </row>
    <row r="659">
      <c r="A659" s="627"/>
      <c r="B659" s="627" t="str">
        <f>IFERROR(__xludf.DUMMYFUNCTION("TRANSPOSE(unique(FILTER($K$17:$K$28,$J$17:$J$28=A659)))"),"")</f>
        <v/>
      </c>
      <c r="C659" s="443"/>
      <c r="D659" s="534" t="str">
        <f>IFERROR(__xludf.DUMMYFUNCTION("TRANSPOSE(unique(FILTER($K$17:$K$28,$J$17:$J$28=B659)))"),"")</f>
        <v/>
      </c>
    </row>
    <row r="660">
      <c r="A660" s="627"/>
      <c r="B660" s="627" t="str">
        <f>IFERROR(__xludf.DUMMYFUNCTION("TRANSPOSE(unique(FILTER($K$17:$K$28,$J$17:$J$28=A660)))"),"")</f>
        <v/>
      </c>
      <c r="C660" s="443"/>
      <c r="D660" s="534" t="str">
        <f>IFERROR(__xludf.DUMMYFUNCTION("TRANSPOSE(unique(FILTER($K$17:$K$28,$J$17:$J$28=B660)))"),"")</f>
        <v/>
      </c>
    </row>
    <row r="661">
      <c r="A661" s="627"/>
      <c r="B661" s="627" t="str">
        <f>IFERROR(__xludf.DUMMYFUNCTION("TRANSPOSE(unique(FILTER($K$17:$K$28,$J$17:$J$28=A661)))"),"")</f>
        <v/>
      </c>
      <c r="C661" s="443"/>
      <c r="D661" s="534" t="str">
        <f>IFERROR(__xludf.DUMMYFUNCTION("TRANSPOSE(unique(FILTER($K$17:$K$28,$J$17:$J$28=B661)))"),"")</f>
        <v/>
      </c>
    </row>
    <row r="662">
      <c r="A662" s="627"/>
      <c r="B662" s="627" t="str">
        <f>IFERROR(__xludf.DUMMYFUNCTION("TRANSPOSE(unique(FILTER($K$17:$K$28,$J$17:$J$28=A662)))"),"")</f>
        <v/>
      </c>
      <c r="C662" s="443"/>
      <c r="D662" s="534" t="str">
        <f>IFERROR(__xludf.DUMMYFUNCTION("TRANSPOSE(unique(FILTER($K$17:$K$28,$J$17:$J$28=B662)))"),"")</f>
        <v/>
      </c>
    </row>
    <row r="663">
      <c r="A663" s="627"/>
      <c r="B663" s="627" t="str">
        <f>IFERROR(__xludf.DUMMYFUNCTION("TRANSPOSE(unique(FILTER($K$17:$K$28,$J$17:$J$28=A663)))"),"")</f>
        <v/>
      </c>
      <c r="C663" s="443"/>
      <c r="D663" s="534" t="str">
        <f>IFERROR(__xludf.DUMMYFUNCTION("TRANSPOSE(unique(FILTER($K$17:$K$28,$J$17:$J$28=B663)))"),"")</f>
        <v/>
      </c>
    </row>
    <row r="664">
      <c r="A664" s="627"/>
      <c r="B664" s="627" t="str">
        <f>IFERROR(__xludf.DUMMYFUNCTION("TRANSPOSE(unique(FILTER($K$17:$K$28,$J$17:$J$28=A664)))"),"")</f>
        <v/>
      </c>
      <c r="C664" s="443"/>
      <c r="D664" s="534" t="str">
        <f>IFERROR(__xludf.DUMMYFUNCTION("TRANSPOSE(unique(FILTER($K$17:$K$28,$J$17:$J$28=B664)))"),"")</f>
        <v/>
      </c>
    </row>
    <row r="665">
      <c r="A665" s="627"/>
      <c r="B665" s="627" t="str">
        <f>IFERROR(__xludf.DUMMYFUNCTION("TRANSPOSE(unique(FILTER($K$17:$K$28,$J$17:$J$28=A665)))"),"")</f>
        <v/>
      </c>
      <c r="C665" s="443"/>
      <c r="D665" s="534" t="str">
        <f>IFERROR(__xludf.DUMMYFUNCTION("TRANSPOSE(unique(FILTER($K$17:$K$28,$J$17:$J$28=B665)))"),"")</f>
        <v/>
      </c>
    </row>
    <row r="666">
      <c r="A666" s="627"/>
      <c r="B666" s="627" t="str">
        <f>IFERROR(__xludf.DUMMYFUNCTION("TRANSPOSE(unique(FILTER($K$17:$K$28,$J$17:$J$28=A666)))"),"")</f>
        <v/>
      </c>
      <c r="C666" s="443"/>
      <c r="D666" s="534" t="str">
        <f>IFERROR(__xludf.DUMMYFUNCTION("TRANSPOSE(unique(FILTER($K$17:$K$28,$J$17:$J$28=B666)))"),"")</f>
        <v/>
      </c>
    </row>
    <row r="667">
      <c r="A667" s="627"/>
      <c r="B667" s="627" t="str">
        <f>IFERROR(__xludf.DUMMYFUNCTION("TRANSPOSE(unique(FILTER($K$17:$K$28,$J$17:$J$28=A667)))"),"")</f>
        <v/>
      </c>
      <c r="C667" s="443"/>
      <c r="D667" s="534" t="str">
        <f>IFERROR(__xludf.DUMMYFUNCTION("TRANSPOSE(unique(FILTER($K$17:$K$28,$J$17:$J$28=B667)))"),"")</f>
        <v/>
      </c>
    </row>
    <row r="668">
      <c r="A668" s="627"/>
      <c r="B668" s="627" t="str">
        <f>IFERROR(__xludf.DUMMYFUNCTION("TRANSPOSE(unique(FILTER($K$17:$K$28,$J$17:$J$28=A668)))"),"")</f>
        <v/>
      </c>
      <c r="C668" s="443"/>
      <c r="D668" s="534" t="str">
        <f>IFERROR(__xludf.DUMMYFUNCTION("TRANSPOSE(unique(FILTER($K$17:$K$28,$J$17:$J$28=B668)))"),"")</f>
        <v/>
      </c>
    </row>
    <row r="669">
      <c r="A669" s="627"/>
      <c r="B669" s="627" t="str">
        <f>IFERROR(__xludf.DUMMYFUNCTION("TRANSPOSE(unique(FILTER($K$17:$K$28,$J$17:$J$28=A669)))"),"")</f>
        <v/>
      </c>
      <c r="C669" s="443"/>
      <c r="D669" s="534" t="str">
        <f>IFERROR(__xludf.DUMMYFUNCTION("TRANSPOSE(unique(FILTER($K$17:$K$28,$J$17:$J$28=B669)))"),"")</f>
        <v/>
      </c>
    </row>
    <row r="670">
      <c r="A670" s="627"/>
      <c r="B670" s="627" t="str">
        <f>IFERROR(__xludf.DUMMYFUNCTION("TRANSPOSE(unique(FILTER($K$17:$K$28,$J$17:$J$28=A670)))"),"")</f>
        <v/>
      </c>
      <c r="C670" s="443"/>
      <c r="D670" s="534" t="str">
        <f>IFERROR(__xludf.DUMMYFUNCTION("TRANSPOSE(unique(FILTER($K$17:$K$28,$J$17:$J$28=B670)))"),"")</f>
        <v/>
      </c>
    </row>
    <row r="671">
      <c r="A671" s="627"/>
      <c r="B671" s="627" t="str">
        <f>IFERROR(__xludf.DUMMYFUNCTION("TRANSPOSE(unique(FILTER($K$17:$K$28,$J$17:$J$28=A671)))"),"")</f>
        <v/>
      </c>
      <c r="C671" s="443"/>
      <c r="D671" s="534" t="str">
        <f>IFERROR(__xludf.DUMMYFUNCTION("TRANSPOSE(unique(FILTER($K$17:$K$28,$J$17:$J$28=B671)))"),"")</f>
        <v/>
      </c>
    </row>
    <row r="672">
      <c r="A672" s="627"/>
      <c r="B672" s="627" t="str">
        <f>IFERROR(__xludf.DUMMYFUNCTION("TRANSPOSE(unique(FILTER($K$17:$K$28,$J$17:$J$28=A672)))"),"")</f>
        <v/>
      </c>
      <c r="C672" s="443"/>
      <c r="D672" s="534" t="str">
        <f>IFERROR(__xludf.DUMMYFUNCTION("TRANSPOSE(unique(FILTER($K$17:$K$28,$J$17:$J$28=B672)))"),"")</f>
        <v/>
      </c>
    </row>
    <row r="673">
      <c r="A673" s="627"/>
      <c r="B673" s="627" t="str">
        <f>IFERROR(__xludf.DUMMYFUNCTION("TRANSPOSE(unique(FILTER($K$17:$K$28,$J$17:$J$28=A673)))"),"")</f>
        <v/>
      </c>
      <c r="C673" s="443"/>
      <c r="D673" s="534" t="str">
        <f>IFERROR(__xludf.DUMMYFUNCTION("TRANSPOSE(unique(FILTER($K$17:$K$28,$J$17:$J$28=B673)))"),"")</f>
        <v/>
      </c>
    </row>
    <row r="674">
      <c r="A674" s="627"/>
      <c r="B674" s="627" t="str">
        <f>IFERROR(__xludf.DUMMYFUNCTION("TRANSPOSE(unique(FILTER($K$17:$K$28,$J$17:$J$28=A674)))"),"")</f>
        <v/>
      </c>
      <c r="C674" s="443"/>
      <c r="D674" s="534" t="str">
        <f>IFERROR(__xludf.DUMMYFUNCTION("TRANSPOSE(unique(FILTER($K$17:$K$28,$J$17:$J$28=B674)))"),"")</f>
        <v/>
      </c>
    </row>
    <row r="675">
      <c r="A675" s="627"/>
      <c r="B675" s="627" t="str">
        <f>IFERROR(__xludf.DUMMYFUNCTION("TRANSPOSE(unique(FILTER($K$17:$K$28,$J$17:$J$28=A675)))"),"")</f>
        <v/>
      </c>
      <c r="C675" s="443"/>
      <c r="D675" s="534" t="str">
        <f>IFERROR(__xludf.DUMMYFUNCTION("TRANSPOSE(unique(FILTER($K$17:$K$28,$J$17:$J$28=B675)))"),"")</f>
        <v/>
      </c>
    </row>
    <row r="676">
      <c r="A676" s="627"/>
      <c r="B676" s="627" t="str">
        <f>IFERROR(__xludf.DUMMYFUNCTION("TRANSPOSE(unique(FILTER($K$17:$K$28,$J$17:$J$28=A676)))"),"")</f>
        <v/>
      </c>
      <c r="C676" s="443"/>
      <c r="D676" s="534" t="str">
        <f>IFERROR(__xludf.DUMMYFUNCTION("TRANSPOSE(unique(FILTER($K$17:$K$28,$J$17:$J$28=B676)))"),"")</f>
        <v/>
      </c>
    </row>
    <row r="677">
      <c r="A677" s="627"/>
      <c r="B677" s="627" t="str">
        <f>IFERROR(__xludf.DUMMYFUNCTION("TRANSPOSE(unique(FILTER($K$17:$K$28,$J$17:$J$28=A677)))"),"")</f>
        <v/>
      </c>
      <c r="C677" s="443"/>
      <c r="D677" s="534" t="str">
        <f>IFERROR(__xludf.DUMMYFUNCTION("TRANSPOSE(unique(FILTER($K$17:$K$28,$J$17:$J$28=B677)))"),"")</f>
        <v/>
      </c>
    </row>
    <row r="678">
      <c r="A678" s="627"/>
      <c r="B678" s="627" t="str">
        <f>IFERROR(__xludf.DUMMYFUNCTION("TRANSPOSE(unique(FILTER($K$17:$K$28,$J$17:$J$28=A678)))"),"")</f>
        <v/>
      </c>
      <c r="C678" s="443"/>
      <c r="D678" s="534" t="str">
        <f>IFERROR(__xludf.DUMMYFUNCTION("TRANSPOSE(unique(FILTER($K$17:$K$28,$J$17:$J$28=B678)))"),"")</f>
        <v/>
      </c>
    </row>
    <row r="679">
      <c r="A679" s="627"/>
      <c r="B679" s="627" t="str">
        <f>IFERROR(__xludf.DUMMYFUNCTION("TRANSPOSE(unique(FILTER($K$17:$K$28,$J$17:$J$28=A679)))"),"")</f>
        <v/>
      </c>
      <c r="C679" s="443"/>
      <c r="D679" s="534" t="str">
        <f>IFERROR(__xludf.DUMMYFUNCTION("TRANSPOSE(unique(FILTER($K$17:$K$28,$J$17:$J$28=B679)))"),"")</f>
        <v/>
      </c>
    </row>
    <row r="680">
      <c r="A680" s="627"/>
      <c r="B680" s="627" t="str">
        <f>IFERROR(__xludf.DUMMYFUNCTION("TRANSPOSE(unique(FILTER($K$17:$K$28,$J$17:$J$28=A680)))"),"")</f>
        <v/>
      </c>
      <c r="C680" s="443"/>
      <c r="D680" s="534" t="str">
        <f>IFERROR(__xludf.DUMMYFUNCTION("TRANSPOSE(unique(FILTER($K$17:$K$28,$J$17:$J$28=B680)))"),"")</f>
        <v/>
      </c>
    </row>
    <row r="681">
      <c r="A681" s="627"/>
      <c r="B681" s="627" t="str">
        <f>IFERROR(__xludf.DUMMYFUNCTION("TRANSPOSE(unique(FILTER($K$17:$K$28,$J$17:$J$28=A681)))"),"")</f>
        <v/>
      </c>
      <c r="C681" s="443"/>
      <c r="D681" s="534" t="str">
        <f>IFERROR(__xludf.DUMMYFUNCTION("TRANSPOSE(unique(FILTER($K$17:$K$28,$J$17:$J$28=B681)))"),"")</f>
        <v/>
      </c>
    </row>
    <row r="682">
      <c r="A682" s="627"/>
      <c r="B682" s="627" t="str">
        <f>IFERROR(__xludf.DUMMYFUNCTION("TRANSPOSE(unique(FILTER($K$17:$K$28,$J$17:$J$28=A682)))"),"")</f>
        <v/>
      </c>
      <c r="C682" s="443"/>
      <c r="D682" s="534" t="str">
        <f>IFERROR(__xludf.DUMMYFUNCTION("TRANSPOSE(unique(FILTER($K$17:$K$28,$J$17:$J$28=B682)))"),"")</f>
        <v/>
      </c>
    </row>
    <row r="683">
      <c r="A683" s="627"/>
      <c r="B683" s="627" t="str">
        <f>IFERROR(__xludf.DUMMYFUNCTION("TRANSPOSE(unique(FILTER($K$17:$K$28,$J$17:$J$28=A683)))"),"")</f>
        <v/>
      </c>
      <c r="C683" s="443"/>
      <c r="D683" s="534" t="str">
        <f>IFERROR(__xludf.DUMMYFUNCTION("TRANSPOSE(unique(FILTER($K$17:$K$28,$J$17:$J$28=B683)))"),"")</f>
        <v/>
      </c>
    </row>
    <row r="684">
      <c r="A684" s="627"/>
      <c r="B684" s="627" t="str">
        <f>IFERROR(__xludf.DUMMYFUNCTION("TRANSPOSE(unique(FILTER($K$17:$K$28,$J$17:$J$28=A684)))"),"")</f>
        <v/>
      </c>
      <c r="C684" s="443"/>
      <c r="D684" s="534" t="str">
        <f>IFERROR(__xludf.DUMMYFUNCTION("TRANSPOSE(unique(FILTER($K$17:$K$28,$J$17:$J$28=B684)))"),"")</f>
        <v/>
      </c>
    </row>
    <row r="685">
      <c r="A685" s="627"/>
      <c r="B685" s="627" t="str">
        <f>IFERROR(__xludf.DUMMYFUNCTION("TRANSPOSE(unique(FILTER($K$17:$K$28,$J$17:$J$28=A685)))"),"")</f>
        <v/>
      </c>
      <c r="C685" s="443"/>
      <c r="D685" s="534" t="str">
        <f>IFERROR(__xludf.DUMMYFUNCTION("TRANSPOSE(unique(FILTER($K$17:$K$28,$J$17:$J$28=B685)))"),"")</f>
        <v/>
      </c>
    </row>
    <row r="686">
      <c r="A686" s="627"/>
      <c r="B686" s="627" t="str">
        <f>IFERROR(__xludf.DUMMYFUNCTION("TRANSPOSE(unique(FILTER($K$17:$K$28,$J$17:$J$28=A686)))"),"")</f>
        <v/>
      </c>
      <c r="C686" s="443"/>
      <c r="D686" s="534" t="str">
        <f>IFERROR(__xludf.DUMMYFUNCTION("TRANSPOSE(unique(FILTER($K$17:$K$28,$J$17:$J$28=B686)))"),"")</f>
        <v/>
      </c>
    </row>
    <row r="687">
      <c r="A687" s="627"/>
      <c r="B687" s="627" t="str">
        <f>IFERROR(__xludf.DUMMYFUNCTION("TRANSPOSE(unique(FILTER($K$17:$K$28,$J$17:$J$28=A687)))"),"")</f>
        <v/>
      </c>
      <c r="C687" s="443"/>
      <c r="D687" s="534" t="str">
        <f>IFERROR(__xludf.DUMMYFUNCTION("TRANSPOSE(unique(FILTER($K$17:$K$28,$J$17:$J$28=B687)))"),"")</f>
        <v/>
      </c>
    </row>
    <row r="688">
      <c r="A688" s="627"/>
      <c r="B688" s="627" t="str">
        <f>IFERROR(__xludf.DUMMYFUNCTION("TRANSPOSE(unique(FILTER($K$17:$K$28,$J$17:$J$28=A688)))"),"")</f>
        <v/>
      </c>
      <c r="C688" s="443"/>
      <c r="D688" s="534" t="str">
        <f>IFERROR(__xludf.DUMMYFUNCTION("TRANSPOSE(unique(FILTER($K$17:$K$28,$J$17:$J$28=B688)))"),"")</f>
        <v/>
      </c>
    </row>
    <row r="689">
      <c r="A689" s="627"/>
      <c r="B689" s="627" t="str">
        <f>IFERROR(__xludf.DUMMYFUNCTION("TRANSPOSE(unique(FILTER($K$17:$K$28,$J$17:$J$28=A689)))"),"")</f>
        <v/>
      </c>
      <c r="C689" s="443"/>
      <c r="D689" s="534" t="str">
        <f>IFERROR(__xludf.DUMMYFUNCTION("TRANSPOSE(unique(FILTER($K$17:$K$28,$J$17:$J$28=B689)))"),"")</f>
        <v/>
      </c>
    </row>
    <row r="690">
      <c r="A690" s="627"/>
      <c r="B690" s="627" t="str">
        <f>IFERROR(__xludf.DUMMYFUNCTION("TRANSPOSE(unique(FILTER($K$17:$K$28,$J$17:$J$28=A690)))"),"")</f>
        <v/>
      </c>
      <c r="C690" s="443"/>
      <c r="D690" s="534" t="str">
        <f>IFERROR(__xludf.DUMMYFUNCTION("TRANSPOSE(unique(FILTER($K$17:$K$28,$J$17:$J$28=B690)))"),"")</f>
        <v/>
      </c>
    </row>
    <row r="691">
      <c r="A691" s="627"/>
      <c r="B691" s="627" t="str">
        <f>IFERROR(__xludf.DUMMYFUNCTION("TRANSPOSE(unique(FILTER($K$17:$K$28,$J$17:$J$28=A691)))"),"")</f>
        <v/>
      </c>
      <c r="C691" s="443"/>
      <c r="D691" s="534" t="str">
        <f>IFERROR(__xludf.DUMMYFUNCTION("TRANSPOSE(unique(FILTER($K$17:$K$28,$J$17:$J$28=B691)))"),"")</f>
        <v/>
      </c>
    </row>
    <row r="692">
      <c r="A692" s="627"/>
      <c r="B692" s="627" t="str">
        <f>IFERROR(__xludf.DUMMYFUNCTION("TRANSPOSE(unique(FILTER($K$17:$K$28,$J$17:$J$28=A692)))"),"")</f>
        <v/>
      </c>
      <c r="C692" s="443"/>
      <c r="D692" s="534" t="str">
        <f>IFERROR(__xludf.DUMMYFUNCTION("TRANSPOSE(unique(FILTER($K$17:$K$28,$J$17:$J$28=B692)))"),"")</f>
        <v/>
      </c>
    </row>
    <row r="693">
      <c r="A693" s="627"/>
      <c r="B693" s="627" t="str">
        <f>IFERROR(__xludf.DUMMYFUNCTION("TRANSPOSE(unique(FILTER($K$17:$K$28,$J$17:$J$28=A693)))"),"")</f>
        <v/>
      </c>
      <c r="C693" s="443"/>
      <c r="D693" s="534" t="str">
        <f>IFERROR(__xludf.DUMMYFUNCTION("TRANSPOSE(unique(FILTER($K$17:$K$28,$J$17:$J$28=B693)))"),"")</f>
        <v/>
      </c>
    </row>
    <row r="694">
      <c r="A694" s="627"/>
      <c r="B694" s="627" t="str">
        <f>IFERROR(__xludf.DUMMYFUNCTION("TRANSPOSE(unique(FILTER($K$17:$K$28,$J$17:$J$28=A694)))"),"")</f>
        <v/>
      </c>
      <c r="C694" s="443"/>
      <c r="D694" s="534" t="str">
        <f>IFERROR(__xludf.DUMMYFUNCTION("TRANSPOSE(unique(FILTER($K$17:$K$28,$J$17:$J$28=B694)))"),"")</f>
        <v/>
      </c>
    </row>
    <row r="695">
      <c r="A695" s="627"/>
      <c r="B695" s="627" t="str">
        <f>IFERROR(__xludf.DUMMYFUNCTION("TRANSPOSE(unique(FILTER($K$17:$K$28,$J$17:$J$28=A695)))"),"")</f>
        <v/>
      </c>
      <c r="C695" s="443"/>
      <c r="D695" s="534" t="str">
        <f>IFERROR(__xludf.DUMMYFUNCTION("TRANSPOSE(unique(FILTER($K$17:$K$28,$J$17:$J$28=B695)))"),"")</f>
        <v/>
      </c>
    </row>
    <row r="696">
      <c r="A696" s="627"/>
      <c r="B696" s="627" t="str">
        <f>IFERROR(__xludf.DUMMYFUNCTION("TRANSPOSE(unique(FILTER($K$17:$K$28,$J$17:$J$28=A696)))"),"")</f>
        <v/>
      </c>
      <c r="C696" s="443"/>
      <c r="D696" s="534" t="str">
        <f>IFERROR(__xludf.DUMMYFUNCTION("TRANSPOSE(unique(FILTER($K$17:$K$28,$J$17:$J$28=B696)))"),"")</f>
        <v/>
      </c>
    </row>
    <row r="697">
      <c r="A697" s="627"/>
      <c r="B697" s="627" t="str">
        <f>IFERROR(__xludf.DUMMYFUNCTION("TRANSPOSE(unique(FILTER($K$17:$K$28,$J$17:$J$28=A697)))"),"")</f>
        <v/>
      </c>
      <c r="C697" s="443"/>
      <c r="D697" s="534" t="str">
        <f>IFERROR(__xludf.DUMMYFUNCTION("TRANSPOSE(unique(FILTER($K$17:$K$28,$J$17:$J$28=B697)))"),"")</f>
        <v/>
      </c>
    </row>
    <row r="698">
      <c r="A698" s="627"/>
      <c r="B698" s="627" t="str">
        <f>IFERROR(__xludf.DUMMYFUNCTION("TRANSPOSE(unique(FILTER($K$17:$K$28,$J$17:$J$28=A698)))"),"")</f>
        <v/>
      </c>
      <c r="C698" s="443"/>
      <c r="D698" s="534" t="str">
        <f>IFERROR(__xludf.DUMMYFUNCTION("TRANSPOSE(unique(FILTER($K$17:$K$28,$J$17:$J$28=B698)))"),"")</f>
        <v/>
      </c>
    </row>
    <row r="699">
      <c r="A699" s="627"/>
      <c r="B699" s="627" t="str">
        <f>IFERROR(__xludf.DUMMYFUNCTION("TRANSPOSE(unique(FILTER($K$17:$K$28,$J$17:$J$28=A699)))"),"")</f>
        <v/>
      </c>
      <c r="C699" s="443"/>
      <c r="D699" s="534" t="str">
        <f>IFERROR(__xludf.DUMMYFUNCTION("TRANSPOSE(unique(FILTER($K$17:$K$28,$J$17:$J$28=B699)))"),"")</f>
        <v/>
      </c>
    </row>
    <row r="700">
      <c r="A700" s="627"/>
      <c r="B700" s="627" t="str">
        <f>IFERROR(__xludf.DUMMYFUNCTION("TRANSPOSE(unique(FILTER($K$17:$K$28,$J$17:$J$28=A700)))"),"")</f>
        <v/>
      </c>
      <c r="C700" s="443"/>
      <c r="D700" s="534" t="str">
        <f>IFERROR(__xludf.DUMMYFUNCTION("TRANSPOSE(unique(FILTER($K$17:$K$28,$J$17:$J$28=B700)))"),"")</f>
        <v/>
      </c>
    </row>
    <row r="701">
      <c r="A701" s="627"/>
      <c r="B701" s="627" t="str">
        <f>IFERROR(__xludf.DUMMYFUNCTION("TRANSPOSE(unique(FILTER($K$17:$K$28,$J$17:$J$28=A701)))"),"")</f>
        <v/>
      </c>
      <c r="C701" s="443"/>
      <c r="D701" s="534" t="str">
        <f>IFERROR(__xludf.DUMMYFUNCTION("TRANSPOSE(unique(FILTER($K$17:$K$28,$J$17:$J$28=B701)))"),"")</f>
        <v/>
      </c>
    </row>
    <row r="702">
      <c r="A702" s="627"/>
      <c r="B702" s="627" t="str">
        <f>IFERROR(__xludf.DUMMYFUNCTION("TRANSPOSE(unique(FILTER($K$17:$K$28,$J$17:$J$28=A702)))"),"")</f>
        <v/>
      </c>
      <c r="C702" s="443"/>
      <c r="D702" s="534" t="str">
        <f>IFERROR(__xludf.DUMMYFUNCTION("TRANSPOSE(unique(FILTER($K$17:$K$28,$J$17:$J$28=B702)))"),"")</f>
        <v/>
      </c>
    </row>
    <row r="703">
      <c r="A703" s="627"/>
      <c r="B703" s="627" t="str">
        <f>IFERROR(__xludf.DUMMYFUNCTION("TRANSPOSE(unique(FILTER($K$17:$K$28,$J$17:$J$28=A703)))"),"")</f>
        <v/>
      </c>
      <c r="C703" s="443"/>
      <c r="D703" s="534" t="str">
        <f>IFERROR(__xludf.DUMMYFUNCTION("TRANSPOSE(unique(FILTER($K$17:$K$28,$J$17:$J$28=B703)))"),"")</f>
        <v/>
      </c>
    </row>
    <row r="704">
      <c r="A704" s="627"/>
      <c r="B704" s="627" t="str">
        <f>IFERROR(__xludf.DUMMYFUNCTION("TRANSPOSE(unique(FILTER($K$17:$K$28,$J$17:$J$28=A704)))"),"")</f>
        <v/>
      </c>
      <c r="C704" s="443"/>
      <c r="D704" s="534" t="str">
        <f>IFERROR(__xludf.DUMMYFUNCTION("TRANSPOSE(unique(FILTER($K$17:$K$28,$J$17:$J$28=B704)))"),"")</f>
        <v/>
      </c>
    </row>
    <row r="705">
      <c r="A705" s="627"/>
      <c r="B705" s="627" t="str">
        <f>IFERROR(__xludf.DUMMYFUNCTION("TRANSPOSE(unique(FILTER($K$17:$K$28,$J$17:$J$28=A705)))"),"")</f>
        <v/>
      </c>
      <c r="C705" s="443"/>
      <c r="D705" s="534" t="str">
        <f>IFERROR(__xludf.DUMMYFUNCTION("TRANSPOSE(unique(FILTER($K$17:$K$28,$J$17:$J$28=B705)))"),"")</f>
        <v/>
      </c>
    </row>
    <row r="706">
      <c r="A706" s="627"/>
      <c r="B706" s="627" t="str">
        <f>IFERROR(__xludf.DUMMYFUNCTION("TRANSPOSE(unique(FILTER($K$17:$K$28,$J$17:$J$28=A706)))"),"")</f>
        <v/>
      </c>
      <c r="C706" s="443"/>
      <c r="D706" s="534" t="str">
        <f>IFERROR(__xludf.DUMMYFUNCTION("TRANSPOSE(unique(FILTER($K$17:$K$28,$J$17:$J$28=B706)))"),"")</f>
        <v/>
      </c>
    </row>
    <row r="707">
      <c r="A707" s="627"/>
      <c r="B707" s="627" t="str">
        <f>IFERROR(__xludf.DUMMYFUNCTION("TRANSPOSE(unique(FILTER($K$17:$K$28,$J$17:$J$28=A707)))"),"")</f>
        <v/>
      </c>
      <c r="C707" s="443"/>
      <c r="D707" s="534" t="str">
        <f>IFERROR(__xludf.DUMMYFUNCTION("TRANSPOSE(unique(FILTER($K$17:$K$28,$J$17:$J$28=B707)))"),"")</f>
        <v/>
      </c>
    </row>
    <row r="708">
      <c r="A708" s="627"/>
      <c r="B708" s="627" t="str">
        <f>IFERROR(__xludf.DUMMYFUNCTION("TRANSPOSE(unique(FILTER($K$17:$K$28,$J$17:$J$28=A708)))"),"")</f>
        <v/>
      </c>
      <c r="C708" s="443"/>
      <c r="D708" s="534" t="str">
        <f>IFERROR(__xludf.DUMMYFUNCTION("TRANSPOSE(unique(FILTER($K$17:$K$28,$J$17:$J$28=B708)))"),"")</f>
        <v/>
      </c>
    </row>
    <row r="709">
      <c r="A709" s="627"/>
      <c r="B709" s="627" t="str">
        <f>IFERROR(__xludf.DUMMYFUNCTION("TRANSPOSE(unique(FILTER($K$17:$K$28,$J$17:$J$28=A709)))"),"")</f>
        <v/>
      </c>
      <c r="C709" s="443"/>
      <c r="D709" s="534" t="str">
        <f>IFERROR(__xludf.DUMMYFUNCTION("TRANSPOSE(unique(FILTER($K$17:$K$28,$J$17:$J$28=B709)))"),"")</f>
        <v/>
      </c>
    </row>
    <row r="710">
      <c r="A710" s="627"/>
      <c r="B710" s="627" t="str">
        <f>IFERROR(__xludf.DUMMYFUNCTION("TRANSPOSE(unique(FILTER($K$17:$K$28,$J$17:$J$28=A710)))"),"")</f>
        <v/>
      </c>
      <c r="C710" s="443"/>
      <c r="D710" s="534" t="str">
        <f>IFERROR(__xludf.DUMMYFUNCTION("TRANSPOSE(unique(FILTER($K$17:$K$28,$J$17:$J$28=B710)))"),"")</f>
        <v/>
      </c>
    </row>
    <row r="711">
      <c r="A711" s="627"/>
      <c r="B711" s="627" t="str">
        <f>IFERROR(__xludf.DUMMYFUNCTION("TRANSPOSE(unique(FILTER($K$17:$K$28,$J$17:$J$28=A711)))"),"")</f>
        <v/>
      </c>
      <c r="C711" s="443"/>
      <c r="D711" s="534" t="str">
        <f>IFERROR(__xludf.DUMMYFUNCTION("TRANSPOSE(unique(FILTER($K$17:$K$28,$J$17:$J$28=B711)))"),"")</f>
        <v/>
      </c>
    </row>
    <row r="712">
      <c r="A712" s="627"/>
      <c r="B712" s="627" t="str">
        <f>IFERROR(__xludf.DUMMYFUNCTION("TRANSPOSE(unique(FILTER($K$17:$K$28,$J$17:$J$28=A712)))"),"")</f>
        <v/>
      </c>
      <c r="C712" s="443"/>
      <c r="D712" s="534" t="str">
        <f>IFERROR(__xludf.DUMMYFUNCTION("TRANSPOSE(unique(FILTER($K$17:$K$28,$J$17:$J$28=B712)))"),"")</f>
        <v/>
      </c>
    </row>
    <row r="713">
      <c r="A713" s="627"/>
      <c r="B713" s="627" t="str">
        <f>IFERROR(__xludf.DUMMYFUNCTION("TRANSPOSE(unique(FILTER($K$17:$K$28,$J$17:$J$28=A713)))"),"")</f>
        <v/>
      </c>
      <c r="C713" s="443"/>
      <c r="D713" s="534" t="str">
        <f>IFERROR(__xludf.DUMMYFUNCTION("TRANSPOSE(unique(FILTER($K$17:$K$28,$J$17:$J$28=B713)))"),"")</f>
        <v/>
      </c>
    </row>
    <row r="714">
      <c r="A714" s="627"/>
      <c r="B714" s="627" t="str">
        <f>IFERROR(__xludf.DUMMYFUNCTION("TRANSPOSE(unique(FILTER($K$17:$K$28,$J$17:$J$28=A714)))"),"")</f>
        <v/>
      </c>
      <c r="C714" s="443"/>
      <c r="D714" s="534" t="str">
        <f>IFERROR(__xludf.DUMMYFUNCTION("TRANSPOSE(unique(FILTER($K$17:$K$28,$J$17:$J$28=B714)))"),"")</f>
        <v/>
      </c>
    </row>
    <row r="715">
      <c r="A715" s="627"/>
      <c r="B715" s="627" t="str">
        <f>IFERROR(__xludf.DUMMYFUNCTION("TRANSPOSE(unique(FILTER($K$17:$K$28,$J$17:$J$28=A715)))"),"")</f>
        <v/>
      </c>
      <c r="C715" s="443"/>
      <c r="D715" s="534" t="str">
        <f>IFERROR(__xludf.DUMMYFUNCTION("TRANSPOSE(unique(FILTER($K$17:$K$28,$J$17:$J$28=B715)))"),"")</f>
        <v/>
      </c>
    </row>
    <row r="716">
      <c r="A716" s="627"/>
      <c r="B716" s="627" t="str">
        <f>IFERROR(__xludf.DUMMYFUNCTION("TRANSPOSE(unique(FILTER($K$17:$K$28,$J$17:$J$28=A716)))"),"")</f>
        <v/>
      </c>
      <c r="C716" s="443"/>
      <c r="D716" s="534" t="str">
        <f>IFERROR(__xludf.DUMMYFUNCTION("TRANSPOSE(unique(FILTER($K$17:$K$28,$J$17:$J$28=B716)))"),"")</f>
        <v/>
      </c>
    </row>
    <row r="717">
      <c r="A717" s="627"/>
      <c r="B717" s="627" t="str">
        <f>IFERROR(__xludf.DUMMYFUNCTION("TRANSPOSE(unique(FILTER($K$17:$K$28,$J$17:$J$28=A717)))"),"")</f>
        <v/>
      </c>
      <c r="C717" s="443"/>
      <c r="D717" s="534" t="str">
        <f>IFERROR(__xludf.DUMMYFUNCTION("TRANSPOSE(unique(FILTER($K$17:$K$28,$J$17:$J$28=B717)))"),"")</f>
        <v/>
      </c>
    </row>
    <row r="718">
      <c r="A718" s="627"/>
      <c r="B718" s="627" t="str">
        <f>IFERROR(__xludf.DUMMYFUNCTION("TRANSPOSE(unique(FILTER($K$17:$K$28,$J$17:$J$28=A718)))"),"")</f>
        <v/>
      </c>
      <c r="C718" s="443"/>
      <c r="D718" s="534" t="str">
        <f>IFERROR(__xludf.DUMMYFUNCTION("TRANSPOSE(unique(FILTER($K$17:$K$28,$J$17:$J$28=B718)))"),"")</f>
        <v/>
      </c>
    </row>
    <row r="719">
      <c r="A719" s="627"/>
      <c r="B719" s="627" t="str">
        <f>IFERROR(__xludf.DUMMYFUNCTION("TRANSPOSE(unique(FILTER($K$17:$K$28,$J$17:$J$28=A719)))"),"")</f>
        <v/>
      </c>
      <c r="C719" s="443"/>
      <c r="D719" s="534" t="str">
        <f>IFERROR(__xludf.DUMMYFUNCTION("TRANSPOSE(unique(FILTER($K$17:$K$28,$J$17:$J$28=B719)))"),"")</f>
        <v/>
      </c>
    </row>
    <row r="720">
      <c r="A720" s="627"/>
      <c r="B720" s="627" t="str">
        <f>IFERROR(__xludf.DUMMYFUNCTION("TRANSPOSE(unique(FILTER($K$17:$K$28,$J$17:$J$28=A720)))"),"")</f>
        <v/>
      </c>
      <c r="C720" s="443"/>
      <c r="D720" s="534" t="str">
        <f>IFERROR(__xludf.DUMMYFUNCTION("TRANSPOSE(unique(FILTER($K$17:$K$28,$J$17:$J$28=B720)))"),"")</f>
        <v/>
      </c>
    </row>
    <row r="721">
      <c r="A721" s="627"/>
      <c r="B721" s="627" t="str">
        <f>IFERROR(__xludf.DUMMYFUNCTION("TRANSPOSE(unique(FILTER($K$17:$K$28,$J$17:$J$28=A721)))"),"")</f>
        <v/>
      </c>
      <c r="C721" s="443"/>
      <c r="D721" s="534" t="str">
        <f>IFERROR(__xludf.DUMMYFUNCTION("TRANSPOSE(unique(FILTER($K$17:$K$28,$J$17:$J$28=B721)))"),"")</f>
        <v/>
      </c>
    </row>
    <row r="722">
      <c r="A722" s="627"/>
      <c r="B722" s="627" t="str">
        <f>IFERROR(__xludf.DUMMYFUNCTION("TRANSPOSE(unique(FILTER($K$17:$K$28,$J$17:$J$28=A722)))"),"")</f>
        <v/>
      </c>
      <c r="C722" s="443"/>
      <c r="D722" s="534" t="str">
        <f>IFERROR(__xludf.DUMMYFUNCTION("TRANSPOSE(unique(FILTER($K$17:$K$28,$J$17:$J$28=B722)))"),"")</f>
        <v/>
      </c>
    </row>
    <row r="723">
      <c r="A723" s="627"/>
      <c r="B723" s="627" t="str">
        <f>IFERROR(__xludf.DUMMYFUNCTION("TRANSPOSE(unique(FILTER($K$17:$K$28,$J$17:$J$28=A723)))"),"")</f>
        <v/>
      </c>
      <c r="C723" s="443"/>
      <c r="D723" s="534" t="str">
        <f>IFERROR(__xludf.DUMMYFUNCTION("TRANSPOSE(unique(FILTER($K$17:$K$28,$J$17:$J$28=B723)))"),"")</f>
        <v/>
      </c>
    </row>
    <row r="724">
      <c r="A724" s="627"/>
      <c r="B724" s="627" t="str">
        <f>IFERROR(__xludf.DUMMYFUNCTION("TRANSPOSE(unique(FILTER($K$17:$K$28,$J$17:$J$28=A724)))"),"")</f>
        <v/>
      </c>
      <c r="C724" s="443"/>
      <c r="D724" s="534" t="str">
        <f>IFERROR(__xludf.DUMMYFUNCTION("TRANSPOSE(unique(FILTER($K$17:$K$28,$J$17:$J$28=B724)))"),"")</f>
        <v/>
      </c>
    </row>
    <row r="725">
      <c r="A725" s="627"/>
      <c r="B725" s="627" t="str">
        <f>IFERROR(__xludf.DUMMYFUNCTION("TRANSPOSE(unique(FILTER($K$17:$K$28,$J$17:$J$28=A725)))"),"")</f>
        <v/>
      </c>
      <c r="C725" s="443"/>
      <c r="D725" s="534" t="str">
        <f>IFERROR(__xludf.DUMMYFUNCTION("TRANSPOSE(unique(FILTER($K$17:$K$28,$J$17:$J$28=B725)))"),"")</f>
        <v/>
      </c>
    </row>
    <row r="726">
      <c r="A726" s="627"/>
      <c r="B726" s="627" t="str">
        <f>IFERROR(__xludf.DUMMYFUNCTION("TRANSPOSE(unique(FILTER($K$17:$K$28,$J$17:$J$28=A726)))"),"")</f>
        <v/>
      </c>
      <c r="C726" s="443"/>
      <c r="D726" s="534" t="str">
        <f>IFERROR(__xludf.DUMMYFUNCTION("TRANSPOSE(unique(FILTER($K$17:$K$28,$J$17:$J$28=B726)))"),"")</f>
        <v/>
      </c>
    </row>
    <row r="727">
      <c r="A727" s="627"/>
      <c r="B727" s="627" t="str">
        <f>IFERROR(__xludf.DUMMYFUNCTION("TRANSPOSE(unique(FILTER($K$17:$K$28,$J$17:$J$28=A727)))"),"")</f>
        <v/>
      </c>
      <c r="C727" s="443"/>
      <c r="D727" s="534" t="str">
        <f>IFERROR(__xludf.DUMMYFUNCTION("TRANSPOSE(unique(FILTER($K$17:$K$28,$J$17:$J$28=B727)))"),"")</f>
        <v/>
      </c>
    </row>
    <row r="728">
      <c r="A728" s="627"/>
      <c r="B728" s="627" t="str">
        <f>IFERROR(__xludf.DUMMYFUNCTION("TRANSPOSE(unique(FILTER($K$17:$K$28,$J$17:$J$28=A728)))"),"")</f>
        <v/>
      </c>
      <c r="C728" s="443"/>
      <c r="D728" s="534" t="str">
        <f>IFERROR(__xludf.DUMMYFUNCTION("TRANSPOSE(unique(FILTER($K$17:$K$28,$J$17:$J$28=B728)))"),"")</f>
        <v/>
      </c>
    </row>
    <row r="729">
      <c r="A729" s="627"/>
      <c r="B729" s="627" t="str">
        <f>IFERROR(__xludf.DUMMYFUNCTION("TRANSPOSE(unique(FILTER($K$17:$K$28,$J$17:$J$28=A729)))"),"")</f>
        <v/>
      </c>
      <c r="C729" s="443"/>
      <c r="D729" s="534" t="str">
        <f>IFERROR(__xludf.DUMMYFUNCTION("TRANSPOSE(unique(FILTER($K$17:$K$28,$J$17:$J$28=B729)))"),"")</f>
        <v/>
      </c>
    </row>
    <row r="730">
      <c r="A730" s="627"/>
      <c r="B730" s="627" t="str">
        <f>IFERROR(__xludf.DUMMYFUNCTION("TRANSPOSE(unique(FILTER($K$17:$K$28,$J$17:$J$28=A730)))"),"")</f>
        <v/>
      </c>
      <c r="C730" s="443"/>
      <c r="D730" s="534" t="str">
        <f>IFERROR(__xludf.DUMMYFUNCTION("TRANSPOSE(unique(FILTER($K$17:$K$28,$J$17:$J$28=B730)))"),"")</f>
        <v/>
      </c>
    </row>
    <row r="731">
      <c r="A731" s="627"/>
      <c r="B731" s="627" t="str">
        <f>IFERROR(__xludf.DUMMYFUNCTION("TRANSPOSE(unique(FILTER($K$17:$K$28,$J$17:$J$28=A731)))"),"")</f>
        <v/>
      </c>
      <c r="C731" s="443"/>
      <c r="D731" s="534" t="str">
        <f>IFERROR(__xludf.DUMMYFUNCTION("TRANSPOSE(unique(FILTER($K$17:$K$28,$J$17:$J$28=B731)))"),"")</f>
        <v/>
      </c>
    </row>
    <row r="732">
      <c r="A732" s="627"/>
      <c r="B732" s="627" t="str">
        <f>IFERROR(__xludf.DUMMYFUNCTION("TRANSPOSE(unique(FILTER($K$17:$K$28,$J$17:$J$28=A732)))"),"")</f>
        <v/>
      </c>
      <c r="C732" s="443"/>
      <c r="D732" s="534" t="str">
        <f>IFERROR(__xludf.DUMMYFUNCTION("TRANSPOSE(unique(FILTER($K$17:$K$28,$J$17:$J$28=B732)))"),"")</f>
        <v/>
      </c>
    </row>
    <row r="733">
      <c r="A733" s="627"/>
      <c r="B733" s="627" t="str">
        <f>IFERROR(__xludf.DUMMYFUNCTION("TRANSPOSE(unique(FILTER($K$17:$K$28,$J$17:$J$28=A733)))"),"")</f>
        <v/>
      </c>
      <c r="C733" s="443"/>
      <c r="D733" s="534" t="str">
        <f>IFERROR(__xludf.DUMMYFUNCTION("TRANSPOSE(unique(FILTER($K$17:$K$28,$J$17:$J$28=B733)))"),"")</f>
        <v/>
      </c>
    </row>
    <row r="734">
      <c r="A734" s="627"/>
      <c r="B734" s="627" t="str">
        <f>IFERROR(__xludf.DUMMYFUNCTION("TRANSPOSE(unique(FILTER($K$17:$K$28,$J$17:$J$28=A734)))"),"")</f>
        <v/>
      </c>
      <c r="C734" s="443"/>
      <c r="D734" s="534" t="str">
        <f>IFERROR(__xludf.DUMMYFUNCTION("TRANSPOSE(unique(FILTER($K$17:$K$28,$J$17:$J$28=B734)))"),"")</f>
        <v/>
      </c>
    </row>
    <row r="735">
      <c r="A735" s="627"/>
      <c r="B735" s="627" t="str">
        <f>IFERROR(__xludf.DUMMYFUNCTION("TRANSPOSE(unique(FILTER($K$17:$K$28,$J$17:$J$28=A735)))"),"")</f>
        <v/>
      </c>
      <c r="C735" s="443"/>
      <c r="D735" s="534" t="str">
        <f>IFERROR(__xludf.DUMMYFUNCTION("TRANSPOSE(unique(FILTER($K$17:$K$28,$J$17:$J$28=B735)))"),"")</f>
        <v/>
      </c>
    </row>
    <row r="736">
      <c r="A736" s="627"/>
      <c r="B736" s="627" t="str">
        <f>IFERROR(__xludf.DUMMYFUNCTION("TRANSPOSE(unique(FILTER($K$17:$K$28,$J$17:$J$28=A736)))"),"")</f>
        <v/>
      </c>
      <c r="C736" s="443"/>
      <c r="D736" s="534" t="str">
        <f>IFERROR(__xludf.DUMMYFUNCTION("TRANSPOSE(unique(FILTER($K$17:$K$28,$J$17:$J$28=B736)))"),"")</f>
        <v/>
      </c>
    </row>
    <row r="737">
      <c r="A737" s="627"/>
      <c r="B737" s="627" t="str">
        <f>IFERROR(__xludf.DUMMYFUNCTION("TRANSPOSE(unique(FILTER($K$17:$K$28,$J$17:$J$28=A737)))"),"")</f>
        <v/>
      </c>
      <c r="C737" s="443"/>
      <c r="D737" s="534" t="str">
        <f>IFERROR(__xludf.DUMMYFUNCTION("TRANSPOSE(unique(FILTER($K$17:$K$28,$J$17:$J$28=B737)))"),"")</f>
        <v/>
      </c>
    </row>
    <row r="738">
      <c r="A738" s="627"/>
      <c r="B738" s="627" t="str">
        <f>IFERROR(__xludf.DUMMYFUNCTION("TRANSPOSE(unique(FILTER($K$17:$K$28,$J$17:$J$28=A738)))"),"")</f>
        <v/>
      </c>
      <c r="C738" s="443"/>
      <c r="D738" s="534" t="str">
        <f>IFERROR(__xludf.DUMMYFUNCTION("TRANSPOSE(unique(FILTER($K$17:$K$28,$J$17:$J$28=B738)))"),"")</f>
        <v/>
      </c>
    </row>
    <row r="739">
      <c r="A739" s="627"/>
      <c r="B739" s="627" t="str">
        <f>IFERROR(__xludf.DUMMYFUNCTION("TRANSPOSE(unique(FILTER($K$17:$K$28,$J$17:$J$28=A739)))"),"")</f>
        <v/>
      </c>
      <c r="C739" s="443"/>
      <c r="D739" s="534" t="str">
        <f>IFERROR(__xludf.DUMMYFUNCTION("TRANSPOSE(unique(FILTER($K$17:$K$28,$J$17:$J$28=B739)))"),"")</f>
        <v/>
      </c>
    </row>
    <row r="740">
      <c r="A740" s="627"/>
      <c r="B740" s="627" t="str">
        <f>IFERROR(__xludf.DUMMYFUNCTION("TRANSPOSE(unique(FILTER($K$17:$K$28,$J$17:$J$28=A740)))"),"")</f>
        <v/>
      </c>
      <c r="C740" s="443"/>
      <c r="D740" s="534" t="str">
        <f>IFERROR(__xludf.DUMMYFUNCTION("TRANSPOSE(unique(FILTER($K$17:$K$28,$J$17:$J$28=B740)))"),"")</f>
        <v/>
      </c>
    </row>
    <row r="741">
      <c r="A741" s="627"/>
      <c r="B741" s="627" t="str">
        <f>IFERROR(__xludf.DUMMYFUNCTION("TRANSPOSE(unique(FILTER($K$17:$K$28,$J$17:$J$28=A741)))"),"")</f>
        <v/>
      </c>
      <c r="C741" s="443"/>
      <c r="D741" s="534" t="str">
        <f>IFERROR(__xludf.DUMMYFUNCTION("TRANSPOSE(unique(FILTER($K$17:$K$28,$J$17:$J$28=B741)))"),"")</f>
        <v/>
      </c>
    </row>
    <row r="742">
      <c r="A742" s="627"/>
      <c r="B742" s="627" t="str">
        <f>IFERROR(__xludf.DUMMYFUNCTION("TRANSPOSE(unique(FILTER($K$17:$K$28,$J$17:$J$28=A742)))"),"")</f>
        <v/>
      </c>
      <c r="C742" s="443"/>
      <c r="D742" s="534" t="str">
        <f>IFERROR(__xludf.DUMMYFUNCTION("TRANSPOSE(unique(FILTER($K$17:$K$28,$J$17:$J$28=B742)))"),"")</f>
        <v/>
      </c>
    </row>
    <row r="743">
      <c r="A743" s="627"/>
      <c r="B743" s="627" t="str">
        <f>IFERROR(__xludf.DUMMYFUNCTION("TRANSPOSE(unique(FILTER($K$17:$K$28,$J$17:$J$28=A743)))"),"")</f>
        <v/>
      </c>
      <c r="C743" s="443"/>
      <c r="D743" s="534" t="str">
        <f>IFERROR(__xludf.DUMMYFUNCTION("TRANSPOSE(unique(FILTER($K$17:$K$28,$J$17:$J$28=B743)))"),"")</f>
        <v/>
      </c>
    </row>
    <row r="744">
      <c r="A744" s="627"/>
      <c r="B744" s="627" t="str">
        <f>IFERROR(__xludf.DUMMYFUNCTION("TRANSPOSE(unique(FILTER($K$17:$K$28,$J$17:$J$28=A744)))"),"")</f>
        <v/>
      </c>
      <c r="C744" s="443"/>
      <c r="D744" s="534" t="str">
        <f>IFERROR(__xludf.DUMMYFUNCTION("TRANSPOSE(unique(FILTER($K$17:$K$28,$J$17:$J$28=B744)))"),"")</f>
        <v/>
      </c>
    </row>
    <row r="745">
      <c r="A745" s="627"/>
      <c r="B745" s="627" t="str">
        <f>IFERROR(__xludf.DUMMYFUNCTION("TRANSPOSE(unique(FILTER($K$17:$K$28,$J$17:$J$28=A745)))"),"")</f>
        <v/>
      </c>
      <c r="C745" s="443"/>
      <c r="D745" s="534" t="str">
        <f>IFERROR(__xludf.DUMMYFUNCTION("TRANSPOSE(unique(FILTER($K$17:$K$28,$J$17:$J$28=B745)))"),"")</f>
        <v/>
      </c>
    </row>
    <row r="746">
      <c r="A746" s="627"/>
      <c r="B746" s="627" t="str">
        <f>IFERROR(__xludf.DUMMYFUNCTION("TRANSPOSE(unique(FILTER($K$17:$K$28,$J$17:$J$28=A746)))"),"")</f>
        <v/>
      </c>
      <c r="C746" s="443"/>
      <c r="D746" s="534" t="str">
        <f>IFERROR(__xludf.DUMMYFUNCTION("TRANSPOSE(unique(FILTER($K$17:$K$28,$J$17:$J$28=B746)))"),"")</f>
        <v/>
      </c>
    </row>
    <row r="747">
      <c r="A747" s="627"/>
      <c r="B747" s="627" t="str">
        <f>IFERROR(__xludf.DUMMYFUNCTION("TRANSPOSE(unique(FILTER($K$17:$K$28,$J$17:$J$28=A747)))"),"")</f>
        <v/>
      </c>
      <c r="C747" s="443"/>
      <c r="D747" s="534" t="str">
        <f>IFERROR(__xludf.DUMMYFUNCTION("TRANSPOSE(unique(FILTER($K$17:$K$28,$J$17:$J$28=B747)))"),"")</f>
        <v/>
      </c>
    </row>
    <row r="748">
      <c r="A748" s="627"/>
      <c r="B748" s="627" t="str">
        <f>IFERROR(__xludf.DUMMYFUNCTION("TRANSPOSE(unique(FILTER($K$17:$K$28,$J$17:$J$28=A748)))"),"")</f>
        <v/>
      </c>
      <c r="C748" s="443"/>
      <c r="D748" s="534" t="str">
        <f>IFERROR(__xludf.DUMMYFUNCTION("TRANSPOSE(unique(FILTER($K$17:$K$28,$J$17:$J$28=B748)))"),"")</f>
        <v/>
      </c>
    </row>
    <row r="749">
      <c r="A749" s="627"/>
      <c r="B749" s="627" t="str">
        <f>IFERROR(__xludf.DUMMYFUNCTION("TRANSPOSE(unique(FILTER($K$17:$K$28,$J$17:$J$28=A749)))"),"")</f>
        <v/>
      </c>
      <c r="C749" s="443"/>
      <c r="D749" s="534" t="str">
        <f>IFERROR(__xludf.DUMMYFUNCTION("TRANSPOSE(unique(FILTER($K$17:$K$28,$J$17:$J$28=B749)))"),"")</f>
        <v/>
      </c>
    </row>
    <row r="750">
      <c r="A750" s="627"/>
      <c r="B750" s="627" t="str">
        <f>IFERROR(__xludf.DUMMYFUNCTION("TRANSPOSE(unique(FILTER($K$17:$K$28,$J$17:$J$28=A750)))"),"")</f>
        <v/>
      </c>
      <c r="C750" s="443"/>
      <c r="D750" s="534" t="str">
        <f>IFERROR(__xludf.DUMMYFUNCTION("TRANSPOSE(unique(FILTER($K$17:$K$28,$J$17:$J$28=B750)))"),"")</f>
        <v/>
      </c>
    </row>
    <row r="751">
      <c r="A751" s="627"/>
      <c r="B751" s="627" t="str">
        <f>IFERROR(__xludf.DUMMYFUNCTION("TRANSPOSE(unique(FILTER($K$17:$K$28,$J$17:$J$28=A751)))"),"")</f>
        <v/>
      </c>
      <c r="C751" s="443"/>
      <c r="D751" s="534" t="str">
        <f>IFERROR(__xludf.DUMMYFUNCTION("TRANSPOSE(unique(FILTER($K$17:$K$28,$J$17:$J$28=B751)))"),"")</f>
        <v/>
      </c>
    </row>
    <row r="752">
      <c r="A752" s="627"/>
      <c r="B752" s="627" t="str">
        <f>IFERROR(__xludf.DUMMYFUNCTION("TRANSPOSE(unique(FILTER($K$17:$K$28,$J$17:$J$28=A752)))"),"")</f>
        <v/>
      </c>
      <c r="C752" s="443"/>
      <c r="D752" s="534" t="str">
        <f>IFERROR(__xludf.DUMMYFUNCTION("TRANSPOSE(unique(FILTER($K$17:$K$28,$J$17:$J$28=B752)))"),"")</f>
        <v/>
      </c>
    </row>
    <row r="753">
      <c r="A753" s="627"/>
      <c r="B753" s="627" t="str">
        <f>IFERROR(__xludf.DUMMYFUNCTION("TRANSPOSE(unique(FILTER($K$17:$K$28,$J$17:$J$28=A753)))"),"")</f>
        <v/>
      </c>
      <c r="C753" s="443"/>
      <c r="D753" s="534" t="str">
        <f>IFERROR(__xludf.DUMMYFUNCTION("TRANSPOSE(unique(FILTER($K$17:$K$28,$J$17:$J$28=B753)))"),"")</f>
        <v/>
      </c>
    </row>
    <row r="754">
      <c r="A754" s="627"/>
      <c r="B754" s="627" t="str">
        <f>IFERROR(__xludf.DUMMYFUNCTION("TRANSPOSE(unique(FILTER($K$17:$K$28,$J$17:$J$28=A754)))"),"")</f>
        <v/>
      </c>
      <c r="C754" s="443"/>
      <c r="D754" s="534" t="str">
        <f>IFERROR(__xludf.DUMMYFUNCTION("TRANSPOSE(unique(FILTER($K$17:$K$28,$J$17:$J$28=B754)))"),"")</f>
        <v/>
      </c>
    </row>
    <row r="755">
      <c r="A755" s="627"/>
      <c r="B755" s="627" t="str">
        <f>IFERROR(__xludf.DUMMYFUNCTION("TRANSPOSE(unique(FILTER($K$17:$K$28,$J$17:$J$28=A755)))"),"")</f>
        <v/>
      </c>
      <c r="C755" s="443"/>
      <c r="D755" s="534" t="str">
        <f>IFERROR(__xludf.DUMMYFUNCTION("TRANSPOSE(unique(FILTER($K$17:$K$28,$J$17:$J$28=B755)))"),"")</f>
        <v/>
      </c>
    </row>
    <row r="756">
      <c r="A756" s="627"/>
      <c r="B756" s="627" t="str">
        <f>IFERROR(__xludf.DUMMYFUNCTION("TRANSPOSE(unique(FILTER($K$17:$K$28,$J$17:$J$28=A756)))"),"")</f>
        <v/>
      </c>
      <c r="C756" s="443"/>
      <c r="D756" s="534" t="str">
        <f>IFERROR(__xludf.DUMMYFUNCTION("TRANSPOSE(unique(FILTER($K$17:$K$28,$J$17:$J$28=B756)))"),"")</f>
        <v/>
      </c>
    </row>
    <row r="757">
      <c r="A757" s="627"/>
      <c r="B757" s="627" t="str">
        <f>IFERROR(__xludf.DUMMYFUNCTION("TRANSPOSE(unique(FILTER($K$17:$K$28,$J$17:$J$28=A757)))"),"")</f>
        <v/>
      </c>
      <c r="C757" s="443"/>
      <c r="D757" s="534" t="str">
        <f>IFERROR(__xludf.DUMMYFUNCTION("TRANSPOSE(unique(FILTER($K$17:$K$28,$J$17:$J$28=B757)))"),"")</f>
        <v/>
      </c>
    </row>
    <row r="758">
      <c r="A758" s="627"/>
      <c r="B758" s="627" t="str">
        <f>IFERROR(__xludf.DUMMYFUNCTION("TRANSPOSE(unique(FILTER($K$17:$K$28,$J$17:$J$28=A758)))"),"")</f>
        <v/>
      </c>
      <c r="C758" s="443"/>
      <c r="D758" s="534" t="str">
        <f>IFERROR(__xludf.DUMMYFUNCTION("TRANSPOSE(unique(FILTER($K$17:$K$28,$J$17:$J$28=B758)))"),"")</f>
        <v/>
      </c>
    </row>
    <row r="759">
      <c r="A759" s="627"/>
      <c r="B759" s="627" t="str">
        <f>IFERROR(__xludf.DUMMYFUNCTION("TRANSPOSE(unique(FILTER($K$17:$K$28,$J$17:$J$28=A759)))"),"")</f>
        <v/>
      </c>
      <c r="C759" s="443"/>
      <c r="D759" s="534" t="str">
        <f>IFERROR(__xludf.DUMMYFUNCTION("TRANSPOSE(unique(FILTER($K$17:$K$28,$J$17:$J$28=B759)))"),"")</f>
        <v/>
      </c>
    </row>
    <row r="760">
      <c r="A760" s="627"/>
      <c r="B760" s="627" t="str">
        <f>IFERROR(__xludf.DUMMYFUNCTION("TRANSPOSE(unique(FILTER($K$17:$K$28,$J$17:$J$28=A760)))"),"")</f>
        <v/>
      </c>
      <c r="C760" s="443"/>
      <c r="D760" s="534" t="str">
        <f>IFERROR(__xludf.DUMMYFUNCTION("TRANSPOSE(unique(FILTER($K$17:$K$28,$J$17:$J$28=B760)))"),"")</f>
        <v/>
      </c>
    </row>
    <row r="761">
      <c r="A761" s="627"/>
      <c r="B761" s="627" t="str">
        <f>IFERROR(__xludf.DUMMYFUNCTION("TRANSPOSE(unique(FILTER($K$17:$K$28,$J$17:$J$28=A761)))"),"")</f>
        <v/>
      </c>
      <c r="C761" s="443"/>
      <c r="D761" s="534" t="str">
        <f>IFERROR(__xludf.DUMMYFUNCTION("TRANSPOSE(unique(FILTER($K$17:$K$28,$J$17:$J$28=B761)))"),"")</f>
        <v/>
      </c>
    </row>
    <row r="762">
      <c r="A762" s="627"/>
      <c r="B762" s="627" t="str">
        <f>IFERROR(__xludf.DUMMYFUNCTION("TRANSPOSE(unique(FILTER($K$17:$K$28,$J$17:$J$28=A762)))"),"")</f>
        <v/>
      </c>
      <c r="C762" s="443"/>
      <c r="D762" s="534" t="str">
        <f>IFERROR(__xludf.DUMMYFUNCTION("TRANSPOSE(unique(FILTER($K$17:$K$28,$J$17:$J$28=B762)))"),"")</f>
        <v/>
      </c>
    </row>
    <row r="763">
      <c r="A763" s="627"/>
      <c r="B763" s="627" t="str">
        <f>IFERROR(__xludf.DUMMYFUNCTION("TRANSPOSE(unique(FILTER($K$17:$K$28,$J$17:$J$28=A763)))"),"")</f>
        <v/>
      </c>
      <c r="C763" s="443"/>
      <c r="D763" s="534" t="str">
        <f>IFERROR(__xludf.DUMMYFUNCTION("TRANSPOSE(unique(FILTER($K$17:$K$28,$J$17:$J$28=B763)))"),"")</f>
        <v/>
      </c>
    </row>
    <row r="764">
      <c r="A764" s="627"/>
      <c r="B764" s="627" t="str">
        <f>IFERROR(__xludf.DUMMYFUNCTION("TRANSPOSE(unique(FILTER($K$17:$K$28,$J$17:$J$28=A764)))"),"")</f>
        <v/>
      </c>
      <c r="C764" s="443"/>
      <c r="D764" s="534" t="str">
        <f>IFERROR(__xludf.DUMMYFUNCTION("TRANSPOSE(unique(FILTER($K$17:$K$28,$J$17:$J$28=B764)))"),"")</f>
        <v/>
      </c>
    </row>
    <row r="765">
      <c r="A765" s="627"/>
      <c r="B765" s="627" t="str">
        <f>IFERROR(__xludf.DUMMYFUNCTION("TRANSPOSE(unique(FILTER($K$17:$K$28,$J$17:$J$28=A765)))"),"")</f>
        <v/>
      </c>
      <c r="C765" s="443"/>
      <c r="D765" s="534" t="str">
        <f>IFERROR(__xludf.DUMMYFUNCTION("TRANSPOSE(unique(FILTER($K$17:$K$28,$J$17:$J$28=B765)))"),"")</f>
        <v/>
      </c>
    </row>
    <row r="766">
      <c r="A766" s="627"/>
      <c r="B766" s="627" t="str">
        <f>IFERROR(__xludf.DUMMYFUNCTION("TRANSPOSE(unique(FILTER($K$17:$K$28,$J$17:$J$28=A766)))"),"")</f>
        <v/>
      </c>
      <c r="C766" s="443"/>
      <c r="D766" s="534" t="str">
        <f>IFERROR(__xludf.DUMMYFUNCTION("TRANSPOSE(unique(FILTER($K$17:$K$28,$J$17:$J$28=B766)))"),"")</f>
        <v/>
      </c>
    </row>
    <row r="767">
      <c r="A767" s="627"/>
      <c r="B767" s="627" t="str">
        <f>IFERROR(__xludf.DUMMYFUNCTION("TRANSPOSE(unique(FILTER($K$17:$K$28,$J$17:$J$28=A767)))"),"")</f>
        <v/>
      </c>
      <c r="C767" s="443"/>
      <c r="D767" s="534" t="str">
        <f>IFERROR(__xludf.DUMMYFUNCTION("TRANSPOSE(unique(FILTER($K$17:$K$28,$J$17:$J$28=B767)))"),"")</f>
        <v/>
      </c>
    </row>
    <row r="768">
      <c r="A768" s="627"/>
      <c r="B768" s="627" t="str">
        <f>IFERROR(__xludf.DUMMYFUNCTION("TRANSPOSE(unique(FILTER($K$17:$K$28,$J$17:$J$28=A768)))"),"")</f>
        <v/>
      </c>
      <c r="C768" s="443"/>
      <c r="D768" s="534" t="str">
        <f>IFERROR(__xludf.DUMMYFUNCTION("TRANSPOSE(unique(FILTER($K$17:$K$28,$J$17:$J$28=B768)))"),"")</f>
        <v/>
      </c>
    </row>
    <row r="769">
      <c r="A769" s="627"/>
      <c r="B769" s="627" t="str">
        <f>IFERROR(__xludf.DUMMYFUNCTION("TRANSPOSE(unique(FILTER($K$17:$K$28,$J$17:$J$28=A769)))"),"")</f>
        <v/>
      </c>
      <c r="C769" s="443"/>
      <c r="D769" s="534" t="str">
        <f>IFERROR(__xludf.DUMMYFUNCTION("TRANSPOSE(unique(FILTER($K$17:$K$28,$J$17:$J$28=B769)))"),"")</f>
        <v/>
      </c>
    </row>
    <row r="770">
      <c r="A770" s="627"/>
      <c r="B770" s="627" t="str">
        <f>IFERROR(__xludf.DUMMYFUNCTION("TRANSPOSE(unique(FILTER($K$17:$K$28,$J$17:$J$28=A770)))"),"")</f>
        <v/>
      </c>
      <c r="C770" s="443"/>
      <c r="D770" s="534" t="str">
        <f>IFERROR(__xludf.DUMMYFUNCTION("TRANSPOSE(unique(FILTER($K$17:$K$28,$J$17:$J$28=B770)))"),"")</f>
        <v/>
      </c>
    </row>
    <row r="771">
      <c r="A771" s="627"/>
      <c r="B771" s="627" t="str">
        <f>IFERROR(__xludf.DUMMYFUNCTION("TRANSPOSE(unique(FILTER($K$17:$K$28,$J$17:$J$28=A771)))"),"")</f>
        <v/>
      </c>
      <c r="C771" s="443"/>
      <c r="D771" s="534" t="str">
        <f>IFERROR(__xludf.DUMMYFUNCTION("TRANSPOSE(unique(FILTER($K$17:$K$28,$J$17:$J$28=B771)))"),"")</f>
        <v/>
      </c>
    </row>
    <row r="772">
      <c r="A772" s="627"/>
      <c r="B772" s="627" t="str">
        <f>IFERROR(__xludf.DUMMYFUNCTION("TRANSPOSE(unique(FILTER($K$17:$K$28,$J$17:$J$28=A772)))"),"")</f>
        <v/>
      </c>
      <c r="C772" s="443"/>
      <c r="D772" s="534" t="str">
        <f>IFERROR(__xludf.DUMMYFUNCTION("TRANSPOSE(unique(FILTER($K$17:$K$28,$J$17:$J$28=B772)))"),"")</f>
        <v/>
      </c>
    </row>
    <row r="773">
      <c r="A773" s="627"/>
      <c r="B773" s="627" t="str">
        <f>IFERROR(__xludf.DUMMYFUNCTION("TRANSPOSE(unique(FILTER($K$17:$K$28,$J$17:$J$28=A773)))"),"")</f>
        <v/>
      </c>
      <c r="C773" s="443"/>
      <c r="D773" s="534" t="str">
        <f>IFERROR(__xludf.DUMMYFUNCTION("TRANSPOSE(unique(FILTER($K$17:$K$28,$J$17:$J$28=B773)))"),"")</f>
        <v/>
      </c>
    </row>
    <row r="774">
      <c r="A774" s="627"/>
      <c r="B774" s="627" t="str">
        <f>IFERROR(__xludf.DUMMYFUNCTION("TRANSPOSE(unique(FILTER($K$17:$K$28,$J$17:$J$28=A774)))"),"")</f>
        <v/>
      </c>
      <c r="C774" s="443"/>
      <c r="D774" s="534" t="str">
        <f>IFERROR(__xludf.DUMMYFUNCTION("TRANSPOSE(unique(FILTER($K$17:$K$28,$J$17:$J$28=B774)))"),"")</f>
        <v/>
      </c>
    </row>
    <row r="775">
      <c r="A775" s="627"/>
      <c r="B775" s="627" t="str">
        <f>IFERROR(__xludf.DUMMYFUNCTION("TRANSPOSE(unique(FILTER($K$17:$K$28,$J$17:$J$28=A775)))"),"")</f>
        <v/>
      </c>
      <c r="C775" s="443"/>
      <c r="D775" s="534" t="str">
        <f>IFERROR(__xludf.DUMMYFUNCTION("TRANSPOSE(unique(FILTER($K$17:$K$28,$J$17:$J$28=B775)))"),"")</f>
        <v/>
      </c>
    </row>
    <row r="776">
      <c r="A776" s="627"/>
      <c r="B776" s="627" t="str">
        <f>IFERROR(__xludf.DUMMYFUNCTION("TRANSPOSE(unique(FILTER($K$17:$K$28,$J$17:$J$28=A776)))"),"")</f>
        <v/>
      </c>
      <c r="C776" s="443"/>
      <c r="D776" s="534" t="str">
        <f>IFERROR(__xludf.DUMMYFUNCTION("TRANSPOSE(unique(FILTER($K$17:$K$28,$J$17:$J$28=B776)))"),"")</f>
        <v/>
      </c>
    </row>
    <row r="777">
      <c r="A777" s="627"/>
      <c r="B777" s="627" t="str">
        <f>IFERROR(__xludf.DUMMYFUNCTION("TRANSPOSE(unique(FILTER($K$17:$K$28,$J$17:$J$28=A777)))"),"")</f>
        <v/>
      </c>
      <c r="C777" s="443"/>
      <c r="D777" s="534" t="str">
        <f>IFERROR(__xludf.DUMMYFUNCTION("TRANSPOSE(unique(FILTER($K$17:$K$28,$J$17:$J$28=B777)))"),"")</f>
        <v/>
      </c>
    </row>
    <row r="778">
      <c r="A778" s="627"/>
      <c r="B778" s="627" t="str">
        <f>IFERROR(__xludf.DUMMYFUNCTION("TRANSPOSE(unique(FILTER($K$17:$K$28,$J$17:$J$28=A778)))"),"")</f>
        <v/>
      </c>
      <c r="C778" s="443"/>
      <c r="D778" s="534" t="str">
        <f>IFERROR(__xludf.DUMMYFUNCTION("TRANSPOSE(unique(FILTER($K$17:$K$28,$J$17:$J$28=B778)))"),"")</f>
        <v/>
      </c>
    </row>
    <row r="779">
      <c r="A779" s="627"/>
      <c r="B779" s="627" t="str">
        <f>IFERROR(__xludf.DUMMYFUNCTION("TRANSPOSE(unique(FILTER($K$17:$K$28,$J$17:$J$28=A779)))"),"")</f>
        <v/>
      </c>
      <c r="C779" s="443"/>
      <c r="D779" s="534" t="str">
        <f>IFERROR(__xludf.DUMMYFUNCTION("TRANSPOSE(unique(FILTER($K$17:$K$28,$J$17:$J$28=B779)))"),"")</f>
        <v/>
      </c>
    </row>
    <row r="780">
      <c r="A780" s="627"/>
      <c r="B780" s="627" t="str">
        <f>IFERROR(__xludf.DUMMYFUNCTION("TRANSPOSE(unique(FILTER($K$17:$K$28,$J$17:$J$28=A780)))"),"")</f>
        <v/>
      </c>
      <c r="C780" s="443"/>
      <c r="D780" s="534" t="str">
        <f>IFERROR(__xludf.DUMMYFUNCTION("TRANSPOSE(unique(FILTER($K$17:$K$28,$J$17:$J$28=B780)))"),"")</f>
        <v/>
      </c>
    </row>
    <row r="781">
      <c r="A781" s="627"/>
      <c r="B781" s="627" t="str">
        <f>IFERROR(__xludf.DUMMYFUNCTION("TRANSPOSE(unique(FILTER($K$17:$K$28,$J$17:$J$28=A781)))"),"")</f>
        <v/>
      </c>
      <c r="C781" s="443"/>
      <c r="D781" s="534" t="str">
        <f>IFERROR(__xludf.DUMMYFUNCTION("TRANSPOSE(unique(FILTER($K$17:$K$28,$J$17:$J$28=B781)))"),"")</f>
        <v/>
      </c>
    </row>
    <row r="782">
      <c r="A782" s="627"/>
      <c r="B782" s="627" t="str">
        <f>IFERROR(__xludf.DUMMYFUNCTION("TRANSPOSE(unique(FILTER($K$17:$K$28,$J$17:$J$28=A782)))"),"")</f>
        <v/>
      </c>
      <c r="C782" s="443"/>
      <c r="D782" s="534" t="str">
        <f>IFERROR(__xludf.DUMMYFUNCTION("TRANSPOSE(unique(FILTER($K$17:$K$28,$J$17:$J$28=B782)))"),"")</f>
        <v/>
      </c>
    </row>
    <row r="783">
      <c r="A783" s="627"/>
      <c r="B783" s="627" t="str">
        <f>IFERROR(__xludf.DUMMYFUNCTION("TRANSPOSE(unique(FILTER($K$17:$K$28,$J$17:$J$28=A783)))"),"")</f>
        <v/>
      </c>
      <c r="C783" s="443"/>
      <c r="D783" s="534" t="str">
        <f>IFERROR(__xludf.DUMMYFUNCTION("TRANSPOSE(unique(FILTER($K$17:$K$28,$J$17:$J$28=B783)))"),"")</f>
        <v/>
      </c>
    </row>
    <row r="784">
      <c r="A784" s="627"/>
      <c r="B784" s="627" t="str">
        <f>IFERROR(__xludf.DUMMYFUNCTION("TRANSPOSE(unique(FILTER($K$17:$K$28,$J$17:$J$28=A784)))"),"")</f>
        <v/>
      </c>
      <c r="C784" s="443"/>
      <c r="D784" s="534" t="str">
        <f>IFERROR(__xludf.DUMMYFUNCTION("TRANSPOSE(unique(FILTER($K$17:$K$28,$J$17:$J$28=B784)))"),"")</f>
        <v/>
      </c>
    </row>
    <row r="785">
      <c r="A785" s="627"/>
      <c r="B785" s="627" t="str">
        <f>IFERROR(__xludf.DUMMYFUNCTION("TRANSPOSE(unique(FILTER($K$17:$K$28,$J$17:$J$28=A785)))"),"")</f>
        <v/>
      </c>
      <c r="C785" s="443"/>
      <c r="D785" s="534" t="str">
        <f>IFERROR(__xludf.DUMMYFUNCTION("TRANSPOSE(unique(FILTER($K$17:$K$28,$J$17:$J$28=B785)))"),"")</f>
        <v/>
      </c>
    </row>
    <row r="786">
      <c r="A786" s="627"/>
      <c r="B786" s="627" t="str">
        <f>IFERROR(__xludf.DUMMYFUNCTION("TRANSPOSE(unique(FILTER($K$17:$K$28,$J$17:$J$28=A786)))"),"")</f>
        <v/>
      </c>
      <c r="C786" s="443"/>
      <c r="D786" s="534" t="str">
        <f>IFERROR(__xludf.DUMMYFUNCTION("TRANSPOSE(unique(FILTER($K$17:$K$28,$J$17:$J$28=B786)))"),"")</f>
        <v/>
      </c>
    </row>
    <row r="787">
      <c r="A787" s="627"/>
      <c r="B787" s="627" t="str">
        <f>IFERROR(__xludf.DUMMYFUNCTION("TRANSPOSE(unique(FILTER($K$17:$K$28,$J$17:$J$28=A787)))"),"")</f>
        <v/>
      </c>
      <c r="C787" s="443"/>
      <c r="D787" s="534" t="str">
        <f>IFERROR(__xludf.DUMMYFUNCTION("TRANSPOSE(unique(FILTER($K$17:$K$28,$J$17:$J$28=B787)))"),"")</f>
        <v/>
      </c>
    </row>
    <row r="788">
      <c r="A788" s="627"/>
      <c r="B788" s="627" t="str">
        <f>IFERROR(__xludf.DUMMYFUNCTION("TRANSPOSE(unique(FILTER($K$17:$K$28,$J$17:$J$28=A788)))"),"")</f>
        <v/>
      </c>
      <c r="C788" s="443"/>
      <c r="D788" s="534" t="str">
        <f>IFERROR(__xludf.DUMMYFUNCTION("TRANSPOSE(unique(FILTER($K$17:$K$28,$J$17:$J$28=B788)))"),"")</f>
        <v/>
      </c>
    </row>
    <row r="789">
      <c r="A789" s="627"/>
      <c r="B789" s="627" t="str">
        <f>IFERROR(__xludf.DUMMYFUNCTION("TRANSPOSE(unique(FILTER($K$17:$K$28,$J$17:$J$28=A789)))"),"")</f>
        <v/>
      </c>
      <c r="C789" s="443"/>
      <c r="D789" s="534" t="str">
        <f>IFERROR(__xludf.DUMMYFUNCTION("TRANSPOSE(unique(FILTER($K$17:$K$28,$J$17:$J$28=B789)))"),"")</f>
        <v/>
      </c>
    </row>
    <row r="790">
      <c r="A790" s="627"/>
      <c r="B790" s="627" t="str">
        <f>IFERROR(__xludf.DUMMYFUNCTION("TRANSPOSE(unique(FILTER($K$17:$K$28,$J$17:$J$28=A790)))"),"")</f>
        <v/>
      </c>
      <c r="C790" s="443"/>
      <c r="D790" s="534" t="str">
        <f>IFERROR(__xludf.DUMMYFUNCTION("TRANSPOSE(unique(FILTER($K$17:$K$28,$J$17:$J$28=B790)))"),"")</f>
        <v/>
      </c>
    </row>
    <row r="791">
      <c r="A791" s="627"/>
      <c r="B791" s="627" t="str">
        <f>IFERROR(__xludf.DUMMYFUNCTION("TRANSPOSE(unique(FILTER($K$17:$K$28,$J$17:$J$28=A791)))"),"")</f>
        <v/>
      </c>
      <c r="C791" s="443"/>
      <c r="D791" s="534" t="str">
        <f>IFERROR(__xludf.DUMMYFUNCTION("TRANSPOSE(unique(FILTER($K$17:$K$28,$J$17:$J$28=B791)))"),"")</f>
        <v/>
      </c>
    </row>
    <row r="792">
      <c r="A792" s="627"/>
      <c r="B792" s="627" t="str">
        <f>IFERROR(__xludf.DUMMYFUNCTION("TRANSPOSE(unique(FILTER($K$17:$K$28,$J$17:$J$28=A792)))"),"")</f>
        <v/>
      </c>
      <c r="C792" s="443"/>
      <c r="D792" s="534" t="str">
        <f>IFERROR(__xludf.DUMMYFUNCTION("TRANSPOSE(unique(FILTER($K$17:$K$28,$J$17:$J$28=B792)))"),"")</f>
        <v/>
      </c>
    </row>
    <row r="793">
      <c r="A793" s="627"/>
      <c r="B793" s="627" t="str">
        <f>IFERROR(__xludf.DUMMYFUNCTION("TRANSPOSE(unique(FILTER($K$17:$K$28,$J$17:$J$28=A793)))"),"")</f>
        <v/>
      </c>
      <c r="C793" s="443"/>
      <c r="D793" s="534" t="str">
        <f>IFERROR(__xludf.DUMMYFUNCTION("TRANSPOSE(unique(FILTER($K$17:$K$28,$J$17:$J$28=B793)))"),"")</f>
        <v/>
      </c>
    </row>
    <row r="794">
      <c r="A794" s="627"/>
      <c r="B794" s="627" t="str">
        <f>IFERROR(__xludf.DUMMYFUNCTION("TRANSPOSE(unique(FILTER($K$17:$K$28,$J$17:$J$28=A794)))"),"")</f>
        <v/>
      </c>
      <c r="C794" s="443"/>
      <c r="D794" s="534" t="str">
        <f>IFERROR(__xludf.DUMMYFUNCTION("TRANSPOSE(unique(FILTER($K$17:$K$28,$J$17:$J$28=B794)))"),"")</f>
        <v/>
      </c>
    </row>
    <row r="795">
      <c r="A795" s="627"/>
      <c r="B795" s="627" t="str">
        <f>IFERROR(__xludf.DUMMYFUNCTION("TRANSPOSE(unique(FILTER($K$17:$K$28,$J$17:$J$28=A795)))"),"")</f>
        <v/>
      </c>
      <c r="C795" s="443"/>
      <c r="D795" s="534" t="str">
        <f>IFERROR(__xludf.DUMMYFUNCTION("TRANSPOSE(unique(FILTER($K$17:$K$28,$J$17:$J$28=B795)))"),"")</f>
        <v/>
      </c>
    </row>
    <row r="796">
      <c r="A796" s="627"/>
      <c r="B796" s="627" t="str">
        <f>IFERROR(__xludf.DUMMYFUNCTION("TRANSPOSE(unique(FILTER($K$17:$K$28,$J$17:$J$28=A796)))"),"")</f>
        <v/>
      </c>
      <c r="C796" s="443"/>
      <c r="D796" s="534" t="str">
        <f>IFERROR(__xludf.DUMMYFUNCTION("TRANSPOSE(unique(FILTER($K$17:$K$28,$J$17:$J$28=B796)))"),"")</f>
        <v/>
      </c>
    </row>
    <row r="797">
      <c r="A797" s="627"/>
      <c r="B797" s="627" t="str">
        <f>IFERROR(__xludf.DUMMYFUNCTION("TRANSPOSE(unique(FILTER($K$17:$K$28,$J$17:$J$28=A797)))"),"")</f>
        <v/>
      </c>
      <c r="C797" s="443"/>
      <c r="D797" s="534" t="str">
        <f>IFERROR(__xludf.DUMMYFUNCTION("TRANSPOSE(unique(FILTER($K$17:$K$28,$J$17:$J$28=B797)))"),"")</f>
        <v/>
      </c>
    </row>
    <row r="798">
      <c r="A798" s="627"/>
      <c r="B798" s="627" t="str">
        <f>IFERROR(__xludf.DUMMYFUNCTION("TRANSPOSE(unique(FILTER($K$17:$K$28,$J$17:$J$28=A798)))"),"")</f>
        <v/>
      </c>
      <c r="C798" s="443"/>
      <c r="D798" s="534" t="str">
        <f>IFERROR(__xludf.DUMMYFUNCTION("TRANSPOSE(unique(FILTER($K$17:$K$28,$J$17:$J$28=B798)))"),"")</f>
        <v/>
      </c>
    </row>
    <row r="799">
      <c r="A799" s="627"/>
      <c r="B799" s="627" t="str">
        <f>IFERROR(__xludf.DUMMYFUNCTION("TRANSPOSE(unique(FILTER($K$17:$K$28,$J$17:$J$28=A799)))"),"")</f>
        <v/>
      </c>
      <c r="C799" s="443"/>
      <c r="D799" s="534" t="str">
        <f>IFERROR(__xludf.DUMMYFUNCTION("TRANSPOSE(unique(FILTER($K$17:$K$28,$J$17:$J$28=B799)))"),"")</f>
        <v/>
      </c>
    </row>
    <row r="800">
      <c r="A800" s="627"/>
      <c r="B800" s="627" t="str">
        <f>IFERROR(__xludf.DUMMYFUNCTION("TRANSPOSE(unique(FILTER($K$17:$K$28,$J$17:$J$28=A800)))"),"")</f>
        <v/>
      </c>
      <c r="C800" s="443"/>
      <c r="D800" s="534" t="str">
        <f>IFERROR(__xludf.DUMMYFUNCTION("TRANSPOSE(unique(FILTER($K$17:$K$28,$J$17:$J$28=B800)))"),"")</f>
        <v/>
      </c>
    </row>
    <row r="801">
      <c r="A801" s="627"/>
      <c r="B801" s="627" t="str">
        <f>IFERROR(__xludf.DUMMYFUNCTION("TRANSPOSE(unique(FILTER($K$17:$K$28,$J$17:$J$28=A801)))"),"")</f>
        <v/>
      </c>
      <c r="C801" s="443"/>
      <c r="D801" s="534" t="str">
        <f>IFERROR(__xludf.DUMMYFUNCTION("TRANSPOSE(unique(FILTER($K$17:$K$28,$J$17:$J$28=B801)))"),"")</f>
        <v/>
      </c>
    </row>
    <row r="802">
      <c r="A802" s="627"/>
      <c r="B802" s="627" t="str">
        <f>IFERROR(__xludf.DUMMYFUNCTION("TRANSPOSE(unique(FILTER($K$17:$K$28,$J$17:$J$28=A802)))"),"")</f>
        <v/>
      </c>
      <c r="C802" s="443"/>
      <c r="D802" s="534" t="str">
        <f>IFERROR(__xludf.DUMMYFUNCTION("TRANSPOSE(unique(FILTER($K$17:$K$28,$J$17:$J$28=B802)))"),"")</f>
        <v/>
      </c>
    </row>
    <row r="803">
      <c r="A803" s="627"/>
      <c r="B803" s="627" t="str">
        <f>IFERROR(__xludf.DUMMYFUNCTION("TRANSPOSE(unique(FILTER($K$17:$K$28,$J$17:$J$28=A803)))"),"")</f>
        <v/>
      </c>
      <c r="C803" s="443"/>
      <c r="D803" s="534" t="str">
        <f>IFERROR(__xludf.DUMMYFUNCTION("TRANSPOSE(unique(FILTER($K$17:$K$28,$J$17:$J$28=B803)))"),"")</f>
        <v/>
      </c>
    </row>
    <row r="804">
      <c r="A804" s="627"/>
      <c r="B804" s="627" t="str">
        <f>IFERROR(__xludf.DUMMYFUNCTION("TRANSPOSE(unique(FILTER($K$17:$K$28,$J$17:$J$28=A804)))"),"")</f>
        <v/>
      </c>
      <c r="C804" s="443"/>
      <c r="D804" s="534" t="str">
        <f>IFERROR(__xludf.DUMMYFUNCTION("TRANSPOSE(unique(FILTER($K$17:$K$28,$J$17:$J$28=B804)))"),"")</f>
        <v/>
      </c>
    </row>
    <row r="805">
      <c r="A805" s="627"/>
      <c r="B805" s="627" t="str">
        <f>IFERROR(__xludf.DUMMYFUNCTION("TRANSPOSE(unique(FILTER($K$17:$K$28,$J$17:$J$28=A805)))"),"")</f>
        <v/>
      </c>
      <c r="C805" s="443"/>
      <c r="D805" s="534" t="str">
        <f>IFERROR(__xludf.DUMMYFUNCTION("TRANSPOSE(unique(FILTER($K$17:$K$28,$J$17:$J$28=B805)))"),"")</f>
        <v/>
      </c>
    </row>
    <row r="806">
      <c r="A806" s="627"/>
      <c r="B806" s="627" t="str">
        <f>IFERROR(__xludf.DUMMYFUNCTION("TRANSPOSE(unique(FILTER($K$17:$K$28,$J$17:$J$28=A806)))"),"")</f>
        <v/>
      </c>
      <c r="C806" s="443"/>
      <c r="D806" s="534" t="str">
        <f>IFERROR(__xludf.DUMMYFUNCTION("TRANSPOSE(unique(FILTER($K$17:$K$28,$J$17:$J$28=B806)))"),"")</f>
        <v/>
      </c>
    </row>
    <row r="807">
      <c r="A807" s="627"/>
      <c r="B807" s="627" t="str">
        <f>IFERROR(__xludf.DUMMYFUNCTION("TRANSPOSE(unique(FILTER($K$17:$K$28,$J$17:$J$28=A807)))"),"")</f>
        <v/>
      </c>
      <c r="C807" s="443"/>
      <c r="D807" s="534" t="str">
        <f>IFERROR(__xludf.DUMMYFUNCTION("TRANSPOSE(unique(FILTER($K$17:$K$28,$J$17:$J$28=B807)))"),"")</f>
        <v/>
      </c>
    </row>
    <row r="808">
      <c r="A808" s="627"/>
      <c r="B808" s="627" t="str">
        <f>IFERROR(__xludf.DUMMYFUNCTION("TRANSPOSE(unique(FILTER($K$17:$K$28,$J$17:$J$28=A808)))"),"")</f>
        <v/>
      </c>
      <c r="C808" s="443"/>
      <c r="D808" s="534" t="str">
        <f>IFERROR(__xludf.DUMMYFUNCTION("TRANSPOSE(unique(FILTER($K$17:$K$28,$J$17:$J$28=B808)))"),"")</f>
        <v/>
      </c>
    </row>
    <row r="809">
      <c r="A809" s="627"/>
      <c r="B809" s="627" t="str">
        <f>IFERROR(__xludf.DUMMYFUNCTION("TRANSPOSE(unique(FILTER($K$17:$K$28,$J$17:$J$28=A809)))"),"")</f>
        <v/>
      </c>
      <c r="C809" s="443"/>
      <c r="D809" s="534" t="str">
        <f>IFERROR(__xludf.DUMMYFUNCTION("TRANSPOSE(unique(FILTER($K$17:$K$28,$J$17:$J$28=B809)))"),"")</f>
        <v/>
      </c>
    </row>
    <row r="810">
      <c r="A810" s="627"/>
      <c r="B810" s="627" t="str">
        <f>IFERROR(__xludf.DUMMYFUNCTION("TRANSPOSE(unique(FILTER($K$17:$K$28,$J$17:$J$28=A810)))"),"")</f>
        <v/>
      </c>
      <c r="C810" s="443"/>
      <c r="D810" s="534" t="str">
        <f>IFERROR(__xludf.DUMMYFUNCTION("TRANSPOSE(unique(FILTER($K$17:$K$28,$J$17:$J$28=B810)))"),"")</f>
        <v/>
      </c>
    </row>
    <row r="811">
      <c r="A811" s="627"/>
      <c r="B811" s="627" t="str">
        <f>IFERROR(__xludf.DUMMYFUNCTION("TRANSPOSE(unique(FILTER($K$17:$K$28,$J$17:$J$28=A811)))"),"")</f>
        <v/>
      </c>
      <c r="C811" s="443"/>
      <c r="D811" s="534" t="str">
        <f>IFERROR(__xludf.DUMMYFUNCTION("TRANSPOSE(unique(FILTER($K$17:$K$28,$J$17:$J$28=B811)))"),"")</f>
        <v/>
      </c>
    </row>
    <row r="812">
      <c r="A812" s="627"/>
      <c r="B812" s="627" t="str">
        <f>IFERROR(__xludf.DUMMYFUNCTION("TRANSPOSE(unique(FILTER($K$17:$K$28,$J$17:$J$28=A812)))"),"")</f>
        <v/>
      </c>
      <c r="C812" s="443"/>
      <c r="D812" s="534" t="str">
        <f>IFERROR(__xludf.DUMMYFUNCTION("TRANSPOSE(unique(FILTER($K$17:$K$28,$J$17:$J$28=B812)))"),"")</f>
        <v/>
      </c>
    </row>
    <row r="813">
      <c r="A813" s="627"/>
      <c r="B813" s="627" t="str">
        <f>IFERROR(__xludf.DUMMYFUNCTION("TRANSPOSE(unique(FILTER($K$17:$K$28,$J$17:$J$28=A813)))"),"")</f>
        <v/>
      </c>
      <c r="C813" s="443"/>
      <c r="D813" s="534" t="str">
        <f>IFERROR(__xludf.DUMMYFUNCTION("TRANSPOSE(unique(FILTER($K$17:$K$28,$J$17:$J$28=B813)))"),"")</f>
        <v/>
      </c>
    </row>
    <row r="814">
      <c r="A814" s="627"/>
      <c r="B814" s="627" t="str">
        <f>IFERROR(__xludf.DUMMYFUNCTION("TRANSPOSE(unique(FILTER($K$17:$K$28,$J$17:$J$28=A814)))"),"")</f>
        <v/>
      </c>
      <c r="C814" s="443"/>
      <c r="D814" s="534" t="str">
        <f>IFERROR(__xludf.DUMMYFUNCTION("TRANSPOSE(unique(FILTER($K$17:$K$28,$J$17:$J$28=B814)))"),"")</f>
        <v/>
      </c>
    </row>
    <row r="815">
      <c r="A815" s="627"/>
      <c r="B815" s="627" t="str">
        <f>IFERROR(__xludf.DUMMYFUNCTION("TRANSPOSE(unique(FILTER($K$17:$K$28,$J$17:$J$28=A815)))"),"")</f>
        <v/>
      </c>
      <c r="C815" s="443"/>
      <c r="D815" s="534" t="str">
        <f>IFERROR(__xludf.DUMMYFUNCTION("TRANSPOSE(unique(FILTER($K$17:$K$28,$J$17:$J$28=B815)))"),"")</f>
        <v/>
      </c>
    </row>
    <row r="816">
      <c r="A816" s="627"/>
      <c r="B816" s="627" t="str">
        <f>IFERROR(__xludf.DUMMYFUNCTION("TRANSPOSE(unique(FILTER($K$17:$K$28,$J$17:$J$28=A816)))"),"")</f>
        <v/>
      </c>
      <c r="C816" s="443"/>
      <c r="D816" s="534" t="str">
        <f>IFERROR(__xludf.DUMMYFUNCTION("TRANSPOSE(unique(FILTER($K$17:$K$28,$J$17:$J$28=B816)))"),"")</f>
        <v/>
      </c>
    </row>
    <row r="817">
      <c r="A817" s="627"/>
      <c r="B817" s="627" t="str">
        <f>IFERROR(__xludf.DUMMYFUNCTION("TRANSPOSE(unique(FILTER($K$17:$K$28,$J$17:$J$28=A817)))"),"")</f>
        <v/>
      </c>
      <c r="C817" s="443"/>
      <c r="D817" s="534" t="str">
        <f>IFERROR(__xludf.DUMMYFUNCTION("TRANSPOSE(unique(FILTER($K$17:$K$28,$J$17:$J$28=B817)))"),"")</f>
        <v/>
      </c>
    </row>
    <row r="818">
      <c r="A818" s="627"/>
      <c r="B818" s="627" t="str">
        <f>IFERROR(__xludf.DUMMYFUNCTION("TRANSPOSE(unique(FILTER($K$17:$K$28,$J$17:$J$28=A818)))"),"")</f>
        <v/>
      </c>
      <c r="C818" s="443"/>
      <c r="D818" s="534" t="str">
        <f>IFERROR(__xludf.DUMMYFUNCTION("TRANSPOSE(unique(FILTER($K$17:$K$28,$J$17:$J$28=B818)))"),"")</f>
        <v/>
      </c>
    </row>
    <row r="819">
      <c r="A819" s="627"/>
      <c r="B819" s="627" t="str">
        <f>IFERROR(__xludf.DUMMYFUNCTION("TRANSPOSE(unique(FILTER($K$17:$K$28,$J$17:$J$28=A819)))"),"")</f>
        <v/>
      </c>
      <c r="C819" s="443"/>
      <c r="D819" s="534" t="str">
        <f>IFERROR(__xludf.DUMMYFUNCTION("TRANSPOSE(unique(FILTER($K$17:$K$28,$J$17:$J$28=B819)))"),"")</f>
        <v/>
      </c>
    </row>
    <row r="820">
      <c r="A820" s="627"/>
      <c r="B820" s="627" t="str">
        <f>IFERROR(__xludf.DUMMYFUNCTION("TRANSPOSE(unique(FILTER($K$17:$K$28,$J$17:$J$28=A820)))"),"")</f>
        <v/>
      </c>
      <c r="C820" s="443"/>
      <c r="D820" s="534" t="str">
        <f>IFERROR(__xludf.DUMMYFUNCTION("TRANSPOSE(unique(FILTER($K$17:$K$28,$J$17:$J$28=B820)))"),"")</f>
        <v/>
      </c>
    </row>
    <row r="821">
      <c r="A821" s="627"/>
      <c r="B821" s="627" t="str">
        <f>IFERROR(__xludf.DUMMYFUNCTION("TRANSPOSE(unique(FILTER($K$17:$K$28,$J$17:$J$28=A821)))"),"")</f>
        <v/>
      </c>
      <c r="C821" s="443"/>
      <c r="D821" s="534" t="str">
        <f>IFERROR(__xludf.DUMMYFUNCTION("TRANSPOSE(unique(FILTER($K$17:$K$28,$J$17:$J$28=B821)))"),"")</f>
        <v/>
      </c>
    </row>
    <row r="822">
      <c r="A822" s="627"/>
      <c r="B822" s="627" t="str">
        <f>IFERROR(__xludf.DUMMYFUNCTION("TRANSPOSE(unique(FILTER($K$17:$K$28,$J$17:$J$28=A822)))"),"")</f>
        <v/>
      </c>
      <c r="C822" s="443"/>
      <c r="D822" s="534" t="str">
        <f>IFERROR(__xludf.DUMMYFUNCTION("TRANSPOSE(unique(FILTER($K$17:$K$28,$J$17:$J$28=B822)))"),"")</f>
        <v/>
      </c>
    </row>
    <row r="823">
      <c r="A823" s="627"/>
      <c r="B823" s="627" t="str">
        <f>IFERROR(__xludf.DUMMYFUNCTION("TRANSPOSE(unique(FILTER($K$17:$K$28,$J$17:$J$28=A823)))"),"")</f>
        <v/>
      </c>
      <c r="C823" s="443"/>
      <c r="D823" s="534" t="str">
        <f>IFERROR(__xludf.DUMMYFUNCTION("TRANSPOSE(unique(FILTER($K$17:$K$28,$J$17:$J$28=B823)))"),"")</f>
        <v/>
      </c>
    </row>
    <row r="824">
      <c r="A824" s="627"/>
      <c r="B824" s="627" t="str">
        <f>IFERROR(__xludf.DUMMYFUNCTION("TRANSPOSE(unique(FILTER($K$17:$K$28,$J$17:$J$28=A824)))"),"")</f>
        <v/>
      </c>
      <c r="C824" s="443"/>
      <c r="D824" s="534" t="str">
        <f>IFERROR(__xludf.DUMMYFUNCTION("TRANSPOSE(unique(FILTER($K$17:$K$28,$J$17:$J$28=B824)))"),"")</f>
        <v/>
      </c>
    </row>
    <row r="825">
      <c r="A825" s="627"/>
      <c r="B825" s="627" t="str">
        <f>IFERROR(__xludf.DUMMYFUNCTION("TRANSPOSE(unique(FILTER($K$17:$K$28,$J$17:$J$28=A825)))"),"")</f>
        <v/>
      </c>
      <c r="C825" s="443"/>
      <c r="D825" s="534" t="str">
        <f>IFERROR(__xludf.DUMMYFUNCTION("TRANSPOSE(unique(FILTER($K$17:$K$28,$J$17:$J$28=B825)))"),"")</f>
        <v/>
      </c>
    </row>
    <row r="826">
      <c r="A826" s="627"/>
      <c r="B826" s="627" t="str">
        <f>IFERROR(__xludf.DUMMYFUNCTION("TRANSPOSE(unique(FILTER($K$17:$K$28,$J$17:$J$28=A826)))"),"")</f>
        <v/>
      </c>
      <c r="C826" s="443"/>
      <c r="D826" s="534" t="str">
        <f>IFERROR(__xludf.DUMMYFUNCTION("TRANSPOSE(unique(FILTER($K$17:$K$28,$J$17:$J$28=B826)))"),"")</f>
        <v/>
      </c>
    </row>
    <row r="827">
      <c r="A827" s="627"/>
      <c r="B827" s="627" t="str">
        <f>IFERROR(__xludf.DUMMYFUNCTION("TRANSPOSE(unique(FILTER($K$17:$K$28,$J$17:$J$28=A827)))"),"")</f>
        <v/>
      </c>
      <c r="C827" s="443"/>
      <c r="D827" s="534" t="str">
        <f>IFERROR(__xludf.DUMMYFUNCTION("TRANSPOSE(unique(FILTER($K$17:$K$28,$J$17:$J$28=B827)))"),"")</f>
        <v/>
      </c>
    </row>
    <row r="828">
      <c r="A828" s="627"/>
      <c r="B828" s="627" t="str">
        <f>IFERROR(__xludf.DUMMYFUNCTION("TRANSPOSE(unique(FILTER($K$17:$K$28,$J$17:$J$28=A828)))"),"")</f>
        <v/>
      </c>
      <c r="C828" s="443"/>
      <c r="D828" s="534" t="str">
        <f>IFERROR(__xludf.DUMMYFUNCTION("TRANSPOSE(unique(FILTER($K$17:$K$28,$J$17:$J$28=B828)))"),"")</f>
        <v/>
      </c>
    </row>
    <row r="829">
      <c r="A829" s="627"/>
      <c r="B829" s="627" t="str">
        <f>IFERROR(__xludf.DUMMYFUNCTION("TRANSPOSE(unique(FILTER($K$17:$K$28,$J$17:$J$28=A829)))"),"")</f>
        <v/>
      </c>
      <c r="C829" s="443"/>
      <c r="D829" s="534" t="str">
        <f>IFERROR(__xludf.DUMMYFUNCTION("TRANSPOSE(unique(FILTER($K$17:$K$28,$J$17:$J$28=B829)))"),"")</f>
        <v/>
      </c>
    </row>
    <row r="830">
      <c r="A830" s="627"/>
      <c r="B830" s="627" t="str">
        <f>IFERROR(__xludf.DUMMYFUNCTION("TRANSPOSE(unique(FILTER($K$17:$K$28,$J$17:$J$28=A830)))"),"")</f>
        <v/>
      </c>
      <c r="C830" s="443"/>
      <c r="D830" s="534" t="str">
        <f>IFERROR(__xludf.DUMMYFUNCTION("TRANSPOSE(unique(FILTER($K$17:$K$28,$J$17:$J$28=B830)))"),"")</f>
        <v/>
      </c>
    </row>
    <row r="831">
      <c r="A831" s="627"/>
      <c r="B831" s="627" t="str">
        <f>IFERROR(__xludf.DUMMYFUNCTION("TRANSPOSE(unique(FILTER($K$17:$K$28,$J$17:$J$28=A831)))"),"")</f>
        <v/>
      </c>
      <c r="C831" s="443"/>
      <c r="D831" s="534" t="str">
        <f>IFERROR(__xludf.DUMMYFUNCTION("TRANSPOSE(unique(FILTER($K$17:$K$28,$J$17:$J$28=B831)))"),"")</f>
        <v/>
      </c>
    </row>
    <row r="832">
      <c r="A832" s="627"/>
      <c r="B832" s="627" t="str">
        <f>IFERROR(__xludf.DUMMYFUNCTION("TRANSPOSE(unique(FILTER($K$17:$K$28,$J$17:$J$28=A832)))"),"")</f>
        <v/>
      </c>
      <c r="C832" s="443"/>
      <c r="D832" s="534" t="str">
        <f>IFERROR(__xludf.DUMMYFUNCTION("TRANSPOSE(unique(FILTER($K$17:$K$28,$J$17:$J$28=B832)))"),"")</f>
        <v/>
      </c>
    </row>
    <row r="833">
      <c r="A833" s="627"/>
      <c r="B833" s="627" t="str">
        <f>IFERROR(__xludf.DUMMYFUNCTION("TRANSPOSE(unique(FILTER($K$17:$K$28,$J$17:$J$28=A833)))"),"")</f>
        <v/>
      </c>
      <c r="C833" s="443"/>
      <c r="D833" s="534" t="str">
        <f>IFERROR(__xludf.DUMMYFUNCTION("TRANSPOSE(unique(FILTER($K$17:$K$28,$J$17:$J$28=B833)))"),"")</f>
        <v/>
      </c>
    </row>
    <row r="834">
      <c r="A834" s="627"/>
      <c r="B834" s="627" t="str">
        <f>IFERROR(__xludf.DUMMYFUNCTION("TRANSPOSE(unique(FILTER($K$17:$K$28,$J$17:$J$28=A834)))"),"")</f>
        <v/>
      </c>
      <c r="C834" s="443"/>
      <c r="D834" s="534" t="str">
        <f>IFERROR(__xludf.DUMMYFUNCTION("TRANSPOSE(unique(FILTER($K$17:$K$28,$J$17:$J$28=B834)))"),"")</f>
        <v/>
      </c>
    </row>
    <row r="835">
      <c r="A835" s="627"/>
      <c r="B835" s="627" t="str">
        <f>IFERROR(__xludf.DUMMYFUNCTION("TRANSPOSE(unique(FILTER($K$17:$K$28,$J$17:$J$28=A835)))"),"")</f>
        <v/>
      </c>
      <c r="C835" s="443"/>
      <c r="D835" s="534" t="str">
        <f>IFERROR(__xludf.DUMMYFUNCTION("TRANSPOSE(unique(FILTER($K$17:$K$28,$J$17:$J$28=B835)))"),"")</f>
        <v/>
      </c>
    </row>
    <row r="836">
      <c r="A836" s="627"/>
      <c r="B836" s="627" t="str">
        <f>IFERROR(__xludf.DUMMYFUNCTION("TRANSPOSE(unique(FILTER($K$17:$K$28,$J$17:$J$28=A836)))"),"")</f>
        <v/>
      </c>
      <c r="C836" s="443"/>
      <c r="D836" s="534" t="str">
        <f>IFERROR(__xludf.DUMMYFUNCTION("TRANSPOSE(unique(FILTER($K$17:$K$28,$J$17:$J$28=B836)))"),"")</f>
        <v/>
      </c>
    </row>
    <row r="837">
      <c r="A837" s="627"/>
      <c r="B837" s="627" t="str">
        <f>IFERROR(__xludf.DUMMYFUNCTION("TRANSPOSE(unique(FILTER($K$17:$K$28,$J$17:$J$28=A837)))"),"")</f>
        <v/>
      </c>
      <c r="C837" s="443"/>
      <c r="D837" s="534" t="str">
        <f>IFERROR(__xludf.DUMMYFUNCTION("TRANSPOSE(unique(FILTER($K$17:$K$28,$J$17:$J$28=B837)))"),"")</f>
        <v/>
      </c>
    </row>
    <row r="838">
      <c r="A838" s="627"/>
      <c r="B838" s="627" t="str">
        <f>IFERROR(__xludf.DUMMYFUNCTION("TRANSPOSE(unique(FILTER($K$17:$K$28,$J$17:$J$28=A838)))"),"")</f>
        <v/>
      </c>
      <c r="C838" s="443"/>
      <c r="D838" s="534" t="str">
        <f>IFERROR(__xludf.DUMMYFUNCTION("TRANSPOSE(unique(FILTER($K$17:$K$28,$J$17:$J$28=B838)))"),"")</f>
        <v/>
      </c>
    </row>
    <row r="839">
      <c r="A839" s="627"/>
      <c r="B839" s="627" t="str">
        <f>IFERROR(__xludf.DUMMYFUNCTION("TRANSPOSE(unique(FILTER($K$17:$K$28,$J$17:$J$28=A839)))"),"")</f>
        <v/>
      </c>
      <c r="C839" s="443"/>
      <c r="D839" s="534" t="str">
        <f>IFERROR(__xludf.DUMMYFUNCTION("TRANSPOSE(unique(FILTER($K$17:$K$28,$J$17:$J$28=B839)))"),"")</f>
        <v/>
      </c>
    </row>
    <row r="840">
      <c r="A840" s="627"/>
      <c r="B840" s="627" t="str">
        <f>IFERROR(__xludf.DUMMYFUNCTION("TRANSPOSE(unique(FILTER($K$17:$K$28,$J$17:$J$28=A840)))"),"")</f>
        <v/>
      </c>
      <c r="C840" s="443"/>
      <c r="D840" s="534" t="str">
        <f>IFERROR(__xludf.DUMMYFUNCTION("TRANSPOSE(unique(FILTER($K$17:$K$28,$J$17:$J$28=B840)))"),"")</f>
        <v/>
      </c>
    </row>
    <row r="841">
      <c r="A841" s="627"/>
      <c r="B841" s="627" t="str">
        <f>IFERROR(__xludf.DUMMYFUNCTION("TRANSPOSE(unique(FILTER($K$17:$K$28,$J$17:$J$28=A841)))"),"")</f>
        <v/>
      </c>
      <c r="C841" s="443"/>
      <c r="D841" s="534" t="str">
        <f>IFERROR(__xludf.DUMMYFUNCTION("TRANSPOSE(unique(FILTER($K$17:$K$28,$J$17:$J$28=B841)))"),"")</f>
        <v/>
      </c>
    </row>
    <row r="842">
      <c r="A842" s="627"/>
      <c r="B842" s="627" t="str">
        <f>IFERROR(__xludf.DUMMYFUNCTION("TRANSPOSE(unique(FILTER($K$17:$K$28,$J$17:$J$28=A842)))"),"")</f>
        <v/>
      </c>
      <c r="C842" s="443"/>
      <c r="D842" s="534" t="str">
        <f>IFERROR(__xludf.DUMMYFUNCTION("TRANSPOSE(unique(FILTER($K$17:$K$28,$J$17:$J$28=B842)))"),"")</f>
        <v/>
      </c>
    </row>
    <row r="843">
      <c r="A843" s="627"/>
      <c r="B843" s="627" t="str">
        <f>IFERROR(__xludf.DUMMYFUNCTION("TRANSPOSE(unique(FILTER($K$17:$K$28,$J$17:$J$28=A843)))"),"")</f>
        <v/>
      </c>
      <c r="C843" s="443"/>
      <c r="D843" s="534" t="str">
        <f>IFERROR(__xludf.DUMMYFUNCTION("TRANSPOSE(unique(FILTER($K$17:$K$28,$J$17:$J$28=B843)))"),"")</f>
        <v/>
      </c>
    </row>
    <row r="844">
      <c r="A844" s="627"/>
      <c r="B844" s="627" t="str">
        <f>IFERROR(__xludf.DUMMYFUNCTION("TRANSPOSE(unique(FILTER($K$17:$K$28,$J$17:$J$28=A844)))"),"")</f>
        <v/>
      </c>
      <c r="C844" s="443"/>
      <c r="D844" s="534" t="str">
        <f>IFERROR(__xludf.DUMMYFUNCTION("TRANSPOSE(unique(FILTER($K$17:$K$28,$J$17:$J$28=B844)))"),"")</f>
        <v/>
      </c>
    </row>
    <row r="845">
      <c r="A845" s="627"/>
      <c r="B845" s="627" t="str">
        <f>IFERROR(__xludf.DUMMYFUNCTION("TRANSPOSE(unique(FILTER($K$17:$K$28,$J$17:$J$28=A845)))"),"")</f>
        <v/>
      </c>
      <c r="C845" s="443"/>
      <c r="D845" s="534" t="str">
        <f>IFERROR(__xludf.DUMMYFUNCTION("TRANSPOSE(unique(FILTER($K$17:$K$28,$J$17:$J$28=B845)))"),"")</f>
        <v/>
      </c>
    </row>
    <row r="846">
      <c r="A846" s="627"/>
      <c r="B846" s="627" t="str">
        <f>IFERROR(__xludf.DUMMYFUNCTION("TRANSPOSE(unique(FILTER($K$17:$K$28,$J$17:$J$28=A846)))"),"")</f>
        <v/>
      </c>
      <c r="C846" s="443"/>
      <c r="D846" s="534" t="str">
        <f>IFERROR(__xludf.DUMMYFUNCTION("TRANSPOSE(unique(FILTER($K$17:$K$28,$J$17:$J$28=B846)))"),"")</f>
        <v/>
      </c>
    </row>
    <row r="847">
      <c r="A847" s="627"/>
      <c r="B847" s="627" t="str">
        <f>IFERROR(__xludf.DUMMYFUNCTION("TRANSPOSE(unique(FILTER($K$17:$K$28,$J$17:$J$28=A847)))"),"")</f>
        <v/>
      </c>
      <c r="C847" s="443"/>
      <c r="D847" s="534" t="str">
        <f>IFERROR(__xludf.DUMMYFUNCTION("TRANSPOSE(unique(FILTER($K$17:$K$28,$J$17:$J$28=B847)))"),"")</f>
        <v/>
      </c>
    </row>
    <row r="848">
      <c r="A848" s="627"/>
      <c r="B848" s="627" t="str">
        <f>IFERROR(__xludf.DUMMYFUNCTION("TRANSPOSE(unique(FILTER($K$17:$K$28,$J$17:$J$28=A848)))"),"")</f>
        <v/>
      </c>
      <c r="C848" s="443"/>
      <c r="D848" s="534" t="str">
        <f>IFERROR(__xludf.DUMMYFUNCTION("TRANSPOSE(unique(FILTER($K$17:$K$28,$J$17:$J$28=B848)))"),"")</f>
        <v/>
      </c>
    </row>
    <row r="849">
      <c r="A849" s="627"/>
      <c r="B849" s="627" t="str">
        <f>IFERROR(__xludf.DUMMYFUNCTION("TRANSPOSE(unique(FILTER($K$17:$K$28,$J$17:$J$28=A849)))"),"")</f>
        <v/>
      </c>
      <c r="C849" s="443"/>
      <c r="D849" s="534" t="str">
        <f>IFERROR(__xludf.DUMMYFUNCTION("TRANSPOSE(unique(FILTER($K$17:$K$28,$J$17:$J$28=B849)))"),"")</f>
        <v/>
      </c>
    </row>
    <row r="850">
      <c r="A850" s="627"/>
      <c r="B850" s="627" t="str">
        <f>IFERROR(__xludf.DUMMYFUNCTION("TRANSPOSE(unique(FILTER($K$17:$K$28,$J$17:$J$28=A850)))"),"")</f>
        <v/>
      </c>
      <c r="C850" s="443"/>
      <c r="D850" s="534" t="str">
        <f>IFERROR(__xludf.DUMMYFUNCTION("TRANSPOSE(unique(FILTER($K$17:$K$28,$J$17:$J$28=B850)))"),"")</f>
        <v/>
      </c>
    </row>
    <row r="851">
      <c r="A851" s="627"/>
      <c r="B851" s="627" t="str">
        <f>IFERROR(__xludf.DUMMYFUNCTION("TRANSPOSE(unique(FILTER($K$17:$K$28,$J$17:$J$28=A851)))"),"")</f>
        <v/>
      </c>
      <c r="C851" s="443"/>
      <c r="D851" s="534" t="str">
        <f>IFERROR(__xludf.DUMMYFUNCTION("TRANSPOSE(unique(FILTER($K$17:$K$28,$J$17:$J$28=B851)))"),"")</f>
        <v/>
      </c>
    </row>
    <row r="852">
      <c r="A852" s="627"/>
      <c r="B852" s="627" t="str">
        <f>IFERROR(__xludf.DUMMYFUNCTION("TRANSPOSE(unique(FILTER($K$17:$K$28,$J$17:$J$28=A852)))"),"")</f>
        <v/>
      </c>
      <c r="C852" s="443"/>
      <c r="D852" s="534" t="str">
        <f>IFERROR(__xludf.DUMMYFUNCTION("TRANSPOSE(unique(FILTER($K$17:$K$28,$J$17:$J$28=B852)))"),"")</f>
        <v/>
      </c>
    </row>
    <row r="853">
      <c r="A853" s="627"/>
      <c r="B853" s="627" t="str">
        <f>IFERROR(__xludf.DUMMYFUNCTION("TRANSPOSE(unique(FILTER($K$17:$K$28,$J$17:$J$28=A853)))"),"")</f>
        <v/>
      </c>
      <c r="C853" s="443"/>
      <c r="D853" s="534" t="str">
        <f>IFERROR(__xludf.DUMMYFUNCTION("TRANSPOSE(unique(FILTER($K$17:$K$28,$J$17:$J$28=B853)))"),"")</f>
        <v/>
      </c>
    </row>
    <row r="854">
      <c r="A854" s="627"/>
      <c r="B854" s="627" t="str">
        <f>IFERROR(__xludf.DUMMYFUNCTION("TRANSPOSE(unique(FILTER($K$17:$K$28,$J$17:$J$28=A854)))"),"")</f>
        <v/>
      </c>
      <c r="C854" s="443"/>
      <c r="D854" s="534" t="str">
        <f>IFERROR(__xludf.DUMMYFUNCTION("TRANSPOSE(unique(FILTER($K$17:$K$28,$J$17:$J$28=B854)))"),"")</f>
        <v/>
      </c>
    </row>
    <row r="855">
      <c r="A855" s="627"/>
      <c r="B855" s="627" t="str">
        <f>IFERROR(__xludf.DUMMYFUNCTION("TRANSPOSE(unique(FILTER($K$17:$K$28,$J$17:$J$28=A855)))"),"")</f>
        <v/>
      </c>
      <c r="C855" s="443"/>
      <c r="D855" s="534" t="str">
        <f>IFERROR(__xludf.DUMMYFUNCTION("TRANSPOSE(unique(FILTER($K$17:$K$28,$J$17:$J$28=B855)))"),"")</f>
        <v/>
      </c>
    </row>
    <row r="856">
      <c r="A856" s="627"/>
      <c r="B856" s="627" t="str">
        <f>IFERROR(__xludf.DUMMYFUNCTION("TRANSPOSE(unique(FILTER($K$17:$K$28,$J$17:$J$28=A856)))"),"")</f>
        <v/>
      </c>
      <c r="C856" s="443"/>
      <c r="D856" s="534" t="str">
        <f>IFERROR(__xludf.DUMMYFUNCTION("TRANSPOSE(unique(FILTER($K$17:$K$28,$J$17:$J$28=B856)))"),"")</f>
        <v/>
      </c>
    </row>
    <row r="857">
      <c r="A857" s="627"/>
      <c r="B857" s="627" t="str">
        <f>IFERROR(__xludf.DUMMYFUNCTION("TRANSPOSE(unique(FILTER($K$17:$K$28,$J$17:$J$28=A857)))"),"")</f>
        <v/>
      </c>
      <c r="C857" s="443"/>
      <c r="D857" s="534" t="str">
        <f>IFERROR(__xludf.DUMMYFUNCTION("TRANSPOSE(unique(FILTER($K$17:$K$28,$J$17:$J$28=B857)))"),"")</f>
        <v/>
      </c>
    </row>
    <row r="858">
      <c r="A858" s="627"/>
      <c r="B858" s="627" t="str">
        <f>IFERROR(__xludf.DUMMYFUNCTION("TRANSPOSE(unique(FILTER($K$17:$K$28,$J$17:$J$28=A858)))"),"")</f>
        <v/>
      </c>
      <c r="C858" s="443"/>
      <c r="D858" s="534" t="str">
        <f>IFERROR(__xludf.DUMMYFUNCTION("TRANSPOSE(unique(FILTER($K$17:$K$28,$J$17:$J$28=B858)))"),"")</f>
        <v/>
      </c>
    </row>
    <row r="859">
      <c r="A859" s="627"/>
      <c r="B859" s="627" t="str">
        <f>IFERROR(__xludf.DUMMYFUNCTION("TRANSPOSE(unique(FILTER($K$17:$K$28,$J$17:$J$28=A859)))"),"")</f>
        <v/>
      </c>
      <c r="C859" s="443"/>
      <c r="D859" s="534" t="str">
        <f>IFERROR(__xludf.DUMMYFUNCTION("TRANSPOSE(unique(FILTER($K$17:$K$28,$J$17:$J$28=B859)))"),"")</f>
        <v/>
      </c>
    </row>
    <row r="860">
      <c r="A860" s="627"/>
      <c r="B860" s="627" t="str">
        <f>IFERROR(__xludf.DUMMYFUNCTION("TRANSPOSE(unique(FILTER($K$17:$K$28,$J$17:$J$28=A860)))"),"")</f>
        <v/>
      </c>
      <c r="C860" s="443"/>
      <c r="D860" s="534" t="str">
        <f>IFERROR(__xludf.DUMMYFUNCTION("TRANSPOSE(unique(FILTER($K$17:$K$28,$J$17:$J$28=B860)))"),"")</f>
        <v/>
      </c>
    </row>
    <row r="861">
      <c r="A861" s="627"/>
      <c r="B861" s="627" t="str">
        <f>IFERROR(__xludf.DUMMYFUNCTION("TRANSPOSE(unique(FILTER($K$17:$K$28,$J$17:$J$28=A861)))"),"")</f>
        <v/>
      </c>
      <c r="C861" s="443"/>
      <c r="D861" s="534" t="str">
        <f>IFERROR(__xludf.DUMMYFUNCTION("TRANSPOSE(unique(FILTER($K$17:$K$28,$J$17:$J$28=B861)))"),"")</f>
        <v/>
      </c>
    </row>
    <row r="862">
      <c r="A862" s="627"/>
      <c r="B862" s="627" t="str">
        <f>IFERROR(__xludf.DUMMYFUNCTION("TRANSPOSE(unique(FILTER($K$17:$K$28,$J$17:$J$28=A862)))"),"")</f>
        <v/>
      </c>
      <c r="C862" s="443"/>
      <c r="D862" s="534" t="str">
        <f>IFERROR(__xludf.DUMMYFUNCTION("TRANSPOSE(unique(FILTER($K$17:$K$28,$J$17:$J$28=B862)))"),"")</f>
        <v/>
      </c>
    </row>
    <row r="863">
      <c r="A863" s="627"/>
      <c r="B863" s="627" t="str">
        <f>IFERROR(__xludf.DUMMYFUNCTION("TRANSPOSE(unique(FILTER($K$17:$K$28,$J$17:$J$28=A863)))"),"")</f>
        <v/>
      </c>
      <c r="C863" s="443"/>
      <c r="D863" s="534" t="str">
        <f>IFERROR(__xludf.DUMMYFUNCTION("TRANSPOSE(unique(FILTER($K$17:$K$28,$J$17:$J$28=B863)))"),"")</f>
        <v/>
      </c>
    </row>
    <row r="864">
      <c r="A864" s="627"/>
      <c r="B864" s="627" t="str">
        <f>IFERROR(__xludf.DUMMYFUNCTION("TRANSPOSE(unique(FILTER($K$17:$K$28,$J$17:$J$28=A864)))"),"")</f>
        <v/>
      </c>
      <c r="C864" s="443"/>
      <c r="D864" s="534" t="str">
        <f>IFERROR(__xludf.DUMMYFUNCTION("TRANSPOSE(unique(FILTER($K$17:$K$28,$J$17:$J$28=B864)))"),"")</f>
        <v/>
      </c>
    </row>
    <row r="865">
      <c r="A865" s="627"/>
      <c r="B865" s="627" t="str">
        <f>IFERROR(__xludf.DUMMYFUNCTION("TRANSPOSE(unique(FILTER($K$17:$K$28,$J$17:$J$28=A865)))"),"")</f>
        <v/>
      </c>
      <c r="C865" s="443"/>
      <c r="D865" s="534" t="str">
        <f>IFERROR(__xludf.DUMMYFUNCTION("TRANSPOSE(unique(FILTER($K$17:$K$28,$J$17:$J$28=B865)))"),"")</f>
        <v/>
      </c>
    </row>
    <row r="866">
      <c r="A866" s="627"/>
      <c r="B866" s="627" t="str">
        <f>IFERROR(__xludf.DUMMYFUNCTION("TRANSPOSE(unique(FILTER($K$17:$K$28,$J$17:$J$28=A866)))"),"")</f>
        <v/>
      </c>
      <c r="C866" s="443"/>
      <c r="D866" s="534" t="str">
        <f>IFERROR(__xludf.DUMMYFUNCTION("TRANSPOSE(unique(FILTER($K$17:$K$28,$J$17:$J$28=B866)))"),"")</f>
        <v/>
      </c>
    </row>
    <row r="867">
      <c r="A867" s="627"/>
      <c r="B867" s="627" t="str">
        <f>IFERROR(__xludf.DUMMYFUNCTION("TRANSPOSE(unique(FILTER($K$17:$K$28,$J$17:$J$28=A867)))"),"")</f>
        <v/>
      </c>
      <c r="C867" s="443"/>
      <c r="D867" s="534" t="str">
        <f>IFERROR(__xludf.DUMMYFUNCTION("TRANSPOSE(unique(FILTER($K$17:$K$28,$J$17:$J$28=B867)))"),"")</f>
        <v/>
      </c>
    </row>
    <row r="868">
      <c r="A868" s="627"/>
      <c r="B868" s="627" t="str">
        <f>IFERROR(__xludf.DUMMYFUNCTION("TRANSPOSE(unique(FILTER($K$17:$K$28,$J$17:$J$28=A868)))"),"")</f>
        <v/>
      </c>
      <c r="C868" s="443"/>
      <c r="D868" s="534" t="str">
        <f>IFERROR(__xludf.DUMMYFUNCTION("TRANSPOSE(unique(FILTER($K$17:$K$28,$J$17:$J$28=B868)))"),"")</f>
        <v/>
      </c>
    </row>
    <row r="869">
      <c r="A869" s="627"/>
      <c r="B869" s="627" t="str">
        <f>IFERROR(__xludf.DUMMYFUNCTION("TRANSPOSE(unique(FILTER($K$17:$K$28,$J$17:$J$28=A869)))"),"")</f>
        <v/>
      </c>
      <c r="C869" s="443"/>
      <c r="D869" s="534" t="str">
        <f>IFERROR(__xludf.DUMMYFUNCTION("TRANSPOSE(unique(FILTER($K$17:$K$28,$J$17:$J$28=B869)))"),"")</f>
        <v/>
      </c>
    </row>
    <row r="870">
      <c r="A870" s="627"/>
      <c r="B870" s="627" t="str">
        <f>IFERROR(__xludf.DUMMYFUNCTION("TRANSPOSE(unique(FILTER($K$17:$K$28,$J$17:$J$28=A870)))"),"")</f>
        <v/>
      </c>
      <c r="C870" s="443"/>
      <c r="D870" s="534" t="str">
        <f>IFERROR(__xludf.DUMMYFUNCTION("TRANSPOSE(unique(FILTER($K$17:$K$28,$J$17:$J$28=B870)))"),"")</f>
        <v/>
      </c>
    </row>
    <row r="871">
      <c r="A871" s="627"/>
      <c r="B871" s="627" t="str">
        <f>IFERROR(__xludf.DUMMYFUNCTION("TRANSPOSE(unique(FILTER($K$17:$K$28,$J$17:$J$28=A871)))"),"")</f>
        <v/>
      </c>
      <c r="C871" s="443"/>
      <c r="D871" s="534" t="str">
        <f>IFERROR(__xludf.DUMMYFUNCTION("TRANSPOSE(unique(FILTER($K$17:$K$28,$J$17:$J$28=B871)))"),"")</f>
        <v/>
      </c>
    </row>
    <row r="872">
      <c r="A872" s="627"/>
      <c r="B872" s="627" t="str">
        <f>IFERROR(__xludf.DUMMYFUNCTION("TRANSPOSE(unique(FILTER($K$17:$K$28,$J$17:$J$28=A872)))"),"")</f>
        <v/>
      </c>
      <c r="C872" s="443"/>
      <c r="D872" s="534" t="str">
        <f>IFERROR(__xludf.DUMMYFUNCTION("TRANSPOSE(unique(FILTER($K$17:$K$28,$J$17:$J$28=B872)))"),"")</f>
        <v/>
      </c>
    </row>
    <row r="873">
      <c r="A873" s="627"/>
      <c r="B873" s="627" t="str">
        <f>IFERROR(__xludf.DUMMYFUNCTION("TRANSPOSE(unique(FILTER($K$17:$K$28,$J$17:$J$28=A873)))"),"")</f>
        <v/>
      </c>
      <c r="C873" s="443"/>
      <c r="D873" s="534" t="str">
        <f>IFERROR(__xludf.DUMMYFUNCTION("TRANSPOSE(unique(FILTER($K$17:$K$28,$J$17:$J$28=B873)))"),"")</f>
        <v/>
      </c>
    </row>
    <row r="874">
      <c r="A874" s="627"/>
      <c r="B874" s="627" t="str">
        <f>IFERROR(__xludf.DUMMYFUNCTION("TRANSPOSE(unique(FILTER($K$17:$K$28,$J$17:$J$28=A874)))"),"")</f>
        <v/>
      </c>
      <c r="C874" s="443"/>
      <c r="D874" s="534" t="str">
        <f>IFERROR(__xludf.DUMMYFUNCTION("TRANSPOSE(unique(FILTER($K$17:$K$28,$J$17:$J$28=B874)))"),"")</f>
        <v/>
      </c>
    </row>
    <row r="875">
      <c r="A875" s="627"/>
      <c r="B875" s="627" t="str">
        <f>IFERROR(__xludf.DUMMYFUNCTION("TRANSPOSE(unique(FILTER($K$17:$K$28,$J$17:$J$28=A875)))"),"")</f>
        <v/>
      </c>
      <c r="C875" s="443"/>
      <c r="D875" s="534" t="str">
        <f>IFERROR(__xludf.DUMMYFUNCTION("TRANSPOSE(unique(FILTER($K$17:$K$28,$J$17:$J$28=B875)))"),"")</f>
        <v/>
      </c>
    </row>
    <row r="876">
      <c r="A876" s="627"/>
      <c r="B876" s="627" t="str">
        <f>IFERROR(__xludf.DUMMYFUNCTION("TRANSPOSE(unique(FILTER($K$17:$K$28,$J$17:$J$28=A876)))"),"")</f>
        <v/>
      </c>
      <c r="C876" s="443"/>
      <c r="D876" s="534" t="str">
        <f>IFERROR(__xludf.DUMMYFUNCTION("TRANSPOSE(unique(FILTER($K$17:$K$28,$J$17:$J$28=B876)))"),"")</f>
        <v/>
      </c>
    </row>
    <row r="877">
      <c r="A877" s="627"/>
      <c r="B877" s="627" t="str">
        <f>IFERROR(__xludf.DUMMYFUNCTION("TRANSPOSE(unique(FILTER($K$17:$K$28,$J$17:$J$28=A877)))"),"")</f>
        <v/>
      </c>
      <c r="C877" s="443"/>
      <c r="D877" s="534" t="str">
        <f>IFERROR(__xludf.DUMMYFUNCTION("TRANSPOSE(unique(FILTER($K$17:$K$28,$J$17:$J$28=B877)))"),"")</f>
        <v/>
      </c>
    </row>
    <row r="878">
      <c r="A878" s="627"/>
      <c r="B878" s="627" t="str">
        <f>IFERROR(__xludf.DUMMYFUNCTION("TRANSPOSE(unique(FILTER($K$17:$K$28,$J$17:$J$28=A878)))"),"")</f>
        <v/>
      </c>
      <c r="C878" s="443"/>
      <c r="D878" s="534" t="str">
        <f>IFERROR(__xludf.DUMMYFUNCTION("TRANSPOSE(unique(FILTER($K$17:$K$28,$J$17:$J$28=B878)))"),"")</f>
        <v/>
      </c>
    </row>
    <row r="879">
      <c r="A879" s="627"/>
      <c r="B879" s="627" t="str">
        <f>IFERROR(__xludf.DUMMYFUNCTION("TRANSPOSE(unique(FILTER($K$17:$K$28,$J$17:$J$28=A879)))"),"")</f>
        <v/>
      </c>
      <c r="C879" s="443"/>
      <c r="D879" s="534" t="str">
        <f>IFERROR(__xludf.DUMMYFUNCTION("TRANSPOSE(unique(FILTER($K$17:$K$28,$J$17:$J$28=B879)))"),"")</f>
        <v/>
      </c>
    </row>
    <row r="880">
      <c r="A880" s="627"/>
      <c r="B880" s="627" t="str">
        <f>IFERROR(__xludf.DUMMYFUNCTION("TRANSPOSE(unique(FILTER($K$17:$K$28,$J$17:$J$28=A880)))"),"")</f>
        <v/>
      </c>
      <c r="C880" s="443"/>
      <c r="D880" s="534" t="str">
        <f>IFERROR(__xludf.DUMMYFUNCTION("TRANSPOSE(unique(FILTER($K$17:$K$28,$J$17:$J$28=B880)))"),"")</f>
        <v/>
      </c>
    </row>
    <row r="881">
      <c r="A881" s="627"/>
      <c r="B881" s="627" t="str">
        <f>IFERROR(__xludf.DUMMYFUNCTION("TRANSPOSE(unique(FILTER($K$17:$K$28,$J$17:$J$28=A881)))"),"")</f>
        <v/>
      </c>
      <c r="C881" s="443"/>
      <c r="D881" s="534" t="str">
        <f>IFERROR(__xludf.DUMMYFUNCTION("TRANSPOSE(unique(FILTER($K$17:$K$28,$J$17:$J$28=B881)))"),"")</f>
        <v/>
      </c>
    </row>
    <row r="882">
      <c r="A882" s="627"/>
      <c r="B882" s="627" t="str">
        <f>IFERROR(__xludf.DUMMYFUNCTION("TRANSPOSE(unique(FILTER($K$17:$K$28,$J$17:$J$28=A882)))"),"")</f>
        <v/>
      </c>
      <c r="C882" s="443"/>
      <c r="D882" s="534" t="str">
        <f>IFERROR(__xludf.DUMMYFUNCTION("TRANSPOSE(unique(FILTER($K$17:$K$28,$J$17:$J$28=B882)))"),"")</f>
        <v/>
      </c>
    </row>
    <row r="883">
      <c r="A883" s="627"/>
      <c r="B883" s="627" t="str">
        <f>IFERROR(__xludf.DUMMYFUNCTION("TRANSPOSE(unique(FILTER($K$17:$K$28,$J$17:$J$28=A883)))"),"")</f>
        <v/>
      </c>
      <c r="C883" s="443"/>
      <c r="D883" s="534" t="str">
        <f>IFERROR(__xludf.DUMMYFUNCTION("TRANSPOSE(unique(FILTER($K$17:$K$28,$J$17:$J$28=B883)))"),"")</f>
        <v/>
      </c>
    </row>
    <row r="884">
      <c r="A884" s="627"/>
      <c r="B884" s="627" t="str">
        <f>IFERROR(__xludf.DUMMYFUNCTION("TRANSPOSE(unique(FILTER($K$17:$K$28,$J$17:$J$28=A884)))"),"")</f>
        <v/>
      </c>
      <c r="C884" s="443"/>
      <c r="D884" s="534" t="str">
        <f>IFERROR(__xludf.DUMMYFUNCTION("TRANSPOSE(unique(FILTER($K$17:$K$28,$J$17:$J$28=B884)))"),"")</f>
        <v/>
      </c>
    </row>
    <row r="885">
      <c r="A885" s="627"/>
      <c r="B885" s="627" t="str">
        <f>IFERROR(__xludf.DUMMYFUNCTION("TRANSPOSE(unique(FILTER($K$17:$K$28,$J$17:$J$28=A885)))"),"")</f>
        <v/>
      </c>
      <c r="C885" s="443"/>
      <c r="D885" s="534" t="str">
        <f>IFERROR(__xludf.DUMMYFUNCTION("TRANSPOSE(unique(FILTER($K$17:$K$28,$J$17:$J$28=B885)))"),"")</f>
        <v/>
      </c>
    </row>
    <row r="886">
      <c r="A886" s="627"/>
      <c r="B886" s="627" t="str">
        <f>IFERROR(__xludf.DUMMYFUNCTION("TRANSPOSE(unique(FILTER($K$17:$K$28,$J$17:$J$28=A886)))"),"")</f>
        <v/>
      </c>
      <c r="C886" s="443"/>
      <c r="D886" s="534" t="str">
        <f>IFERROR(__xludf.DUMMYFUNCTION("TRANSPOSE(unique(FILTER($K$17:$K$28,$J$17:$J$28=B886)))"),"")</f>
        <v/>
      </c>
    </row>
    <row r="887">
      <c r="A887" s="627"/>
      <c r="B887" s="627" t="str">
        <f>IFERROR(__xludf.DUMMYFUNCTION("TRANSPOSE(unique(FILTER($K$17:$K$28,$J$17:$J$28=A887)))"),"")</f>
        <v/>
      </c>
      <c r="C887" s="443"/>
      <c r="D887" s="534" t="str">
        <f>IFERROR(__xludf.DUMMYFUNCTION("TRANSPOSE(unique(FILTER($K$17:$K$28,$J$17:$J$28=B887)))"),"")</f>
        <v/>
      </c>
    </row>
    <row r="888">
      <c r="A888" s="627"/>
      <c r="B888" s="627" t="str">
        <f>IFERROR(__xludf.DUMMYFUNCTION("TRANSPOSE(unique(FILTER($K$17:$K$28,$J$17:$J$28=A888)))"),"")</f>
        <v/>
      </c>
      <c r="C888" s="443"/>
      <c r="D888" s="534" t="str">
        <f>IFERROR(__xludf.DUMMYFUNCTION("TRANSPOSE(unique(FILTER($K$17:$K$28,$J$17:$J$28=B888)))"),"")</f>
        <v/>
      </c>
    </row>
    <row r="889">
      <c r="A889" s="627"/>
      <c r="B889" s="627" t="str">
        <f>IFERROR(__xludf.DUMMYFUNCTION("TRANSPOSE(unique(FILTER($K$17:$K$28,$J$17:$J$28=A889)))"),"")</f>
        <v/>
      </c>
      <c r="C889" s="443"/>
      <c r="D889" s="534" t="str">
        <f>IFERROR(__xludf.DUMMYFUNCTION("TRANSPOSE(unique(FILTER($K$17:$K$28,$J$17:$J$28=B889)))"),"")</f>
        <v/>
      </c>
    </row>
    <row r="890">
      <c r="A890" s="627"/>
      <c r="B890" s="627" t="str">
        <f>IFERROR(__xludf.DUMMYFUNCTION("TRANSPOSE(unique(FILTER($K$17:$K$28,$J$17:$J$28=A890)))"),"")</f>
        <v/>
      </c>
      <c r="C890" s="443"/>
      <c r="D890" s="534" t="str">
        <f>IFERROR(__xludf.DUMMYFUNCTION("TRANSPOSE(unique(FILTER($K$17:$K$28,$J$17:$J$28=B890)))"),"")</f>
        <v/>
      </c>
    </row>
    <row r="891">
      <c r="A891" s="627"/>
      <c r="B891" s="627" t="str">
        <f>IFERROR(__xludf.DUMMYFUNCTION("TRANSPOSE(unique(FILTER($K$17:$K$28,$J$17:$J$28=A891)))"),"")</f>
        <v/>
      </c>
      <c r="C891" s="443"/>
      <c r="D891" s="534" t="str">
        <f>IFERROR(__xludf.DUMMYFUNCTION("TRANSPOSE(unique(FILTER($K$17:$K$28,$J$17:$J$28=B891)))"),"")</f>
        <v/>
      </c>
    </row>
    <row r="892">
      <c r="A892" s="627"/>
      <c r="B892" s="627" t="str">
        <f>IFERROR(__xludf.DUMMYFUNCTION("TRANSPOSE(unique(FILTER($K$17:$K$28,$J$17:$J$28=A892)))"),"")</f>
        <v/>
      </c>
      <c r="C892" s="443"/>
      <c r="D892" s="534" t="str">
        <f>IFERROR(__xludf.DUMMYFUNCTION("TRANSPOSE(unique(FILTER($K$17:$K$28,$J$17:$J$28=B892)))"),"")</f>
        <v/>
      </c>
    </row>
    <row r="893">
      <c r="A893" s="627"/>
      <c r="B893" s="627" t="str">
        <f>IFERROR(__xludf.DUMMYFUNCTION("TRANSPOSE(unique(FILTER($K$17:$K$28,$J$17:$J$28=A893)))"),"")</f>
        <v/>
      </c>
      <c r="C893" s="443"/>
      <c r="D893" s="534" t="str">
        <f>IFERROR(__xludf.DUMMYFUNCTION("TRANSPOSE(unique(FILTER($K$17:$K$28,$J$17:$J$28=B893)))"),"")</f>
        <v/>
      </c>
    </row>
    <row r="894">
      <c r="A894" s="627"/>
      <c r="B894" s="627" t="str">
        <f>IFERROR(__xludf.DUMMYFUNCTION("TRANSPOSE(unique(FILTER($K$17:$K$28,$J$17:$J$28=A894)))"),"")</f>
        <v/>
      </c>
      <c r="C894" s="443"/>
      <c r="D894" s="534" t="str">
        <f>IFERROR(__xludf.DUMMYFUNCTION("TRANSPOSE(unique(FILTER($K$17:$K$28,$J$17:$J$28=B894)))"),"")</f>
        <v/>
      </c>
    </row>
    <row r="895">
      <c r="A895" s="627"/>
      <c r="B895" s="627" t="str">
        <f>IFERROR(__xludf.DUMMYFUNCTION("TRANSPOSE(unique(FILTER($K$17:$K$28,$J$17:$J$28=A895)))"),"")</f>
        <v/>
      </c>
      <c r="C895" s="443"/>
      <c r="D895" s="534" t="str">
        <f>IFERROR(__xludf.DUMMYFUNCTION("TRANSPOSE(unique(FILTER($K$17:$K$28,$J$17:$J$28=B895)))"),"")</f>
        <v/>
      </c>
    </row>
    <row r="896">
      <c r="A896" s="627"/>
      <c r="B896" s="627" t="str">
        <f>IFERROR(__xludf.DUMMYFUNCTION("TRANSPOSE(unique(FILTER($K$17:$K$28,$J$17:$J$28=A896)))"),"")</f>
        <v/>
      </c>
      <c r="C896" s="443"/>
      <c r="D896" s="534" t="str">
        <f>IFERROR(__xludf.DUMMYFUNCTION("TRANSPOSE(unique(FILTER($K$17:$K$28,$J$17:$J$28=B896)))"),"")</f>
        <v/>
      </c>
    </row>
    <row r="897">
      <c r="A897" s="627"/>
      <c r="B897" s="627" t="str">
        <f>IFERROR(__xludf.DUMMYFUNCTION("TRANSPOSE(unique(FILTER($K$17:$K$28,$J$17:$J$28=A897)))"),"")</f>
        <v/>
      </c>
      <c r="C897" s="443"/>
      <c r="D897" s="534" t="str">
        <f>IFERROR(__xludf.DUMMYFUNCTION("TRANSPOSE(unique(FILTER($K$17:$K$28,$J$17:$J$28=B897)))"),"")</f>
        <v/>
      </c>
    </row>
    <row r="898">
      <c r="A898" s="627"/>
      <c r="B898" s="627" t="str">
        <f>IFERROR(__xludf.DUMMYFUNCTION("TRANSPOSE(unique(FILTER($K$17:$K$28,$J$17:$J$28=A898)))"),"")</f>
        <v/>
      </c>
      <c r="C898" s="443"/>
      <c r="D898" s="534" t="str">
        <f>IFERROR(__xludf.DUMMYFUNCTION("TRANSPOSE(unique(FILTER($K$17:$K$28,$J$17:$J$28=B898)))"),"")</f>
        <v/>
      </c>
    </row>
    <row r="899">
      <c r="A899" s="627"/>
      <c r="B899" s="627" t="str">
        <f>IFERROR(__xludf.DUMMYFUNCTION("TRANSPOSE(unique(FILTER($K$17:$K$28,$J$17:$J$28=A899)))"),"")</f>
        <v/>
      </c>
      <c r="C899" s="443"/>
      <c r="D899" s="534" t="str">
        <f>IFERROR(__xludf.DUMMYFUNCTION("TRANSPOSE(unique(FILTER($K$17:$K$28,$J$17:$J$28=B899)))"),"")</f>
        <v/>
      </c>
    </row>
    <row r="900">
      <c r="A900" s="627"/>
      <c r="B900" s="627" t="str">
        <f>IFERROR(__xludf.DUMMYFUNCTION("TRANSPOSE(unique(FILTER($K$17:$K$28,$J$17:$J$28=A900)))"),"")</f>
        <v/>
      </c>
      <c r="C900" s="443"/>
      <c r="D900" s="534" t="str">
        <f>IFERROR(__xludf.DUMMYFUNCTION("TRANSPOSE(unique(FILTER($K$17:$K$28,$J$17:$J$28=B900)))"),"")</f>
        <v/>
      </c>
    </row>
    <row r="901">
      <c r="A901" s="627"/>
      <c r="B901" s="627" t="str">
        <f>IFERROR(__xludf.DUMMYFUNCTION("TRANSPOSE(unique(FILTER($K$17:$K$28,$J$17:$J$28=A901)))"),"")</f>
        <v/>
      </c>
      <c r="C901" s="443"/>
      <c r="D901" s="534" t="str">
        <f>IFERROR(__xludf.DUMMYFUNCTION("TRANSPOSE(unique(FILTER($K$17:$K$28,$J$17:$J$28=B901)))"),"")</f>
        <v/>
      </c>
    </row>
    <row r="902">
      <c r="A902" s="627"/>
      <c r="B902" s="627" t="str">
        <f>IFERROR(__xludf.DUMMYFUNCTION("TRANSPOSE(unique(FILTER($K$17:$K$28,$J$17:$J$28=A902)))"),"")</f>
        <v/>
      </c>
      <c r="C902" s="443"/>
      <c r="D902" s="534" t="str">
        <f>IFERROR(__xludf.DUMMYFUNCTION("TRANSPOSE(unique(FILTER($K$17:$K$28,$J$17:$J$28=B902)))"),"")</f>
        <v/>
      </c>
    </row>
    <row r="903">
      <c r="A903" s="627"/>
      <c r="B903" s="627" t="str">
        <f>IFERROR(__xludf.DUMMYFUNCTION("TRANSPOSE(unique(FILTER($K$17:$K$28,$J$17:$J$28=A903)))"),"")</f>
        <v/>
      </c>
      <c r="C903" s="443"/>
      <c r="D903" s="534" t="str">
        <f>IFERROR(__xludf.DUMMYFUNCTION("TRANSPOSE(unique(FILTER($K$17:$K$28,$J$17:$J$28=B903)))"),"")</f>
        <v/>
      </c>
    </row>
    <row r="904">
      <c r="A904" s="627"/>
      <c r="B904" s="627" t="str">
        <f>IFERROR(__xludf.DUMMYFUNCTION("TRANSPOSE(unique(FILTER($K$17:$K$28,$J$17:$J$28=A904)))"),"")</f>
        <v/>
      </c>
      <c r="C904" s="443"/>
      <c r="D904" s="534" t="str">
        <f>IFERROR(__xludf.DUMMYFUNCTION("TRANSPOSE(unique(FILTER($K$17:$K$28,$J$17:$J$28=B904)))"),"")</f>
        <v/>
      </c>
    </row>
    <row r="905">
      <c r="A905" s="627"/>
      <c r="B905" s="627" t="str">
        <f>IFERROR(__xludf.DUMMYFUNCTION("TRANSPOSE(unique(FILTER($K$17:$K$28,$J$17:$J$28=A905)))"),"")</f>
        <v/>
      </c>
      <c r="C905" s="443"/>
      <c r="D905" s="534" t="str">
        <f>IFERROR(__xludf.DUMMYFUNCTION("TRANSPOSE(unique(FILTER($K$17:$K$28,$J$17:$J$28=B905)))"),"")</f>
        <v/>
      </c>
    </row>
    <row r="906">
      <c r="A906" s="627"/>
      <c r="B906" s="627" t="str">
        <f>IFERROR(__xludf.DUMMYFUNCTION("TRANSPOSE(unique(FILTER($K$17:$K$28,$J$17:$J$28=A906)))"),"")</f>
        <v/>
      </c>
      <c r="C906" s="443"/>
      <c r="D906" s="534" t="str">
        <f>IFERROR(__xludf.DUMMYFUNCTION("TRANSPOSE(unique(FILTER($K$17:$K$28,$J$17:$J$28=B906)))"),"")</f>
        <v/>
      </c>
    </row>
    <row r="907">
      <c r="A907" s="627"/>
      <c r="B907" s="627" t="str">
        <f>IFERROR(__xludf.DUMMYFUNCTION("TRANSPOSE(unique(FILTER($K$17:$K$28,$J$17:$J$28=A907)))"),"")</f>
        <v/>
      </c>
      <c r="C907" s="443"/>
      <c r="D907" s="534" t="str">
        <f>IFERROR(__xludf.DUMMYFUNCTION("TRANSPOSE(unique(FILTER($K$17:$K$28,$J$17:$J$28=B907)))"),"")</f>
        <v/>
      </c>
    </row>
    <row r="908">
      <c r="A908" s="627"/>
      <c r="B908" s="627" t="str">
        <f>IFERROR(__xludf.DUMMYFUNCTION("TRANSPOSE(unique(FILTER($K$17:$K$28,$J$17:$J$28=A908)))"),"")</f>
        <v/>
      </c>
      <c r="C908" s="443"/>
      <c r="D908" s="534" t="str">
        <f>IFERROR(__xludf.DUMMYFUNCTION("TRANSPOSE(unique(FILTER($K$17:$K$28,$J$17:$J$28=B908)))"),"")</f>
        <v/>
      </c>
    </row>
    <row r="909">
      <c r="A909" s="627"/>
      <c r="B909" s="627" t="str">
        <f>IFERROR(__xludf.DUMMYFUNCTION("TRANSPOSE(unique(FILTER($K$17:$K$28,$J$17:$J$28=A909)))"),"")</f>
        <v/>
      </c>
      <c r="C909" s="443"/>
      <c r="D909" s="534" t="str">
        <f>IFERROR(__xludf.DUMMYFUNCTION("TRANSPOSE(unique(FILTER($K$17:$K$28,$J$17:$J$28=B909)))"),"")</f>
        <v/>
      </c>
    </row>
    <row r="910">
      <c r="A910" s="627"/>
      <c r="B910" s="627" t="str">
        <f>IFERROR(__xludf.DUMMYFUNCTION("TRANSPOSE(unique(FILTER($K$17:$K$28,$J$17:$J$28=A910)))"),"")</f>
        <v/>
      </c>
      <c r="C910" s="443"/>
      <c r="D910" s="534" t="str">
        <f>IFERROR(__xludf.DUMMYFUNCTION("TRANSPOSE(unique(FILTER($K$17:$K$28,$J$17:$J$28=B910)))"),"")</f>
        <v/>
      </c>
    </row>
    <row r="911">
      <c r="A911" s="627"/>
      <c r="B911" s="627" t="str">
        <f>IFERROR(__xludf.DUMMYFUNCTION("TRANSPOSE(unique(FILTER($K$17:$K$28,$J$17:$J$28=A911)))"),"")</f>
        <v/>
      </c>
      <c r="C911" s="443"/>
      <c r="D911" s="534" t="str">
        <f>IFERROR(__xludf.DUMMYFUNCTION("TRANSPOSE(unique(FILTER($K$17:$K$28,$J$17:$J$28=B911)))"),"")</f>
        <v/>
      </c>
    </row>
    <row r="912">
      <c r="A912" s="627"/>
      <c r="B912" s="627" t="str">
        <f>IFERROR(__xludf.DUMMYFUNCTION("TRANSPOSE(unique(FILTER($K$17:$K$28,$J$17:$J$28=A912)))"),"")</f>
        <v/>
      </c>
      <c r="C912" s="443"/>
      <c r="D912" s="534" t="str">
        <f>IFERROR(__xludf.DUMMYFUNCTION("TRANSPOSE(unique(FILTER($K$17:$K$28,$J$17:$J$28=B912)))"),"")</f>
        <v/>
      </c>
    </row>
    <row r="913">
      <c r="A913" s="627"/>
      <c r="B913" s="627" t="str">
        <f>IFERROR(__xludf.DUMMYFUNCTION("TRANSPOSE(unique(FILTER($K$17:$K$28,$J$17:$J$28=A913)))"),"")</f>
        <v/>
      </c>
      <c r="C913" s="443"/>
      <c r="D913" s="534" t="str">
        <f>IFERROR(__xludf.DUMMYFUNCTION("TRANSPOSE(unique(FILTER($K$17:$K$28,$J$17:$J$28=B913)))"),"")</f>
        <v/>
      </c>
    </row>
    <row r="914">
      <c r="A914" s="627"/>
      <c r="B914" s="627" t="str">
        <f>IFERROR(__xludf.DUMMYFUNCTION("TRANSPOSE(unique(FILTER($K$17:$K$28,$J$17:$J$28=A914)))"),"")</f>
        <v/>
      </c>
      <c r="C914" s="443"/>
      <c r="D914" s="534" t="str">
        <f>IFERROR(__xludf.DUMMYFUNCTION("TRANSPOSE(unique(FILTER($K$17:$K$28,$J$17:$J$28=B914)))"),"")</f>
        <v/>
      </c>
    </row>
    <row r="915">
      <c r="A915" s="627"/>
      <c r="B915" s="627" t="str">
        <f>IFERROR(__xludf.DUMMYFUNCTION("TRANSPOSE(unique(FILTER($K$17:$K$28,$J$17:$J$28=A915)))"),"")</f>
        <v/>
      </c>
      <c r="C915" s="443"/>
      <c r="D915" s="534" t="str">
        <f>IFERROR(__xludf.DUMMYFUNCTION("TRANSPOSE(unique(FILTER($K$17:$K$28,$J$17:$J$28=B915)))"),"")</f>
        <v/>
      </c>
    </row>
    <row r="916">
      <c r="A916" s="627"/>
      <c r="B916" s="627" t="str">
        <f>IFERROR(__xludf.DUMMYFUNCTION("TRANSPOSE(unique(FILTER($K$17:$K$28,$J$17:$J$28=A916)))"),"")</f>
        <v/>
      </c>
      <c r="C916" s="443"/>
      <c r="D916" s="534" t="str">
        <f>IFERROR(__xludf.DUMMYFUNCTION("TRANSPOSE(unique(FILTER($K$17:$K$28,$J$17:$J$28=B916)))"),"")</f>
        <v/>
      </c>
    </row>
    <row r="917">
      <c r="A917" s="627"/>
      <c r="B917" s="627" t="str">
        <f>IFERROR(__xludf.DUMMYFUNCTION("TRANSPOSE(unique(FILTER($K$17:$K$28,$J$17:$J$28=A917)))"),"")</f>
        <v/>
      </c>
      <c r="C917" s="443"/>
      <c r="D917" s="534" t="str">
        <f>IFERROR(__xludf.DUMMYFUNCTION("TRANSPOSE(unique(FILTER($K$17:$K$28,$J$17:$J$28=B917)))"),"")</f>
        <v/>
      </c>
    </row>
    <row r="918">
      <c r="A918" s="627"/>
      <c r="B918" s="627" t="str">
        <f>IFERROR(__xludf.DUMMYFUNCTION("TRANSPOSE(unique(FILTER($K$17:$K$28,$J$17:$J$28=A918)))"),"")</f>
        <v/>
      </c>
      <c r="C918" s="443"/>
      <c r="D918" s="534" t="str">
        <f>IFERROR(__xludf.DUMMYFUNCTION("TRANSPOSE(unique(FILTER($K$17:$K$28,$J$17:$J$28=B918)))"),"")</f>
        <v/>
      </c>
    </row>
    <row r="919">
      <c r="A919" s="627"/>
      <c r="B919" s="627" t="str">
        <f>IFERROR(__xludf.DUMMYFUNCTION("TRANSPOSE(unique(FILTER($K$17:$K$28,$J$17:$J$28=A919)))"),"")</f>
        <v/>
      </c>
      <c r="C919" s="443"/>
      <c r="D919" s="534" t="str">
        <f>IFERROR(__xludf.DUMMYFUNCTION("TRANSPOSE(unique(FILTER($K$17:$K$28,$J$17:$J$28=B919)))"),"")</f>
        <v/>
      </c>
    </row>
    <row r="920">
      <c r="A920" s="627"/>
      <c r="B920" s="627" t="str">
        <f>IFERROR(__xludf.DUMMYFUNCTION("TRANSPOSE(unique(FILTER($K$17:$K$28,$J$17:$J$28=A920)))"),"")</f>
        <v/>
      </c>
      <c r="C920" s="443"/>
      <c r="D920" s="534" t="str">
        <f>IFERROR(__xludf.DUMMYFUNCTION("TRANSPOSE(unique(FILTER($K$17:$K$28,$J$17:$J$28=B920)))"),"")</f>
        <v/>
      </c>
    </row>
    <row r="921">
      <c r="A921" s="627"/>
      <c r="B921" s="627" t="str">
        <f>IFERROR(__xludf.DUMMYFUNCTION("TRANSPOSE(unique(FILTER($K$17:$K$28,$J$17:$J$28=A921)))"),"")</f>
        <v/>
      </c>
      <c r="C921" s="443"/>
      <c r="D921" s="534" t="str">
        <f>IFERROR(__xludf.DUMMYFUNCTION("TRANSPOSE(unique(FILTER($K$17:$K$28,$J$17:$J$28=B921)))"),"")</f>
        <v/>
      </c>
    </row>
    <row r="922">
      <c r="A922" s="627"/>
      <c r="B922" s="627" t="str">
        <f>IFERROR(__xludf.DUMMYFUNCTION("TRANSPOSE(unique(FILTER($K$17:$K$28,$J$17:$J$28=A922)))"),"")</f>
        <v/>
      </c>
      <c r="C922" s="443"/>
      <c r="D922" s="534" t="str">
        <f>IFERROR(__xludf.DUMMYFUNCTION("TRANSPOSE(unique(FILTER($K$17:$K$28,$J$17:$J$28=B922)))"),"")</f>
        <v/>
      </c>
    </row>
    <row r="923">
      <c r="A923" s="627"/>
      <c r="B923" s="627" t="str">
        <f>IFERROR(__xludf.DUMMYFUNCTION("TRANSPOSE(unique(FILTER($K$17:$K$28,$J$17:$J$28=A923)))"),"")</f>
        <v/>
      </c>
      <c r="C923" s="443"/>
      <c r="D923" s="534" t="str">
        <f>IFERROR(__xludf.DUMMYFUNCTION("TRANSPOSE(unique(FILTER($K$17:$K$28,$J$17:$J$28=B923)))"),"")</f>
        <v/>
      </c>
    </row>
    <row r="924">
      <c r="A924" s="627"/>
      <c r="B924" s="627" t="str">
        <f>IFERROR(__xludf.DUMMYFUNCTION("TRANSPOSE(unique(FILTER($K$17:$K$28,$J$17:$J$28=A924)))"),"")</f>
        <v/>
      </c>
      <c r="C924" s="443"/>
      <c r="D924" s="534" t="str">
        <f>IFERROR(__xludf.DUMMYFUNCTION("TRANSPOSE(unique(FILTER($K$17:$K$28,$J$17:$J$28=B924)))"),"")</f>
        <v/>
      </c>
    </row>
    <row r="925">
      <c r="A925" s="627"/>
      <c r="B925" s="627" t="str">
        <f>IFERROR(__xludf.DUMMYFUNCTION("TRANSPOSE(unique(FILTER($K$17:$K$28,$J$17:$J$28=A925)))"),"")</f>
        <v/>
      </c>
      <c r="C925" s="443"/>
      <c r="D925" s="534" t="str">
        <f>IFERROR(__xludf.DUMMYFUNCTION("TRANSPOSE(unique(FILTER($K$17:$K$28,$J$17:$J$28=B925)))"),"")</f>
        <v/>
      </c>
    </row>
    <row r="926">
      <c r="A926" s="627"/>
      <c r="B926" s="627" t="str">
        <f>IFERROR(__xludf.DUMMYFUNCTION("TRANSPOSE(unique(FILTER($K$17:$K$28,$J$17:$J$28=A926)))"),"")</f>
        <v/>
      </c>
      <c r="C926" s="443"/>
      <c r="D926" s="534" t="str">
        <f>IFERROR(__xludf.DUMMYFUNCTION("TRANSPOSE(unique(FILTER($K$17:$K$28,$J$17:$J$28=B926)))"),"")</f>
        <v/>
      </c>
    </row>
    <row r="927">
      <c r="A927" s="627"/>
      <c r="B927" s="627" t="str">
        <f>IFERROR(__xludf.DUMMYFUNCTION("TRANSPOSE(unique(FILTER($K$17:$K$28,$J$17:$J$28=A927)))"),"")</f>
        <v/>
      </c>
      <c r="C927" s="443"/>
      <c r="D927" s="534" t="str">
        <f>IFERROR(__xludf.DUMMYFUNCTION("TRANSPOSE(unique(FILTER($K$17:$K$28,$J$17:$J$28=B927)))"),"")</f>
        <v/>
      </c>
    </row>
    <row r="928">
      <c r="A928" s="627"/>
      <c r="B928" s="627" t="str">
        <f>IFERROR(__xludf.DUMMYFUNCTION("TRANSPOSE(unique(FILTER($K$17:$K$28,$J$17:$J$28=A928)))"),"")</f>
        <v/>
      </c>
      <c r="C928" s="443"/>
      <c r="D928" s="534" t="str">
        <f>IFERROR(__xludf.DUMMYFUNCTION("TRANSPOSE(unique(FILTER($K$17:$K$28,$J$17:$J$28=B928)))"),"")</f>
        <v/>
      </c>
    </row>
    <row r="929">
      <c r="A929" s="627"/>
      <c r="B929" s="627" t="str">
        <f>IFERROR(__xludf.DUMMYFUNCTION("TRANSPOSE(unique(FILTER($K$17:$K$28,$J$17:$J$28=A929)))"),"")</f>
        <v/>
      </c>
      <c r="C929" s="443"/>
      <c r="D929" s="534" t="str">
        <f>IFERROR(__xludf.DUMMYFUNCTION("TRANSPOSE(unique(FILTER($K$17:$K$28,$J$17:$J$28=B929)))"),"")</f>
        <v/>
      </c>
    </row>
    <row r="930">
      <c r="A930" s="627"/>
      <c r="B930" s="627" t="str">
        <f>IFERROR(__xludf.DUMMYFUNCTION("TRANSPOSE(unique(FILTER($K$17:$K$28,$J$17:$J$28=A930)))"),"")</f>
        <v/>
      </c>
      <c r="C930" s="443"/>
      <c r="D930" s="534" t="str">
        <f>IFERROR(__xludf.DUMMYFUNCTION("TRANSPOSE(unique(FILTER($K$17:$K$28,$J$17:$J$28=B930)))"),"")</f>
        <v/>
      </c>
    </row>
    <row r="931">
      <c r="A931" s="627"/>
      <c r="B931" s="627" t="str">
        <f>IFERROR(__xludf.DUMMYFUNCTION("TRANSPOSE(unique(FILTER($K$17:$K$28,$J$17:$J$28=A931)))"),"")</f>
        <v/>
      </c>
      <c r="C931" s="443"/>
      <c r="D931" s="534" t="str">
        <f>IFERROR(__xludf.DUMMYFUNCTION("TRANSPOSE(unique(FILTER($K$17:$K$28,$J$17:$J$28=B931)))"),"")</f>
        <v/>
      </c>
    </row>
    <row r="932">
      <c r="A932" s="627"/>
      <c r="B932" s="627" t="str">
        <f>IFERROR(__xludf.DUMMYFUNCTION("TRANSPOSE(unique(FILTER($K$17:$K$28,$J$17:$J$28=A932)))"),"")</f>
        <v/>
      </c>
      <c r="C932" s="443"/>
      <c r="D932" s="534" t="str">
        <f>IFERROR(__xludf.DUMMYFUNCTION("TRANSPOSE(unique(FILTER($K$17:$K$28,$J$17:$J$28=B932)))"),"")</f>
        <v/>
      </c>
    </row>
    <row r="933">
      <c r="A933" s="627"/>
      <c r="B933" s="627" t="str">
        <f>IFERROR(__xludf.DUMMYFUNCTION("TRANSPOSE(unique(FILTER($K$17:$K$28,$J$17:$J$28=A933)))"),"")</f>
        <v/>
      </c>
      <c r="C933" s="443"/>
      <c r="D933" s="534" t="str">
        <f>IFERROR(__xludf.DUMMYFUNCTION("TRANSPOSE(unique(FILTER($K$17:$K$28,$J$17:$J$28=B933)))"),"")</f>
        <v/>
      </c>
    </row>
    <row r="934">
      <c r="A934" s="627"/>
      <c r="B934" s="627" t="str">
        <f>IFERROR(__xludf.DUMMYFUNCTION("TRANSPOSE(unique(FILTER($K$17:$K$28,$J$17:$J$28=A934)))"),"")</f>
        <v/>
      </c>
      <c r="C934" s="443"/>
      <c r="D934" s="534" t="str">
        <f>IFERROR(__xludf.DUMMYFUNCTION("TRANSPOSE(unique(FILTER($K$17:$K$28,$J$17:$J$28=B934)))"),"")</f>
        <v/>
      </c>
    </row>
    <row r="935">
      <c r="A935" s="627"/>
      <c r="B935" s="627" t="str">
        <f>IFERROR(__xludf.DUMMYFUNCTION("TRANSPOSE(unique(FILTER($K$17:$K$28,$J$17:$J$28=A935)))"),"")</f>
        <v/>
      </c>
      <c r="C935" s="443"/>
      <c r="D935" s="534" t="str">
        <f>IFERROR(__xludf.DUMMYFUNCTION("TRANSPOSE(unique(FILTER($K$17:$K$28,$J$17:$J$28=B935)))"),"")</f>
        <v/>
      </c>
    </row>
    <row r="936">
      <c r="A936" s="627"/>
      <c r="B936" s="627" t="str">
        <f>IFERROR(__xludf.DUMMYFUNCTION("TRANSPOSE(unique(FILTER($K$17:$K$28,$J$17:$J$28=A936)))"),"")</f>
        <v/>
      </c>
      <c r="C936" s="443"/>
      <c r="D936" s="534" t="str">
        <f>IFERROR(__xludf.DUMMYFUNCTION("TRANSPOSE(unique(FILTER($K$17:$K$28,$J$17:$J$28=B936)))"),"")</f>
        <v/>
      </c>
    </row>
    <row r="937">
      <c r="A937" s="627"/>
      <c r="B937" s="627" t="str">
        <f>IFERROR(__xludf.DUMMYFUNCTION("TRANSPOSE(unique(FILTER($K$17:$K$28,$J$17:$J$28=A937)))"),"")</f>
        <v/>
      </c>
      <c r="C937" s="443"/>
      <c r="D937" s="534" t="str">
        <f>IFERROR(__xludf.DUMMYFUNCTION("TRANSPOSE(unique(FILTER($K$17:$K$28,$J$17:$J$28=B937)))"),"")</f>
        <v/>
      </c>
    </row>
    <row r="938">
      <c r="A938" s="627"/>
      <c r="B938" s="627" t="str">
        <f>IFERROR(__xludf.DUMMYFUNCTION("TRANSPOSE(unique(FILTER($K$17:$K$28,$J$17:$J$28=A938)))"),"")</f>
        <v/>
      </c>
      <c r="C938" s="443"/>
      <c r="D938" s="534" t="str">
        <f>IFERROR(__xludf.DUMMYFUNCTION("TRANSPOSE(unique(FILTER($K$17:$K$28,$J$17:$J$28=B938)))"),"")</f>
        <v/>
      </c>
    </row>
    <row r="939">
      <c r="A939" s="627"/>
      <c r="B939" s="627" t="str">
        <f>IFERROR(__xludf.DUMMYFUNCTION("TRANSPOSE(unique(FILTER($K$17:$K$28,$J$17:$J$28=A939)))"),"")</f>
        <v/>
      </c>
      <c r="C939" s="443"/>
      <c r="D939" s="534" t="str">
        <f>IFERROR(__xludf.DUMMYFUNCTION("TRANSPOSE(unique(FILTER($K$17:$K$28,$J$17:$J$28=B939)))"),"")</f>
        <v/>
      </c>
    </row>
    <row r="940">
      <c r="A940" s="627"/>
      <c r="B940" s="627" t="str">
        <f>IFERROR(__xludf.DUMMYFUNCTION("TRANSPOSE(unique(FILTER($K$17:$K$28,$J$17:$J$28=A940)))"),"")</f>
        <v/>
      </c>
      <c r="C940" s="443"/>
      <c r="D940" s="534" t="str">
        <f>IFERROR(__xludf.DUMMYFUNCTION("TRANSPOSE(unique(FILTER($K$17:$K$28,$J$17:$J$28=B940)))"),"")</f>
        <v/>
      </c>
    </row>
    <row r="941">
      <c r="A941" s="627"/>
      <c r="B941" s="627" t="str">
        <f>IFERROR(__xludf.DUMMYFUNCTION("TRANSPOSE(unique(FILTER($K$17:$K$28,$J$17:$J$28=A941)))"),"")</f>
        <v/>
      </c>
      <c r="C941" s="443"/>
      <c r="D941" s="534" t="str">
        <f>IFERROR(__xludf.DUMMYFUNCTION("TRANSPOSE(unique(FILTER($K$17:$K$28,$J$17:$J$28=B941)))"),"")</f>
        <v/>
      </c>
    </row>
    <row r="942">
      <c r="A942" s="627"/>
      <c r="B942" s="627" t="str">
        <f>IFERROR(__xludf.DUMMYFUNCTION("TRANSPOSE(unique(FILTER($K$17:$K$28,$J$17:$J$28=A942)))"),"")</f>
        <v/>
      </c>
      <c r="C942" s="443"/>
      <c r="D942" s="534" t="str">
        <f>IFERROR(__xludf.DUMMYFUNCTION("TRANSPOSE(unique(FILTER($K$17:$K$28,$J$17:$J$28=B942)))"),"")</f>
        <v/>
      </c>
    </row>
    <row r="943">
      <c r="A943" s="627"/>
      <c r="B943" s="627" t="str">
        <f>IFERROR(__xludf.DUMMYFUNCTION("TRANSPOSE(unique(FILTER($K$17:$K$28,$J$17:$J$28=A943)))"),"")</f>
        <v/>
      </c>
      <c r="C943" s="443"/>
      <c r="D943" s="534" t="str">
        <f>IFERROR(__xludf.DUMMYFUNCTION("TRANSPOSE(unique(FILTER($K$17:$K$28,$J$17:$J$28=B943)))"),"")</f>
        <v/>
      </c>
    </row>
    <row r="944">
      <c r="A944" s="627"/>
      <c r="B944" s="627" t="str">
        <f>IFERROR(__xludf.DUMMYFUNCTION("TRANSPOSE(unique(FILTER($K$17:$K$28,$J$17:$J$28=A944)))"),"")</f>
        <v/>
      </c>
      <c r="C944" s="443"/>
      <c r="D944" s="534" t="str">
        <f>IFERROR(__xludf.DUMMYFUNCTION("TRANSPOSE(unique(FILTER($K$17:$K$28,$J$17:$J$28=B944)))"),"")</f>
        <v/>
      </c>
    </row>
    <row r="945">
      <c r="A945" s="627"/>
      <c r="B945" s="627" t="str">
        <f>IFERROR(__xludf.DUMMYFUNCTION("TRANSPOSE(unique(FILTER($K$17:$K$28,$J$17:$J$28=A945)))"),"")</f>
        <v/>
      </c>
      <c r="C945" s="443"/>
      <c r="D945" s="534" t="str">
        <f>IFERROR(__xludf.DUMMYFUNCTION("TRANSPOSE(unique(FILTER($K$17:$K$28,$J$17:$J$28=B945)))"),"")</f>
        <v/>
      </c>
    </row>
    <row r="946">
      <c r="A946" s="627"/>
      <c r="B946" s="627" t="str">
        <f>IFERROR(__xludf.DUMMYFUNCTION("TRANSPOSE(unique(FILTER($K$17:$K$28,$J$17:$J$28=A946)))"),"")</f>
        <v/>
      </c>
      <c r="C946" s="443"/>
      <c r="D946" s="534" t="str">
        <f>IFERROR(__xludf.DUMMYFUNCTION("TRANSPOSE(unique(FILTER($K$17:$K$28,$J$17:$J$28=B946)))"),"")</f>
        <v/>
      </c>
    </row>
    <row r="947">
      <c r="A947" s="627"/>
      <c r="B947" s="627" t="str">
        <f>IFERROR(__xludf.DUMMYFUNCTION("TRANSPOSE(unique(FILTER($K$17:$K$28,$J$17:$J$28=A947)))"),"")</f>
        <v/>
      </c>
      <c r="C947" s="443"/>
      <c r="D947" s="534" t="str">
        <f>IFERROR(__xludf.DUMMYFUNCTION("TRANSPOSE(unique(FILTER($K$17:$K$28,$J$17:$J$28=B947)))"),"")</f>
        <v/>
      </c>
    </row>
    <row r="948">
      <c r="A948" s="627"/>
      <c r="B948" s="627" t="str">
        <f>IFERROR(__xludf.DUMMYFUNCTION("TRANSPOSE(unique(FILTER($K$17:$K$28,$J$17:$J$28=A948)))"),"")</f>
        <v/>
      </c>
      <c r="C948" s="443"/>
      <c r="D948" s="534" t="str">
        <f>IFERROR(__xludf.DUMMYFUNCTION("TRANSPOSE(unique(FILTER($K$17:$K$28,$J$17:$J$28=B948)))"),"")</f>
        <v/>
      </c>
    </row>
    <row r="949">
      <c r="A949" s="627"/>
      <c r="B949" s="627" t="str">
        <f>IFERROR(__xludf.DUMMYFUNCTION("TRANSPOSE(unique(FILTER($K$17:$K$28,$J$17:$J$28=A949)))"),"")</f>
        <v/>
      </c>
      <c r="C949" s="443"/>
      <c r="D949" s="534" t="str">
        <f>IFERROR(__xludf.DUMMYFUNCTION("TRANSPOSE(unique(FILTER($K$17:$K$28,$J$17:$J$28=B949)))"),"")</f>
        <v/>
      </c>
    </row>
    <row r="950">
      <c r="A950" s="627"/>
      <c r="B950" s="627" t="str">
        <f>IFERROR(__xludf.DUMMYFUNCTION("TRANSPOSE(unique(FILTER($K$17:$K$28,$J$17:$J$28=A950)))"),"")</f>
        <v/>
      </c>
      <c r="C950" s="443"/>
      <c r="D950" s="534" t="str">
        <f>IFERROR(__xludf.DUMMYFUNCTION("TRANSPOSE(unique(FILTER($K$17:$K$28,$J$17:$J$28=B950)))"),"")</f>
        <v/>
      </c>
    </row>
    <row r="951">
      <c r="A951" s="627"/>
      <c r="B951" s="627" t="str">
        <f>IFERROR(__xludf.DUMMYFUNCTION("TRANSPOSE(unique(FILTER($K$17:$K$28,$J$17:$J$28=A951)))"),"")</f>
        <v/>
      </c>
      <c r="C951" s="443"/>
      <c r="D951" s="534" t="str">
        <f>IFERROR(__xludf.DUMMYFUNCTION("TRANSPOSE(unique(FILTER($K$17:$K$28,$J$17:$J$28=B951)))"),"")</f>
        <v/>
      </c>
    </row>
    <row r="952">
      <c r="A952" s="627"/>
      <c r="B952" s="627" t="str">
        <f>IFERROR(__xludf.DUMMYFUNCTION("TRANSPOSE(unique(FILTER($K$17:$K$28,$J$17:$J$28=A952)))"),"")</f>
        <v/>
      </c>
      <c r="C952" s="443"/>
      <c r="D952" s="534" t="str">
        <f>IFERROR(__xludf.DUMMYFUNCTION("TRANSPOSE(unique(FILTER($K$17:$K$28,$J$17:$J$28=B952)))"),"")</f>
        <v/>
      </c>
    </row>
    <row r="953">
      <c r="A953" s="627"/>
      <c r="B953" s="627" t="str">
        <f>IFERROR(__xludf.DUMMYFUNCTION("TRANSPOSE(unique(FILTER($K$17:$K$28,$J$17:$J$28=A953)))"),"")</f>
        <v/>
      </c>
      <c r="C953" s="443"/>
      <c r="D953" s="534" t="str">
        <f>IFERROR(__xludf.DUMMYFUNCTION("TRANSPOSE(unique(FILTER($K$17:$K$28,$J$17:$J$28=B953)))"),"")</f>
        <v/>
      </c>
    </row>
    <row r="954">
      <c r="A954" s="627"/>
      <c r="B954" s="627" t="str">
        <f>IFERROR(__xludf.DUMMYFUNCTION("TRANSPOSE(unique(FILTER($K$17:$K$28,$J$17:$J$28=A954)))"),"")</f>
        <v/>
      </c>
      <c r="C954" s="443"/>
      <c r="D954" s="534" t="str">
        <f>IFERROR(__xludf.DUMMYFUNCTION("TRANSPOSE(unique(FILTER($K$17:$K$28,$J$17:$J$28=B954)))"),"")</f>
        <v/>
      </c>
    </row>
    <row r="955">
      <c r="A955" s="627"/>
      <c r="B955" s="627" t="str">
        <f>IFERROR(__xludf.DUMMYFUNCTION("TRANSPOSE(unique(FILTER($K$17:$K$28,$J$17:$J$28=A955)))"),"")</f>
        <v/>
      </c>
      <c r="C955" s="443"/>
      <c r="D955" s="534" t="str">
        <f>IFERROR(__xludf.DUMMYFUNCTION("TRANSPOSE(unique(FILTER($K$17:$K$28,$J$17:$J$28=B955)))"),"")</f>
        <v/>
      </c>
    </row>
    <row r="956">
      <c r="A956" s="627"/>
      <c r="B956" s="627" t="str">
        <f>IFERROR(__xludf.DUMMYFUNCTION("TRANSPOSE(unique(FILTER($K$17:$K$28,$J$17:$J$28=A956)))"),"")</f>
        <v/>
      </c>
      <c r="C956" s="443"/>
      <c r="D956" s="534" t="str">
        <f>IFERROR(__xludf.DUMMYFUNCTION("TRANSPOSE(unique(FILTER($K$17:$K$28,$J$17:$J$28=B956)))"),"")</f>
        <v/>
      </c>
    </row>
    <row r="957">
      <c r="A957" s="627"/>
      <c r="B957" s="627" t="str">
        <f>IFERROR(__xludf.DUMMYFUNCTION("TRANSPOSE(unique(FILTER($K$17:$K$28,$J$17:$J$28=A957)))"),"")</f>
        <v/>
      </c>
      <c r="C957" s="443"/>
      <c r="D957" s="534" t="str">
        <f>IFERROR(__xludf.DUMMYFUNCTION("TRANSPOSE(unique(FILTER($K$17:$K$28,$J$17:$J$28=B957)))"),"")</f>
        <v/>
      </c>
    </row>
    <row r="958">
      <c r="A958" s="627"/>
      <c r="B958" s="627" t="str">
        <f>IFERROR(__xludf.DUMMYFUNCTION("TRANSPOSE(unique(FILTER($K$17:$K$28,$J$17:$J$28=A958)))"),"")</f>
        <v/>
      </c>
      <c r="C958" s="443"/>
      <c r="D958" s="534" t="str">
        <f>IFERROR(__xludf.DUMMYFUNCTION("TRANSPOSE(unique(FILTER($K$17:$K$28,$J$17:$J$28=B958)))"),"")</f>
        <v/>
      </c>
    </row>
    <row r="959">
      <c r="A959" s="627"/>
      <c r="B959" s="627" t="str">
        <f>IFERROR(__xludf.DUMMYFUNCTION("TRANSPOSE(unique(FILTER($K$17:$K$28,$J$17:$J$28=A959)))"),"")</f>
        <v/>
      </c>
      <c r="C959" s="443"/>
      <c r="D959" s="534" t="str">
        <f>IFERROR(__xludf.DUMMYFUNCTION("TRANSPOSE(unique(FILTER($K$17:$K$28,$J$17:$J$28=B959)))"),"")</f>
        <v/>
      </c>
    </row>
    <row r="960">
      <c r="A960" s="627"/>
      <c r="B960" s="627" t="str">
        <f>IFERROR(__xludf.DUMMYFUNCTION("TRANSPOSE(unique(FILTER($K$17:$K$28,$J$17:$J$28=A960)))"),"")</f>
        <v/>
      </c>
      <c r="C960" s="443"/>
      <c r="D960" s="534" t="str">
        <f>IFERROR(__xludf.DUMMYFUNCTION("TRANSPOSE(unique(FILTER($K$17:$K$28,$J$17:$J$28=B960)))"),"")</f>
        <v/>
      </c>
    </row>
    <row r="961">
      <c r="A961" s="627"/>
      <c r="B961" s="627" t="str">
        <f>IFERROR(__xludf.DUMMYFUNCTION("TRANSPOSE(unique(FILTER($K$17:$K$28,$J$17:$J$28=A961)))"),"")</f>
        <v/>
      </c>
      <c r="C961" s="443"/>
      <c r="D961" s="534" t="str">
        <f>IFERROR(__xludf.DUMMYFUNCTION("TRANSPOSE(unique(FILTER($K$17:$K$28,$J$17:$J$28=B961)))"),"")</f>
        <v/>
      </c>
    </row>
    <row r="962">
      <c r="A962" s="627"/>
      <c r="B962" s="627" t="str">
        <f>IFERROR(__xludf.DUMMYFUNCTION("TRANSPOSE(unique(FILTER($K$17:$K$28,$J$17:$J$28=A962)))"),"")</f>
        <v/>
      </c>
      <c r="C962" s="443"/>
      <c r="D962" s="534" t="str">
        <f>IFERROR(__xludf.DUMMYFUNCTION("TRANSPOSE(unique(FILTER($K$17:$K$28,$J$17:$J$28=B962)))"),"")</f>
        <v/>
      </c>
    </row>
    <row r="963">
      <c r="A963" s="627"/>
      <c r="B963" s="627" t="str">
        <f>IFERROR(__xludf.DUMMYFUNCTION("TRANSPOSE(unique(FILTER($K$17:$K$28,$J$17:$J$28=A963)))"),"")</f>
        <v/>
      </c>
      <c r="C963" s="443"/>
      <c r="D963" s="534" t="str">
        <f>IFERROR(__xludf.DUMMYFUNCTION("TRANSPOSE(unique(FILTER($K$17:$K$28,$J$17:$J$28=B963)))"),"")</f>
        <v/>
      </c>
    </row>
    <row r="964">
      <c r="A964" s="627"/>
      <c r="B964" s="627" t="str">
        <f>IFERROR(__xludf.DUMMYFUNCTION("TRANSPOSE(unique(FILTER($K$17:$K$28,$J$17:$J$28=A964)))"),"")</f>
        <v/>
      </c>
      <c r="C964" s="443"/>
      <c r="D964" s="534" t="str">
        <f>IFERROR(__xludf.DUMMYFUNCTION("TRANSPOSE(unique(FILTER($K$17:$K$28,$J$17:$J$28=B964)))"),"")</f>
        <v/>
      </c>
    </row>
    <row r="965">
      <c r="A965" s="627"/>
      <c r="B965" s="627" t="str">
        <f>IFERROR(__xludf.DUMMYFUNCTION("TRANSPOSE(unique(FILTER($K$17:$K$28,$J$17:$J$28=A965)))"),"")</f>
        <v/>
      </c>
      <c r="C965" s="443"/>
      <c r="D965" s="534" t="str">
        <f>IFERROR(__xludf.DUMMYFUNCTION("TRANSPOSE(unique(FILTER($K$17:$K$28,$J$17:$J$28=B965)))"),"")</f>
        <v/>
      </c>
    </row>
    <row r="966">
      <c r="A966" s="627"/>
      <c r="B966" s="627" t="str">
        <f>IFERROR(__xludf.DUMMYFUNCTION("TRANSPOSE(unique(FILTER($K$17:$K$28,$J$17:$J$28=A966)))"),"")</f>
        <v/>
      </c>
      <c r="C966" s="443"/>
      <c r="D966" s="534" t="str">
        <f>IFERROR(__xludf.DUMMYFUNCTION("TRANSPOSE(unique(FILTER($K$17:$K$28,$J$17:$J$28=B966)))"),"")</f>
        <v/>
      </c>
    </row>
    <row r="967">
      <c r="A967" s="627"/>
      <c r="B967" s="627" t="str">
        <f>IFERROR(__xludf.DUMMYFUNCTION("TRANSPOSE(unique(FILTER($K$17:$K$28,$J$17:$J$28=A967)))"),"")</f>
        <v/>
      </c>
      <c r="C967" s="443"/>
      <c r="D967" s="534" t="str">
        <f>IFERROR(__xludf.DUMMYFUNCTION("TRANSPOSE(unique(FILTER($K$17:$K$28,$J$17:$J$28=B967)))"),"")</f>
        <v/>
      </c>
    </row>
    <row r="968">
      <c r="A968" s="627"/>
      <c r="B968" s="627" t="str">
        <f>IFERROR(__xludf.DUMMYFUNCTION("TRANSPOSE(unique(FILTER($K$17:$K$28,$J$17:$J$28=A968)))"),"")</f>
        <v/>
      </c>
      <c r="C968" s="443"/>
      <c r="D968" s="534" t="str">
        <f>IFERROR(__xludf.DUMMYFUNCTION("TRANSPOSE(unique(FILTER($K$17:$K$28,$J$17:$J$28=B968)))"),"")</f>
        <v/>
      </c>
    </row>
    <row r="969">
      <c r="A969" s="627"/>
      <c r="B969" s="627" t="str">
        <f>IFERROR(__xludf.DUMMYFUNCTION("TRANSPOSE(unique(FILTER($K$17:$K$28,$J$17:$J$28=A969)))"),"")</f>
        <v/>
      </c>
      <c r="C969" s="443"/>
      <c r="D969" s="534" t="str">
        <f>IFERROR(__xludf.DUMMYFUNCTION("TRANSPOSE(unique(FILTER($K$17:$K$28,$J$17:$J$28=B969)))"),"")</f>
        <v/>
      </c>
    </row>
    <row r="970">
      <c r="A970" s="627"/>
      <c r="B970" s="627" t="str">
        <f>IFERROR(__xludf.DUMMYFUNCTION("TRANSPOSE(unique(FILTER($K$17:$K$28,$J$17:$J$28=A970)))"),"")</f>
        <v/>
      </c>
      <c r="C970" s="443"/>
      <c r="D970" s="534" t="str">
        <f>IFERROR(__xludf.DUMMYFUNCTION("TRANSPOSE(unique(FILTER($K$17:$K$28,$J$17:$J$28=B970)))"),"")</f>
        <v/>
      </c>
    </row>
    <row r="971">
      <c r="A971" s="627"/>
      <c r="B971" s="627" t="str">
        <f>IFERROR(__xludf.DUMMYFUNCTION("TRANSPOSE(unique(FILTER($K$17:$K$28,$J$17:$J$28=A971)))"),"")</f>
        <v/>
      </c>
      <c r="C971" s="443"/>
      <c r="D971" s="534" t="str">
        <f>IFERROR(__xludf.DUMMYFUNCTION("TRANSPOSE(unique(FILTER($K$17:$K$28,$J$17:$J$28=B971)))"),"")</f>
        <v/>
      </c>
    </row>
    <row r="972">
      <c r="A972" s="627"/>
      <c r="B972" s="627" t="str">
        <f>IFERROR(__xludf.DUMMYFUNCTION("TRANSPOSE(unique(FILTER($K$17:$K$28,$J$17:$J$28=A972)))"),"")</f>
        <v/>
      </c>
      <c r="C972" s="443"/>
      <c r="D972" s="534" t="str">
        <f>IFERROR(__xludf.DUMMYFUNCTION("TRANSPOSE(unique(FILTER($K$17:$K$28,$J$17:$J$28=B972)))"),"")</f>
        <v/>
      </c>
    </row>
    <row r="973">
      <c r="A973" s="627"/>
      <c r="B973" s="627" t="str">
        <f>IFERROR(__xludf.DUMMYFUNCTION("TRANSPOSE(unique(FILTER($K$17:$K$28,$J$17:$J$28=A973)))"),"")</f>
        <v/>
      </c>
      <c r="C973" s="443"/>
      <c r="D973" s="534" t="str">
        <f>IFERROR(__xludf.DUMMYFUNCTION("TRANSPOSE(unique(FILTER($K$17:$K$28,$J$17:$J$28=B973)))"),"")</f>
        <v/>
      </c>
    </row>
    <row r="974">
      <c r="A974" s="627"/>
      <c r="B974" s="627" t="str">
        <f>IFERROR(__xludf.DUMMYFUNCTION("TRANSPOSE(unique(FILTER($K$17:$K$28,$J$17:$J$28=A974)))"),"")</f>
        <v/>
      </c>
      <c r="C974" s="443"/>
      <c r="D974" s="534" t="str">
        <f>IFERROR(__xludf.DUMMYFUNCTION("TRANSPOSE(unique(FILTER($K$17:$K$28,$J$17:$J$28=B974)))"),"")</f>
        <v/>
      </c>
    </row>
    <row r="975">
      <c r="A975" s="627"/>
      <c r="B975" s="627" t="str">
        <f>IFERROR(__xludf.DUMMYFUNCTION("TRANSPOSE(unique(FILTER($K$17:$K$28,$J$17:$J$28=A975)))"),"")</f>
        <v/>
      </c>
      <c r="C975" s="443"/>
      <c r="D975" s="534" t="str">
        <f>IFERROR(__xludf.DUMMYFUNCTION("TRANSPOSE(unique(FILTER($K$17:$K$28,$J$17:$J$28=B975)))"),"")</f>
        <v/>
      </c>
    </row>
    <row r="976">
      <c r="A976" s="627"/>
      <c r="B976" s="627" t="str">
        <f>IFERROR(__xludf.DUMMYFUNCTION("TRANSPOSE(unique(FILTER($K$17:$K$28,$J$17:$J$28=A976)))"),"")</f>
        <v/>
      </c>
      <c r="C976" s="443"/>
      <c r="D976" s="534" t="str">
        <f>IFERROR(__xludf.DUMMYFUNCTION("TRANSPOSE(unique(FILTER($K$17:$K$28,$J$17:$J$28=B976)))"),"")</f>
        <v/>
      </c>
    </row>
    <row r="977">
      <c r="A977" s="627"/>
      <c r="B977" s="627" t="str">
        <f>IFERROR(__xludf.DUMMYFUNCTION("TRANSPOSE(unique(FILTER($K$17:$K$28,$J$17:$J$28=A977)))"),"")</f>
        <v/>
      </c>
      <c r="C977" s="443"/>
      <c r="D977" s="534" t="str">
        <f>IFERROR(__xludf.DUMMYFUNCTION("TRANSPOSE(unique(FILTER($K$17:$K$28,$J$17:$J$28=B977)))"),"")</f>
        <v/>
      </c>
    </row>
    <row r="978">
      <c r="A978" s="627"/>
      <c r="B978" s="627" t="str">
        <f>IFERROR(__xludf.DUMMYFUNCTION("TRANSPOSE(unique(FILTER($K$17:$K$28,$J$17:$J$28=A978)))"),"")</f>
        <v/>
      </c>
      <c r="C978" s="443"/>
      <c r="D978" s="534" t="str">
        <f>IFERROR(__xludf.DUMMYFUNCTION("TRANSPOSE(unique(FILTER($K$17:$K$28,$J$17:$J$28=B978)))"),"")</f>
        <v/>
      </c>
    </row>
    <row r="979">
      <c r="A979" s="627"/>
      <c r="B979" s="627" t="str">
        <f>IFERROR(__xludf.DUMMYFUNCTION("TRANSPOSE(unique(FILTER($K$17:$K$28,$J$17:$J$28=A979)))"),"")</f>
        <v/>
      </c>
      <c r="C979" s="443"/>
      <c r="D979" s="534" t="str">
        <f>IFERROR(__xludf.DUMMYFUNCTION("TRANSPOSE(unique(FILTER($K$17:$K$28,$J$17:$J$28=B979)))"),"")</f>
        <v/>
      </c>
    </row>
    <row r="980">
      <c r="A980" s="627"/>
      <c r="B980" s="627" t="str">
        <f>IFERROR(__xludf.DUMMYFUNCTION("TRANSPOSE(unique(FILTER($K$17:$K$28,$J$17:$J$28=A980)))"),"")</f>
        <v/>
      </c>
      <c r="C980" s="443"/>
      <c r="D980" s="534" t="str">
        <f>IFERROR(__xludf.DUMMYFUNCTION("TRANSPOSE(unique(FILTER($K$17:$K$28,$J$17:$J$28=B980)))"),"")</f>
        <v/>
      </c>
    </row>
    <row r="981">
      <c r="A981" s="627"/>
      <c r="B981" s="627" t="str">
        <f>IFERROR(__xludf.DUMMYFUNCTION("TRANSPOSE(unique(FILTER($K$17:$K$28,$J$17:$J$28=A981)))"),"")</f>
        <v/>
      </c>
      <c r="C981" s="443"/>
      <c r="D981" s="534" t="str">
        <f>IFERROR(__xludf.DUMMYFUNCTION("TRANSPOSE(unique(FILTER($K$17:$K$28,$J$17:$J$28=B981)))"),"")</f>
        <v/>
      </c>
    </row>
    <row r="982">
      <c r="A982" s="627"/>
      <c r="B982" s="627" t="str">
        <f>IFERROR(__xludf.DUMMYFUNCTION("TRANSPOSE(unique(FILTER($K$17:$K$28,$J$17:$J$28=A982)))"),"")</f>
        <v/>
      </c>
      <c r="C982" s="443"/>
      <c r="D982" s="534" t="str">
        <f>IFERROR(__xludf.DUMMYFUNCTION("TRANSPOSE(unique(FILTER($K$17:$K$28,$J$17:$J$28=B982)))"),"")</f>
        <v/>
      </c>
    </row>
    <row r="983">
      <c r="A983" s="627"/>
      <c r="B983" s="627" t="str">
        <f>IFERROR(__xludf.DUMMYFUNCTION("TRANSPOSE(unique(FILTER($K$17:$K$28,$J$17:$J$28=A983)))"),"")</f>
        <v/>
      </c>
      <c r="C983" s="443"/>
      <c r="D983" s="534" t="str">
        <f>IFERROR(__xludf.DUMMYFUNCTION("TRANSPOSE(unique(FILTER($K$17:$K$28,$J$17:$J$28=B983)))"),"")</f>
        <v/>
      </c>
    </row>
    <row r="984">
      <c r="A984" s="627"/>
      <c r="B984" s="627" t="str">
        <f>IFERROR(__xludf.DUMMYFUNCTION("TRANSPOSE(unique(FILTER($K$17:$K$28,$J$17:$J$28=A984)))"),"")</f>
        <v/>
      </c>
      <c r="C984" s="443"/>
      <c r="D984" s="534" t="str">
        <f>IFERROR(__xludf.DUMMYFUNCTION("TRANSPOSE(unique(FILTER($K$17:$K$28,$J$17:$J$28=B984)))"),"")</f>
        <v/>
      </c>
    </row>
    <row r="985">
      <c r="A985" s="627"/>
      <c r="B985" s="627" t="str">
        <f>IFERROR(__xludf.DUMMYFUNCTION("TRANSPOSE(unique(FILTER($K$17:$K$28,$J$17:$J$28=A985)))"),"")</f>
        <v/>
      </c>
      <c r="C985" s="443"/>
      <c r="D985" s="534" t="str">
        <f>IFERROR(__xludf.DUMMYFUNCTION("TRANSPOSE(unique(FILTER($K$17:$K$28,$J$17:$J$28=B985)))"),"")</f>
        <v/>
      </c>
    </row>
    <row r="986">
      <c r="A986" s="627"/>
      <c r="B986" s="627" t="str">
        <f>IFERROR(__xludf.DUMMYFUNCTION("TRANSPOSE(unique(FILTER($K$17:$K$28,$J$17:$J$28=A986)))"),"")</f>
        <v/>
      </c>
      <c r="C986" s="443"/>
      <c r="D986" s="534" t="str">
        <f>IFERROR(__xludf.DUMMYFUNCTION("TRANSPOSE(unique(FILTER($K$17:$K$28,$J$17:$J$28=B986)))"),"")</f>
        <v/>
      </c>
    </row>
    <row r="987">
      <c r="A987" s="627"/>
      <c r="B987" s="627" t="str">
        <f>IFERROR(__xludf.DUMMYFUNCTION("TRANSPOSE(unique(FILTER($K$17:$K$28,$J$17:$J$28=A987)))"),"")</f>
        <v/>
      </c>
      <c r="C987" s="443"/>
      <c r="D987" s="534" t="str">
        <f>IFERROR(__xludf.DUMMYFUNCTION("TRANSPOSE(unique(FILTER($K$17:$K$28,$J$17:$J$28=B987)))"),"")</f>
        <v/>
      </c>
    </row>
    <row r="988">
      <c r="A988" s="627"/>
      <c r="B988" s="627" t="str">
        <f>IFERROR(__xludf.DUMMYFUNCTION("TRANSPOSE(unique(FILTER($K$17:$K$28,$J$17:$J$28=A988)))"),"")</f>
        <v/>
      </c>
      <c r="C988" s="443"/>
      <c r="D988" s="534" t="str">
        <f>IFERROR(__xludf.DUMMYFUNCTION("TRANSPOSE(unique(FILTER($K$17:$K$28,$J$17:$J$28=B988)))"),"")</f>
        <v/>
      </c>
    </row>
    <row r="989">
      <c r="A989" s="627"/>
      <c r="B989" s="627" t="str">
        <f>IFERROR(__xludf.DUMMYFUNCTION("TRANSPOSE(unique(FILTER($K$17:$K$28,$J$17:$J$28=A989)))"),"")</f>
        <v/>
      </c>
      <c r="C989" s="443"/>
      <c r="D989" s="534" t="str">
        <f>IFERROR(__xludf.DUMMYFUNCTION("TRANSPOSE(unique(FILTER($K$17:$K$28,$J$17:$J$28=B989)))"),"")</f>
        <v/>
      </c>
    </row>
    <row r="990">
      <c r="A990" s="627"/>
      <c r="B990" s="627" t="str">
        <f>IFERROR(__xludf.DUMMYFUNCTION("TRANSPOSE(unique(FILTER($K$17:$K$28,$J$17:$J$28=A990)))"),"")</f>
        <v/>
      </c>
      <c r="C990" s="443"/>
      <c r="D990" s="534" t="str">
        <f>IFERROR(__xludf.DUMMYFUNCTION("TRANSPOSE(unique(FILTER($K$17:$K$28,$J$17:$J$28=B990)))"),"")</f>
        <v/>
      </c>
    </row>
    <row r="991">
      <c r="A991" s="627"/>
      <c r="B991" s="627" t="str">
        <f>IFERROR(__xludf.DUMMYFUNCTION("TRANSPOSE(unique(FILTER($K$17:$K$28,$J$17:$J$28=A991)))"),"")</f>
        <v/>
      </c>
      <c r="C991" s="443"/>
      <c r="D991" s="534" t="str">
        <f>IFERROR(__xludf.DUMMYFUNCTION("TRANSPOSE(unique(FILTER($K$17:$K$28,$J$17:$J$28=B991)))"),"")</f>
        <v/>
      </c>
    </row>
    <row r="992">
      <c r="A992" s="627"/>
      <c r="B992" s="627" t="str">
        <f>IFERROR(__xludf.DUMMYFUNCTION("TRANSPOSE(unique(FILTER($K$17:$K$28,$J$17:$J$28=A992)))"),"")</f>
        <v/>
      </c>
      <c r="C992" s="443"/>
      <c r="D992" s="534" t="str">
        <f>IFERROR(__xludf.DUMMYFUNCTION("TRANSPOSE(unique(FILTER($K$17:$K$28,$J$17:$J$28=B992)))"),"")</f>
        <v/>
      </c>
    </row>
    <row r="993">
      <c r="A993" s="627"/>
      <c r="B993" s="627" t="str">
        <f>IFERROR(__xludf.DUMMYFUNCTION("TRANSPOSE(unique(FILTER($K$17:$K$28,$J$17:$J$28=A993)))"),"")</f>
        <v/>
      </c>
      <c r="C993" s="443"/>
      <c r="D993" s="534" t="str">
        <f>IFERROR(__xludf.DUMMYFUNCTION("TRANSPOSE(unique(FILTER($K$17:$K$28,$J$17:$J$28=B993)))"),"")</f>
        <v/>
      </c>
    </row>
    <row r="994">
      <c r="A994" s="627"/>
      <c r="B994" s="627" t="str">
        <f>IFERROR(__xludf.DUMMYFUNCTION("TRANSPOSE(unique(FILTER($K$17:$K$28,$J$17:$J$28=A994)))"),"")</f>
        <v/>
      </c>
      <c r="C994" s="443"/>
      <c r="D994" s="534" t="str">
        <f>IFERROR(__xludf.DUMMYFUNCTION("TRANSPOSE(unique(FILTER($K$17:$K$28,$J$17:$J$28=B994)))"),"")</f>
        <v/>
      </c>
    </row>
    <row r="995">
      <c r="A995" s="627"/>
      <c r="B995" s="627" t="str">
        <f>IFERROR(__xludf.DUMMYFUNCTION("TRANSPOSE(unique(FILTER($K$17:$K$28,$J$17:$J$28=A995)))"),"")</f>
        <v/>
      </c>
      <c r="C995" s="443"/>
      <c r="D995" s="534" t="str">
        <f>IFERROR(__xludf.DUMMYFUNCTION("TRANSPOSE(unique(FILTER($K$17:$K$28,$J$17:$J$28=B995)))"),"")</f>
        <v/>
      </c>
    </row>
    <row r="996">
      <c r="A996" s="627"/>
      <c r="B996" s="627" t="str">
        <f>IFERROR(__xludf.DUMMYFUNCTION("TRANSPOSE(unique(FILTER($K$17:$K$28,$J$17:$J$28=A996)))"),"")</f>
        <v/>
      </c>
      <c r="C996" s="443"/>
      <c r="D996" s="534" t="str">
        <f>IFERROR(__xludf.DUMMYFUNCTION("TRANSPOSE(unique(FILTER($K$17:$K$28,$J$17:$J$28=B996)))"),"")</f>
        <v/>
      </c>
    </row>
    <row r="997">
      <c r="A997" s="627"/>
      <c r="B997" s="627" t="str">
        <f>IFERROR(__xludf.DUMMYFUNCTION("TRANSPOSE(unique(FILTER($K$17:$K$28,$J$17:$J$28=A997)))"),"")</f>
        <v/>
      </c>
      <c r="C997" s="443"/>
      <c r="D997" s="534" t="str">
        <f>IFERROR(__xludf.DUMMYFUNCTION("TRANSPOSE(unique(FILTER($K$17:$K$28,$J$17:$J$28=B997)))"),"")</f>
        <v/>
      </c>
    </row>
    <row r="998">
      <c r="A998" s="627"/>
      <c r="B998" s="627" t="str">
        <f>IFERROR(__xludf.DUMMYFUNCTION("TRANSPOSE(unique(FILTER($K$17:$K$28,$J$17:$J$28=A998)))"),"")</f>
        <v/>
      </c>
      <c r="C998" s="443"/>
      <c r="D998" s="534" t="str">
        <f>IFERROR(__xludf.DUMMYFUNCTION("TRANSPOSE(unique(FILTER($K$17:$K$28,$J$17:$J$28=B998)))"),"")</f>
        <v/>
      </c>
    </row>
    <row r="999">
      <c r="A999" s="627"/>
      <c r="B999" s="627" t="str">
        <f>IFERROR(__xludf.DUMMYFUNCTION("TRANSPOSE(unique(FILTER($K$17:$K$28,$J$17:$J$28=A999)))"),"")</f>
        <v/>
      </c>
      <c r="C999" s="443"/>
      <c r="D999" s="534" t="str">
        <f>IFERROR(__xludf.DUMMYFUNCTION("TRANSPOSE(unique(FILTER($K$17:$K$28,$J$17:$J$28=B999)))"),"")</f>
        <v/>
      </c>
    </row>
    <row r="1000">
      <c r="A1000" s="627"/>
      <c r="B1000" s="627" t="str">
        <f>IFERROR(__xludf.DUMMYFUNCTION("TRANSPOSE(unique(FILTER($K$17:$K$28,$J$17:$J$28=A1000)))"),"")</f>
        <v/>
      </c>
      <c r="C1000" s="443"/>
      <c r="D1000" s="534" t="str">
        <f>IFERROR(__xludf.DUMMYFUNCTION("TRANSPOSE(unique(FILTER($K$17:$K$28,$J$17:$J$28=B1000)))"),"")</f>
        <v/>
      </c>
    </row>
    <row r="1001">
      <c r="A1001" s="627"/>
      <c r="B1001" s="627" t="str">
        <f>IFERROR(__xludf.DUMMYFUNCTION("TRANSPOSE(unique(FILTER($K$17:$K$28,$J$17:$J$28=A1001)))"),"")</f>
        <v/>
      </c>
      <c r="C1001" s="443"/>
      <c r="D1001" s="534" t="str">
        <f>IFERROR(__xludf.DUMMYFUNCTION("TRANSPOSE(unique(FILTER($K$17:$K$28,$J$17:$J$28=B1001)))"),"")</f>
        <v/>
      </c>
    </row>
    <row r="1002">
      <c r="A1002" s="627"/>
      <c r="B1002" s="627" t="str">
        <f>IFERROR(__xludf.DUMMYFUNCTION("TRANSPOSE(unique(FILTER($K$17:$K$28,$J$17:$J$28=A1002)))"),"")</f>
        <v/>
      </c>
      <c r="C1002" s="443"/>
      <c r="D1002" s="534" t="str">
        <f>IFERROR(__xludf.DUMMYFUNCTION("TRANSPOSE(unique(FILTER($K$17:$K$28,$J$17:$J$28=B1002)))"),"")</f>
        <v/>
      </c>
    </row>
  </sheetData>
  <dataValidations>
    <dataValidation type="custom" allowBlank="1" showDropDown="1" sqref="F2:F13">
      <formula1>AND(ISNUMBER(F2),(NOT(OR(NOT(ISERROR(DATEVALUE(F2))), AND(ISNUMBER(F2), LEFT(CELL("format", F2))="D")))))</formula1>
    </dataValidation>
    <dataValidation type="custom" allowBlank="1" showDropDown="1" sqref="J2:J13 B2:C23">
      <formula1>AND(ISNUMBER(B2),(NOT(OR(NOT(ISERROR(DATEVALUE(B2))), AND(ISNUMBER(B2), LEFT(CELL("format", B2))="D")))))</formula1>
    </dataValidation>
  </dataValidations>
  <drawing r:id="rId1"/>
  <tableParts count="2">
    <tablePart r:id="rId4"/>
    <tablePart r:id="rId5"/>
  </tableParts>
</worksheet>
</file>